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9065" windowHeight="7440" tabRatio="934"/>
  </bookViews>
  <sheets>
    <sheet name="ImportantDisclosures" sheetId="167" r:id="rId1"/>
    <sheet name="Cover" sheetId="145" r:id="rId2"/>
    <sheet name="Pro Forma IS" sheetId="134" r:id="rId3"/>
    <sheet name="DHR" sheetId="136" r:id="rId4"/>
    <sheet name="OrgRev" sheetId="138" r:id="rId5"/>
    <sheet name="BS" sheetId="11" r:id="rId6"/>
    <sheet name="CF" sheetId="12" r:id="rId7"/>
    <sheet name="Debt" sheetId="135" r:id="rId8"/>
    <sheet name="IndexInformation" sheetId="168" r:id="rId9"/>
    <sheet name="ModPubIndex" sheetId="169" r:id="rId10"/>
    <sheet name="MW-Cache" sheetId="120" state="veryHidden" r:id="rId11"/>
  </sheets>
  <externalReferences>
    <externalReference r:id="rId12"/>
    <externalReference r:id="rId13"/>
    <externalReference r:id="rId14"/>
  </externalReferences>
  <definedNames>
    <definedName name="__FDS_HYPERLINK_TOGGLE_STATE__" hidden="1">"ON"</definedName>
    <definedName name="__FDS_USED_FOR_REUSING_RANGE_IDS_RECYCLE" hidden="1">{414,413,412,411,410,415,408,407,406,405,404,403,409,401,400,399,398,402,396,395,397,393,392,391,390,389,394,387,386,385,384,383,382,388,380,379,378,377,381,375,374,376}</definedName>
    <definedName name="_Order1" hidden="1">255</definedName>
    <definedName name="AdditionalInstructions">IndexInformation!$B$42</definedName>
    <definedName name="Address" localSheetId="0">ImportantDisclosures!$A$2:$A$2</definedName>
    <definedName name="ANA" localSheetId="9">ModPubIndex!$A$7</definedName>
    <definedName name="Authors" localSheetId="0">ImportantDisclosures!$A$7</definedName>
    <definedName name="Authors" localSheetId="8">IndexInformation!$B$18</definedName>
    <definedName name="BRO" localSheetId="9">ModPubIndex!$A$1</definedName>
    <definedName name="conv_rate">14.5352</definedName>
    <definedName name="CopyrightStamp">ImportantDisclosures!$A$27</definedName>
    <definedName name="COU" localSheetId="9">ModPubIndex!$A$5</definedName>
    <definedName name="CQEnd" localSheetId="8">IndexInformation!$B$31</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SIP" localSheetId="8">IndexInformation!$B$20</definedName>
    <definedName name="CYEnd" localSheetId="8">IndexInformation!$B$30</definedName>
    <definedName name="Date" localSheetId="0">ImportantDisclosures!$A$8</definedName>
    <definedName name="Deleted" localSheetId="8">IndexInformation!$B$27</definedName>
    <definedName name="Description" localSheetId="8">IndexInformation!$B$7</definedName>
    <definedName name="Discipline" localSheetId="8">IndexInformation!$B$3</definedName>
    <definedName name="DISCIPLINE" localSheetId="9">ModPubIndex!$A$12</definedName>
    <definedName name="DisclosuresText">ImportantDisclosures!$A$22</definedName>
    <definedName name="Distribution" localSheetId="8">IndexInformation!$B$26</definedName>
    <definedName name="DistTable" localSheetId="0">ImportantDisclosures!#REF!</definedName>
    <definedName name="DistTablePreamble" localSheetId="0">ImportantDisclosures!#REF!</definedName>
    <definedName name="DOCDAT" localSheetId="9">ModPubIndex!$A$2</definedName>
    <definedName name="DOCTIME" localSheetId="9">ModPubIndex!$A$3</definedName>
    <definedName name="DocType" localSheetId="8">IndexInformation!$B$5</definedName>
    <definedName name="EMAIL_ALERT" localSheetId="9">ModPubIndex!$A$10</definedName>
    <definedName name="EmailAlert" localSheetId="8">IndexInformation!$B$28</definedName>
    <definedName name="FiveYearGrowthRate" localSheetId="8">IndexInformation!$B$16</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HL" localSheetId="9">ModPubIndex!$A$8</definedName>
    <definedName name="IND" localSheetId="9">ModPubIndex!$A$9</definedName>
    <definedName name="Industry" localSheetId="0">ImportantDisclosures!$A$12</definedName>
    <definedName name="IndustryId">IndexInformation!$B$40</definedName>
    <definedName name="IndustryRating" localSheetId="0">ImportantDisclosures!$A$13</definedName>
    <definedName name="KeepVersions" localSheetId="8">IndexInformation!$B$8</definedName>
    <definedName name="LanguageCode">IndexInformation!$B$38</definedName>
    <definedName name="LastCell" localSheetId="0">ImportantDisclosures!$A$22</definedName>
    <definedName name="Linking_10">OrgRev!$EJ$10:$EW$24</definedName>
    <definedName name="Linking_11">'Pro Forma IS'!$A$8:$DO$72</definedName>
    <definedName name="Linking_12">DHR!$A$8:$DO$58</definedName>
    <definedName name="Linking_13">OrgRev!$EJ$10:$FA$24</definedName>
    <definedName name="Linking_17">'Pro Forma IS'!$A$8:$DU$72</definedName>
    <definedName name="Linking_21">DHR!$A$8:$DU$58</definedName>
    <definedName name="Linking_31">OrgRev!$EJ$49:$EW$61</definedName>
    <definedName name="Linking_33">DHR!$A$5:$EA$58</definedName>
    <definedName name="Linking_34">'Pro Forma IS'!$A$5:$EA$72</definedName>
    <definedName name="Linking_37">'Pro Forma IS'!$A$8:$EA$72</definedName>
    <definedName name="Linking_38">DHR!$A$8:$EA$58</definedName>
    <definedName name="Linking_4">'Pro Forma IS'!$A$5:$DU$72</definedName>
    <definedName name="Linking_40">OrgRev!$EJ$49:$FA$61</definedName>
    <definedName name="Linking_46">'Pro Forma IS'!$A$8:$EG$72</definedName>
    <definedName name="Linking_47">DHR!$A$8:$EG$58</definedName>
    <definedName name="Linking_6">DHR!$A$5:$DU$58</definedName>
    <definedName name="MacroVersion" localSheetId="8">IndexInformation!$B$1</definedName>
    <definedName name="ModelPrice" localSheetId="0">ImportantDisclosures!$A$14</definedName>
    <definedName name="MonitorCol">1</definedName>
    <definedName name="MonitorRow">1</definedName>
    <definedName name="Multiplier" localSheetId="8">IndexInformation!$B$35</definedName>
    <definedName name="NextYearEPS" localSheetId="8">IndexInformation!$B$13</definedName>
    <definedName name="NextYearTotalRevenue" localSheetId="8">IndexInformation!$B$12</definedName>
    <definedName name="NextYearTotalRevenueActual" localSheetId="8">IndexInformation!$B$33</definedName>
    <definedName name="ObjectType">IndexInformation!$B$37</definedName>
    <definedName name="PANA" localSheetId="9">ModPubIndex!$A$11</definedName>
    <definedName name="PathName" localSheetId="8">IndexInformation!$B$25</definedName>
    <definedName name="_xlnm.Print_Area" localSheetId="5">BS!$B$7:$CE$57</definedName>
    <definedName name="_xlnm.Print_Area" localSheetId="6">CF!$B$7:$CE$57</definedName>
    <definedName name="_xlnm.Print_Area">[1]CENMODEL!#REF!</definedName>
    <definedName name="_xlnm.Print_Titles" localSheetId="5">BS!$2:$6</definedName>
    <definedName name="_xlnm.Print_Titles" localSheetId="6">CF!$2:$6</definedName>
    <definedName name="PRODUCT" localSheetId="9">ModPubIndex!$A$6</definedName>
    <definedName name="PSYM" localSheetId="9">ModPubIndex!$A$4</definedName>
    <definedName name="PublishDate" localSheetId="8">IndexInformation!$B$2</definedName>
    <definedName name="Rating" localSheetId="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8">IndexInformation!$B$4</definedName>
    <definedName name="RIC" localSheetId="8">IndexInformation!$B$21</definedName>
    <definedName name="SECSettlement" localSheetId="0">ImportantDisclosures!#REF!</definedName>
    <definedName name="SEDOL" localSheetId="8">IndexInformation!$B$22</definedName>
    <definedName name="SourceDefined" localSheetId="0">ImportantDisclosures!$A$19</definedName>
    <definedName name="StockRating" localSheetId="0">ImportantDisclosures!$A$11</definedName>
    <definedName name="SubjectCode" localSheetId="8">IndexInformation!$B$6</definedName>
    <definedName name="SubmitterUserId">IndexInformation!$B$39</definedName>
    <definedName name="SUPPRESSED" localSheetId="9">ModPubIndex!$A$13</definedName>
    <definedName name="TargetPrice" localSheetId="0">ImportantDisclosures!$A$15</definedName>
    <definedName name="tax_benefit_rate">0.34</definedName>
    <definedName name="TemplateRegion">IndexInformation!$B$36</definedName>
    <definedName name="Ticker" localSheetId="0">ImportantDisclosures!$A$10</definedName>
    <definedName name="TickerRegion">IndexInformation!$B$41</definedName>
    <definedName name="Tickers" localSheetId="8">IndexInformation!$B$19</definedName>
    <definedName name="UpdateReason" localSheetId="8">IndexInformation!$B$17</definedName>
    <definedName name="USRegDisclosures" localSheetId="0">ImportantDisclosures!#REF!</definedName>
  </definedNames>
  <calcPr calcId="145621"/>
  <customWorkbookViews>
    <customWorkbookView name="senakas - Personal View" guid="{CBD33D90-1832-48F8-9EEA-47C164B6C11D}" mergeInterval="0" personalView="1" maximized="1" windowWidth="1020" windowHeight="592" tabRatio="789" activeSheetId="4"/>
    <customWorkbookView name="Ramyar - Personal View" guid="{29130F06-8713-4F7A-8A7E-3EEBD44DBC41}" mergeInterval="0" personalView="1" maximized="1" windowWidth="1020" windowHeight="569" tabRatio="831" activeSheetId="10"/>
    <customWorkbookView name="jivakan - Personal View" guid="{6A596D19-A67A-45E1-A417-305CCCF75F6C}" mergeInterval="0" personalView="1" maximized="1" windowWidth="770" windowHeight="405" tabRatio="789" activeSheetId="12"/>
    <customWorkbookView name="janany - Personal View" guid="{C255D7AE-A134-46C6-9D19-81AA733EABCD}" mergeInterval="0" personalView="1" maximized="1" windowWidth="796" windowHeight="428" tabRatio="813" activeSheetId="12"/>
    <customWorkbookView name="Amba - Personal View" guid="{C412A2BA-FBE0-4998-8B10-3950A97D57A1}" mergeInterval="0" personalView="1" maximized="1" windowWidth="1020" windowHeight="596" tabRatio="831" activeSheetId="10"/>
    <customWorkbookView name="danushkas - Personal View" guid="{11618B79-45A3-4BD0-BFD2-136A64A7F625}" mergeInterval="0" personalView="1" maximized="1" windowWidth="1012" windowHeight="509" tabRatio="831" activeSheetId="4"/>
    <customWorkbookView name="Jayamin - Personal View" guid="{7AD3D9DB-726E-4F6D-85C6-FEEDDCFB0EAD}" mergeInterval="0" personalView="1" maximized="1" windowWidth="1010" windowHeight="588" tabRatio="789" activeSheetId="12"/>
  </customWorkbookViews>
</workbook>
</file>

<file path=xl/calcChain.xml><?xml version="1.0" encoding="utf-8"?>
<calcChain xmlns="http://schemas.openxmlformats.org/spreadsheetml/2006/main">
  <c r="EC128" i="11" l="1"/>
  <c r="DW128" i="11"/>
  <c r="EC147" i="136" l="1"/>
  <c r="DS149" i="136"/>
  <c r="ED149" i="136"/>
  <c r="EE149" i="136" s="1"/>
  <c r="EF149" i="136" s="1"/>
  <c r="DX149" i="136"/>
  <c r="DY149" i="136" s="1"/>
  <c r="DZ149" i="136" s="1"/>
  <c r="DL73" i="136" l="1"/>
  <c r="DK271" i="136" l="1"/>
  <c r="DK270" i="136"/>
  <c r="DK269" i="136"/>
  <c r="DK248" i="136" s="1"/>
  <c r="DK254" i="136"/>
  <c r="DK246" i="136"/>
  <c r="DK238" i="136"/>
  <c r="DH143" i="136"/>
  <c r="DB143" i="136"/>
  <c r="CV143" i="136"/>
  <c r="DK240" i="136" l="1"/>
  <c r="DK256" i="136"/>
  <c r="DK258" i="136"/>
  <c r="FA18" i="138"/>
  <c r="EZ18" i="138"/>
  <c r="EY18" i="138"/>
  <c r="EX18" i="138"/>
  <c r="DK364" i="136"/>
  <c r="DK362" i="136"/>
  <c r="DK359" i="136"/>
  <c r="DK357" i="136"/>
  <c r="DK356" i="136"/>
  <c r="DK355" i="136"/>
  <c r="DK354" i="136"/>
  <c r="DK319" i="136"/>
  <c r="DK316" i="136"/>
  <c r="DK315" i="136" s="1"/>
  <c r="DK312" i="136"/>
  <c r="DK223" i="136"/>
  <c r="DK221" i="136"/>
  <c r="DK218" i="136"/>
  <c r="DK217" i="136" s="1"/>
  <c r="DK214" i="136"/>
  <c r="DK155" i="136"/>
  <c r="DK152" i="136"/>
  <c r="DK151" i="136" s="1"/>
  <c r="DK147" i="136"/>
  <c r="DK78" i="136"/>
  <c r="DK75" i="136"/>
  <c r="DK74" i="136" s="1"/>
  <c r="DK71" i="136"/>
  <c r="DK31" i="136"/>
  <c r="DK30" i="136"/>
  <c r="DK29" i="136"/>
  <c r="DK19" i="136"/>
  <c r="DK64" i="134" s="1"/>
  <c r="DK16" i="136"/>
  <c r="DK15" i="136"/>
  <c r="DK14" i="136"/>
  <c r="DK66" i="134"/>
  <c r="DK95" i="134"/>
  <c r="DK94" i="134"/>
  <c r="DK93" i="134"/>
  <c r="DK89" i="134"/>
  <c r="DK88" i="134"/>
  <c r="DK73" i="134"/>
  <c r="DK67" i="134"/>
  <c r="DK65" i="134"/>
  <c r="DK63" i="134"/>
  <c r="DK53" i="134"/>
  <c r="DK52" i="134"/>
  <c r="DK51" i="134"/>
  <c r="DK49" i="134"/>
  <c r="DK40" i="134"/>
  <c r="DK17" i="134"/>
  <c r="DK54" i="134" s="1"/>
  <c r="DK13" i="134"/>
  <c r="DK40" i="136" l="1"/>
  <c r="DK236" i="136"/>
  <c r="DK260" i="136"/>
  <c r="DK358" i="136"/>
  <c r="DK41" i="136"/>
  <c r="DK39" i="136"/>
  <c r="DK13" i="136"/>
  <c r="DK17" i="136" s="1"/>
  <c r="DK20" i="134"/>
  <c r="DK55" i="134"/>
  <c r="DK50" i="134"/>
  <c r="DK99" i="134"/>
  <c r="DK27" i="134"/>
  <c r="DK25" i="136" l="1"/>
  <c r="DK28" i="136"/>
  <c r="DK34" i="136"/>
  <c r="DK29" i="134"/>
  <c r="DK36" i="134" s="1"/>
  <c r="DK59" i="134"/>
  <c r="DK87" i="134" s="1"/>
  <c r="DK33" i="136" l="1"/>
  <c r="DK42" i="136" s="1"/>
  <c r="DK38" i="136"/>
  <c r="DK32" i="134"/>
  <c r="DK37" i="134" s="1"/>
  <c r="DK90" i="134"/>
  <c r="DK33" i="134"/>
  <c r="DK96" i="134"/>
  <c r="DK97" i="134" s="1"/>
  <c r="DK38" i="134" l="1"/>
  <c r="DK34" i="134"/>
  <c r="DK91" i="134" s="1"/>
  <c r="DK60" i="134"/>
  <c r="DK35" i="134" l="1"/>
  <c r="FE56" i="138" l="1"/>
  <c r="FD56" i="138"/>
  <c r="FC56" i="138"/>
  <c r="FB56" i="138"/>
  <c r="FA56" i="138"/>
  <c r="EZ56" i="138"/>
  <c r="EY56" i="138"/>
  <c r="EX56" i="138"/>
  <c r="EW56" i="138"/>
  <c r="DR321" i="136" l="1"/>
  <c r="DS321" i="136" s="1"/>
  <c r="DT321" i="136" s="1"/>
  <c r="DU271" i="136" l="1"/>
  <c r="DT271" i="136"/>
  <c r="DS271" i="136"/>
  <c r="DR271" i="136"/>
  <c r="DQ271" i="136"/>
  <c r="DU270" i="136"/>
  <c r="DT270" i="136"/>
  <c r="DS270" i="136"/>
  <c r="DR270" i="136"/>
  <c r="DQ270" i="136"/>
  <c r="DU268" i="136"/>
  <c r="DT268" i="136"/>
  <c r="DS268" i="136"/>
  <c r="DR268" i="136"/>
  <c r="DQ268" i="136"/>
  <c r="DT254" i="136"/>
  <c r="DS254" i="136"/>
  <c r="DR254" i="136"/>
  <c r="DQ254" i="136"/>
  <c r="DT246" i="136"/>
  <c r="DS246" i="136"/>
  <c r="DR246" i="136"/>
  <c r="DQ246" i="136"/>
  <c r="DT238" i="136"/>
  <c r="DS238" i="136"/>
  <c r="DR238" i="136"/>
  <c r="DQ238" i="136"/>
  <c r="DC288" i="136"/>
  <c r="DI288" i="136"/>
  <c r="DN238" i="136"/>
  <c r="DM238" i="136"/>
  <c r="DL238" i="136"/>
  <c r="DN246" i="136"/>
  <c r="DM246" i="136"/>
  <c r="DL246" i="136"/>
  <c r="DN254" i="136"/>
  <c r="DM254" i="136"/>
  <c r="DL254" i="136"/>
  <c r="DH256" i="136"/>
  <c r="DH238" i="136"/>
  <c r="DS258" i="136" l="1"/>
  <c r="DS264" i="136" s="1"/>
  <c r="DT258" i="136"/>
  <c r="DT264" i="136" s="1"/>
  <c r="DQ258" i="136"/>
  <c r="DQ264" i="136" s="1"/>
  <c r="DQ265" i="136" s="1"/>
  <c r="DR258" i="136"/>
  <c r="DR264" i="136" s="1"/>
  <c r="DN73" i="136" l="1"/>
  <c r="DM73" i="136"/>
  <c r="ED73" i="135" l="1"/>
  <c r="EE73" i="135" s="1"/>
  <c r="EF73" i="135" s="1"/>
  <c r="EG73" i="135" s="1"/>
  <c r="EG115" i="12"/>
  <c r="EG87" i="12"/>
  <c r="EG53" i="12"/>
  <c r="EG52" i="12"/>
  <c r="EG51" i="12"/>
  <c r="EG50" i="12"/>
  <c r="EF47" i="12"/>
  <c r="EE47" i="12"/>
  <c r="ED47" i="12"/>
  <c r="EC47" i="12"/>
  <c r="EG42" i="12"/>
  <c r="EG35" i="12"/>
  <c r="EG34" i="12"/>
  <c r="EG33" i="12"/>
  <c r="EF31" i="12"/>
  <c r="EE31" i="12"/>
  <c r="ED31" i="12"/>
  <c r="EC31" i="12"/>
  <c r="EG28" i="12"/>
  <c r="EG19" i="12"/>
  <c r="EG18" i="12"/>
  <c r="EG17" i="12"/>
  <c r="EF220" i="11"/>
  <c r="EG220" i="11" s="1"/>
  <c r="EE220" i="11"/>
  <c r="ED220" i="11"/>
  <c r="EC220" i="11"/>
  <c r="EG159" i="11"/>
  <c r="EG158" i="11"/>
  <c r="EG150" i="11"/>
  <c r="EG149" i="11"/>
  <c r="EG135" i="11"/>
  <c r="EF34" i="11"/>
  <c r="EG34" i="11" s="1"/>
  <c r="EG186" i="11" s="1"/>
  <c r="EE34" i="11"/>
  <c r="EE186" i="11" s="1"/>
  <c r="ED34" i="11"/>
  <c r="ED186" i="11" s="1"/>
  <c r="EC34" i="11"/>
  <c r="EC186" i="11" s="1"/>
  <c r="EF95" i="134"/>
  <c r="EE95" i="134"/>
  <c r="ED95" i="134"/>
  <c r="EC95" i="134"/>
  <c r="EG89" i="134"/>
  <c r="EG88" i="134"/>
  <c r="EG86" i="134"/>
  <c r="EG85" i="134"/>
  <c r="EG84" i="134"/>
  <c r="EG83" i="134"/>
  <c r="EG82" i="134"/>
  <c r="EG81" i="134"/>
  <c r="EG80" i="134"/>
  <c r="EG79" i="134"/>
  <c r="EG78" i="134"/>
  <c r="EG77" i="134"/>
  <c r="EB76" i="134"/>
  <c r="EF31" i="134"/>
  <c r="EE31" i="134"/>
  <c r="ED31" i="134"/>
  <c r="EC31" i="134"/>
  <c r="EF30" i="134"/>
  <c r="EE30" i="134"/>
  <c r="ED30" i="134"/>
  <c r="EC30" i="134"/>
  <c r="EG26" i="134"/>
  <c r="EG25" i="134"/>
  <c r="EG19" i="134"/>
  <c r="EG18" i="134"/>
  <c r="EG53" i="138"/>
  <c r="EF53" i="138"/>
  <c r="EE53" i="138"/>
  <c r="ED53" i="138"/>
  <c r="EC53" i="138"/>
  <c r="EG52" i="138"/>
  <c r="EF52" i="138"/>
  <c r="EE52" i="138"/>
  <c r="ED52" i="138"/>
  <c r="EC52" i="138"/>
  <c r="EG51" i="138"/>
  <c r="EF51" i="138"/>
  <c r="EE51" i="138"/>
  <c r="ED51" i="138"/>
  <c r="EC51" i="138"/>
  <c r="EG50" i="138"/>
  <c r="EF50" i="138"/>
  <c r="EE50" i="138"/>
  <c r="ED50" i="138"/>
  <c r="EC50" i="138"/>
  <c r="EC12" i="138"/>
  <c r="EC316" i="136"/>
  <c r="ED313" i="136"/>
  <c r="EC312" i="136"/>
  <c r="EC57" i="136" s="1"/>
  <c r="ED223" i="136"/>
  <c r="EE223" i="136" s="1"/>
  <c r="EF223" i="136" s="1"/>
  <c r="EC218" i="136"/>
  <c r="ED215" i="136"/>
  <c r="EE215" i="136" s="1"/>
  <c r="EC214" i="136"/>
  <c r="EC56" i="136" s="1"/>
  <c r="EF123" i="136"/>
  <c r="EE123" i="136"/>
  <c r="ED123" i="136"/>
  <c r="EC123" i="136"/>
  <c r="EF121" i="136"/>
  <c r="EE121" i="136"/>
  <c r="ED121" i="136"/>
  <c r="EC121" i="136"/>
  <c r="EG109" i="136"/>
  <c r="ED109" i="136" s="1"/>
  <c r="EG108" i="136"/>
  <c r="EG101" i="136"/>
  <c r="ED93" i="136"/>
  <c r="EE93" i="136" s="1"/>
  <c r="EF93" i="136" s="1"/>
  <c r="EC71" i="136"/>
  <c r="EC75" i="136" s="1"/>
  <c r="EC55" i="136"/>
  <c r="ED24" i="136"/>
  <c r="EE24" i="136" l="1"/>
  <c r="EE147" i="136" s="1"/>
  <c r="ED147" i="136"/>
  <c r="EF11" i="12"/>
  <c r="EG31" i="134"/>
  <c r="ED11" i="12"/>
  <c r="EC11" i="12"/>
  <c r="EE11" i="12"/>
  <c r="EG47" i="12"/>
  <c r="EC11" i="138"/>
  <c r="EC14" i="138"/>
  <c r="EC54" i="138" s="1"/>
  <c r="EC54" i="136"/>
  <c r="EG31" i="12"/>
  <c r="ED71" i="136"/>
  <c r="ED75" i="136" s="1"/>
  <c r="ED312" i="136"/>
  <c r="ED57" i="136" s="1"/>
  <c r="EF109" i="136"/>
  <c r="EF24" i="136"/>
  <c r="EE71" i="136"/>
  <c r="EE313" i="136"/>
  <c r="EF313" i="136" s="1"/>
  <c r="EG121" i="136"/>
  <c r="ED316" i="136"/>
  <c r="EE109" i="136"/>
  <c r="EG123" i="136"/>
  <c r="EC15" i="138"/>
  <c r="EG30" i="134"/>
  <c r="EG95" i="134"/>
  <c r="EF186" i="11"/>
  <c r="EF215" i="136"/>
  <c r="EE218" i="136"/>
  <c r="EE214" i="136"/>
  <c r="ED214" i="136"/>
  <c r="ED218" i="136"/>
  <c r="EC109" i="136"/>
  <c r="EF71" i="136" l="1"/>
  <c r="EF11" i="138" s="1"/>
  <c r="EF147" i="136"/>
  <c r="ED12" i="138"/>
  <c r="ED55" i="136"/>
  <c r="EE12" i="138"/>
  <c r="EE55" i="136"/>
  <c r="EF312" i="136"/>
  <c r="EF57" i="136" s="1"/>
  <c r="EG11" i="12"/>
  <c r="ED15" i="138"/>
  <c r="ED54" i="136"/>
  <c r="ED11" i="138"/>
  <c r="EF316" i="136"/>
  <c r="EE312" i="136"/>
  <c r="EE57" i="136" s="1"/>
  <c r="EE75" i="136"/>
  <c r="EE54" i="136"/>
  <c r="EE11" i="138"/>
  <c r="EF75" i="136"/>
  <c r="EE56" i="136"/>
  <c r="EE14" i="138"/>
  <c r="ED56" i="136"/>
  <c r="ED14" i="138"/>
  <c r="EF54" i="136"/>
  <c r="EE316" i="136"/>
  <c r="EF218" i="136"/>
  <c r="EF214" i="136"/>
  <c r="EF55" i="136" l="1"/>
  <c r="EF12" i="138"/>
  <c r="EF15" i="138"/>
  <c r="EE15" i="138"/>
  <c r="EE54" i="138"/>
  <c r="ED54" i="138"/>
  <c r="EF56" i="136"/>
  <c r="EF14" i="138"/>
  <c r="EF54" i="138" l="1"/>
  <c r="BX308" i="136"/>
  <c r="CD308" i="136"/>
  <c r="CJ308" i="136"/>
  <c r="CP308" i="136"/>
  <c r="CV308" i="136"/>
  <c r="DB308" i="136"/>
  <c r="DH308" i="136"/>
  <c r="DQ148" i="11" l="1"/>
  <c r="DW148" i="11" s="1"/>
  <c r="EC148" i="11" s="1"/>
  <c r="ED148" i="11" s="1"/>
  <c r="EE148" i="11" s="1"/>
  <c r="EF148" i="11" s="1"/>
  <c r="DL141" i="11" l="1"/>
  <c r="DM141" i="11" s="1"/>
  <c r="DN141" i="11" s="1"/>
  <c r="DK65" i="12" l="1"/>
  <c r="DH280" i="136"/>
  <c r="DH275" i="136" s="1"/>
  <c r="DI279" i="136"/>
  <c r="DH279" i="136" s="1"/>
  <c r="DH274" i="136" s="1"/>
  <c r="DH276" i="136" l="1"/>
  <c r="DE89" i="12"/>
  <c r="DF89" i="12"/>
  <c r="DG89" i="12"/>
  <c r="DH89" i="12"/>
  <c r="DH72" i="135" l="1"/>
  <c r="DH70" i="135"/>
  <c r="DH69" i="135"/>
  <c r="DH67" i="135"/>
  <c r="DG67" i="135"/>
  <c r="DF67" i="135"/>
  <c r="DE67" i="135"/>
  <c r="DH66" i="135"/>
  <c r="DG66" i="135"/>
  <c r="DE66" i="135"/>
  <c r="DH59" i="135"/>
  <c r="DH58" i="135"/>
  <c r="DI57" i="135"/>
  <c r="DH154" i="11"/>
  <c r="DI150" i="11"/>
  <c r="DH135" i="11"/>
  <c r="DH134" i="11"/>
  <c r="DI134" i="11" s="1"/>
  <c r="DH133" i="11"/>
  <c r="DH132" i="11"/>
  <c r="DH131" i="11"/>
  <c r="DH130" i="11"/>
  <c r="DH125" i="11"/>
  <c r="DH128" i="11" s="1"/>
  <c r="DH119" i="11"/>
  <c r="DH123" i="11" s="1"/>
  <c r="DH96" i="11"/>
  <c r="DH97" i="11"/>
  <c r="DH98" i="11"/>
  <c r="DH114" i="11"/>
  <c r="DH115" i="11"/>
  <c r="DH116" i="11"/>
  <c r="DH21" i="11"/>
  <c r="DH24" i="11" s="1"/>
  <c r="DH163" i="11" s="1"/>
  <c r="DI142" i="11"/>
  <c r="DI140" i="11"/>
  <c r="DH141" i="12"/>
  <c r="DG141" i="12"/>
  <c r="DF141" i="12"/>
  <c r="DE141" i="12"/>
  <c r="DH140" i="12"/>
  <c r="DG140" i="12"/>
  <c r="DF140" i="12"/>
  <c r="DE140" i="12"/>
  <c r="DH139" i="12"/>
  <c r="DG139" i="12"/>
  <c r="DF139" i="12"/>
  <c r="DE139" i="12"/>
  <c r="DI138" i="12"/>
  <c r="DE123" i="12"/>
  <c r="DI116" i="12"/>
  <c r="DH116" i="12"/>
  <c r="DH103" i="12"/>
  <c r="DI99" i="12"/>
  <c r="DH99" i="12"/>
  <c r="DH100" i="12" s="1"/>
  <c r="DH77" i="12"/>
  <c r="DI67" i="135" l="1"/>
  <c r="DH99" i="11"/>
  <c r="DF138" i="12"/>
  <c r="DI21" i="11"/>
  <c r="DE138" i="12"/>
  <c r="DH136" i="11"/>
  <c r="DH109" i="11" s="1"/>
  <c r="DG138" i="12"/>
  <c r="DH138" i="12"/>
  <c r="DH71" i="135"/>
  <c r="DH73" i="135"/>
  <c r="DH141" i="11"/>
  <c r="DH122" i="11"/>
  <c r="DH84" i="11" s="1"/>
  <c r="DH143" i="11"/>
  <c r="DH120" i="11"/>
  <c r="DH127" i="11"/>
  <c r="DH121" i="11"/>
  <c r="DH126" i="11"/>
  <c r="DH85" i="11" s="1"/>
  <c r="DH105" i="11"/>
  <c r="DH137" i="11" l="1"/>
  <c r="DH78" i="12"/>
  <c r="DI305" i="136"/>
  <c r="DC305" i="136"/>
  <c r="CW305" i="136"/>
  <c r="CQ305" i="136"/>
  <c r="CK305" i="136"/>
  <c r="CE305" i="136"/>
  <c r="CQ237" i="11" l="1"/>
  <c r="CW237" i="11"/>
  <c r="DC237" i="11"/>
  <c r="DX93" i="136" l="1"/>
  <c r="DY93" i="136" s="1"/>
  <c r="DZ93" i="136" s="1"/>
  <c r="DR93" i="136"/>
  <c r="DS93" i="136" s="1"/>
  <c r="DT93" i="136" s="1"/>
  <c r="DL93" i="136"/>
  <c r="DM93" i="136" s="1"/>
  <c r="DN93" i="136" s="1"/>
  <c r="DX148" i="11" l="1"/>
  <c r="DY148" i="11" s="1"/>
  <c r="DZ148" i="11" s="1"/>
  <c r="DQ128" i="12"/>
  <c r="DW128" i="12" s="1"/>
  <c r="EC128" i="12" s="1"/>
  <c r="DL128" i="12"/>
  <c r="DM128" i="12" s="1"/>
  <c r="DN128" i="12" s="1"/>
  <c r="ED128" i="12" l="1"/>
  <c r="EE128" i="12" s="1"/>
  <c r="EF128" i="12" s="1"/>
  <c r="DR128" i="12"/>
  <c r="DS128" i="12" s="1"/>
  <c r="DT128" i="12" s="1"/>
  <c r="DX128" i="12"/>
  <c r="DY128" i="12" s="1"/>
  <c r="DZ128" i="12" s="1"/>
  <c r="DO26" i="134"/>
  <c r="EG128" i="12" l="1"/>
  <c r="EA128" i="12"/>
  <c r="EA26" i="134"/>
  <c r="DU26" i="134"/>
  <c r="DL105" i="12"/>
  <c r="DM105" i="12" s="1"/>
  <c r="DN105" i="12" s="1"/>
  <c r="DQ105" i="12" s="1"/>
  <c r="DR105" i="12" s="1"/>
  <c r="DS105" i="12" s="1"/>
  <c r="DT105" i="12" s="1"/>
  <c r="DW105" i="12" s="1"/>
  <c r="DL106" i="12"/>
  <c r="DM106" i="12" s="1"/>
  <c r="DN106" i="12" s="1"/>
  <c r="DX105" i="12" l="1"/>
  <c r="DY105" i="12" s="1"/>
  <c r="DZ105" i="12" s="1"/>
  <c r="EC105" i="12" s="1"/>
  <c r="EC107" i="12" l="1"/>
  <c r="ED105" i="12"/>
  <c r="EA105" i="12"/>
  <c r="DX223" i="136"/>
  <c r="DY223" i="136" s="1"/>
  <c r="DZ223" i="136" s="1"/>
  <c r="DH26" i="134"/>
  <c r="DG15" i="134"/>
  <c r="DH15" i="134"/>
  <c r="DF15" i="134"/>
  <c r="DH32" i="136"/>
  <c r="DG32" i="136"/>
  <c r="DF32" i="136"/>
  <c r="EE105" i="12" l="1"/>
  <c r="ED107" i="12"/>
  <c r="DH71" i="136"/>
  <c r="DH11" i="138" s="1"/>
  <c r="DH16" i="134"/>
  <c r="DG16" i="134"/>
  <c r="DF16" i="134"/>
  <c r="DE16" i="134"/>
  <c r="EF105" i="12" l="1"/>
  <c r="EE107" i="12"/>
  <c r="DH364" i="136"/>
  <c r="DH362" i="136"/>
  <c r="DH357" i="136"/>
  <c r="DH356" i="136"/>
  <c r="DH355" i="136"/>
  <c r="DH354" i="136"/>
  <c r="DG354" i="136"/>
  <c r="DG355" i="136"/>
  <c r="DG356" i="136"/>
  <c r="DG357" i="136"/>
  <c r="DG362" i="136"/>
  <c r="DG364" i="136"/>
  <c r="DH316" i="136"/>
  <c r="DH315" i="136" s="1"/>
  <c r="DH312" i="136"/>
  <c r="DH223" i="136"/>
  <c r="DH218" i="136"/>
  <c r="DH217" i="136" s="1"/>
  <c r="DH214" i="136"/>
  <c r="DH152" i="136"/>
  <c r="DH151" i="136" s="1"/>
  <c r="DH169" i="136" s="1"/>
  <c r="DH147" i="136"/>
  <c r="DH75" i="136"/>
  <c r="DH30" i="136"/>
  <c r="DH19" i="136"/>
  <c r="DH64" i="134" s="1"/>
  <c r="DH16" i="136"/>
  <c r="DH15" i="136"/>
  <c r="DH14" i="136"/>
  <c r="DH13" i="136"/>
  <c r="DH79" i="134"/>
  <c r="DI40" i="134"/>
  <c r="DH77" i="134"/>
  <c r="DI77" i="134" s="1"/>
  <c r="DI86" i="134"/>
  <c r="DH76" i="134"/>
  <c r="DH73" i="134" s="1"/>
  <c r="DH89" i="134"/>
  <c r="DH88" i="134"/>
  <c r="DH67" i="134"/>
  <c r="DH63" i="134"/>
  <c r="DH53" i="134"/>
  <c r="DH52" i="134"/>
  <c r="DH49" i="134"/>
  <c r="DH40" i="134"/>
  <c r="DH17" i="134"/>
  <c r="DH13" i="134"/>
  <c r="DH50" i="134" s="1"/>
  <c r="DH236" i="136" l="1"/>
  <c r="DH260" i="136"/>
  <c r="EF107" i="12"/>
  <c r="EG105" i="12"/>
  <c r="EG100" i="12" s="1"/>
  <c r="DH40" i="136"/>
  <c r="DH20" i="134"/>
  <c r="DH54" i="134"/>
  <c r="DH17" i="136"/>
  <c r="DH25" i="136" s="1"/>
  <c r="EG107" i="12" l="1"/>
  <c r="EG106" i="12" s="1"/>
  <c r="DH27" i="134"/>
  <c r="DH29" i="134" s="1"/>
  <c r="DH72" i="11"/>
  <c r="DH55" i="134"/>
  <c r="DH359" i="136"/>
  <c r="DH59" i="134" l="1"/>
  <c r="DH87" i="134" s="1"/>
  <c r="DH32" i="134"/>
  <c r="DH38" i="134" s="1"/>
  <c r="DH36" i="134"/>
  <c r="DH358" i="136"/>
  <c r="DH37" i="134" l="1"/>
  <c r="DN271" i="136" l="1"/>
  <c r="DM271" i="136"/>
  <c r="DL271" i="136"/>
  <c r="DN270" i="136"/>
  <c r="DM270" i="136"/>
  <c r="DL270" i="136"/>
  <c r="DL258" i="136" s="1"/>
  <c r="DN268" i="136"/>
  <c r="DM268" i="136"/>
  <c r="DL268" i="136"/>
  <c r="DK268" i="136" s="1"/>
  <c r="DO271" i="136"/>
  <c r="DO270" i="136"/>
  <c r="DO268" i="136"/>
  <c r="DI268" i="136"/>
  <c r="DN107" i="136"/>
  <c r="DM107" i="136"/>
  <c r="DL107" i="136"/>
  <c r="DK107" i="136"/>
  <c r="DK232" i="136" l="1"/>
  <c r="DK264" i="136"/>
  <c r="DK265" i="136" s="1"/>
  <c r="DM258" i="136"/>
  <c r="DS262" i="136" s="1"/>
  <c r="DN258" i="136"/>
  <c r="DT262" i="136" s="1"/>
  <c r="DQ262" i="136"/>
  <c r="DR262" i="136"/>
  <c r="DL264" i="136"/>
  <c r="DL265" i="136" s="1"/>
  <c r="DM264" i="136" l="1"/>
  <c r="DM265" i="136" s="1"/>
  <c r="DN264" i="136"/>
  <c r="DN265" i="136" s="1"/>
  <c r="DF40" i="11"/>
  <c r="DG40" i="11" s="1"/>
  <c r="DF21" i="11"/>
  <c r="DG21" i="11" s="1"/>
  <c r="DQ141" i="11" l="1"/>
  <c r="DT143" i="11"/>
  <c r="DZ143" i="11" s="1"/>
  <c r="EF143" i="11" s="1"/>
  <c r="DR141" i="11" l="1"/>
  <c r="DS141" i="11" s="1"/>
  <c r="DT141" i="11" s="1"/>
  <c r="DW141" i="11"/>
  <c r="DG271" i="136"/>
  <c r="DG248" i="136" s="1"/>
  <c r="DG270" i="136"/>
  <c r="DG240" i="136" s="1"/>
  <c r="EA53" i="138"/>
  <c r="EG60" i="138" s="1"/>
  <c r="DZ53" i="138"/>
  <c r="EF60" i="138" s="1"/>
  <c r="DY53" i="138"/>
  <c r="EE60" i="138" s="1"/>
  <c r="DX53" i="138"/>
  <c r="ED60" i="138" s="1"/>
  <c r="DW53" i="138"/>
  <c r="EC60" i="138" s="1"/>
  <c r="DT53" i="138"/>
  <c r="FE53" i="138" s="1"/>
  <c r="DS53" i="138"/>
  <c r="FD53" i="138" s="1"/>
  <c r="DR53" i="138"/>
  <c r="FC53" i="138" s="1"/>
  <c r="DQ53" i="138"/>
  <c r="FB53" i="138" s="1"/>
  <c r="DN53" i="138"/>
  <c r="FA53" i="138" s="1"/>
  <c r="DM53" i="138"/>
  <c r="EZ53" i="138" s="1"/>
  <c r="DL53" i="138"/>
  <c r="EY53" i="138" s="1"/>
  <c r="DK53" i="138"/>
  <c r="EX53" i="138" s="1"/>
  <c r="EA52" i="138"/>
  <c r="EG59" i="138" s="1"/>
  <c r="DZ52" i="138"/>
  <c r="EF59" i="138" s="1"/>
  <c r="DY52" i="138"/>
  <c r="EE59" i="138" s="1"/>
  <c r="DX52" i="138"/>
  <c r="ED59" i="138" s="1"/>
  <c r="DW52" i="138"/>
  <c r="EC59" i="138" s="1"/>
  <c r="DT52" i="138"/>
  <c r="FE52" i="138" s="1"/>
  <c r="DS52" i="138"/>
  <c r="FD52" i="138" s="1"/>
  <c r="DR52" i="138"/>
  <c r="FC52" i="138" s="1"/>
  <c r="DQ52" i="138"/>
  <c r="FB52" i="138" s="1"/>
  <c r="DN52" i="138"/>
  <c r="FA52" i="138" s="1"/>
  <c r="DM52" i="138"/>
  <c r="EZ52" i="138" s="1"/>
  <c r="DL52" i="138"/>
  <c r="EY52" i="138" s="1"/>
  <c r="DK52" i="138"/>
  <c r="EX52" i="138" s="1"/>
  <c r="DH52" i="138"/>
  <c r="EW52" i="138" s="1"/>
  <c r="DG52" i="138"/>
  <c r="EV52" i="138" s="1"/>
  <c r="DF52" i="138"/>
  <c r="EU52" i="138" s="1"/>
  <c r="DE52" i="138"/>
  <c r="ET52" i="138" s="1"/>
  <c r="DB52" i="138"/>
  <c r="ES52" i="138" s="1"/>
  <c r="DA52" i="138"/>
  <c r="ER52" i="138" s="1"/>
  <c r="CZ52" i="138"/>
  <c r="EQ52" i="138" s="1"/>
  <c r="CY52" i="138"/>
  <c r="EP52" i="138" s="1"/>
  <c r="CV52" i="138"/>
  <c r="EO52" i="138" s="1"/>
  <c r="CU52" i="138"/>
  <c r="EN52" i="138" s="1"/>
  <c r="CT52" i="138"/>
  <c r="EM52" i="138" s="1"/>
  <c r="CS52" i="138"/>
  <c r="EL52" i="138" s="1"/>
  <c r="CP52" i="138"/>
  <c r="CO52" i="138"/>
  <c r="CN52" i="138"/>
  <c r="CM52" i="138"/>
  <c r="CJ52" i="138"/>
  <c r="CJ59" i="138" s="1"/>
  <c r="CI52" i="138"/>
  <c r="CI59" i="138" s="1"/>
  <c r="CH52" i="138"/>
  <c r="CG52" i="138"/>
  <c r="EA51" i="138"/>
  <c r="EG58" i="138" s="1"/>
  <c r="DZ51" i="138"/>
  <c r="EF58" i="138" s="1"/>
  <c r="DY51" i="138"/>
  <c r="EE58" i="138" s="1"/>
  <c r="DX51" i="138"/>
  <c r="ED58" i="138" s="1"/>
  <c r="DW51" i="138"/>
  <c r="EC58" i="138" s="1"/>
  <c r="DT51" i="138"/>
  <c r="FE51" i="138" s="1"/>
  <c r="DS51" i="138"/>
  <c r="FD51" i="138" s="1"/>
  <c r="DR51" i="138"/>
  <c r="FC51" i="138" s="1"/>
  <c r="DQ51" i="138"/>
  <c r="FB51" i="138" s="1"/>
  <c r="DN51" i="138"/>
  <c r="FA51" i="138" s="1"/>
  <c r="DM51" i="138"/>
  <c r="EZ51" i="138" s="1"/>
  <c r="DL51" i="138"/>
  <c r="EY51" i="138" s="1"/>
  <c r="DK51" i="138"/>
  <c r="EX51" i="138" s="1"/>
  <c r="DH51" i="138"/>
  <c r="EW51" i="138" s="1"/>
  <c r="DG51" i="138"/>
  <c r="EV51" i="138" s="1"/>
  <c r="DF51" i="138"/>
  <c r="EU51" i="138" s="1"/>
  <c r="DE51" i="138"/>
  <c r="ET51" i="138" s="1"/>
  <c r="DB51" i="138"/>
  <c r="ES51" i="138" s="1"/>
  <c r="DA51" i="138"/>
  <c r="ER51" i="138" s="1"/>
  <c r="CZ51" i="138"/>
  <c r="EQ51" i="138" s="1"/>
  <c r="CY51" i="138"/>
  <c r="EP51" i="138" s="1"/>
  <c r="CV51" i="138"/>
  <c r="EO51" i="138" s="1"/>
  <c r="CU51" i="138"/>
  <c r="EN51" i="138" s="1"/>
  <c r="CT51" i="138"/>
  <c r="EM51" i="138" s="1"/>
  <c r="CS51" i="138"/>
  <c r="CP51" i="138"/>
  <c r="CO51" i="138"/>
  <c r="CN51" i="138"/>
  <c r="CM51" i="138"/>
  <c r="CJ51" i="138"/>
  <c r="CI51" i="138"/>
  <c r="CI58" i="138" s="1"/>
  <c r="CH51" i="138"/>
  <c r="CG51" i="138"/>
  <c r="EA50" i="138"/>
  <c r="EG57" i="138" s="1"/>
  <c r="DZ50" i="138"/>
  <c r="EF57" i="138" s="1"/>
  <c r="DY50" i="138"/>
  <c r="EE57" i="138" s="1"/>
  <c r="DX50" i="138"/>
  <c r="ED57" i="138" s="1"/>
  <c r="DW50" i="138"/>
  <c r="EC57" i="138" s="1"/>
  <c r="DT50" i="138"/>
  <c r="FE50" i="138" s="1"/>
  <c r="DS50" i="138"/>
  <c r="FD50" i="138" s="1"/>
  <c r="DR50" i="138"/>
  <c r="FC50" i="138" s="1"/>
  <c r="DQ50" i="138"/>
  <c r="FB50" i="138" s="1"/>
  <c r="DN50" i="138"/>
  <c r="FA50" i="138" s="1"/>
  <c r="DM50" i="138"/>
  <c r="EZ50" i="138" s="1"/>
  <c r="DL50" i="138"/>
  <c r="EY50" i="138" s="1"/>
  <c r="DK50" i="138"/>
  <c r="DH50" i="138"/>
  <c r="EW50" i="138" s="1"/>
  <c r="DG50" i="138"/>
  <c r="EV50" i="138" s="1"/>
  <c r="DF50" i="138"/>
  <c r="EU50" i="138" s="1"/>
  <c r="DE50" i="138"/>
  <c r="ET50" i="138" s="1"/>
  <c r="DB50" i="138"/>
  <c r="ES50" i="138" s="1"/>
  <c r="DA50" i="138"/>
  <c r="ER50" i="138" s="1"/>
  <c r="CZ50" i="138"/>
  <c r="EQ50" i="138" s="1"/>
  <c r="CY50" i="138"/>
  <c r="EP50" i="138" s="1"/>
  <c r="CV50" i="138"/>
  <c r="EO50" i="138" s="1"/>
  <c r="CU50" i="138"/>
  <c r="EN50" i="138" s="1"/>
  <c r="CT50" i="138"/>
  <c r="EM50" i="138" s="1"/>
  <c r="CS50" i="138"/>
  <c r="EL50" i="138" s="1"/>
  <c r="CP50" i="138"/>
  <c r="CO50" i="138"/>
  <c r="CN50" i="138"/>
  <c r="CM50" i="138"/>
  <c r="CJ50" i="138"/>
  <c r="CI50" i="138"/>
  <c r="CH50" i="138"/>
  <c r="CH57" i="138" s="1"/>
  <c r="CG50" i="138"/>
  <c r="BR60" i="138"/>
  <c r="BQ60" i="138"/>
  <c r="BP60" i="138"/>
  <c r="BO60" i="138"/>
  <c r="BM60" i="138"/>
  <c r="BL60" i="138"/>
  <c r="BK60" i="138"/>
  <c r="BJ60" i="138"/>
  <c r="BI60" i="138"/>
  <c r="BG60" i="138"/>
  <c r="BF60" i="138"/>
  <c r="BE60" i="138"/>
  <c r="BD60" i="138"/>
  <c r="BC60" i="138"/>
  <c r="BA60" i="138"/>
  <c r="AZ60" i="138"/>
  <c r="AY60" i="138"/>
  <c r="AX60" i="138"/>
  <c r="AW60" i="138"/>
  <c r="AU60" i="138"/>
  <c r="AT60" i="138"/>
  <c r="AS60" i="138"/>
  <c r="AR60" i="138"/>
  <c r="AQ60" i="138"/>
  <c r="AO60" i="138"/>
  <c r="AN60" i="138"/>
  <c r="AM60" i="138"/>
  <c r="AL60" i="138"/>
  <c r="AK60" i="138"/>
  <c r="AI60" i="138"/>
  <c r="AH60" i="138"/>
  <c r="AG60" i="138"/>
  <c r="AF60" i="138"/>
  <c r="AE60" i="138"/>
  <c r="AC60" i="138"/>
  <c r="AB60" i="138"/>
  <c r="AA60" i="138"/>
  <c r="Z60" i="138"/>
  <c r="Y60" i="138"/>
  <c r="BR57" i="138"/>
  <c r="BQ57" i="138"/>
  <c r="BP57" i="138"/>
  <c r="BO57" i="138"/>
  <c r="BM57" i="138"/>
  <c r="BL57" i="138"/>
  <c r="BK57" i="138"/>
  <c r="BJ57" i="138"/>
  <c r="BI57" i="138"/>
  <c r="BG57" i="138"/>
  <c r="BF57" i="138"/>
  <c r="BE57" i="138"/>
  <c r="BD57" i="138"/>
  <c r="BC57" i="138"/>
  <c r="BA57" i="138"/>
  <c r="AZ57" i="138"/>
  <c r="AY57" i="138"/>
  <c r="AX57" i="138"/>
  <c r="AW57" i="138"/>
  <c r="AU57" i="138"/>
  <c r="AT57" i="138"/>
  <c r="AS57" i="138"/>
  <c r="AR57" i="138"/>
  <c r="AQ57" i="138"/>
  <c r="AO57" i="138"/>
  <c r="AN57" i="138"/>
  <c r="AM57" i="138"/>
  <c r="AL57" i="138"/>
  <c r="AK57" i="138"/>
  <c r="AI57" i="138"/>
  <c r="AH57" i="138"/>
  <c r="AG57" i="138"/>
  <c r="AF57" i="138"/>
  <c r="AE57" i="138"/>
  <c r="AC57" i="138"/>
  <c r="AB57" i="138"/>
  <c r="AA57" i="138"/>
  <c r="Z57" i="138"/>
  <c r="Y57" i="138"/>
  <c r="BX54" i="138"/>
  <c r="BW54" i="138"/>
  <c r="BV54" i="138"/>
  <c r="BU54" i="138"/>
  <c r="BR54" i="138"/>
  <c r="BQ54" i="138"/>
  <c r="BP54" i="138"/>
  <c r="BO54" i="138"/>
  <c r="BM54" i="138"/>
  <c r="BL54" i="138"/>
  <c r="BK54" i="138"/>
  <c r="BJ54" i="138"/>
  <c r="BI54" i="138"/>
  <c r="BG54" i="138"/>
  <c r="BF54" i="138"/>
  <c r="BE54" i="138"/>
  <c r="BD54" i="138"/>
  <c r="BC54" i="138"/>
  <c r="BA54" i="138"/>
  <c r="AZ54" i="138"/>
  <c r="AY54" i="138"/>
  <c r="AX54" i="138"/>
  <c r="AW54" i="138"/>
  <c r="AU54" i="138"/>
  <c r="AT54" i="138"/>
  <c r="AS54" i="138"/>
  <c r="AR54" i="138"/>
  <c r="AQ54" i="138"/>
  <c r="AO54" i="138"/>
  <c r="AN54" i="138"/>
  <c r="AM54" i="138"/>
  <c r="AL54" i="138"/>
  <c r="AK54" i="138"/>
  <c r="AI54" i="138"/>
  <c r="AH54" i="138"/>
  <c r="AG54" i="138"/>
  <c r="AF54" i="138"/>
  <c r="AE54" i="138"/>
  <c r="AC54" i="138"/>
  <c r="AC61" i="138" s="1"/>
  <c r="AB54" i="138"/>
  <c r="AB61" i="138" s="1"/>
  <c r="AA54" i="138"/>
  <c r="AA61" i="138" s="1"/>
  <c r="Z54" i="138"/>
  <c r="Z61" i="138" s="1"/>
  <c r="Y54" i="138"/>
  <c r="Y61" i="138" s="1"/>
  <c r="BX53" i="138"/>
  <c r="BW53" i="138"/>
  <c r="BV53" i="138"/>
  <c r="BU53" i="138"/>
  <c r="BR53" i="138"/>
  <c r="BQ53" i="138"/>
  <c r="BP53" i="138"/>
  <c r="BO53" i="138"/>
  <c r="BL53" i="138"/>
  <c r="BK53" i="138"/>
  <c r="BJ53" i="138"/>
  <c r="BI53" i="138"/>
  <c r="BF53" i="138"/>
  <c r="BE53" i="138"/>
  <c r="BD53" i="138"/>
  <c r="BC53" i="138"/>
  <c r="BA53" i="138"/>
  <c r="AZ53" i="138"/>
  <c r="AY53" i="138"/>
  <c r="AX53" i="138"/>
  <c r="AW53" i="138"/>
  <c r="AU53" i="138"/>
  <c r="AT53" i="138"/>
  <c r="AS53" i="138"/>
  <c r="AR53" i="138"/>
  <c r="AQ53" i="138"/>
  <c r="AO53" i="138"/>
  <c r="AN53" i="138"/>
  <c r="AM53" i="138"/>
  <c r="AL53" i="138"/>
  <c r="AK53" i="138"/>
  <c r="AI53" i="138"/>
  <c r="AH53" i="138"/>
  <c r="AG53" i="138"/>
  <c r="AF53" i="138"/>
  <c r="AE53" i="138"/>
  <c r="AC53" i="138"/>
  <c r="AB53" i="138"/>
  <c r="AA53" i="138"/>
  <c r="Z53" i="138"/>
  <c r="Y53" i="138"/>
  <c r="W53" i="138"/>
  <c r="V53" i="138"/>
  <c r="U53" i="138"/>
  <c r="T53" i="138"/>
  <c r="S53" i="138"/>
  <c r="BX52" i="138"/>
  <c r="BX59" i="138" s="1"/>
  <c r="BW52" i="138"/>
  <c r="BW59" i="138" s="1"/>
  <c r="BV52" i="138"/>
  <c r="BV59" i="138" s="1"/>
  <c r="BU52" i="138"/>
  <c r="BU59" i="138" s="1"/>
  <c r="BX51" i="138"/>
  <c r="BW51" i="138"/>
  <c r="BV51" i="138"/>
  <c r="BU51" i="138"/>
  <c r="BR51" i="138"/>
  <c r="BQ51" i="138"/>
  <c r="BP51" i="138"/>
  <c r="BO51" i="138"/>
  <c r="BM51" i="138"/>
  <c r="BL51" i="138"/>
  <c r="BK51" i="138"/>
  <c r="BJ51" i="138"/>
  <c r="BI51" i="138"/>
  <c r="BG51" i="138"/>
  <c r="BF51" i="138"/>
  <c r="BE51" i="138"/>
  <c r="BD51" i="138"/>
  <c r="BC51" i="138"/>
  <c r="BA51" i="138"/>
  <c r="AZ51" i="138"/>
  <c r="AY51" i="138"/>
  <c r="AX51" i="138"/>
  <c r="AW51" i="138"/>
  <c r="AU51" i="138"/>
  <c r="AT51" i="138"/>
  <c r="AS51" i="138"/>
  <c r="AR51" i="138"/>
  <c r="AQ51" i="138"/>
  <c r="AO51" i="138"/>
  <c r="AN51" i="138"/>
  <c r="AM51" i="138"/>
  <c r="AL51" i="138"/>
  <c r="AK51" i="138"/>
  <c r="AI51" i="138"/>
  <c r="AH51" i="138"/>
  <c r="AG51" i="138"/>
  <c r="AF51" i="138"/>
  <c r="AE51" i="138"/>
  <c r="AC51" i="138"/>
  <c r="AB51" i="138"/>
  <c r="AA51" i="138"/>
  <c r="Z51" i="138"/>
  <c r="Y51" i="138"/>
  <c r="W51" i="138"/>
  <c r="V51" i="138"/>
  <c r="U51" i="138"/>
  <c r="T51" i="138"/>
  <c r="S51" i="138"/>
  <c r="BX50" i="138"/>
  <c r="BW50" i="138"/>
  <c r="BV50" i="138"/>
  <c r="BU50" i="138"/>
  <c r="BR50" i="138"/>
  <c r="BQ50" i="138"/>
  <c r="BP50" i="138"/>
  <c r="BO50" i="138"/>
  <c r="BM50" i="138"/>
  <c r="BL50" i="138"/>
  <c r="BK50" i="138"/>
  <c r="BJ50" i="138"/>
  <c r="BI50" i="138"/>
  <c r="BG50" i="138"/>
  <c r="BF50" i="138"/>
  <c r="BE50" i="138"/>
  <c r="BD50" i="138"/>
  <c r="BC50" i="138"/>
  <c r="BA50" i="138"/>
  <c r="AZ50" i="138"/>
  <c r="AY50" i="138"/>
  <c r="AX50" i="138"/>
  <c r="AW50" i="138"/>
  <c r="AU50" i="138"/>
  <c r="AT50" i="138"/>
  <c r="AS50" i="138"/>
  <c r="AR50" i="138"/>
  <c r="AQ50" i="138"/>
  <c r="AO50" i="138"/>
  <c r="AN50" i="138"/>
  <c r="AM50" i="138"/>
  <c r="AL50" i="138"/>
  <c r="AK50" i="138"/>
  <c r="AI50" i="138"/>
  <c r="AH50" i="138"/>
  <c r="AG50" i="138"/>
  <c r="AF50" i="138"/>
  <c r="AE50" i="138"/>
  <c r="AC50" i="138"/>
  <c r="AB50" i="138"/>
  <c r="AA50" i="138"/>
  <c r="Z50" i="138"/>
  <c r="Y50" i="138"/>
  <c r="W50" i="138"/>
  <c r="V50" i="138"/>
  <c r="U50" i="138"/>
  <c r="T50" i="138"/>
  <c r="S50" i="138"/>
  <c r="DH271" i="136"/>
  <c r="DH270" i="136"/>
  <c r="DH268" i="136"/>
  <c r="DH232" i="136" s="1"/>
  <c r="DH254" i="136"/>
  <c r="DG254" i="136"/>
  <c r="DF254" i="136"/>
  <c r="DE254" i="136"/>
  <c r="DB254" i="136"/>
  <c r="DA254" i="136"/>
  <c r="CZ254" i="136"/>
  <c r="CY254" i="136"/>
  <c r="CV254" i="136"/>
  <c r="CU254" i="136"/>
  <c r="CT254" i="136"/>
  <c r="CS254" i="136"/>
  <c r="CP254" i="136"/>
  <c r="CO254" i="136"/>
  <c r="CN254" i="136"/>
  <c r="CM254" i="136"/>
  <c r="DH246" i="136"/>
  <c r="DG246" i="136"/>
  <c r="DF246" i="136"/>
  <c r="DE246" i="136"/>
  <c r="DB246" i="136"/>
  <c r="DA246" i="136"/>
  <c r="CZ246" i="136"/>
  <c r="CY246" i="136"/>
  <c r="CV246" i="136"/>
  <c r="CU246" i="136"/>
  <c r="CT246" i="136"/>
  <c r="CS246" i="136"/>
  <c r="CP246" i="136"/>
  <c r="CO246" i="136"/>
  <c r="CN246" i="136"/>
  <c r="CM246" i="136"/>
  <c r="DG238" i="136"/>
  <c r="DF238" i="136"/>
  <c r="DE238" i="136"/>
  <c r="DB238" i="136"/>
  <c r="DA238" i="136"/>
  <c r="CZ238" i="136"/>
  <c r="CY238" i="136"/>
  <c r="CV238" i="136"/>
  <c r="CU238" i="136"/>
  <c r="CT238" i="136"/>
  <c r="CS238" i="136"/>
  <c r="CP238" i="136"/>
  <c r="CO238" i="136"/>
  <c r="CN238" i="136"/>
  <c r="CM238" i="136"/>
  <c r="DB271" i="136"/>
  <c r="DA271" i="136"/>
  <c r="CZ271" i="136"/>
  <c r="CZ248" i="136" s="1"/>
  <c r="CY271" i="136"/>
  <c r="DB270" i="136"/>
  <c r="DC270" i="136" s="1"/>
  <c r="DA270" i="136"/>
  <c r="CZ270" i="136"/>
  <c r="CZ240" i="136" s="1"/>
  <c r="CY270" i="136"/>
  <c r="CV271" i="136"/>
  <c r="CW271" i="136" s="1"/>
  <c r="CU271" i="136"/>
  <c r="CT271" i="136"/>
  <c r="CV270" i="136"/>
  <c r="CW270" i="136" s="1"/>
  <c r="CU270" i="136"/>
  <c r="CT270" i="136"/>
  <c r="CS271" i="136"/>
  <c r="CS248" i="136" s="1"/>
  <c r="CS270" i="136"/>
  <c r="CS240" i="136" s="1"/>
  <c r="CP271" i="136"/>
  <c r="CP270" i="136"/>
  <c r="CO271" i="136"/>
  <c r="CO258" i="136" s="1"/>
  <c r="CN271" i="136"/>
  <c r="CN258" i="136" s="1"/>
  <c r="CN53" i="138" s="1"/>
  <c r="CM271" i="136"/>
  <c r="CM258" i="136" s="1"/>
  <c r="CM53" i="138" s="1"/>
  <c r="CJ271" i="136"/>
  <c r="CK271" i="136" s="1"/>
  <c r="CI271" i="136"/>
  <c r="CI258" i="136" s="1"/>
  <c r="CH271" i="136"/>
  <c r="CH248" i="136" s="1"/>
  <c r="CG271" i="136"/>
  <c r="CG258" i="136" s="1"/>
  <c r="CD271" i="136"/>
  <c r="CC271" i="136"/>
  <c r="CB271" i="136"/>
  <c r="CA271" i="136"/>
  <c r="BX271" i="136"/>
  <c r="BY271" i="136" s="1"/>
  <c r="BW271" i="136"/>
  <c r="BV271" i="136"/>
  <c r="BV248" i="136" s="1"/>
  <c r="BU271" i="136"/>
  <c r="BR271" i="136"/>
  <c r="BS271" i="136" s="1"/>
  <c r="BQ271" i="136"/>
  <c r="BP271" i="136"/>
  <c r="BP248" i="136" s="1"/>
  <c r="BO271" i="136"/>
  <c r="BO248" i="136" s="1"/>
  <c r="CK270" i="136"/>
  <c r="CE270" i="136"/>
  <c r="BY270" i="136"/>
  <c r="BS270" i="136"/>
  <c r="CN240" i="136"/>
  <c r="CH240" i="136"/>
  <c r="BV240" i="136"/>
  <c r="BP240" i="136"/>
  <c r="BO240" i="136"/>
  <c r="BM258" i="136"/>
  <c r="DG258" i="136" l="1"/>
  <c r="DG264" i="136" s="1"/>
  <c r="DG265" i="136" s="1"/>
  <c r="DA258" i="136"/>
  <c r="DA53" i="138" s="1"/>
  <c r="ER53" i="138" s="1"/>
  <c r="DB258" i="136"/>
  <c r="DB53" i="138" s="1"/>
  <c r="ES53" i="138" s="1"/>
  <c r="CP258" i="136"/>
  <c r="CP53" i="138" s="1"/>
  <c r="CY258" i="136"/>
  <c r="CY53" i="138" s="1"/>
  <c r="CT258" i="136"/>
  <c r="CT53" i="138" s="1"/>
  <c r="EM53" i="138" s="1"/>
  <c r="CU258" i="136"/>
  <c r="CU262" i="136" s="1"/>
  <c r="DC271" i="136"/>
  <c r="CS258" i="136"/>
  <c r="CS53" i="138" s="1"/>
  <c r="DH240" i="136"/>
  <c r="DI270" i="136"/>
  <c r="DI271" i="136"/>
  <c r="DH248" i="136"/>
  <c r="CQ270" i="136"/>
  <c r="CP267" i="136"/>
  <c r="CZ258" i="136"/>
  <c r="CV258" i="136"/>
  <c r="CV53" i="138" s="1"/>
  <c r="EO53" i="138" s="1"/>
  <c r="DX141" i="11"/>
  <c r="DY141" i="11" s="1"/>
  <c r="DZ141" i="11" s="1"/>
  <c r="EC141" i="11"/>
  <c r="ED141" i="11" s="1"/>
  <c r="EE141" i="11" s="1"/>
  <c r="EF141" i="11" s="1"/>
  <c r="DH258" i="136"/>
  <c r="DN262" i="136" s="1"/>
  <c r="CQ271" i="136"/>
  <c r="CN58" i="138"/>
  <c r="BX61" i="138"/>
  <c r="AU61" i="138"/>
  <c r="BU61" i="138"/>
  <c r="AH61" i="138"/>
  <c r="DZ58" i="138"/>
  <c r="CS58" i="138"/>
  <c r="EL58" i="138" s="1"/>
  <c r="DW60" i="138"/>
  <c r="CN248" i="136"/>
  <c r="BE61" i="138"/>
  <c r="BO61" i="138"/>
  <c r="BM61" i="138"/>
  <c r="AR61" i="138"/>
  <c r="BA61" i="138"/>
  <c r="BK61" i="138"/>
  <c r="CO58" i="138"/>
  <c r="CJ258" i="136"/>
  <c r="CJ264" i="136" s="1"/>
  <c r="CY58" i="138"/>
  <c r="EP58" i="138" s="1"/>
  <c r="DZ57" i="138"/>
  <c r="DQ57" i="138"/>
  <c r="FB57" i="138" s="1"/>
  <c r="BW60" i="138"/>
  <c r="CY59" i="138"/>
  <c r="EP59" i="138" s="1"/>
  <c r="DR59" i="138"/>
  <c r="FC59" i="138" s="1"/>
  <c r="CI53" i="138"/>
  <c r="CO262" i="136"/>
  <c r="CO53" i="138"/>
  <c r="CG53" i="138"/>
  <c r="CG60" i="138" s="1"/>
  <c r="DR60" i="138"/>
  <c r="FC60" i="138" s="1"/>
  <c r="BU58" i="138"/>
  <c r="Y58" i="138"/>
  <c r="AH58" i="138"/>
  <c r="AR58" i="138"/>
  <c r="BA58" i="138"/>
  <c r="BK58" i="138"/>
  <c r="BV57" i="138"/>
  <c r="BV58" i="138"/>
  <c r="DT57" i="138"/>
  <c r="FE57" i="138" s="1"/>
  <c r="BU57" i="138"/>
  <c r="CN264" i="136"/>
  <c r="CN265" i="136" s="1"/>
  <c r="CH258" i="136"/>
  <c r="CN262" i="136" s="1"/>
  <c r="EX50" i="138"/>
  <c r="EL51" i="138"/>
  <c r="BX57" i="138"/>
  <c r="DF57" i="138"/>
  <c r="EU57" i="138" s="1"/>
  <c r="DR58" i="138"/>
  <c r="FC58" i="138" s="1"/>
  <c r="DW59" i="138"/>
  <c r="DG57" i="138"/>
  <c r="EV57" i="138" s="1"/>
  <c r="DB59" i="138"/>
  <c r="ES59" i="138" s="1"/>
  <c r="DH59" i="138"/>
  <c r="EW59" i="138" s="1"/>
  <c r="DG58" i="138"/>
  <c r="EV58" i="138" s="1"/>
  <c r="BV60" i="138"/>
  <c r="CM57" i="138"/>
  <c r="DH58" i="138"/>
  <c r="EW58" i="138" s="1"/>
  <c r="DG59" i="138"/>
  <c r="EV59" i="138" s="1"/>
  <c r="DQ59" i="138"/>
  <c r="FB59" i="138" s="1"/>
  <c r="DZ59" i="138"/>
  <c r="DS60" i="138"/>
  <c r="FD60" i="138" s="1"/>
  <c r="DY57" i="138"/>
  <c r="CS59" i="138"/>
  <c r="EL59" i="138" s="1"/>
  <c r="DL59" i="138"/>
  <c r="EY59" i="138" s="1"/>
  <c r="CV57" i="138"/>
  <c r="EO57" i="138" s="1"/>
  <c r="DB58" i="138"/>
  <c r="ES58" i="138" s="1"/>
  <c r="CM262" i="136"/>
  <c r="DA57" i="138"/>
  <c r="ER57" i="138" s="1"/>
  <c r="CO59" i="138"/>
  <c r="CN59" i="138"/>
  <c r="DL58" i="138"/>
  <c r="EY58" i="138" s="1"/>
  <c r="DK57" i="138"/>
  <c r="EX57" i="138" s="1"/>
  <c r="CN57" i="138"/>
  <c r="CO57" i="138"/>
  <c r="AE58" i="138"/>
  <c r="AN58" i="138"/>
  <c r="AX58" i="138"/>
  <c r="BG58" i="138"/>
  <c r="DW57" i="138"/>
  <c r="CU58" i="138"/>
  <c r="EN58" i="138" s="1"/>
  <c r="DE58" i="138"/>
  <c r="ET58" i="138" s="1"/>
  <c r="DN58" i="138"/>
  <c r="FA58" i="138" s="1"/>
  <c r="CU59" i="138"/>
  <c r="EN59" i="138" s="1"/>
  <c r="DE59" i="138"/>
  <c r="ET59" i="138" s="1"/>
  <c r="DN59" i="138"/>
  <c r="FA59" i="138" s="1"/>
  <c r="DX59" i="138"/>
  <c r="DY60" i="138"/>
  <c r="AE61" i="138"/>
  <c r="AX61" i="138"/>
  <c r="BQ61" i="138"/>
  <c r="DM59" i="138"/>
  <c r="EZ59" i="138" s="1"/>
  <c r="CU57" i="138"/>
  <c r="EN57" i="138" s="1"/>
  <c r="DE57" i="138"/>
  <c r="ET57" i="138" s="1"/>
  <c r="DN57" i="138"/>
  <c r="FA57" i="138" s="1"/>
  <c r="DX57" i="138"/>
  <c r="CM58" i="138"/>
  <c r="CV58" i="138"/>
  <c r="EO58" i="138" s="1"/>
  <c r="DF58" i="138"/>
  <c r="EU58" i="138" s="1"/>
  <c r="DQ58" i="138"/>
  <c r="FB58" i="138" s="1"/>
  <c r="CM59" i="138"/>
  <c r="CV59" i="138"/>
  <c r="EO59" i="138" s="1"/>
  <c r="DF59" i="138"/>
  <c r="EU59" i="138" s="1"/>
  <c r="DY59" i="138"/>
  <c r="BU60" i="138"/>
  <c r="DQ60" i="138"/>
  <c r="FB60" i="138" s="1"/>
  <c r="DZ60" i="138"/>
  <c r="AF61" i="138"/>
  <c r="AO61" i="138"/>
  <c r="AY61" i="138"/>
  <c r="BI61" i="138"/>
  <c r="BR61" i="138"/>
  <c r="CT58" i="138"/>
  <c r="EM58" i="138" s="1"/>
  <c r="AK61" i="138"/>
  <c r="DM58" i="138"/>
  <c r="EZ58" i="138" s="1"/>
  <c r="DW58" i="138"/>
  <c r="DX58" i="138"/>
  <c r="AC58" i="138"/>
  <c r="AM58" i="138"/>
  <c r="AW58" i="138"/>
  <c r="BF58" i="138"/>
  <c r="BP58" i="138"/>
  <c r="CI57" i="138"/>
  <c r="CJ58" i="138"/>
  <c r="DY58" i="138"/>
  <c r="CT59" i="138"/>
  <c r="EM59" i="138" s="1"/>
  <c r="BX60" i="138"/>
  <c r="DX60" i="138"/>
  <c r="AM61" i="138"/>
  <c r="AW61" i="138"/>
  <c r="BF61" i="138"/>
  <c r="BP61" i="138"/>
  <c r="BQ58" i="138"/>
  <c r="BW57" i="138"/>
  <c r="CJ57" i="138"/>
  <c r="CP57" i="138"/>
  <c r="DS58" i="138"/>
  <c r="FD58" i="138" s="1"/>
  <c r="BW58" i="138"/>
  <c r="CG58" i="138"/>
  <c r="CP58" i="138"/>
  <c r="CZ58" i="138"/>
  <c r="EQ58" i="138" s="1"/>
  <c r="DT58" i="138"/>
  <c r="FE58" i="138" s="1"/>
  <c r="CG59" i="138"/>
  <c r="CP59" i="138"/>
  <c r="CZ59" i="138"/>
  <c r="EQ59" i="138" s="1"/>
  <c r="DS59" i="138"/>
  <c r="FD59" i="138" s="1"/>
  <c r="BX58" i="138"/>
  <c r="CH58" i="138"/>
  <c r="DA58" i="138"/>
  <c r="ER58" i="138" s="1"/>
  <c r="DK58" i="138"/>
  <c r="EX58" i="138" s="1"/>
  <c r="CH59" i="138"/>
  <c r="DA59" i="138"/>
  <c r="ER59" i="138" s="1"/>
  <c r="DK59" i="138"/>
  <c r="EX59" i="138" s="1"/>
  <c r="DT59" i="138"/>
  <c r="FE59" i="138" s="1"/>
  <c r="BD61" i="138"/>
  <c r="BW61" i="138"/>
  <c r="CT57" i="138"/>
  <c r="EM57" i="138" s="1"/>
  <c r="CZ57" i="138"/>
  <c r="EQ57" i="138" s="1"/>
  <c r="CS57" i="138"/>
  <c r="EL57" i="138" s="1"/>
  <c r="CY57" i="138"/>
  <c r="EP57" i="138" s="1"/>
  <c r="DH57" i="138"/>
  <c r="EW57" i="138" s="1"/>
  <c r="DB57" i="138"/>
  <c r="ES57" i="138" s="1"/>
  <c r="DR57" i="138"/>
  <c r="FC57" i="138" s="1"/>
  <c r="DL57" i="138"/>
  <c r="EY57" i="138" s="1"/>
  <c r="DT60" i="138"/>
  <c r="FE60" i="138" s="1"/>
  <c r="CG57" i="138"/>
  <c r="DM57" i="138"/>
  <c r="EZ57" i="138" s="1"/>
  <c r="DS57" i="138"/>
  <c r="FD57" i="138" s="1"/>
  <c r="AT61" i="138"/>
  <c r="AN61" i="138"/>
  <c r="BG61" i="138"/>
  <c r="AL61" i="138"/>
  <c r="AG58" i="138"/>
  <c r="AQ58" i="138"/>
  <c r="AZ58" i="138"/>
  <c r="BJ58" i="138"/>
  <c r="AG61" i="138"/>
  <c r="AQ61" i="138"/>
  <c r="AZ61" i="138"/>
  <c r="BJ61" i="138"/>
  <c r="Z58" i="138"/>
  <c r="AI58" i="138"/>
  <c r="AS58" i="138"/>
  <c r="BC58" i="138"/>
  <c r="BL58" i="138"/>
  <c r="AI61" i="138"/>
  <c r="AS61" i="138"/>
  <c r="BC61" i="138"/>
  <c r="BL61" i="138"/>
  <c r="BV61" i="138"/>
  <c r="AA58" i="138"/>
  <c r="AK58" i="138"/>
  <c r="AT58" i="138"/>
  <c r="BD58" i="138"/>
  <c r="BM58" i="138"/>
  <c r="AB58" i="138"/>
  <c r="AL58" i="138"/>
  <c r="AU58" i="138"/>
  <c r="BE58" i="138"/>
  <c r="BO58" i="138"/>
  <c r="AF58" i="138"/>
  <c r="AO58" i="138"/>
  <c r="AY58" i="138"/>
  <c r="BI58" i="138"/>
  <c r="BR58" i="138"/>
  <c r="CE271" i="136"/>
  <c r="DQ161" i="11"/>
  <c r="DW161" i="11" s="1"/>
  <c r="DQ127" i="11"/>
  <c r="DW127" i="11" s="1"/>
  <c r="DG53" i="138" l="1"/>
  <c r="EV53" i="138" s="1"/>
  <c r="DM262" i="136"/>
  <c r="CZ262" i="136"/>
  <c r="CT60" i="138"/>
  <c r="EM60" i="138" s="1"/>
  <c r="CT262" i="136"/>
  <c r="CP264" i="136"/>
  <c r="CP265" i="136" s="1"/>
  <c r="DG262" i="136"/>
  <c r="CV262" i="136"/>
  <c r="CU53" i="138"/>
  <c r="EN53" i="138" s="1"/>
  <c r="CY262" i="136"/>
  <c r="DA262" i="136"/>
  <c r="DB262" i="136"/>
  <c r="CS262" i="136"/>
  <c r="CZ53" i="138"/>
  <c r="EQ53" i="138" s="1"/>
  <c r="DH262" i="136"/>
  <c r="DX161" i="11"/>
  <c r="DY161" i="11" s="1"/>
  <c r="DZ161" i="11" s="1"/>
  <c r="EC161" i="11"/>
  <c r="ED161" i="11" s="1"/>
  <c r="EE161" i="11" s="1"/>
  <c r="EF161" i="11" s="1"/>
  <c r="DX127" i="11"/>
  <c r="DY127" i="11" s="1"/>
  <c r="DZ127" i="11" s="1"/>
  <c r="EC127" i="11"/>
  <c r="DH53" i="138"/>
  <c r="EW53" i="138" s="1"/>
  <c r="DH264" i="136"/>
  <c r="DH265" i="136" s="1"/>
  <c r="DR127" i="11"/>
  <c r="DS127" i="11" s="1"/>
  <c r="DT127" i="11" s="1"/>
  <c r="CP262" i="136"/>
  <c r="CJ53" i="138"/>
  <c r="CJ60" i="138" s="1"/>
  <c r="DB60" i="138"/>
  <c r="ES60" i="138" s="1"/>
  <c r="CV60" i="138"/>
  <c r="EO60" i="138" s="1"/>
  <c r="DM60" i="138"/>
  <c r="EZ60" i="138" s="1"/>
  <c r="DG60" i="138"/>
  <c r="EV60" i="138" s="1"/>
  <c r="CO60" i="138"/>
  <c r="CI60" i="138"/>
  <c r="CS60" i="138"/>
  <c r="EL60" i="138" s="1"/>
  <c r="EL53" i="138"/>
  <c r="CM60" i="138"/>
  <c r="CH264" i="136"/>
  <c r="CH53" i="138"/>
  <c r="EP53" i="138"/>
  <c r="CY60" i="138"/>
  <c r="EP60" i="138" s="1"/>
  <c r="CU60" i="138" l="1"/>
  <c r="EN60" i="138" s="1"/>
  <c r="DA60" i="138"/>
  <c r="ER60" i="138" s="1"/>
  <c r="ED127" i="11"/>
  <c r="EC86" i="11"/>
  <c r="DN60" i="138"/>
  <c r="FA60" i="138" s="1"/>
  <c r="CZ60" i="138"/>
  <c r="EQ60" i="138" s="1"/>
  <c r="DH60" i="138"/>
  <c r="EW60" i="138" s="1"/>
  <c r="CP60" i="138"/>
  <c r="CH60" i="138"/>
  <c r="CN60" i="138"/>
  <c r="DR73" i="135"/>
  <c r="DL73" i="135"/>
  <c r="EE127" i="11" l="1"/>
  <c r="ED86" i="11"/>
  <c r="EF127" i="11" l="1"/>
  <c r="EF86" i="11" s="1"/>
  <c r="EE86" i="11"/>
  <c r="DG72" i="135" l="1"/>
  <c r="DG70" i="135"/>
  <c r="DG69" i="135"/>
  <c r="DG154" i="11"/>
  <c r="DH146" i="11" s="1"/>
  <c r="DG135" i="11"/>
  <c r="DG134" i="11"/>
  <c r="DG133" i="11"/>
  <c r="DG132" i="11"/>
  <c r="DG131" i="11"/>
  <c r="DG130" i="11"/>
  <c r="DG125" i="11"/>
  <c r="DG119" i="11"/>
  <c r="DG55" i="11"/>
  <c r="DG123" i="11" l="1"/>
  <c r="DG128" i="11"/>
  <c r="DG73" i="135"/>
  <c r="DG120" i="11"/>
  <c r="DG136" i="11"/>
  <c r="DG137" i="11" s="1"/>
  <c r="DG71" i="135"/>
  <c r="DG122" i="11"/>
  <c r="DG127" i="11"/>
  <c r="DG121" i="11"/>
  <c r="DG126" i="11"/>
  <c r="DG120" i="12"/>
  <c r="DG116" i="12"/>
  <c r="DG31" i="12"/>
  <c r="DH31" i="12" s="1"/>
  <c r="K68" i="11" l="1"/>
  <c r="I68" i="11"/>
  <c r="G68" i="11"/>
  <c r="DF23" i="11" l="1"/>
  <c r="DF226" i="11" s="1"/>
  <c r="DE23" i="11"/>
  <c r="DE226" i="11" s="1"/>
  <c r="DB23" i="11"/>
  <c r="DB226" i="11" s="1"/>
  <c r="DC226" i="11" s="1"/>
  <c r="DA23" i="11"/>
  <c r="DA226" i="11" s="1"/>
  <c r="CZ23" i="11"/>
  <c r="CY23" i="11"/>
  <c r="CY226" i="11" s="1"/>
  <c r="CV23" i="11"/>
  <c r="CV226" i="11" s="1"/>
  <c r="CW226" i="11" s="1"/>
  <c r="CU23" i="11"/>
  <c r="CU226" i="11" s="1"/>
  <c r="CT23" i="11"/>
  <c r="CT226" i="11" s="1"/>
  <c r="CS23" i="11"/>
  <c r="CS226" i="11" s="1"/>
  <c r="CP23" i="11"/>
  <c r="CQ23" i="11" s="1"/>
  <c r="CO23" i="11"/>
  <c r="CO226" i="11" s="1"/>
  <c r="CN23" i="11"/>
  <c r="CN226" i="11" s="1"/>
  <c r="CM23" i="11"/>
  <c r="CM226" i="11" s="1"/>
  <c r="CJ23" i="11"/>
  <c r="CJ226" i="11" s="1"/>
  <c r="CK226" i="11" s="1"/>
  <c r="CI23" i="11"/>
  <c r="CI226" i="11" s="1"/>
  <c r="CH23" i="11"/>
  <c r="CH226" i="11" s="1"/>
  <c r="CG23" i="11"/>
  <c r="CG226" i="11" s="1"/>
  <c r="BI24" i="11"/>
  <c r="BD24" i="11"/>
  <c r="AW24" i="11"/>
  <c r="AR24" i="11"/>
  <c r="AQ24" i="11"/>
  <c r="CD23" i="11"/>
  <c r="CD226" i="11" s="1"/>
  <c r="CE226" i="11" s="1"/>
  <c r="CC23" i="11"/>
  <c r="CC226" i="11" s="1"/>
  <c r="CB23" i="11"/>
  <c r="CB226" i="11" s="1"/>
  <c r="CA23" i="11"/>
  <c r="CA226" i="11" s="1"/>
  <c r="BX23" i="11"/>
  <c r="BX226" i="11" s="1"/>
  <c r="BY226" i="11" s="1"/>
  <c r="BW23" i="11"/>
  <c r="BW226" i="11" s="1"/>
  <c r="BV23" i="11"/>
  <c r="BV226" i="11" s="1"/>
  <c r="BU23" i="11"/>
  <c r="BU226" i="11" s="1"/>
  <c r="BR23" i="11"/>
  <c r="BR226" i="11" s="1"/>
  <c r="BS226" i="11" s="1"/>
  <c r="BQ23" i="11"/>
  <c r="BQ226" i="11" s="1"/>
  <c r="BP23" i="11"/>
  <c r="BP226" i="11" s="1"/>
  <c r="BO23" i="11"/>
  <c r="BO226" i="11" s="1"/>
  <c r="BL23" i="11"/>
  <c r="BL226" i="11" s="1"/>
  <c r="BM226" i="11" s="1"/>
  <c r="BK23" i="11"/>
  <c r="BK226" i="11" s="1"/>
  <c r="BJ23" i="11"/>
  <c r="BJ226" i="11" s="1"/>
  <c r="BI23" i="11"/>
  <c r="BI226" i="11" s="1"/>
  <c r="BF23" i="11"/>
  <c r="BF226" i="11" s="1"/>
  <c r="BG226" i="11" s="1"/>
  <c r="BE23" i="11"/>
  <c r="BE226" i="11" s="1"/>
  <c r="BD23" i="11"/>
  <c r="BD226" i="11" s="1"/>
  <c r="BC23" i="11"/>
  <c r="BC226" i="11" s="1"/>
  <c r="AZ23" i="11"/>
  <c r="BA23" i="11" s="1"/>
  <c r="AY23" i="11"/>
  <c r="AY226" i="11" s="1"/>
  <c r="AX23" i="11"/>
  <c r="AX226" i="11" s="1"/>
  <c r="AT23" i="11"/>
  <c r="AU23" i="11" s="1"/>
  <c r="AS23" i="11"/>
  <c r="AS226" i="11" s="1"/>
  <c r="AR23" i="11"/>
  <c r="AR226" i="11" s="1"/>
  <c r="AQ23" i="11"/>
  <c r="AQ226" i="11" s="1"/>
  <c r="AW23" i="11"/>
  <c r="AW226" i="11" s="1"/>
  <c r="AH23" i="11"/>
  <c r="AH226" i="11" s="1"/>
  <c r="AI226" i="11" s="1"/>
  <c r="CZ226" i="11"/>
  <c r="DF225" i="11"/>
  <c r="DE225" i="11"/>
  <c r="DB225" i="11"/>
  <c r="DC225" i="11" s="1"/>
  <c r="DA225" i="11"/>
  <c r="CZ225" i="11"/>
  <c r="CY225" i="11"/>
  <c r="CV225" i="11"/>
  <c r="CW225" i="11" s="1"/>
  <c r="CU225" i="11"/>
  <c r="CT225" i="11"/>
  <c r="CS225" i="11"/>
  <c r="CP225" i="11"/>
  <c r="CQ225" i="11" s="1"/>
  <c r="CO225" i="11"/>
  <c r="CN225" i="11"/>
  <c r="CM225" i="11"/>
  <c r="CJ225" i="11"/>
  <c r="CK225" i="11" s="1"/>
  <c r="CI225" i="11"/>
  <c r="CH225" i="11"/>
  <c r="CG225" i="11"/>
  <c r="CD225" i="11"/>
  <c r="CE225" i="11" s="1"/>
  <c r="CC225" i="11"/>
  <c r="CB225" i="11"/>
  <c r="CA225" i="11"/>
  <c r="BX225" i="11"/>
  <c r="BY225" i="11" s="1"/>
  <c r="BW225" i="11"/>
  <c r="BV225" i="11"/>
  <c r="BU225" i="11"/>
  <c r="BR225" i="11"/>
  <c r="BS225" i="11" s="1"/>
  <c r="BQ225" i="11"/>
  <c r="BP225" i="11"/>
  <c r="BO225" i="11"/>
  <c r="BL225" i="11"/>
  <c r="BM225" i="11" s="1"/>
  <c r="BK225" i="11"/>
  <c r="BJ225" i="11"/>
  <c r="BI225" i="11"/>
  <c r="BE225" i="11"/>
  <c r="BD225" i="11"/>
  <c r="BC225" i="11"/>
  <c r="AZ225" i="11"/>
  <c r="BA225" i="11" s="1"/>
  <c r="AX225" i="11"/>
  <c r="AW225" i="11"/>
  <c r="AT225" i="11"/>
  <c r="AU225" i="11" s="1"/>
  <c r="AR225" i="11"/>
  <c r="AN225" i="11"/>
  <c r="AO225" i="11" s="1"/>
  <c r="AM225" i="11"/>
  <c r="AH225" i="11"/>
  <c r="AI225" i="11" s="1"/>
  <c r="AG225" i="11"/>
  <c r="AF225" i="11"/>
  <c r="AE225" i="11"/>
  <c r="AB225" i="11"/>
  <c r="AC225" i="11" s="1"/>
  <c r="AA225" i="11"/>
  <c r="Z225" i="11"/>
  <c r="Y225" i="11"/>
  <c r="V225" i="11"/>
  <c r="W225" i="11" s="1"/>
  <c r="U225" i="11"/>
  <c r="T225" i="11"/>
  <c r="S225" i="11"/>
  <c r="DF224" i="11"/>
  <c r="DE224" i="11"/>
  <c r="DB224" i="11"/>
  <c r="DC224" i="11" s="1"/>
  <c r="DA224" i="11"/>
  <c r="CZ224" i="11"/>
  <c r="CY224" i="11"/>
  <c r="CV224" i="11"/>
  <c r="CW224" i="11" s="1"/>
  <c r="CU224" i="11"/>
  <c r="CT224" i="11"/>
  <c r="CS224" i="11"/>
  <c r="CP224" i="11"/>
  <c r="CQ224" i="11" s="1"/>
  <c r="CO224" i="11"/>
  <c r="CN224" i="11"/>
  <c r="CM224" i="11"/>
  <c r="CJ224" i="11"/>
  <c r="CK224" i="11" s="1"/>
  <c r="CI224" i="11"/>
  <c r="CH224" i="11"/>
  <c r="CG224" i="11"/>
  <c r="CD224" i="11"/>
  <c r="CE224" i="11" s="1"/>
  <c r="CC224" i="11"/>
  <c r="CB224" i="11"/>
  <c r="CA224" i="11"/>
  <c r="BX224" i="11"/>
  <c r="BY224" i="11" s="1"/>
  <c r="BW224" i="11"/>
  <c r="BV224" i="11"/>
  <c r="BU224" i="11"/>
  <c r="BR224" i="11"/>
  <c r="BS224" i="11" s="1"/>
  <c r="BQ224" i="11"/>
  <c r="BP224" i="11"/>
  <c r="BO224" i="11"/>
  <c r="BL224" i="11"/>
  <c r="BM224" i="11" s="1"/>
  <c r="BK224" i="11"/>
  <c r="BJ224" i="11"/>
  <c r="BI224" i="11"/>
  <c r="BF224" i="11"/>
  <c r="BG224" i="11" s="1"/>
  <c r="BE224" i="11"/>
  <c r="BD224" i="11"/>
  <c r="BC224" i="11"/>
  <c r="AZ224" i="11"/>
  <c r="BA224" i="11" s="1"/>
  <c r="AY224" i="11"/>
  <c r="AX224" i="11"/>
  <c r="AW224" i="11"/>
  <c r="AT224" i="11"/>
  <c r="AU224" i="11" s="1"/>
  <c r="AS224" i="11"/>
  <c r="AR224" i="11"/>
  <c r="AQ224" i="11"/>
  <c r="AN224" i="11"/>
  <c r="AO224" i="11" s="1"/>
  <c r="AM224" i="11"/>
  <c r="AL224" i="11"/>
  <c r="AK224" i="11"/>
  <c r="AH224" i="11"/>
  <c r="AI224" i="11" s="1"/>
  <c r="AG224" i="11"/>
  <c r="AF224" i="11"/>
  <c r="AE224" i="11"/>
  <c r="AB224" i="11"/>
  <c r="AC224" i="11" s="1"/>
  <c r="AA224" i="11"/>
  <c r="Z224" i="11"/>
  <c r="Y224" i="11"/>
  <c r="V224" i="11"/>
  <c r="W224" i="11" s="1"/>
  <c r="U224" i="11"/>
  <c r="T224" i="11"/>
  <c r="S224" i="11"/>
  <c r="DZ220" i="11"/>
  <c r="EA220" i="11" s="1"/>
  <c r="DY220" i="11"/>
  <c r="DX220" i="11"/>
  <c r="DW220" i="11"/>
  <c r="DT220" i="11"/>
  <c r="DU220" i="11" s="1"/>
  <c r="DS220" i="11"/>
  <c r="DR220" i="11"/>
  <c r="DQ220" i="11"/>
  <c r="DN220" i="11"/>
  <c r="DO220" i="11" s="1"/>
  <c r="DM220" i="11"/>
  <c r="DL220" i="11"/>
  <c r="DK220" i="11"/>
  <c r="DH220" i="11"/>
  <c r="DI220" i="11" s="1"/>
  <c r="DG220" i="11"/>
  <c r="DF220" i="11"/>
  <c r="DE220" i="11"/>
  <c r="DB220" i="11"/>
  <c r="DC220" i="11" s="1"/>
  <c r="DA220" i="11"/>
  <c r="CZ220" i="11"/>
  <c r="CY220" i="11"/>
  <c r="CV220" i="11"/>
  <c r="CW220" i="11" s="1"/>
  <c r="CU220" i="11"/>
  <c r="CT220" i="11"/>
  <c r="CS220" i="11"/>
  <c r="CP220" i="11"/>
  <c r="CQ220" i="11" s="1"/>
  <c r="CO220" i="11"/>
  <c r="CN220" i="11"/>
  <c r="CM220" i="11"/>
  <c r="CJ220" i="11"/>
  <c r="CK220" i="11" s="1"/>
  <c r="CI220" i="11"/>
  <c r="CH220" i="11"/>
  <c r="CG220" i="11"/>
  <c r="CD220" i="11"/>
  <c r="CE220" i="11" s="1"/>
  <c r="CC220" i="11"/>
  <c r="CB220" i="11"/>
  <c r="CA220" i="11"/>
  <c r="BX220" i="11"/>
  <c r="BY220" i="11" s="1"/>
  <c r="BW220" i="11"/>
  <c r="BV220" i="11"/>
  <c r="BU220" i="11"/>
  <c r="BR220" i="11"/>
  <c r="BS220" i="11" s="1"/>
  <c r="BQ220" i="11"/>
  <c r="BP220" i="11"/>
  <c r="BO220" i="11"/>
  <c r="BL220" i="11"/>
  <c r="BM220" i="11" s="1"/>
  <c r="BK220" i="11"/>
  <c r="BJ220" i="11"/>
  <c r="BI220" i="11"/>
  <c r="BF220" i="11"/>
  <c r="BG220" i="11" s="1"/>
  <c r="BE220" i="11"/>
  <c r="BD220" i="11"/>
  <c r="BC220" i="11"/>
  <c r="AZ220" i="11"/>
  <c r="BA220" i="11" s="1"/>
  <c r="AY220" i="11"/>
  <c r="AX220" i="11"/>
  <c r="AW220" i="11"/>
  <c r="AT220" i="11"/>
  <c r="AU220" i="11" s="1"/>
  <c r="AS220" i="11"/>
  <c r="AR220" i="11"/>
  <c r="AQ220" i="11"/>
  <c r="AN220" i="11"/>
  <c r="AO220" i="11" s="1"/>
  <c r="AM220" i="11"/>
  <c r="AL220" i="11"/>
  <c r="AK220" i="11"/>
  <c r="AH220" i="11"/>
  <c r="AI220" i="11" s="1"/>
  <c r="AG220" i="11"/>
  <c r="AF220" i="11"/>
  <c r="AE220" i="11"/>
  <c r="AB220" i="11"/>
  <c r="AC220" i="11" s="1"/>
  <c r="AA220" i="11"/>
  <c r="Z220" i="11"/>
  <c r="Y220" i="11"/>
  <c r="V220" i="11"/>
  <c r="W220" i="11" s="1"/>
  <c r="U220" i="11"/>
  <c r="T220" i="11"/>
  <c r="S220" i="11"/>
  <c r="DF219" i="11"/>
  <c r="DE219" i="11"/>
  <c r="DB219" i="11"/>
  <c r="DC219" i="11" s="1"/>
  <c r="DA219" i="11"/>
  <c r="CZ219" i="11"/>
  <c r="CY219" i="11"/>
  <c r="CV219" i="11"/>
  <c r="CW219" i="11" s="1"/>
  <c r="CU219" i="11"/>
  <c r="CT219" i="11"/>
  <c r="CS219" i="11"/>
  <c r="CP219" i="11"/>
  <c r="CQ219" i="11" s="1"/>
  <c r="CO219" i="11"/>
  <c r="CN219" i="11"/>
  <c r="CM219" i="11"/>
  <c r="CJ219" i="11"/>
  <c r="CK219" i="11" s="1"/>
  <c r="CI219" i="11"/>
  <c r="CH219" i="11"/>
  <c r="CG219" i="11"/>
  <c r="CD219" i="11"/>
  <c r="CE219" i="11" s="1"/>
  <c r="CC219" i="11"/>
  <c r="CB219" i="11"/>
  <c r="CA219" i="11"/>
  <c r="BX219" i="11"/>
  <c r="BY219" i="11" s="1"/>
  <c r="BW219" i="11"/>
  <c r="BV219" i="11"/>
  <c r="BU219" i="11"/>
  <c r="BR219" i="11"/>
  <c r="BS219" i="11" s="1"/>
  <c r="BQ219" i="11"/>
  <c r="BP219" i="11"/>
  <c r="BO219" i="11"/>
  <c r="BL219" i="11"/>
  <c r="BM219" i="11" s="1"/>
  <c r="BK219" i="11"/>
  <c r="BJ219" i="11"/>
  <c r="BI219" i="11"/>
  <c r="BF219" i="11"/>
  <c r="BG219" i="11" s="1"/>
  <c r="BE219" i="11"/>
  <c r="BD219" i="11"/>
  <c r="BC219" i="11"/>
  <c r="AZ219" i="11"/>
  <c r="BA219" i="11" s="1"/>
  <c r="AY219" i="11"/>
  <c r="AX219" i="11"/>
  <c r="AW219" i="11"/>
  <c r="AT219" i="11"/>
  <c r="AU219" i="11" s="1"/>
  <c r="AS219" i="11"/>
  <c r="AR219" i="11"/>
  <c r="AQ219" i="11"/>
  <c r="AN219" i="11"/>
  <c r="AO219" i="11" s="1"/>
  <c r="AM219" i="11"/>
  <c r="AL219" i="11"/>
  <c r="AK219" i="11"/>
  <c r="AH219" i="11"/>
  <c r="AI219" i="11" s="1"/>
  <c r="AG219" i="11"/>
  <c r="AF219" i="11"/>
  <c r="AE219" i="11"/>
  <c r="AB219" i="11"/>
  <c r="AC219" i="11" s="1"/>
  <c r="AA219" i="11"/>
  <c r="Z219" i="11"/>
  <c r="Y219" i="11"/>
  <c r="V219" i="11"/>
  <c r="W219" i="11" s="1"/>
  <c r="U219" i="11"/>
  <c r="T219" i="11"/>
  <c r="S219" i="11"/>
  <c r="DA216" i="11"/>
  <c r="CZ216" i="11"/>
  <c r="CY216" i="11"/>
  <c r="CV216" i="11"/>
  <c r="CW216" i="11" s="1"/>
  <c r="CU216" i="11"/>
  <c r="CT216" i="11"/>
  <c r="CS216" i="11"/>
  <c r="CP216" i="11"/>
  <c r="CQ216" i="11" s="1"/>
  <c r="CO216" i="11"/>
  <c r="CN216" i="11"/>
  <c r="CM216" i="11"/>
  <c r="CJ216" i="11"/>
  <c r="CK216" i="11" s="1"/>
  <c r="CI216" i="11"/>
  <c r="CH216" i="11"/>
  <c r="CG216" i="11"/>
  <c r="CD216" i="11"/>
  <c r="CE216" i="11" s="1"/>
  <c r="CC216" i="11"/>
  <c r="CB216" i="11"/>
  <c r="CA216" i="11"/>
  <c r="BX216" i="11"/>
  <c r="BY216" i="11" s="1"/>
  <c r="BW216" i="11"/>
  <c r="BV216" i="11"/>
  <c r="BU216" i="11"/>
  <c r="BR216" i="11"/>
  <c r="BS216" i="11" s="1"/>
  <c r="BQ216" i="11"/>
  <c r="BP216" i="11"/>
  <c r="BO216" i="11"/>
  <c r="BL216" i="11"/>
  <c r="BK216" i="11"/>
  <c r="BJ216" i="11"/>
  <c r="BI216" i="11"/>
  <c r="BF216" i="11"/>
  <c r="BG216" i="11" s="1"/>
  <c r="BE216" i="11"/>
  <c r="BD216" i="11"/>
  <c r="BC216" i="11"/>
  <c r="AZ216" i="11"/>
  <c r="BA216" i="11" s="1"/>
  <c r="AY216" i="11"/>
  <c r="AX216" i="11"/>
  <c r="AW216" i="11"/>
  <c r="AT216" i="11"/>
  <c r="AU216" i="11" s="1"/>
  <c r="AS216" i="11"/>
  <c r="AR216" i="11"/>
  <c r="AQ216" i="11"/>
  <c r="AN216" i="11"/>
  <c r="AO216" i="11" s="1"/>
  <c r="AM216" i="11"/>
  <c r="AL216" i="11"/>
  <c r="AK216" i="11"/>
  <c r="AH216" i="11"/>
  <c r="AI216" i="11" s="1"/>
  <c r="AG216" i="11"/>
  <c r="AF216" i="11"/>
  <c r="AE216" i="11"/>
  <c r="AB216" i="11"/>
  <c r="AC216" i="11" s="1"/>
  <c r="AA216" i="11"/>
  <c r="Z216" i="11"/>
  <c r="Y216" i="11"/>
  <c r="V216" i="11"/>
  <c r="W216" i="11" s="1"/>
  <c r="U216" i="11"/>
  <c r="T216" i="11"/>
  <c r="S216" i="11"/>
  <c r="DA215" i="11"/>
  <c r="CZ215" i="11"/>
  <c r="CY215" i="11"/>
  <c r="CV215" i="11"/>
  <c r="CW215" i="11" s="1"/>
  <c r="CU215" i="11"/>
  <c r="CT215" i="11"/>
  <c r="CS215" i="11"/>
  <c r="CP215" i="11"/>
  <c r="CQ215" i="11" s="1"/>
  <c r="CO215" i="11"/>
  <c r="CN215" i="11"/>
  <c r="CM215" i="11"/>
  <c r="CJ215" i="11"/>
  <c r="CK215" i="11" s="1"/>
  <c r="CI215" i="11"/>
  <c r="CH215" i="11"/>
  <c r="CG215" i="11"/>
  <c r="CD215" i="11"/>
  <c r="CE215" i="11" s="1"/>
  <c r="CC215" i="11"/>
  <c r="CB215" i="11"/>
  <c r="CA215" i="11"/>
  <c r="BX215" i="11"/>
  <c r="BW215" i="11"/>
  <c r="BV215" i="11"/>
  <c r="BU215" i="11"/>
  <c r="BR215" i="11"/>
  <c r="BS215" i="11" s="1"/>
  <c r="BQ215" i="11"/>
  <c r="BP215" i="11"/>
  <c r="BO215" i="11"/>
  <c r="BL215" i="11"/>
  <c r="BM215" i="11" s="1"/>
  <c r="BK215" i="11"/>
  <c r="BJ215" i="11"/>
  <c r="BI215" i="11"/>
  <c r="BE215" i="11"/>
  <c r="BD215" i="11"/>
  <c r="BC215" i="11"/>
  <c r="AZ215" i="11"/>
  <c r="BA215" i="11" s="1"/>
  <c r="AY215" i="11"/>
  <c r="AX215" i="11"/>
  <c r="AW215" i="11"/>
  <c r="AT215" i="11"/>
  <c r="AU215" i="11" s="1"/>
  <c r="AR215" i="11"/>
  <c r="AN215" i="11"/>
  <c r="AO215" i="11" s="1"/>
  <c r="AM215" i="11"/>
  <c r="AK215" i="11"/>
  <c r="AH215" i="11"/>
  <c r="AI215" i="11" s="1"/>
  <c r="AG215" i="11"/>
  <c r="AF215" i="11"/>
  <c r="AE215" i="11"/>
  <c r="AB215" i="11"/>
  <c r="AA215" i="11"/>
  <c r="Z215" i="11"/>
  <c r="Y215" i="11"/>
  <c r="V215" i="11"/>
  <c r="W215" i="11" s="1"/>
  <c r="U215" i="11"/>
  <c r="T215" i="11"/>
  <c r="S215" i="11"/>
  <c r="DF214" i="11"/>
  <c r="DE214" i="11"/>
  <c r="DB214" i="11"/>
  <c r="DC214" i="11" s="1"/>
  <c r="DA214" i="11"/>
  <c r="CZ214" i="11"/>
  <c r="CY214" i="11"/>
  <c r="CV214" i="11"/>
  <c r="CW214" i="11" s="1"/>
  <c r="CU214" i="11"/>
  <c r="CT214" i="11"/>
  <c r="CS214" i="11"/>
  <c r="CP214" i="11"/>
  <c r="CQ214" i="11" s="1"/>
  <c r="CO214" i="11"/>
  <c r="CN214" i="11"/>
  <c r="CM214" i="11"/>
  <c r="CJ214" i="11"/>
  <c r="CI214" i="11"/>
  <c r="CH214" i="11"/>
  <c r="CG214" i="11"/>
  <c r="CD214" i="11"/>
  <c r="CC214" i="11"/>
  <c r="CB214" i="11"/>
  <c r="CA214" i="11"/>
  <c r="BX214" i="11"/>
  <c r="BY214" i="11" s="1"/>
  <c r="BW214" i="11"/>
  <c r="BV214" i="11"/>
  <c r="BU214" i="11"/>
  <c r="BR214" i="11"/>
  <c r="BQ214" i="11"/>
  <c r="BP214" i="11"/>
  <c r="BO214" i="11"/>
  <c r="BL214" i="11"/>
  <c r="BK214" i="11"/>
  <c r="BJ214" i="11"/>
  <c r="BI214" i="11"/>
  <c r="BF214" i="11"/>
  <c r="BE214" i="11"/>
  <c r="BD214" i="11"/>
  <c r="BC214" i="11"/>
  <c r="AZ214" i="11"/>
  <c r="AY214" i="11"/>
  <c r="AX214" i="11"/>
  <c r="AW214" i="11"/>
  <c r="AT214" i="11"/>
  <c r="AU214" i="11" s="1"/>
  <c r="AS214" i="11"/>
  <c r="AR214" i="11"/>
  <c r="AQ214" i="11"/>
  <c r="AN214" i="11"/>
  <c r="AO214" i="11" s="1"/>
  <c r="AM214" i="11"/>
  <c r="AL214" i="11"/>
  <c r="AK214" i="11"/>
  <c r="AH214" i="11"/>
  <c r="AI214" i="11" s="1"/>
  <c r="AG214" i="11"/>
  <c r="AF214" i="11"/>
  <c r="AE214" i="11"/>
  <c r="AB214" i="11"/>
  <c r="AC214" i="11" s="1"/>
  <c r="AA214" i="11"/>
  <c r="Z214" i="11"/>
  <c r="Y214" i="11"/>
  <c r="V214" i="11"/>
  <c r="W214" i="11" s="1"/>
  <c r="U214" i="11"/>
  <c r="T214" i="11"/>
  <c r="S214" i="11"/>
  <c r="P225" i="11"/>
  <c r="Q225" i="11" s="1"/>
  <c r="O225" i="11"/>
  <c r="N225" i="11"/>
  <c r="P224" i="11"/>
  <c r="Q224" i="11" s="1"/>
  <c r="O224" i="11"/>
  <c r="N224" i="11"/>
  <c r="P220" i="11"/>
  <c r="Q220" i="11" s="1"/>
  <c r="O220" i="11"/>
  <c r="N220" i="11"/>
  <c r="P219" i="11"/>
  <c r="Q219" i="11" s="1"/>
  <c r="O219" i="11"/>
  <c r="N219" i="11"/>
  <c r="P216" i="11"/>
  <c r="Q216" i="11" s="1"/>
  <c r="O216" i="11"/>
  <c r="N216" i="11"/>
  <c r="P215" i="11"/>
  <c r="Q215" i="11" s="1"/>
  <c r="O215" i="11"/>
  <c r="N215" i="11"/>
  <c r="P214" i="11"/>
  <c r="O214" i="11"/>
  <c r="N214" i="11"/>
  <c r="AN23" i="11"/>
  <c r="AO23" i="11" s="1"/>
  <c r="AM23" i="11"/>
  <c r="AM226" i="11" s="1"/>
  <c r="AL23" i="11"/>
  <c r="AL226" i="11" s="1"/>
  <c r="AK23" i="11"/>
  <c r="AK226" i="11" s="1"/>
  <c r="AN24" i="11"/>
  <c r="AM24" i="11"/>
  <c r="AL24" i="11"/>
  <c r="AK24" i="11"/>
  <c r="AE24" i="11"/>
  <c r="AG23" i="11"/>
  <c r="AG226" i="11" s="1"/>
  <c r="AF23" i="11"/>
  <c r="AF226" i="11" s="1"/>
  <c r="AE23" i="11"/>
  <c r="AE226" i="11" s="1"/>
  <c r="CE23" i="11"/>
  <c r="M225" i="11"/>
  <c r="M224" i="11"/>
  <c r="M220" i="11"/>
  <c r="M219" i="11"/>
  <c r="M216" i="11"/>
  <c r="M215" i="11"/>
  <c r="M214" i="11"/>
  <c r="CP96" i="134"/>
  <c r="CP97" i="134" s="1"/>
  <c r="CO96" i="134"/>
  <c r="CO97" i="134" s="1"/>
  <c r="CN96" i="134"/>
  <c r="CN97" i="134" s="1"/>
  <c r="CM96" i="134"/>
  <c r="CP95" i="134"/>
  <c r="CO95" i="134"/>
  <c r="CN95" i="134"/>
  <c r="CM95" i="134"/>
  <c r="DG206" i="11"/>
  <c r="DF206" i="11"/>
  <c r="DE206" i="11"/>
  <c r="DB206" i="11"/>
  <c r="DA206" i="11"/>
  <c r="CP226" i="11" l="1"/>
  <c r="CQ226" i="11" s="1"/>
  <c r="BG23" i="11"/>
  <c r="BS23" i="11"/>
  <c r="DC23" i="11"/>
  <c r="AT226" i="11"/>
  <c r="AU226" i="11" s="1"/>
  <c r="BY23" i="11"/>
  <c r="CK23" i="11"/>
  <c r="AI23" i="11"/>
  <c r="CW23" i="11"/>
  <c r="CQ96" i="134"/>
  <c r="CM97" i="134"/>
  <c r="CQ97" i="134" s="1"/>
  <c r="CQ95" i="134"/>
  <c r="BM216" i="11"/>
  <c r="BG214" i="11"/>
  <c r="BS214" i="11"/>
  <c r="CE214" i="11"/>
  <c r="AN226" i="11"/>
  <c r="AO226" i="11" s="1"/>
  <c r="BM23" i="11"/>
  <c r="CK214" i="11"/>
  <c r="Q214" i="11"/>
  <c r="DK23" i="11"/>
  <c r="DL23" i="11" s="1"/>
  <c r="DM23" i="11" s="1"/>
  <c r="DN23" i="11" s="1"/>
  <c r="DQ23" i="11" s="1"/>
  <c r="DR23" i="11" s="1"/>
  <c r="DS23" i="11" s="1"/>
  <c r="DT23" i="11" s="1"/>
  <c r="DW23" i="11" s="1"/>
  <c r="DX23" i="11" s="1"/>
  <c r="DY23" i="11" s="1"/>
  <c r="DZ23" i="11" s="1"/>
  <c r="AZ226" i="11"/>
  <c r="BA226" i="11" s="1"/>
  <c r="BA214" i="11"/>
  <c r="AC215" i="11"/>
  <c r="BM214" i="11"/>
  <c r="BY215" i="11"/>
  <c r="DC206" i="11"/>
  <c r="EA23" i="11" l="1"/>
  <c r="EC23" i="11"/>
  <c r="DU23" i="11"/>
  <c r="ED23" i="11" l="1"/>
  <c r="EC226" i="11"/>
  <c r="ED226" i="11" l="1"/>
  <c r="EE23" i="11"/>
  <c r="EE226" i="11" l="1"/>
  <c r="EF23" i="11"/>
  <c r="EF226" i="11" l="1"/>
  <c r="EG226" i="11" s="1"/>
  <c r="EG23" i="11"/>
  <c r="BG275" i="136" l="1"/>
  <c r="DG280" i="136"/>
  <c r="DG275" i="136" s="1"/>
  <c r="DF280" i="136"/>
  <c r="DF275" i="136" s="1"/>
  <c r="DE280" i="136"/>
  <c r="DE275" i="136" s="1"/>
  <c r="DB280" i="136"/>
  <c r="DB275" i="136" s="1"/>
  <c r="DA280" i="136"/>
  <c r="DA275" i="136" s="1"/>
  <c r="CZ280" i="136"/>
  <c r="CZ275" i="136" s="1"/>
  <c r="CY280" i="136"/>
  <c r="CY275" i="136" s="1"/>
  <c r="CV280" i="136"/>
  <c r="CU280" i="136"/>
  <c r="CU275" i="136" s="1"/>
  <c r="CT280" i="136"/>
  <c r="CT275" i="136" s="1"/>
  <c r="CS280" i="136"/>
  <c r="CS275" i="136" s="1"/>
  <c r="CP280" i="136"/>
  <c r="CO280" i="136"/>
  <c r="CO275" i="136" s="1"/>
  <c r="CN280" i="136"/>
  <c r="CN275" i="136" s="1"/>
  <c r="CM280" i="136"/>
  <c r="CM275" i="136" s="1"/>
  <c r="CJ280" i="136"/>
  <c r="CI280" i="136"/>
  <c r="CI275" i="136" s="1"/>
  <c r="CH280" i="136"/>
  <c r="CH275" i="136" s="1"/>
  <c r="CG280" i="136"/>
  <c r="CG275" i="136" s="1"/>
  <c r="CD280" i="136"/>
  <c r="CC280" i="136"/>
  <c r="CC275" i="136" s="1"/>
  <c r="CB280" i="136"/>
  <c r="CB275" i="136" s="1"/>
  <c r="CA280" i="136"/>
  <c r="CA275" i="136" s="1"/>
  <c r="BX280" i="136"/>
  <c r="BW280" i="136"/>
  <c r="BW275" i="136" s="1"/>
  <c r="BV280" i="136"/>
  <c r="BV275" i="136" s="1"/>
  <c r="BU280" i="136"/>
  <c r="BU275" i="136" s="1"/>
  <c r="BR280" i="136"/>
  <c r="BQ280" i="136"/>
  <c r="BQ275" i="136" s="1"/>
  <c r="BP280" i="136"/>
  <c r="BP275" i="136" s="1"/>
  <c r="BO280" i="136"/>
  <c r="BO275" i="136" s="1"/>
  <c r="BL280" i="136"/>
  <c r="BL275" i="136" s="1"/>
  <c r="BK280" i="136"/>
  <c r="BK275" i="136" s="1"/>
  <c r="BJ280" i="136"/>
  <c r="BJ275" i="136" s="1"/>
  <c r="BI280" i="136"/>
  <c r="BI275" i="136" s="1"/>
  <c r="BF280" i="136"/>
  <c r="BF275" i="136" s="1"/>
  <c r="BE280" i="136"/>
  <c r="BE275" i="136" s="1"/>
  <c r="BD280" i="136"/>
  <c r="BD275" i="136" s="1"/>
  <c r="BC280" i="136"/>
  <c r="BC275" i="136" s="1"/>
  <c r="BK240" i="136"/>
  <c r="BM260" i="136"/>
  <c r="BL260" i="136"/>
  <c r="BK260" i="136"/>
  <c r="BJ260" i="136"/>
  <c r="BI260" i="136"/>
  <c r="BM236" i="136"/>
  <c r="BL236" i="136"/>
  <c r="BK236" i="136"/>
  <c r="BJ236" i="136"/>
  <c r="BI236" i="136"/>
  <c r="BF256" i="136"/>
  <c r="BE256" i="136"/>
  <c r="BD256" i="136"/>
  <c r="BC256" i="136"/>
  <c r="BK256" i="136"/>
  <c r="BP256" i="136"/>
  <c r="BO256" i="136"/>
  <c r="BV256" i="136"/>
  <c r="DG256" i="136"/>
  <c r="DF256" i="136"/>
  <c r="CZ256" i="136"/>
  <c r="CS256" i="136"/>
  <c r="CN256" i="136"/>
  <c r="CH256" i="136"/>
  <c r="DG232" i="136"/>
  <c r="CN232" i="136"/>
  <c r="CH232" i="136"/>
  <c r="BV232" i="136"/>
  <c r="BP232" i="136"/>
  <c r="BO232" i="136"/>
  <c r="BK232" i="136"/>
  <c r="DE269" i="136"/>
  <c r="DB269" i="136"/>
  <c r="DA269" i="136"/>
  <c r="CY269" i="136"/>
  <c r="CT269" i="136"/>
  <c r="CM269" i="136"/>
  <c r="CM268" i="136"/>
  <c r="CM232" i="136" s="1"/>
  <c r="CO268" i="136"/>
  <c r="CO232" i="136" s="1"/>
  <c r="CK269" i="136"/>
  <c r="CK268" i="136"/>
  <c r="CE269" i="136"/>
  <c r="CE268" i="136"/>
  <c r="CI269" i="136"/>
  <c r="CI268" i="136"/>
  <c r="CI232" i="136" s="1"/>
  <c r="CG269" i="136"/>
  <c r="CG268" i="136"/>
  <c r="CG232" i="136" s="1"/>
  <c r="CD269" i="136"/>
  <c r="CC269" i="136"/>
  <c r="CB269" i="136"/>
  <c r="CA269" i="136"/>
  <c r="CD268" i="136"/>
  <c r="CC268" i="136"/>
  <c r="CC232" i="136" s="1"/>
  <c r="CB268" i="136"/>
  <c r="CB232" i="136" s="1"/>
  <c r="CA268" i="136"/>
  <c r="CA232" i="136" s="1"/>
  <c r="BU269" i="136"/>
  <c r="BU268" i="136"/>
  <c r="BU232" i="136" s="1"/>
  <c r="BX269" i="136"/>
  <c r="BW269" i="136"/>
  <c r="BX268" i="136"/>
  <c r="BW268" i="136"/>
  <c r="BW232" i="136" s="1"/>
  <c r="BY269" i="136"/>
  <c r="BY268" i="136"/>
  <c r="BS269" i="136"/>
  <c r="BS268" i="136"/>
  <c r="BQ269" i="136"/>
  <c r="BQ268" i="136"/>
  <c r="BQ232" i="136" s="1"/>
  <c r="BM269" i="136"/>
  <c r="BL269" i="136"/>
  <c r="BM268" i="136"/>
  <c r="BL268" i="136"/>
  <c r="BL232" i="136" s="1"/>
  <c r="BJ269" i="136"/>
  <c r="BI269" i="136"/>
  <c r="BJ268" i="136"/>
  <c r="BJ232" i="136" s="1"/>
  <c r="BI268" i="136"/>
  <c r="BI232" i="136" s="1"/>
  <c r="CI264" i="136" l="1"/>
  <c r="BQ237" i="136"/>
  <c r="BV261" i="136"/>
  <c r="CG264" i="136"/>
  <c r="CM264" i="136"/>
  <c r="CM265" i="136" s="1"/>
  <c r="BQ256" i="136"/>
  <c r="BQ261" i="136" s="1"/>
  <c r="BQ240" i="136"/>
  <c r="BQ248" i="136"/>
  <c r="DA256" i="136"/>
  <c r="DG261" i="136" s="1"/>
  <c r="DA240" i="136"/>
  <c r="DA248" i="136"/>
  <c r="BW256" i="136"/>
  <c r="BW248" i="136"/>
  <c r="BW240" i="136"/>
  <c r="CB256" i="136"/>
  <c r="CB261" i="136" s="1"/>
  <c r="CB240" i="136"/>
  <c r="CB248" i="136"/>
  <c r="CC256" i="136"/>
  <c r="CC240" i="136"/>
  <c r="CC248" i="136"/>
  <c r="CG256" i="136"/>
  <c r="CG240" i="136"/>
  <c r="CG248" i="136"/>
  <c r="CY256" i="136"/>
  <c r="CY261" i="136" s="1"/>
  <c r="CY248" i="136"/>
  <c r="CY240" i="136"/>
  <c r="DB256" i="136"/>
  <c r="DH261" i="136" s="1"/>
  <c r="DH259" i="136" s="1"/>
  <c r="DB248" i="136"/>
  <c r="DB240" i="136"/>
  <c r="CM256" i="136"/>
  <c r="CM248" i="136"/>
  <c r="CM240" i="136"/>
  <c r="CA256" i="136"/>
  <c r="CA240" i="136"/>
  <c r="CA248" i="136"/>
  <c r="BU256" i="136"/>
  <c r="BU261" i="136" s="1"/>
  <c r="BU248" i="136"/>
  <c r="BU240" i="136"/>
  <c r="DE256" i="136"/>
  <c r="CI256" i="136"/>
  <c r="CI240" i="136"/>
  <c r="CI248" i="136"/>
  <c r="CU269" i="136"/>
  <c r="CT240" i="136"/>
  <c r="CT248" i="136"/>
  <c r="BV237" i="136"/>
  <c r="BG256" i="136"/>
  <c r="BP237" i="136"/>
  <c r="CN237" i="136"/>
  <c r="BK261" i="136"/>
  <c r="BK259" i="136" s="1"/>
  <c r="BM232" i="136"/>
  <c r="BW237" i="136"/>
  <c r="BU237" i="136"/>
  <c r="CA237" i="136"/>
  <c r="CC237" i="136"/>
  <c r="CG237" i="136"/>
  <c r="CI237" i="136"/>
  <c r="CO237" i="136"/>
  <c r="CB237" i="136"/>
  <c r="CH237" i="136"/>
  <c r="BO237" i="136"/>
  <c r="BI240" i="136"/>
  <c r="BL240" i="136"/>
  <c r="CN261" i="136"/>
  <c r="CT256" i="136"/>
  <c r="CT261" i="136" s="1"/>
  <c r="DF261" i="136"/>
  <c r="BI256" i="136"/>
  <c r="CM237" i="136"/>
  <c r="BJ240" i="136"/>
  <c r="BJ256" i="136"/>
  <c r="BJ261" i="136" s="1"/>
  <c r="BJ259" i="136" s="1"/>
  <c r="BL256" i="136"/>
  <c r="BL261" i="136" s="1"/>
  <c r="BL259" i="136" s="1"/>
  <c r="DF271" i="136"/>
  <c r="DF270" i="136"/>
  <c r="DF240" i="136" s="1"/>
  <c r="DF268" i="136"/>
  <c r="DC279" i="136"/>
  <c r="DC268" i="136"/>
  <c r="CZ268" i="136"/>
  <c r="CW279" i="136"/>
  <c r="DI256" i="136" l="1"/>
  <c r="DK261" i="136"/>
  <c r="DK259" i="136" s="1"/>
  <c r="DE261" i="136"/>
  <c r="DF248" i="136"/>
  <c r="DF258" i="136"/>
  <c r="CC261" i="136"/>
  <c r="CI261" i="136"/>
  <c r="CM261" i="136"/>
  <c r="CH261" i="136"/>
  <c r="CA261" i="136"/>
  <c r="CG261" i="136"/>
  <c r="CZ232" i="136"/>
  <c r="CZ264" i="136"/>
  <c r="CZ265" i="136" s="1"/>
  <c r="CS261" i="136"/>
  <c r="DC256" i="136"/>
  <c r="BW261" i="136"/>
  <c r="DC248" i="136"/>
  <c r="CU240" i="136"/>
  <c r="CU248" i="136"/>
  <c r="CV269" i="136"/>
  <c r="CU256" i="136"/>
  <c r="DA261" i="136" s="1"/>
  <c r="DC240" i="136"/>
  <c r="CZ261" i="136"/>
  <c r="CV279" i="136"/>
  <c r="CT279" i="136"/>
  <c r="CT274" i="136" s="1"/>
  <c r="CT276" i="136" s="1"/>
  <c r="CU279" i="136"/>
  <c r="CU274" i="136" s="1"/>
  <c r="CU276" i="136" s="1"/>
  <c r="CS279" i="136"/>
  <c r="CS274" i="136" s="1"/>
  <c r="CS276" i="136" s="1"/>
  <c r="DB268" i="136"/>
  <c r="DA268" i="136"/>
  <c r="DE268" i="136"/>
  <c r="DE232" i="136" s="1"/>
  <c r="DK237" i="136" s="1"/>
  <c r="DK235" i="136" s="1"/>
  <c r="DF232" i="136"/>
  <c r="DE271" i="136"/>
  <c r="BM240" i="136"/>
  <c r="DF279" i="136"/>
  <c r="DF274" i="136" s="1"/>
  <c r="DF276" i="136" s="1"/>
  <c r="DB279" i="136"/>
  <c r="DB274" i="136" s="1"/>
  <c r="DB276" i="136" s="1"/>
  <c r="CZ279" i="136"/>
  <c r="CZ274" i="136" s="1"/>
  <c r="CZ276" i="136" s="1"/>
  <c r="DG279" i="136"/>
  <c r="DG274" i="136" s="1"/>
  <c r="DG276" i="136" s="1"/>
  <c r="DE279" i="136"/>
  <c r="DE274" i="136" s="1"/>
  <c r="DE276" i="136" s="1"/>
  <c r="DA279" i="136"/>
  <c r="DA274" i="136" s="1"/>
  <c r="DA276" i="136" s="1"/>
  <c r="CY279" i="136"/>
  <c r="CY274" i="136" s="1"/>
  <c r="CY276" i="136" s="1"/>
  <c r="DE270" i="136"/>
  <c r="DE240" i="136" s="1"/>
  <c r="DI240" i="136" s="1"/>
  <c r="BP261" i="136"/>
  <c r="BM256" i="136"/>
  <c r="BM261" i="136" s="1"/>
  <c r="BI261" i="136"/>
  <c r="BI259" i="136" s="1"/>
  <c r="BM259" i="136" s="1"/>
  <c r="BO261" i="136"/>
  <c r="CW268" i="136"/>
  <c r="CY268" i="136" s="1"/>
  <c r="CO269" i="136"/>
  <c r="CO264" i="136" s="1"/>
  <c r="CO265" i="136" s="1"/>
  <c r="CS268" i="136"/>
  <c r="CS264" i="136" s="1"/>
  <c r="CS265" i="136" s="1"/>
  <c r="CQ279" i="136"/>
  <c r="DI261" i="136" l="1"/>
  <c r="DI232" i="136"/>
  <c r="DL262" i="136"/>
  <c r="DF53" i="138"/>
  <c r="DF262" i="136"/>
  <c r="DF264" i="136"/>
  <c r="DF265" i="136" s="1"/>
  <c r="DF237" i="136"/>
  <c r="DE248" i="136"/>
  <c r="DI248" i="136" s="1"/>
  <c r="DE258" i="136"/>
  <c r="DK262" i="136" s="1"/>
  <c r="CY232" i="136"/>
  <c r="CY264" i="136"/>
  <c r="CY265" i="136" s="1"/>
  <c r="DA232" i="136"/>
  <c r="DG237" i="136" s="1"/>
  <c r="DA264" i="136"/>
  <c r="DA265" i="136" s="1"/>
  <c r="DB232" i="136"/>
  <c r="DH237" i="136" s="1"/>
  <c r="DH235" i="136" s="1"/>
  <c r="DB264" i="136"/>
  <c r="CO248" i="136"/>
  <c r="CO240" i="136"/>
  <c r="CP279" i="136"/>
  <c r="CN279" i="136"/>
  <c r="CN274" i="136" s="1"/>
  <c r="CN276" i="136" s="1"/>
  <c r="CO279" i="136"/>
  <c r="CO274" i="136" s="1"/>
  <c r="CO276" i="136" s="1"/>
  <c r="CM279" i="136"/>
  <c r="CM274" i="136" s="1"/>
  <c r="CM276" i="136" s="1"/>
  <c r="CQ268" i="136"/>
  <c r="CT268" i="136"/>
  <c r="CT264" i="136" s="1"/>
  <c r="CT265" i="136" s="1"/>
  <c r="CS232" i="136"/>
  <c r="CO256" i="136"/>
  <c r="DE237" i="136"/>
  <c r="CK279" i="136"/>
  <c r="CE279" i="136"/>
  <c r="BY279" i="136"/>
  <c r="EU53" i="138" l="1"/>
  <c r="DL60" i="138"/>
  <c r="EY60" i="138" s="1"/>
  <c r="DF60" i="138"/>
  <c r="EU60" i="138" s="1"/>
  <c r="DC232" i="136"/>
  <c r="DI237" i="136" s="1"/>
  <c r="DE53" i="138"/>
  <c r="DE264" i="136"/>
  <c r="DE262" i="136"/>
  <c r="DB265" i="136"/>
  <c r="BX279" i="136"/>
  <c r="BV279" i="136"/>
  <c r="BV274" i="136" s="1"/>
  <c r="BV276" i="136" s="1"/>
  <c r="BW279" i="136"/>
  <c r="BW274" i="136" s="1"/>
  <c r="BW276" i="136" s="1"/>
  <c r="BU279" i="136"/>
  <c r="BU274" i="136" s="1"/>
  <c r="BU276" i="136" s="1"/>
  <c r="CJ279" i="136"/>
  <c r="CH279" i="136"/>
  <c r="CH274" i="136" s="1"/>
  <c r="CH276" i="136" s="1"/>
  <c r="CI279" i="136"/>
  <c r="CI274" i="136" s="1"/>
  <c r="CI276" i="136" s="1"/>
  <c r="CG279" i="136"/>
  <c r="CG274" i="136" s="1"/>
  <c r="CG276" i="136" s="1"/>
  <c r="CT232" i="136"/>
  <c r="CU268" i="136"/>
  <c r="CU264" i="136" s="1"/>
  <c r="CU265" i="136" s="1"/>
  <c r="CD279" i="136"/>
  <c r="CB279" i="136"/>
  <c r="CB274" i="136" s="1"/>
  <c r="CB276" i="136" s="1"/>
  <c r="CC279" i="136"/>
  <c r="CC274" i="136" s="1"/>
  <c r="CC276" i="136" s="1"/>
  <c r="CA279" i="136"/>
  <c r="CA274" i="136" s="1"/>
  <c r="CA276" i="136" s="1"/>
  <c r="CO261" i="136"/>
  <c r="CU261" i="136"/>
  <c r="CS237" i="136"/>
  <c r="CY237" i="136"/>
  <c r="CQ269" i="136"/>
  <c r="BS279" i="136"/>
  <c r="BM279" i="136"/>
  <c r="BG279" i="136"/>
  <c r="DE265" i="136" l="1"/>
  <c r="ET53" i="138"/>
  <c r="DK60" i="138"/>
  <c r="EX60" i="138" s="1"/>
  <c r="DE60" i="138"/>
  <c r="ET60" i="138" s="1"/>
  <c r="BG274" i="136"/>
  <c r="BG276" i="136" s="1"/>
  <c r="BF279" i="136"/>
  <c r="BF274" i="136" s="1"/>
  <c r="BF276" i="136" s="1"/>
  <c r="BD279" i="136"/>
  <c r="BD274" i="136" s="1"/>
  <c r="BD276" i="136" s="1"/>
  <c r="BE279" i="136"/>
  <c r="BE274" i="136" s="1"/>
  <c r="BE276" i="136" s="1"/>
  <c r="BC279" i="136"/>
  <c r="BC274" i="136" s="1"/>
  <c r="BC276" i="136" s="1"/>
  <c r="BR279" i="136"/>
  <c r="BP279" i="136"/>
  <c r="BP274" i="136" s="1"/>
  <c r="BP276" i="136" s="1"/>
  <c r="BQ279" i="136"/>
  <c r="BQ274" i="136" s="1"/>
  <c r="BQ276" i="136" s="1"/>
  <c r="BO279" i="136"/>
  <c r="BO274" i="136" s="1"/>
  <c r="BO276" i="136" s="1"/>
  <c r="CT237" i="136"/>
  <c r="CZ237" i="136"/>
  <c r="BL279" i="136"/>
  <c r="BL274" i="136" s="1"/>
  <c r="BL276" i="136" s="1"/>
  <c r="BJ279" i="136"/>
  <c r="BJ274" i="136" s="1"/>
  <c r="BJ276" i="136" s="1"/>
  <c r="BK279" i="136"/>
  <c r="BK274" i="136" s="1"/>
  <c r="BK276" i="136" s="1"/>
  <c r="BI279" i="136"/>
  <c r="BI274" i="136" s="1"/>
  <c r="BI276" i="136" s="1"/>
  <c r="CV268" i="136"/>
  <c r="CV264" i="136" s="1"/>
  <c r="CV265" i="136" s="1"/>
  <c r="CU232" i="136"/>
  <c r="BE242" i="136"/>
  <c r="BD242" i="136"/>
  <c r="BC242" i="136"/>
  <c r="CU237" i="136" l="1"/>
  <c r="DA237" i="136"/>
  <c r="BD232" i="136"/>
  <c r="BJ237" i="136" s="1"/>
  <c r="BJ235" i="136" s="1"/>
  <c r="BM270" i="136"/>
  <c r="BG270" i="136"/>
  <c r="BF271" i="136"/>
  <c r="BG271" i="136" s="1"/>
  <c r="BE271" i="136"/>
  <c r="BE248" i="136" s="1"/>
  <c r="BD271" i="136"/>
  <c r="BD248" i="136" s="1"/>
  <c r="BC271" i="136"/>
  <c r="BC248" i="136" s="1"/>
  <c r="BL271" i="136"/>
  <c r="BK271" i="136"/>
  <c r="BK248" i="136" s="1"/>
  <c r="BJ271" i="136"/>
  <c r="BJ248" i="136" s="1"/>
  <c r="BI271" i="136"/>
  <c r="BI248" i="136" s="1"/>
  <c r="BF240" i="136"/>
  <c r="BE240" i="136"/>
  <c r="BD240" i="136"/>
  <c r="BC240" i="136"/>
  <c r="BF232" i="136"/>
  <c r="BL237" i="136" s="1"/>
  <c r="BL235" i="136" s="1"/>
  <c r="BE232" i="136"/>
  <c r="BK237" i="136" s="1"/>
  <c r="BK235" i="136" s="1"/>
  <c r="BC232" i="136"/>
  <c r="BI237" i="136" s="1"/>
  <c r="BI235" i="136" s="1"/>
  <c r="BG269" i="136"/>
  <c r="BG268" i="136"/>
  <c r="BF248" i="136" l="1"/>
  <c r="BG248" i="136" s="1"/>
  <c r="BM271" i="136"/>
  <c r="BL248" i="136"/>
  <c r="BM248" i="136" s="1"/>
  <c r="BG232" i="136"/>
  <c r="BM235" i="136" s="1"/>
  <c r="BG240" i="136"/>
  <c r="BM245" i="136" s="1"/>
  <c r="BG253" i="136" l="1"/>
  <c r="BM253" i="136"/>
  <c r="BM252" i="136"/>
  <c r="BM53" i="138" s="1"/>
  <c r="BM251" i="136"/>
  <c r="BM250" i="136"/>
  <c r="BM244" i="136"/>
  <c r="BM243" i="136"/>
  <c r="BM242" i="136"/>
  <c r="BM237" i="136"/>
  <c r="BM234" i="136"/>
  <c r="DN126" i="11" l="1"/>
  <c r="DT126" i="11" s="1"/>
  <c r="DM126" i="11"/>
  <c r="DS126" i="11" s="1"/>
  <c r="DY126" i="11" l="1"/>
  <c r="EE126" i="11" s="1"/>
  <c r="EE85" i="11" s="1"/>
  <c r="DZ126" i="11"/>
  <c r="EF126" i="11" s="1"/>
  <c r="EF85" i="11" s="1"/>
  <c r="DS73" i="135"/>
  <c r="DG170" i="136" l="1"/>
  <c r="DG319" i="136"/>
  <c r="DG316" i="136"/>
  <c r="DG315" i="136" s="1"/>
  <c r="DG312" i="136"/>
  <c r="DG223" i="136"/>
  <c r="DG221" i="136"/>
  <c r="DG218" i="136"/>
  <c r="DG217" i="136" s="1"/>
  <c r="DG214" i="136"/>
  <c r="DG155" i="136"/>
  <c r="DG152" i="136"/>
  <c r="DG151" i="136" s="1"/>
  <c r="DG147" i="136"/>
  <c r="DG148" i="136" s="1"/>
  <c r="DG71" i="136"/>
  <c r="DG78" i="136"/>
  <c r="DG75" i="136"/>
  <c r="DG74" i="136" s="1"/>
  <c r="DG31" i="136"/>
  <c r="DG30" i="136"/>
  <c r="DG29" i="136"/>
  <c r="DG28" i="136"/>
  <c r="DG19" i="136"/>
  <c r="DG16" i="136"/>
  <c r="DG15" i="136"/>
  <c r="DG14" i="136"/>
  <c r="DG13" i="136"/>
  <c r="DG89" i="134"/>
  <c r="DG88" i="134"/>
  <c r="DG67" i="134"/>
  <c r="DG63" i="134"/>
  <c r="DG53" i="134"/>
  <c r="DG52" i="134"/>
  <c r="DG49" i="134"/>
  <c r="DG40" i="134"/>
  <c r="DG17" i="134"/>
  <c r="DG121" i="12" s="1"/>
  <c r="DG122" i="12" s="1"/>
  <c r="DG13" i="134"/>
  <c r="DG169" i="136" l="1"/>
  <c r="DG50" i="134"/>
  <c r="DG54" i="134"/>
  <c r="DG64" i="134"/>
  <c r="DG260" i="136"/>
  <c r="DG259" i="136" s="1"/>
  <c r="DG236" i="136"/>
  <c r="DG235" i="136" s="1"/>
  <c r="DG41" i="136"/>
  <c r="DG40" i="136"/>
  <c r="DG33" i="136"/>
  <c r="DG17" i="136"/>
  <c r="DG39" i="136"/>
  <c r="DG38" i="136"/>
  <c r="DG20" i="134"/>
  <c r="DG359" i="136" s="1"/>
  <c r="DG358" i="136" l="1"/>
  <c r="DG55" i="134"/>
  <c r="DG25" i="136"/>
  <c r="DG42" i="136"/>
  <c r="DG34" i="136"/>
  <c r="DG27" i="134"/>
  <c r="DG197" i="11" s="1"/>
  <c r="DG368" i="136" l="1"/>
  <c r="DG29" i="134"/>
  <c r="DG36" i="134" s="1"/>
  <c r="DG59" i="134"/>
  <c r="DG32" i="134" l="1"/>
  <c r="DG38" i="134" s="1"/>
  <c r="DG87" i="134"/>
  <c r="DG198" i="11"/>
  <c r="DG37" i="134" l="1"/>
  <c r="DG90" i="134"/>
  <c r="DT73" i="135" l="1"/>
  <c r="DM73" i="135"/>
  <c r="DN73" i="135" s="1"/>
  <c r="DU73" i="135" l="1"/>
  <c r="DX73" i="135"/>
  <c r="DY73" i="135" s="1"/>
  <c r="EA73" i="135" s="1"/>
  <c r="BS29" i="138" l="1"/>
  <c r="BR148" i="136"/>
  <c r="BQ148" i="136"/>
  <c r="BP148" i="136"/>
  <c r="BO148" i="136"/>
  <c r="BX148" i="136"/>
  <c r="BX13" i="138" s="1"/>
  <c r="BX21" i="138" s="1"/>
  <c r="BW148" i="136"/>
  <c r="BW13" i="138" s="1"/>
  <c r="BW21" i="138" s="1"/>
  <c r="BV148" i="136"/>
  <c r="BV13" i="138" s="1"/>
  <c r="BV21" i="138" s="1"/>
  <c r="BU148" i="136"/>
  <c r="BU13" i="138" s="1"/>
  <c r="BU21" i="138" s="1"/>
  <c r="BU29" i="138" s="1"/>
  <c r="CD148" i="136"/>
  <c r="CD13" i="138" s="1"/>
  <c r="CC148" i="136"/>
  <c r="CC13" i="138" s="1"/>
  <c r="CB148" i="136"/>
  <c r="CB13" i="138" s="1"/>
  <c r="CA148" i="136"/>
  <c r="CA13" i="138" s="1"/>
  <c r="DC148" i="136"/>
  <c r="DC13" i="138" s="1"/>
  <c r="CW148" i="136"/>
  <c r="CW13" i="138" s="1"/>
  <c r="CJ148" i="136"/>
  <c r="CJ13" i="138" s="1"/>
  <c r="CI148" i="136"/>
  <c r="CI13" i="138" s="1"/>
  <c r="CH148" i="136"/>
  <c r="CH13" i="138" s="1"/>
  <c r="CG148" i="136"/>
  <c r="CG13" i="138" s="1"/>
  <c r="DC21" i="138" l="1"/>
  <c r="CB21" i="138"/>
  <c r="CD21" i="138"/>
  <c r="CG21" i="138"/>
  <c r="CI21" i="138"/>
  <c r="BX29" i="138"/>
  <c r="BV29" i="138"/>
  <c r="BW29" i="138"/>
  <c r="CH21" i="138"/>
  <c r="CA21" i="138"/>
  <c r="CJ21" i="138"/>
  <c r="CC21" i="138"/>
  <c r="CG29" i="138" l="1"/>
  <c r="CJ29" i="138"/>
  <c r="CH29" i="138"/>
  <c r="BY29" i="138"/>
  <c r="CI29" i="138"/>
  <c r="CB29" i="138"/>
  <c r="CA29" i="138"/>
  <c r="CD29" i="138"/>
  <c r="CC29" i="138"/>
  <c r="CK29" i="138" l="1"/>
  <c r="CE29" i="138"/>
  <c r="DM161" i="11" l="1"/>
  <c r="DN161" i="11" s="1"/>
  <c r="DR161" i="11" s="1"/>
  <c r="DS161" i="11" s="1"/>
  <c r="DT161" i="11" s="1"/>
  <c r="DZ95" i="134"/>
  <c r="DY95" i="134"/>
  <c r="DX95" i="134"/>
  <c r="DW95" i="134"/>
  <c r="EA89" i="134"/>
  <c r="EA88" i="134"/>
  <c r="EA86" i="134"/>
  <c r="EA85" i="134"/>
  <c r="EA84" i="134"/>
  <c r="EA83" i="134"/>
  <c r="EA82" i="134"/>
  <c r="EA81" i="134"/>
  <c r="EA80" i="134"/>
  <c r="EA79" i="134"/>
  <c r="EA78" i="134"/>
  <c r="EA77" i="134"/>
  <c r="DV76" i="134"/>
  <c r="DZ31" i="134"/>
  <c r="DY31" i="134"/>
  <c r="DX31" i="134"/>
  <c r="DW31" i="134"/>
  <c r="DZ30" i="134"/>
  <c r="DY30" i="134"/>
  <c r="DX30" i="134"/>
  <c r="DW30" i="134"/>
  <c r="EA25" i="134"/>
  <c r="EA19" i="134"/>
  <c r="EA18" i="134"/>
  <c r="EA115" i="12"/>
  <c r="DZ107" i="12"/>
  <c r="DY107" i="12"/>
  <c r="DX107" i="12"/>
  <c r="DW107" i="12"/>
  <c r="EA100" i="12"/>
  <c r="EA87" i="12"/>
  <c r="EA53" i="12"/>
  <c r="EA52" i="12"/>
  <c r="EA51" i="12"/>
  <c r="EA50" i="12"/>
  <c r="DZ47" i="12"/>
  <c r="DY47" i="12"/>
  <c r="DX47" i="12"/>
  <c r="DW47" i="12"/>
  <c r="EA42" i="12"/>
  <c r="EA35" i="12"/>
  <c r="EA34" i="12"/>
  <c r="EA33" i="12"/>
  <c r="DZ31" i="12"/>
  <c r="DY31" i="12"/>
  <c r="DX31" i="12"/>
  <c r="DW31" i="12"/>
  <c r="EA28" i="12"/>
  <c r="EA19" i="12"/>
  <c r="EA18" i="12"/>
  <c r="EA17" i="12"/>
  <c r="EA159" i="11"/>
  <c r="EA158" i="11"/>
  <c r="EA150" i="11"/>
  <c r="EA149" i="11"/>
  <c r="EA135" i="11"/>
  <c r="DZ34" i="11"/>
  <c r="DZ186" i="11" s="1"/>
  <c r="DY34" i="11"/>
  <c r="DY186" i="11" s="1"/>
  <c r="DX34" i="11"/>
  <c r="DX186" i="11" s="1"/>
  <c r="DW34" i="11"/>
  <c r="DW186" i="11" s="1"/>
  <c r="DX24" i="136"/>
  <c r="DY24" i="136" s="1"/>
  <c r="DZ24" i="136" s="1"/>
  <c r="DW316" i="136"/>
  <c r="DX313" i="136"/>
  <c r="DW312" i="136"/>
  <c r="DW57" i="136" s="1"/>
  <c r="EC64" i="136" s="1"/>
  <c r="DW218" i="136"/>
  <c r="DX215" i="136"/>
  <c r="DX218" i="136" s="1"/>
  <c r="DW214" i="136"/>
  <c r="DW56" i="136" s="1"/>
  <c r="EC63" i="136" s="1"/>
  <c r="DZ11" i="12" l="1"/>
  <c r="DX312" i="136"/>
  <c r="DX57" i="136" s="1"/>
  <c r="ED64" i="136" s="1"/>
  <c r="EA34" i="11"/>
  <c r="EA186" i="11" s="1"/>
  <c r="EA47" i="12"/>
  <c r="DY11" i="12"/>
  <c r="DX214" i="136"/>
  <c r="DX56" i="136" s="1"/>
  <c r="ED63" i="136" s="1"/>
  <c r="DX11" i="12"/>
  <c r="DY215" i="136"/>
  <c r="DX316" i="136"/>
  <c r="DW14" i="138"/>
  <c r="EC22" i="138" s="1"/>
  <c r="DW15" i="138"/>
  <c r="DW11" i="12"/>
  <c r="EA30" i="134"/>
  <c r="EA31" i="134"/>
  <c r="EA95" i="134"/>
  <c r="EA31" i="12"/>
  <c r="EA107" i="12"/>
  <c r="EA106" i="12" s="1"/>
  <c r="DY313" i="136"/>
  <c r="DX15" i="138" l="1"/>
  <c r="EC23" i="138"/>
  <c r="DW54" i="138"/>
  <c r="EC61" i="138" s="1"/>
  <c r="EA11" i="12"/>
  <c r="DX14" i="138"/>
  <c r="ED22" i="138" s="1"/>
  <c r="ED30" i="138" s="1"/>
  <c r="DY218" i="136"/>
  <c r="DZ215" i="136"/>
  <c r="DY214" i="136"/>
  <c r="DZ313" i="136"/>
  <c r="DY312" i="136"/>
  <c r="DY316" i="136"/>
  <c r="ED23" i="138" l="1"/>
  <c r="ED31" i="138" s="1"/>
  <c r="DX54" i="138"/>
  <c r="ED61" i="138" s="1"/>
  <c r="DY57" i="136"/>
  <c r="EE64" i="136" s="1"/>
  <c r="DY15" i="138"/>
  <c r="DZ218" i="136"/>
  <c r="DZ214" i="136"/>
  <c r="DY14" i="138"/>
  <c r="EE22" i="138" s="1"/>
  <c r="EE30" i="138" s="1"/>
  <c r="DY56" i="136"/>
  <c r="EE63" i="136" s="1"/>
  <c r="DZ316" i="136"/>
  <c r="DZ312" i="136"/>
  <c r="EE23" i="138" l="1"/>
  <c r="EE31" i="138" s="1"/>
  <c r="DY54" i="138"/>
  <c r="EE61" i="138" s="1"/>
  <c r="DZ57" i="136"/>
  <c r="EF64" i="136" s="1"/>
  <c r="DZ15" i="138"/>
  <c r="DZ56" i="136"/>
  <c r="EF63" i="136" s="1"/>
  <c r="DZ14" i="138"/>
  <c r="EF22" i="138" s="1"/>
  <c r="EF30" i="138" s="1"/>
  <c r="EF23" i="138" l="1"/>
  <c r="EF31" i="138" s="1"/>
  <c r="DZ54" i="138"/>
  <c r="EF61" i="138" s="1"/>
  <c r="DF162" i="11" l="1"/>
  <c r="DF154" i="11"/>
  <c r="DG146" i="11" s="1"/>
  <c r="DF135" i="11"/>
  <c r="DF134" i="11"/>
  <c r="DF133" i="11"/>
  <c r="DF132" i="11"/>
  <c r="DF131" i="11"/>
  <c r="DF130" i="11"/>
  <c r="DF119" i="11"/>
  <c r="DE119" i="11"/>
  <c r="DE120" i="11" s="1"/>
  <c r="DE125" i="11"/>
  <c r="DE128" i="11" s="1"/>
  <c r="DE130" i="11"/>
  <c r="DE131" i="11"/>
  <c r="DE132" i="11"/>
  <c r="DE133" i="11"/>
  <c r="DE134" i="11"/>
  <c r="DE135" i="11"/>
  <c r="DF114" i="11"/>
  <c r="DF115" i="11"/>
  <c r="DF116" i="11"/>
  <c r="DF98" i="11"/>
  <c r="DF97" i="11"/>
  <c r="DF96" i="11"/>
  <c r="DF61" i="11"/>
  <c r="DF62" i="11" s="1"/>
  <c r="DF116" i="12"/>
  <c r="DF103" i="12"/>
  <c r="DF51" i="12"/>
  <c r="DF45" i="12"/>
  <c r="DF44" i="12"/>
  <c r="DF41" i="12"/>
  <c r="DF40" i="12"/>
  <c r="DF35" i="12"/>
  <c r="DF34" i="12"/>
  <c r="DF32" i="12"/>
  <c r="DF25" i="12"/>
  <c r="DF24" i="12"/>
  <c r="DF23" i="12"/>
  <c r="DF22" i="12"/>
  <c r="DF21" i="12"/>
  <c r="DF19" i="12"/>
  <c r="DF18" i="12"/>
  <c r="DF16" i="12"/>
  <c r="DF15" i="12"/>
  <c r="DF14" i="12"/>
  <c r="DF11" i="12"/>
  <c r="DF10" i="12"/>
  <c r="DF53" i="12"/>
  <c r="DF52" i="12"/>
  <c r="DF50" i="12"/>
  <c r="DF47" i="12"/>
  <c r="DF42" i="12"/>
  <c r="DF37" i="12"/>
  <c r="DF33" i="12"/>
  <c r="DF28" i="12"/>
  <c r="DF20" i="12"/>
  <c r="DF17" i="12"/>
  <c r="DG21" i="12" l="1"/>
  <c r="DH21" i="12" s="1"/>
  <c r="DG10" i="12"/>
  <c r="DH10" i="12" s="1"/>
  <c r="DG22" i="12"/>
  <c r="DH22" i="12" s="1"/>
  <c r="DG11" i="12"/>
  <c r="DH11" i="12" s="1"/>
  <c r="DG23" i="12"/>
  <c r="DH23" i="12" s="1"/>
  <c r="DG44" i="12"/>
  <c r="DH44" i="12" s="1"/>
  <c r="DG14" i="12"/>
  <c r="DH14" i="12" s="1"/>
  <c r="DG24" i="12"/>
  <c r="DH24" i="12" s="1"/>
  <c r="DG45" i="12"/>
  <c r="DH45" i="12" s="1"/>
  <c r="DG28" i="12"/>
  <c r="DH28" i="12" s="1"/>
  <c r="DF99" i="11"/>
  <c r="DG15" i="12"/>
  <c r="DH15" i="12" s="1"/>
  <c r="DG51" i="12"/>
  <c r="DH51" i="12" s="1"/>
  <c r="DF123" i="12"/>
  <c r="DG40" i="12"/>
  <c r="DG107" i="12" s="1"/>
  <c r="DG25" i="12"/>
  <c r="DH25" i="12" s="1"/>
  <c r="DG18" i="12"/>
  <c r="DH18" i="12" s="1"/>
  <c r="DG34" i="12"/>
  <c r="DH34" i="12" s="1"/>
  <c r="DG162" i="11"/>
  <c r="DG20" i="12"/>
  <c r="DH20" i="12" s="1"/>
  <c r="DG42" i="12"/>
  <c r="DH42" i="12" s="1"/>
  <c r="DG53" i="12"/>
  <c r="DH53" i="12" s="1"/>
  <c r="DG50" i="12"/>
  <c r="DH50" i="12" s="1"/>
  <c r="DG33" i="12"/>
  <c r="DH33" i="12" s="1"/>
  <c r="DG37" i="12"/>
  <c r="DH37" i="12" s="1"/>
  <c r="DG17" i="12"/>
  <c r="DH17" i="12" s="1"/>
  <c r="DG52" i="12"/>
  <c r="DH52" i="12" s="1"/>
  <c r="DG19" i="12"/>
  <c r="DH19" i="12" s="1"/>
  <c r="DF123" i="11"/>
  <c r="DH100" i="11"/>
  <c r="DH111" i="11"/>
  <c r="DF107" i="12"/>
  <c r="DF115" i="12"/>
  <c r="DF114" i="12" s="1"/>
  <c r="DG47" i="12"/>
  <c r="DG115" i="12" s="1"/>
  <c r="DG114" i="12" s="1"/>
  <c r="DG110" i="12" s="1"/>
  <c r="DG16" i="12"/>
  <c r="DG123" i="12" s="1"/>
  <c r="DG124" i="12" s="1"/>
  <c r="DF147" i="11"/>
  <c r="DF148" i="11" s="1"/>
  <c r="DG32" i="12"/>
  <c r="DG147" i="11" s="1"/>
  <c r="DG148" i="11" s="1"/>
  <c r="DF159" i="11"/>
  <c r="DG35" i="12"/>
  <c r="DG159" i="11" s="1"/>
  <c r="DF135" i="12"/>
  <c r="DG41" i="12"/>
  <c r="DH41" i="12" s="1"/>
  <c r="DF136" i="11"/>
  <c r="DF137" i="11" s="1"/>
  <c r="DE121" i="11"/>
  <c r="DF127" i="12"/>
  <c r="DF128" i="12" s="1"/>
  <c r="DF134" i="12"/>
  <c r="DE136" i="11"/>
  <c r="DE137" i="11" s="1"/>
  <c r="DE127" i="11"/>
  <c r="DE126" i="11"/>
  <c r="DK126" i="11" s="1"/>
  <c r="DQ126" i="11" s="1"/>
  <c r="DF120" i="11"/>
  <c r="DE123" i="11"/>
  <c r="DF122" i="11"/>
  <c r="DF84" i="11" s="1"/>
  <c r="DF121" i="11"/>
  <c r="DE122" i="11"/>
  <c r="DF63" i="11"/>
  <c r="DW126" i="11" l="1"/>
  <c r="EC126" i="11" s="1"/>
  <c r="EC85" i="11" s="1"/>
  <c r="DH35" i="12"/>
  <c r="DH159" i="11" s="1"/>
  <c r="DH47" i="12"/>
  <c r="DH162" i="11"/>
  <c r="DI162" i="11" s="1"/>
  <c r="DH40" i="12"/>
  <c r="DH107" i="12" s="1"/>
  <c r="DH135" i="12"/>
  <c r="DH127" i="12"/>
  <c r="DH128" i="12" s="1"/>
  <c r="DH32" i="12"/>
  <c r="DH16" i="12"/>
  <c r="DH123" i="12" s="1"/>
  <c r="DF110" i="12"/>
  <c r="DG134" i="12"/>
  <c r="DG135" i="12"/>
  <c r="DG127" i="12"/>
  <c r="DG128" i="12" s="1"/>
  <c r="DH160" i="11" l="1"/>
  <c r="DH161" i="11" s="1"/>
  <c r="DH134" i="12"/>
  <c r="DH115" i="12"/>
  <c r="DH114" i="12" s="1"/>
  <c r="DH110" i="12" s="1"/>
  <c r="DH105" i="12" s="1"/>
  <c r="DH106" i="12" s="1"/>
  <c r="DH147" i="11"/>
  <c r="DH148" i="11" s="1"/>
  <c r="DH73" i="12"/>
  <c r="DH72" i="12"/>
  <c r="DF154" i="136"/>
  <c r="DR223" i="136" l="1"/>
  <c r="DS223" i="136" s="1"/>
  <c r="DT223" i="136" s="1"/>
  <c r="DK28" i="135"/>
  <c r="DL28" i="135" s="1"/>
  <c r="DM28" i="135" s="1"/>
  <c r="DN28" i="135" s="1"/>
  <c r="DF72" i="135"/>
  <c r="DF12" i="134"/>
  <c r="DF125" i="11" s="1"/>
  <c r="DH112" i="11" s="1"/>
  <c r="DF79" i="134"/>
  <c r="DF87" i="134" s="1"/>
  <c r="DF75" i="134"/>
  <c r="DH75" i="134" s="1"/>
  <c r="DF28" i="134"/>
  <c r="DF170" i="136"/>
  <c r="AB336" i="136"/>
  <c r="DF128" i="11" l="1"/>
  <c r="DF127" i="11"/>
  <c r="DF86" i="11" s="1"/>
  <c r="DF126" i="11"/>
  <c r="DK26" i="135"/>
  <c r="DL26" i="135" s="1"/>
  <c r="DM26" i="135" s="1"/>
  <c r="DN26" i="135" s="1"/>
  <c r="DI26" i="135"/>
  <c r="DQ28" i="135"/>
  <c r="DR28" i="135" s="1"/>
  <c r="DS28" i="135" s="1"/>
  <c r="DT28" i="135" s="1"/>
  <c r="DO28" i="135"/>
  <c r="DI28" i="135"/>
  <c r="DI27" i="135"/>
  <c r="DK27" i="135"/>
  <c r="DL27" i="135" s="1"/>
  <c r="DM27" i="135" s="1"/>
  <c r="DN27" i="135" s="1"/>
  <c r="DI23" i="135"/>
  <c r="DK23" i="135"/>
  <c r="DL23" i="135" s="1"/>
  <c r="DM23" i="135" s="1"/>
  <c r="DN23" i="135" s="1"/>
  <c r="DF85" i="11" l="1"/>
  <c r="DF87" i="11" s="1"/>
  <c r="DL126" i="11"/>
  <c r="DR126" i="11" s="1"/>
  <c r="DU28" i="135"/>
  <c r="DW28" i="135"/>
  <c r="DX28" i="135" s="1"/>
  <c r="DY28" i="135" s="1"/>
  <c r="DZ28" i="135" s="1"/>
  <c r="DO26" i="135"/>
  <c r="DQ26" i="135"/>
  <c r="DR26" i="135" s="1"/>
  <c r="DS26" i="135" s="1"/>
  <c r="DT26" i="135" s="1"/>
  <c r="DQ27" i="135"/>
  <c r="DR27" i="135" s="1"/>
  <c r="DS27" i="135" s="1"/>
  <c r="DT27" i="135" s="1"/>
  <c r="DO27" i="135"/>
  <c r="DQ23" i="135"/>
  <c r="DR23" i="135" s="1"/>
  <c r="DS23" i="135" s="1"/>
  <c r="DT23" i="135" s="1"/>
  <c r="DO23" i="135"/>
  <c r="DX126" i="11" l="1"/>
  <c r="ED126" i="11" s="1"/>
  <c r="ED85" i="11" s="1"/>
  <c r="EA28" i="135"/>
  <c r="EC28" i="135"/>
  <c r="ED28" i="135" s="1"/>
  <c r="EE28" i="135" s="1"/>
  <c r="EF28" i="135" s="1"/>
  <c r="EG28" i="135" s="1"/>
  <c r="DU23" i="135"/>
  <c r="DW23" i="135"/>
  <c r="DX23" i="135" s="1"/>
  <c r="DY23" i="135" s="1"/>
  <c r="DZ23" i="135" s="1"/>
  <c r="DU26" i="135"/>
  <c r="DW26" i="135"/>
  <c r="DX26" i="135" s="1"/>
  <c r="DY26" i="135" s="1"/>
  <c r="DZ26" i="135" s="1"/>
  <c r="DU27" i="135"/>
  <c r="DW27" i="135"/>
  <c r="DX27" i="135" s="1"/>
  <c r="DY27" i="135" s="1"/>
  <c r="DZ27" i="135" s="1"/>
  <c r="CU19" i="136"/>
  <c r="CT19" i="136"/>
  <c r="CS19" i="136"/>
  <c r="DA19" i="136"/>
  <c r="CZ19" i="136"/>
  <c r="CY19" i="136"/>
  <c r="DB19" i="136"/>
  <c r="DF19" i="136"/>
  <c r="DE19" i="136"/>
  <c r="DF364" i="136"/>
  <c r="DF362" i="136"/>
  <c r="DF357" i="136"/>
  <c r="DF356" i="136"/>
  <c r="DF355" i="136"/>
  <c r="DF354" i="136"/>
  <c r="DF319" i="136"/>
  <c r="DF316" i="136"/>
  <c r="DF315" i="136" s="1"/>
  <c r="DF312" i="136"/>
  <c r="DF223" i="136"/>
  <c r="DF221" i="136"/>
  <c r="DF218" i="136"/>
  <c r="DF217" i="136" s="1"/>
  <c r="DF214" i="136"/>
  <c r="DF155" i="136"/>
  <c r="DF152" i="136"/>
  <c r="DF151" i="136" s="1"/>
  <c r="DF169" i="136" s="1"/>
  <c r="DF147" i="136"/>
  <c r="DF148" i="136" s="1"/>
  <c r="DF13" i="138" s="1"/>
  <c r="EU13" i="138" s="1"/>
  <c r="DF78" i="136"/>
  <c r="DF75" i="136"/>
  <c r="DF74" i="136" s="1"/>
  <c r="DF71" i="136"/>
  <c r="CZ87" i="134"/>
  <c r="DA87" i="134"/>
  <c r="DF89" i="134"/>
  <c r="DF88" i="134"/>
  <c r="DF53" i="134"/>
  <c r="DF52" i="134"/>
  <c r="DF49" i="134"/>
  <c r="DF17" i="134"/>
  <c r="DF13" i="134"/>
  <c r="EA23" i="135" l="1"/>
  <c r="EC23" i="135"/>
  <c r="ED23" i="135" s="1"/>
  <c r="EE23" i="135" s="1"/>
  <c r="EF23" i="135" s="1"/>
  <c r="EG23" i="135" s="1"/>
  <c r="EA26" i="135"/>
  <c r="EC26" i="135"/>
  <c r="ED26" i="135" s="1"/>
  <c r="EE26" i="135" s="1"/>
  <c r="EF26" i="135" s="1"/>
  <c r="EG26" i="135" s="1"/>
  <c r="EA27" i="135"/>
  <c r="EC27" i="135"/>
  <c r="ED27" i="135" s="1"/>
  <c r="EE27" i="135" s="1"/>
  <c r="EF27" i="135" s="1"/>
  <c r="EG27" i="135" s="1"/>
  <c r="DF20" i="134"/>
  <c r="DF55" i="134" s="1"/>
  <c r="DF236" i="136"/>
  <c r="DF235" i="136" s="1"/>
  <c r="DF260" i="136"/>
  <c r="DF259" i="136" s="1"/>
  <c r="DF54" i="134"/>
  <c r="DF90" i="134"/>
  <c r="DF50" i="134"/>
  <c r="DF27" i="134" l="1"/>
  <c r="DF197" i="11" s="1"/>
  <c r="DF59" i="134" l="1"/>
  <c r="DF29" i="134"/>
  <c r="DF32" i="134" s="1"/>
  <c r="DF38" i="134" s="1"/>
  <c r="DQ122" i="11" l="1"/>
  <c r="DW122" i="11" s="1"/>
  <c r="EC122" i="11" s="1"/>
  <c r="EC84" i="11" l="1"/>
  <c r="EC87" i="11" s="1"/>
  <c r="ED122" i="11"/>
  <c r="DW84" i="11"/>
  <c r="DX122" i="11"/>
  <c r="DE72" i="135"/>
  <c r="DI72" i="135" s="1"/>
  <c r="DE70" i="135"/>
  <c r="DE69" i="135"/>
  <c r="DE167" i="11"/>
  <c r="DE174" i="11"/>
  <c r="DE175" i="11"/>
  <c r="DE176" i="11"/>
  <c r="DE177" i="11"/>
  <c r="DE178" i="11"/>
  <c r="DE180" i="11"/>
  <c r="DE184" i="11"/>
  <c r="DE185" i="11"/>
  <c r="DE186" i="11"/>
  <c r="DE159" i="11"/>
  <c r="DI159" i="11" s="1"/>
  <c r="DE154" i="11"/>
  <c r="DF146" i="11" s="1"/>
  <c r="DE147" i="11"/>
  <c r="DI147" i="11" s="1"/>
  <c r="DE116" i="11"/>
  <c r="DE115" i="11"/>
  <c r="DE114" i="11"/>
  <c r="DE96" i="11"/>
  <c r="DE97" i="11"/>
  <c r="DE98" i="11"/>
  <c r="DE61" i="11"/>
  <c r="DE62" i="11" s="1"/>
  <c r="ED84" i="11" l="1"/>
  <c r="ED87" i="11" s="1"/>
  <c r="EE122" i="11"/>
  <c r="DX84" i="11"/>
  <c r="DY122" i="11"/>
  <c r="DE73" i="135"/>
  <c r="DE84" i="11"/>
  <c r="DE71" i="135"/>
  <c r="DE99" i="11"/>
  <c r="DE148" i="11"/>
  <c r="DE105" i="11"/>
  <c r="DE86" i="11"/>
  <c r="DE85" i="11"/>
  <c r="DE77" i="135"/>
  <c r="DE116" i="12"/>
  <c r="DE115" i="12"/>
  <c r="DE107" i="12"/>
  <c r="DI107" i="12" s="1"/>
  <c r="DE103" i="12"/>
  <c r="DE120" i="12"/>
  <c r="DE127" i="12"/>
  <c r="DE135" i="12"/>
  <c r="DE134" i="12"/>
  <c r="CY134" i="12"/>
  <c r="CY135" i="12"/>
  <c r="CY139" i="12"/>
  <c r="CY140" i="12"/>
  <c r="CY141" i="12"/>
  <c r="CY123" i="12"/>
  <c r="CY127" i="12"/>
  <c r="CY128" i="12" s="1"/>
  <c r="CY116" i="12"/>
  <c r="CY115" i="12"/>
  <c r="CY103" i="12"/>
  <c r="CY107" i="12"/>
  <c r="DE90" i="12"/>
  <c r="DE72" i="12"/>
  <c r="DE73" i="12"/>
  <c r="DE77" i="12"/>
  <c r="DE46" i="12"/>
  <c r="DE43" i="12"/>
  <c r="DE128" i="12" l="1"/>
  <c r="DI128" i="12" s="1"/>
  <c r="DI127" i="12"/>
  <c r="DF46" i="12"/>
  <c r="DG46" i="12" s="1"/>
  <c r="EE84" i="11"/>
  <c r="EE87" i="11" s="1"/>
  <c r="EF122" i="11"/>
  <c r="EF84" i="11" s="1"/>
  <c r="EF87" i="11" s="1"/>
  <c r="DF43" i="12"/>
  <c r="DG43" i="12" s="1"/>
  <c r="DH43" i="12" s="1"/>
  <c r="DZ122" i="11"/>
  <c r="DY84" i="11"/>
  <c r="DE114" i="12"/>
  <c r="DE87" i="11"/>
  <c r="DE117" i="12"/>
  <c r="CY114" i="12"/>
  <c r="CY110" i="12" s="1"/>
  <c r="CY138" i="12"/>
  <c r="CY208" i="11" s="1"/>
  <c r="DE109" i="11"/>
  <c r="DE63" i="11"/>
  <c r="DH46" i="12" l="1"/>
  <c r="DE110" i="12"/>
  <c r="DI114" i="12"/>
  <c r="DI110" i="12" s="1"/>
  <c r="DZ84" i="11"/>
  <c r="CY187" i="11"/>
  <c r="CZ187" i="11"/>
  <c r="DA187" i="11"/>
  <c r="CZ141" i="12" l="1"/>
  <c r="DA141" i="12"/>
  <c r="DB141" i="12"/>
  <c r="DB167" i="11"/>
  <c r="DA167" i="11"/>
  <c r="DC167" i="11" l="1"/>
  <c r="CE40" i="134"/>
  <c r="CE38" i="134"/>
  <c r="CE37" i="134"/>
  <c r="CE36" i="134"/>
  <c r="CE89" i="134"/>
  <c r="CE88" i="134"/>
  <c r="CE87" i="134"/>
  <c r="CE86" i="134"/>
  <c r="CE84" i="134"/>
  <c r="CE82" i="134"/>
  <c r="CE81" i="134"/>
  <c r="CE80" i="134"/>
  <c r="CE77" i="134"/>
  <c r="CK73" i="134"/>
  <c r="CE90" i="134" l="1"/>
  <c r="CE33" i="134"/>
  <c r="CE34" i="134" s="1"/>
  <c r="CE35" i="134" l="1"/>
  <c r="CE91" i="134"/>
  <c r="DT149" i="136" l="1"/>
  <c r="DE28" i="134"/>
  <c r="DE87" i="134" l="1"/>
  <c r="DI87" i="134" s="1"/>
  <c r="DE387" i="136"/>
  <c r="DE385" i="136"/>
  <c r="DE364" i="136"/>
  <c r="DE362" i="136"/>
  <c r="DE357" i="136"/>
  <c r="DE356" i="136"/>
  <c r="DE355" i="136"/>
  <c r="DE354" i="136"/>
  <c r="DE319" i="136"/>
  <c r="DE316" i="136"/>
  <c r="DE315" i="136" s="1"/>
  <c r="DE312" i="136"/>
  <c r="DE223" i="136"/>
  <c r="DE221" i="136"/>
  <c r="DK224" i="136" s="1"/>
  <c r="DK228" i="136" s="1"/>
  <c r="DK227" i="136" s="1"/>
  <c r="DK226" i="136" s="1"/>
  <c r="DE218" i="136"/>
  <c r="DE217" i="136" s="1"/>
  <c r="DE214" i="136"/>
  <c r="DE155" i="136"/>
  <c r="DE152" i="136"/>
  <c r="DE151" i="136" s="1"/>
  <c r="DE147" i="136"/>
  <c r="DE148" i="136" s="1"/>
  <c r="DE13" i="138" s="1"/>
  <c r="ET13" i="138" s="1"/>
  <c r="DE78" i="136"/>
  <c r="DK81" i="136" s="1"/>
  <c r="DK85" i="136" s="1"/>
  <c r="DK84" i="136" s="1"/>
  <c r="DK83" i="136" s="1"/>
  <c r="DK80" i="136" s="1"/>
  <c r="DE75" i="136"/>
  <c r="DE74" i="136" s="1"/>
  <c r="DE71" i="136"/>
  <c r="DE88" i="134"/>
  <c r="DE89" i="134"/>
  <c r="DE53" i="134"/>
  <c r="DE52" i="134"/>
  <c r="DE49" i="134"/>
  <c r="DE17" i="134"/>
  <c r="DK68" i="134" s="1"/>
  <c r="DE13" i="134"/>
  <c r="DK158" i="136" l="1"/>
  <c r="DK162" i="136" s="1"/>
  <c r="DK161" i="136" s="1"/>
  <c r="DK160" i="136" s="1"/>
  <c r="DK157" i="136" s="1"/>
  <c r="DK322" i="136"/>
  <c r="DK326" i="136" s="1"/>
  <c r="DK325" i="136" s="1"/>
  <c r="DK324" i="136" s="1"/>
  <c r="DK321" i="136" s="1"/>
  <c r="DE50" i="134"/>
  <c r="DE156" i="136"/>
  <c r="DE169" i="136"/>
  <c r="DE260" i="136"/>
  <c r="DE259" i="136" s="1"/>
  <c r="DI259" i="136" s="1"/>
  <c r="DE236" i="136"/>
  <c r="DE235" i="136" s="1"/>
  <c r="DI235" i="136" s="1"/>
  <c r="DE54" i="134"/>
  <c r="DE121" i="12"/>
  <c r="DE122" i="12" s="1"/>
  <c r="DE124" i="12" s="1"/>
  <c r="DE20" i="134"/>
  <c r="DQ316" i="136"/>
  <c r="DB316" i="136"/>
  <c r="DB315" i="136" s="1"/>
  <c r="CZ316" i="136"/>
  <c r="CZ315" i="136" s="1"/>
  <c r="CY316" i="136"/>
  <c r="CY315" i="136" s="1"/>
  <c r="CV316" i="136"/>
  <c r="CU316" i="136"/>
  <c r="CT316" i="136"/>
  <c r="CS316" i="136"/>
  <c r="DQ218" i="136"/>
  <c r="DN218" i="136"/>
  <c r="DM218" i="136"/>
  <c r="DL218" i="136"/>
  <c r="CU218" i="136"/>
  <c r="CU217" i="136" s="1"/>
  <c r="CT218" i="136"/>
  <c r="CT217" i="136" s="1"/>
  <c r="CS218" i="136"/>
  <c r="CS217" i="136" s="1"/>
  <c r="DZ152" i="136"/>
  <c r="DY152" i="136"/>
  <c r="DX152" i="136"/>
  <c r="DW152" i="136"/>
  <c r="DT152" i="136"/>
  <c r="DS152" i="136"/>
  <c r="DR152" i="136"/>
  <c r="DQ152" i="136"/>
  <c r="DN152" i="136"/>
  <c r="DM152" i="136"/>
  <c r="DL152" i="136"/>
  <c r="CY152" i="136"/>
  <c r="CY151" i="136" s="1"/>
  <c r="CW152" i="136"/>
  <c r="CV152" i="136"/>
  <c r="CU152" i="136"/>
  <c r="CT152" i="136"/>
  <c r="CS152" i="136"/>
  <c r="CP152" i="136"/>
  <c r="CO152" i="136"/>
  <c r="CN152" i="136"/>
  <c r="CM152" i="136"/>
  <c r="CP75" i="136"/>
  <c r="CO75" i="136"/>
  <c r="CN75" i="136"/>
  <c r="CM75" i="136"/>
  <c r="DT75" i="136"/>
  <c r="DS75" i="136"/>
  <c r="DM75" i="136"/>
  <c r="DL75" i="136"/>
  <c r="DA75" i="136"/>
  <c r="DA74" i="136" s="1"/>
  <c r="CZ75" i="136"/>
  <c r="CZ74" i="136" s="1"/>
  <c r="CY75" i="136"/>
  <c r="CY74" i="136" s="1"/>
  <c r="CW75" i="136"/>
  <c r="CV75" i="136"/>
  <c r="CU75" i="136"/>
  <c r="CT75" i="136"/>
  <c r="CS75" i="136"/>
  <c r="DQ312" i="136"/>
  <c r="DB312" i="136"/>
  <c r="DA312" i="136"/>
  <c r="CZ312" i="136"/>
  <c r="CY312" i="136"/>
  <c r="CV312" i="136"/>
  <c r="CU312" i="136"/>
  <c r="CT312" i="136"/>
  <c r="CS312" i="136"/>
  <c r="CP312" i="136"/>
  <c r="CO312" i="136"/>
  <c r="CN312" i="136"/>
  <c r="CM312" i="136"/>
  <c r="CM214" i="136"/>
  <c r="DQ214" i="136"/>
  <c r="DB214" i="136"/>
  <c r="DA214" i="136"/>
  <c r="CZ214" i="136"/>
  <c r="CY214" i="136"/>
  <c r="CV214" i="136"/>
  <c r="CU214" i="136"/>
  <c r="CT214" i="136"/>
  <c r="CS214" i="136"/>
  <c r="CP214" i="136"/>
  <c r="CO214" i="136"/>
  <c r="CN214" i="136"/>
  <c r="DZ147" i="136"/>
  <c r="DY147" i="136"/>
  <c r="DX147" i="136"/>
  <c r="DW147" i="136"/>
  <c r="DQ147" i="136"/>
  <c r="DB147" i="136"/>
  <c r="DB148" i="136" s="1"/>
  <c r="DB13" i="138" s="1"/>
  <c r="ES13" i="138" s="1"/>
  <c r="DA147" i="136"/>
  <c r="DA148" i="136" s="1"/>
  <c r="DA13" i="138" s="1"/>
  <c r="ER13" i="138" s="1"/>
  <c r="CZ147" i="136"/>
  <c r="CZ148" i="136" s="1"/>
  <c r="CZ13" i="138" s="1"/>
  <c r="EQ13" i="138" s="1"/>
  <c r="CY147" i="136"/>
  <c r="CY148" i="136" s="1"/>
  <c r="CY13" i="138" s="1"/>
  <c r="EP13" i="138" s="1"/>
  <c r="CV147" i="136"/>
  <c r="CV148" i="136" s="1"/>
  <c r="CV13" i="138" s="1"/>
  <c r="EO13" i="138" s="1"/>
  <c r="CU147" i="136"/>
  <c r="CU148" i="136" s="1"/>
  <c r="CU13" i="138" s="1"/>
  <c r="EN13" i="138" s="1"/>
  <c r="CT147" i="136"/>
  <c r="CT148" i="136" s="1"/>
  <c r="CT13" i="138" s="1"/>
  <c r="EM13" i="138" s="1"/>
  <c r="CS147" i="136"/>
  <c r="CS148" i="136" s="1"/>
  <c r="CS13" i="138" s="1"/>
  <c r="EL13" i="138" s="1"/>
  <c r="CP147" i="136"/>
  <c r="CP148" i="136" s="1"/>
  <c r="CP13" i="138" s="1"/>
  <c r="CP21" i="138" s="1"/>
  <c r="CO147" i="136"/>
  <c r="CO148" i="136" s="1"/>
  <c r="CO13" i="138" s="1"/>
  <c r="CO21" i="138" s="1"/>
  <c r="CN147" i="136"/>
  <c r="CN148" i="136" s="1"/>
  <c r="CN13" i="138" s="1"/>
  <c r="CN21" i="138" s="1"/>
  <c r="CM147" i="136"/>
  <c r="CM148" i="136" s="1"/>
  <c r="CM13" i="138" s="1"/>
  <c r="DZ71" i="136"/>
  <c r="DZ11" i="138" s="1"/>
  <c r="DY71" i="136"/>
  <c r="DY11" i="138" s="1"/>
  <c r="DX71" i="136"/>
  <c r="DX11" i="138" s="1"/>
  <c r="DW71" i="136"/>
  <c r="DW11" i="138" s="1"/>
  <c r="DQ71" i="136"/>
  <c r="DB71" i="136"/>
  <c r="DA71" i="136"/>
  <c r="CZ71" i="136"/>
  <c r="CY71" i="136"/>
  <c r="CV71" i="136"/>
  <c r="CU71" i="136"/>
  <c r="CT71" i="136"/>
  <c r="CS71" i="136"/>
  <c r="CP71" i="136"/>
  <c r="CO71" i="136"/>
  <c r="CN71" i="136"/>
  <c r="CM71" i="136"/>
  <c r="DR24" i="136"/>
  <c r="DL24" i="136"/>
  <c r="DL214" i="136" s="1"/>
  <c r="DK56" i="134" l="1"/>
  <c r="DK69" i="134"/>
  <c r="DE168" i="11"/>
  <c r="EC19" i="138"/>
  <c r="ED19" i="138"/>
  <c r="EE19" i="138"/>
  <c r="EF19" i="138"/>
  <c r="CS260" i="136"/>
  <c r="CS259" i="136" s="1"/>
  <c r="CS236" i="136"/>
  <c r="CS235" i="136" s="1"/>
  <c r="CU260" i="136"/>
  <c r="CU259" i="136" s="1"/>
  <c r="CU236" i="136"/>
  <c r="CU235" i="136" s="1"/>
  <c r="CT236" i="136"/>
  <c r="CT235" i="136" s="1"/>
  <c r="CT260" i="136"/>
  <c r="CT259" i="136" s="1"/>
  <c r="CP29" i="138"/>
  <c r="CT21" i="138"/>
  <c r="EM21" i="138" s="1"/>
  <c r="DB21" i="138"/>
  <c r="ES21" i="138" s="1"/>
  <c r="CV21" i="138"/>
  <c r="EO21" i="138" s="1"/>
  <c r="CZ21" i="138"/>
  <c r="EQ21" i="138" s="1"/>
  <c r="DF21" i="138"/>
  <c r="EU21" i="138" s="1"/>
  <c r="DW55" i="136"/>
  <c r="EC62" i="136" s="1"/>
  <c r="DW12" i="138"/>
  <c r="DY55" i="136"/>
  <c r="EE62" i="136" s="1"/>
  <c r="DY12" i="138"/>
  <c r="CS21" i="138"/>
  <c r="CM21" i="138"/>
  <c r="CM29" i="138" s="1"/>
  <c r="CO29" i="138"/>
  <c r="CU21" i="138"/>
  <c r="EN21" i="138" s="1"/>
  <c r="CY21" i="138"/>
  <c r="EP21" i="138" s="1"/>
  <c r="DA21" i="138"/>
  <c r="ER21" i="138" s="1"/>
  <c r="DX55" i="136"/>
  <c r="ED62" i="136" s="1"/>
  <c r="DX12" i="138"/>
  <c r="DZ55" i="136"/>
  <c r="EF62" i="136" s="1"/>
  <c r="DZ12" i="138"/>
  <c r="DE21" i="138"/>
  <c r="ET21" i="138" s="1"/>
  <c r="DX54" i="136"/>
  <c r="ED61" i="136" s="1"/>
  <c r="DZ54" i="136"/>
  <c r="EF61" i="136" s="1"/>
  <c r="DW54" i="136"/>
  <c r="EC61" i="136" s="1"/>
  <c r="DY54" i="136"/>
  <c r="EE61" i="136" s="1"/>
  <c r="DE55" i="134"/>
  <c r="DE359" i="136"/>
  <c r="DE27" i="134"/>
  <c r="DM24" i="136"/>
  <c r="DM71" i="136" s="1"/>
  <c r="DL147" i="136"/>
  <c r="DR71" i="136"/>
  <c r="DS24" i="136"/>
  <c r="DR147" i="136"/>
  <c r="DL71" i="136"/>
  <c r="CS29" i="138" l="1"/>
  <c r="EL21" i="138"/>
  <c r="EE27" i="138"/>
  <c r="ED27" i="138"/>
  <c r="EF27" i="138"/>
  <c r="EC20" i="138"/>
  <c r="ED20" i="138"/>
  <c r="EE20" i="138"/>
  <c r="EF20" i="138"/>
  <c r="CU29" i="138"/>
  <c r="DE29" i="138"/>
  <c r="DA29" i="138"/>
  <c r="DF29" i="138"/>
  <c r="CT29" i="138"/>
  <c r="CV29" i="138"/>
  <c r="CY29" i="138"/>
  <c r="CZ29" i="138"/>
  <c r="DB29" i="138"/>
  <c r="CN29" i="138"/>
  <c r="CQ29" i="138" s="1"/>
  <c r="DM147" i="136"/>
  <c r="DN24" i="136"/>
  <c r="DN214" i="136" s="1"/>
  <c r="DE29" i="134"/>
  <c r="DE32" i="134" s="1"/>
  <c r="DE38" i="134" s="1"/>
  <c r="DE59" i="134"/>
  <c r="DE368" i="136"/>
  <c r="DE358" i="136"/>
  <c r="DM214" i="136"/>
  <c r="DT24" i="136"/>
  <c r="DS147" i="136"/>
  <c r="DS71" i="136"/>
  <c r="DE198" i="11" l="1"/>
  <c r="ED28" i="138"/>
  <c r="EE28" i="138"/>
  <c r="EF28" i="138"/>
  <c r="CW29" i="138"/>
  <c r="DC29" i="138"/>
  <c r="DN71" i="136"/>
  <c r="DN147" i="136"/>
  <c r="DT71" i="136"/>
  <c r="DT147" i="136"/>
  <c r="DR215" i="136" l="1"/>
  <c r="DR265" i="136" s="1"/>
  <c r="BF215" i="136"/>
  <c r="BE215" i="136"/>
  <c r="BD215" i="136"/>
  <c r="BC215" i="136"/>
  <c r="AZ215" i="136"/>
  <c r="AY215" i="136"/>
  <c r="AX215" i="136"/>
  <c r="AW215" i="136"/>
  <c r="BL149" i="136"/>
  <c r="BK149" i="136"/>
  <c r="BJ149" i="136"/>
  <c r="BI149" i="136"/>
  <c r="AI20" i="136"/>
  <c r="AH20" i="136"/>
  <c r="AG20" i="136"/>
  <c r="AF20" i="136"/>
  <c r="AE20" i="136"/>
  <c r="AC20" i="136"/>
  <c r="AB20" i="136"/>
  <c r="AA20" i="136"/>
  <c r="Z20" i="136"/>
  <c r="Y20" i="136"/>
  <c r="W20" i="136"/>
  <c r="V20" i="136"/>
  <c r="U20" i="136"/>
  <c r="T20" i="136"/>
  <c r="S20" i="136"/>
  <c r="DR313" i="136"/>
  <c r="CQ313" i="136"/>
  <c r="BL72" i="136"/>
  <c r="BK72" i="136"/>
  <c r="BJ72" i="136"/>
  <c r="BI72" i="136"/>
  <c r="DL316" i="136" l="1"/>
  <c r="DL312" i="136"/>
  <c r="DR316" i="136"/>
  <c r="DR312" i="136"/>
  <c r="DR218" i="136"/>
  <c r="DR214" i="136"/>
  <c r="DS313" i="136"/>
  <c r="DT313" i="136" s="1"/>
  <c r="DS215" i="136"/>
  <c r="DS265" i="136" s="1"/>
  <c r="DM312" i="136" l="1"/>
  <c r="DM316" i="136"/>
  <c r="DS218" i="136"/>
  <c r="DS214" i="136"/>
  <c r="DT316" i="136"/>
  <c r="DT312" i="136"/>
  <c r="DS312" i="136"/>
  <c r="DS316" i="136"/>
  <c r="DT215" i="136"/>
  <c r="DT265" i="136" s="1"/>
  <c r="DT218" i="136" l="1"/>
  <c r="DT214" i="136"/>
  <c r="DN316" i="136"/>
  <c r="DN312" i="136"/>
  <c r="DB168" i="136"/>
  <c r="DG13" i="138"/>
  <c r="DG21" i="138" l="1"/>
  <c r="EV13" i="138"/>
  <c r="DB169" i="136"/>
  <c r="DB167" i="136" s="1"/>
  <c r="DG29" i="138" l="1"/>
  <c r="EV21" i="138"/>
  <c r="CS98" i="136" l="1"/>
  <c r="DC96" i="136" l="1"/>
  <c r="CP94" i="136"/>
  <c r="CW94" i="136" s="1"/>
  <c r="CQ96" i="136"/>
  <c r="CP96" i="136" s="1"/>
  <c r="CW96" i="136" s="1"/>
  <c r="CQ95" i="136"/>
  <c r="CP95" i="136" s="1"/>
  <c r="CY95" i="136" l="1"/>
  <c r="DE96" i="136" s="1"/>
  <c r="DC393" i="136" l="1"/>
  <c r="DF79" i="136" l="1"/>
  <c r="DF222" i="136"/>
  <c r="DF320" i="136"/>
  <c r="DE222" i="136"/>
  <c r="DE320" i="136"/>
  <c r="DE79" i="136"/>
  <c r="DA43" i="136"/>
  <c r="DA393" i="136" s="1"/>
  <c r="CZ43" i="136"/>
  <c r="CZ393" i="136" s="1"/>
  <c r="CY43" i="136"/>
  <c r="CY393" i="136" s="1"/>
  <c r="DB43" i="136"/>
  <c r="DB393" i="136" s="1"/>
  <c r="DE391" i="136" l="1"/>
  <c r="DE390" i="136" s="1"/>
  <c r="CW79" i="136" l="1"/>
  <c r="CW156" i="136"/>
  <c r="CW393" i="136"/>
  <c r="CU156" i="136" l="1"/>
  <c r="CU393" i="136"/>
  <c r="CU79" i="136"/>
  <c r="CU320" i="136"/>
  <c r="CV393" i="136"/>
  <c r="CV79" i="136"/>
  <c r="CV320" i="136"/>
  <c r="CV156" i="136"/>
  <c r="CS156" i="136"/>
  <c r="CS320" i="136"/>
  <c r="CS79" i="136"/>
  <c r="CS393" i="136"/>
  <c r="CT156" i="136"/>
  <c r="CT393" i="136"/>
  <c r="CT79" i="136"/>
  <c r="CT320" i="136"/>
  <c r="CQ393" i="136"/>
  <c r="CN43" i="136" l="1"/>
  <c r="CO43" i="136"/>
  <c r="CP43" i="136"/>
  <c r="CM43" i="136"/>
  <c r="CO79" i="136" l="1"/>
  <c r="CO320" i="136"/>
  <c r="CO156" i="136"/>
  <c r="CO393" i="136"/>
  <c r="CN79" i="136"/>
  <c r="CN320" i="136"/>
  <c r="CN156" i="136"/>
  <c r="CN393" i="136"/>
  <c r="CM79" i="136"/>
  <c r="CM393" i="136"/>
  <c r="CM320" i="136"/>
  <c r="CK43" i="136"/>
  <c r="CK393" i="136" s="1"/>
  <c r="CM156" i="136"/>
  <c r="CP320" i="136"/>
  <c r="CP156" i="136"/>
  <c r="CP393" i="136"/>
  <c r="CP79" i="136"/>
  <c r="CH43" i="136" l="1"/>
  <c r="CH393" i="136" s="1"/>
  <c r="CK156" i="136"/>
  <c r="CJ43" i="136"/>
  <c r="CJ393" i="136" s="1"/>
  <c r="CI43" i="136"/>
  <c r="CI393" i="136" s="1"/>
  <c r="CK320" i="136"/>
  <c r="CK79" i="136"/>
  <c r="CG43" i="136"/>
  <c r="CG393" i="136" s="1"/>
  <c r="CH79" i="136" l="1"/>
  <c r="CH156" i="136"/>
  <c r="CH320" i="136"/>
  <c r="CI156" i="136"/>
  <c r="CI320" i="136"/>
  <c r="CI79" i="136"/>
  <c r="CJ156" i="136"/>
  <c r="CJ320" i="136"/>
  <c r="CJ79" i="136"/>
  <c r="CG320" i="136"/>
  <c r="CG79" i="136"/>
  <c r="CE43" i="136"/>
  <c r="CE393" i="136" s="1"/>
  <c r="CG156" i="136"/>
  <c r="CB43" i="136" l="1"/>
  <c r="CB393" i="136" s="1"/>
  <c r="CE79" i="136"/>
  <c r="CE320" i="136"/>
  <c r="CC43" i="136"/>
  <c r="CC393" i="136" s="1"/>
  <c r="CD43" i="136"/>
  <c r="CD393" i="136" s="1"/>
  <c r="CE156" i="136"/>
  <c r="CA43" i="136"/>
  <c r="CA393" i="136" s="1"/>
  <c r="CB156" i="136" l="1"/>
  <c r="CB79" i="136"/>
  <c r="CB320" i="136"/>
  <c r="CA320" i="136"/>
  <c r="CA156" i="136"/>
  <c r="BY43" i="136"/>
  <c r="BY393" i="136" s="1"/>
  <c r="CA79" i="136"/>
  <c r="CD79" i="136"/>
  <c r="CD320" i="136"/>
  <c r="CD156" i="136"/>
  <c r="CC79" i="136"/>
  <c r="CC320" i="136"/>
  <c r="CC156" i="136"/>
  <c r="BV43" i="136" l="1"/>
  <c r="BV393" i="136" s="1"/>
  <c r="BY320" i="136"/>
  <c r="BX43" i="136"/>
  <c r="BX393" i="136" s="1"/>
  <c r="BY156" i="136"/>
  <c r="BY79" i="136"/>
  <c r="BW43" i="136"/>
  <c r="BW393" i="136" s="1"/>
  <c r="BU43" i="136"/>
  <c r="BU393" i="136" s="1"/>
  <c r="BX320" i="136" l="1"/>
  <c r="BX79" i="136"/>
  <c r="BX156" i="136"/>
  <c r="BV79" i="136"/>
  <c r="BV156" i="136"/>
  <c r="BV320" i="136"/>
  <c r="BU156" i="136"/>
  <c r="BU320" i="136"/>
  <c r="BU79" i="136"/>
  <c r="BW320" i="136"/>
  <c r="BW156" i="136"/>
  <c r="BW79" i="136"/>
  <c r="CU385" i="136" l="1"/>
  <c r="CT385" i="136"/>
  <c r="DB387" i="136"/>
  <c r="DA387" i="136"/>
  <c r="CZ387" i="136"/>
  <c r="CY387" i="136"/>
  <c r="DB385" i="136"/>
  <c r="DA385" i="136"/>
  <c r="CZ385" i="136"/>
  <c r="CY385" i="136"/>
  <c r="DC385" i="136" l="1"/>
  <c r="DC387" i="136"/>
  <c r="CY169" i="136" l="1"/>
  <c r="CY167" i="136" s="1"/>
  <c r="DA169" i="136"/>
  <c r="DA167" i="136" s="1"/>
  <c r="CZ169" i="136"/>
  <c r="CZ167" i="136" s="1"/>
  <c r="DH148" i="136" l="1"/>
  <c r="DH168" i="136"/>
  <c r="DI168" i="136" s="1"/>
  <c r="DC169" i="136"/>
  <c r="DO73" i="135" l="1"/>
  <c r="EF193" i="136" l="1"/>
  <c r="EE193" i="136"/>
  <c r="ED193" i="136"/>
  <c r="EC193" i="136"/>
  <c r="EF191" i="136"/>
  <c r="EE191" i="136"/>
  <c r="ED191" i="136"/>
  <c r="EC191" i="136"/>
  <c r="DZ193" i="136"/>
  <c r="DY193" i="136"/>
  <c r="DX193" i="136"/>
  <c r="DW193" i="136"/>
  <c r="DZ191" i="136"/>
  <c r="DY191" i="136"/>
  <c r="DX191" i="136"/>
  <c r="DW191" i="136"/>
  <c r="DT193" i="136"/>
  <c r="DS193" i="136"/>
  <c r="DR193" i="136"/>
  <c r="DQ193" i="136"/>
  <c r="DT191" i="136"/>
  <c r="DS191" i="136"/>
  <c r="DR191" i="136"/>
  <c r="DQ191" i="136"/>
  <c r="DK191" i="136"/>
  <c r="DN193" i="136"/>
  <c r="DM193" i="136"/>
  <c r="DL193" i="136"/>
  <c r="DK193" i="136"/>
  <c r="DN191" i="136"/>
  <c r="DM191" i="136"/>
  <c r="DL191" i="136"/>
  <c r="DH191" i="136"/>
  <c r="DG191" i="136"/>
  <c r="DF191" i="136"/>
  <c r="DE191" i="136"/>
  <c r="DH193" i="136"/>
  <c r="DG193" i="136"/>
  <c r="DF193" i="136"/>
  <c r="DE193" i="136"/>
  <c r="DC193" i="136"/>
  <c r="DC191" i="136"/>
  <c r="CY123" i="136"/>
  <c r="CW123" i="136"/>
  <c r="DB21" i="11"/>
  <c r="DB40" i="11"/>
  <c r="DB215" i="11" s="1"/>
  <c r="DI15" i="11"/>
  <c r="DC215" i="11" l="1"/>
  <c r="DB24" i="11"/>
  <c r="DB41" i="11"/>
  <c r="DB216" i="11" s="1"/>
  <c r="DC216" i="11" s="1"/>
  <c r="DB187" i="11"/>
  <c r="EG191" i="136"/>
  <c r="EG193" i="136"/>
  <c r="DB61" i="11" l="1"/>
  <c r="DB62" i="11" s="1"/>
  <c r="DA61" i="11"/>
  <c r="DA62" i="11" s="1"/>
  <c r="CZ61" i="11"/>
  <c r="CZ62" i="11" s="1"/>
  <c r="CY61" i="11"/>
  <c r="CY62" i="11" s="1"/>
  <c r="DB70" i="135"/>
  <c r="DA70" i="135"/>
  <c r="CZ70" i="135"/>
  <c r="CY70" i="135"/>
  <c r="CV70" i="135"/>
  <c r="CU70" i="135"/>
  <c r="CT70" i="135"/>
  <c r="CS70" i="135"/>
  <c r="CS123" i="12"/>
  <c r="CM123" i="12"/>
  <c r="CG123" i="12"/>
  <c r="CA123" i="12"/>
  <c r="CY26" i="12"/>
  <c r="CS26" i="12"/>
  <c r="CM26" i="12"/>
  <c r="CG26" i="12"/>
  <c r="CA26" i="12"/>
  <c r="BU26" i="12"/>
  <c r="DP76" i="134"/>
  <c r="CW121" i="136" l="1"/>
  <c r="CW125" i="136" s="1"/>
  <c r="CQ73" i="134" l="1"/>
  <c r="BM64" i="134" l="1"/>
  <c r="BL64" i="134"/>
  <c r="BK64" i="134"/>
  <c r="BJ64" i="134"/>
  <c r="BI64" i="134"/>
  <c r="DZ98" i="136" l="1"/>
  <c r="EF98" i="136" s="1"/>
  <c r="DY98" i="136"/>
  <c r="EE98" i="136" s="1"/>
  <c r="DX98" i="136"/>
  <c r="ED98" i="136" s="1"/>
  <c r="DW98" i="136"/>
  <c r="EC98" i="136" s="1"/>
  <c r="DZ75" i="136"/>
  <c r="DY75" i="136"/>
  <c r="DX75" i="136"/>
  <c r="DW75" i="136"/>
  <c r="DZ123" i="136"/>
  <c r="DY123" i="136"/>
  <c r="DX123" i="136"/>
  <c r="DW123" i="136"/>
  <c r="DT123" i="136"/>
  <c r="DS123" i="136"/>
  <c r="DR123" i="136"/>
  <c r="DQ123" i="136"/>
  <c r="DN123" i="136"/>
  <c r="DM123" i="136"/>
  <c r="DL123" i="136"/>
  <c r="DK123" i="136"/>
  <c r="DH123" i="136"/>
  <c r="DG123" i="136"/>
  <c r="DF123" i="136"/>
  <c r="DE123" i="136"/>
  <c r="DB123" i="136"/>
  <c r="DA123" i="136"/>
  <c r="CZ123" i="136"/>
  <c r="DZ121" i="136"/>
  <c r="DY121" i="136"/>
  <c r="DX121" i="136"/>
  <c r="DW121" i="136"/>
  <c r="DT121" i="136"/>
  <c r="DS121" i="136"/>
  <c r="DR121" i="136"/>
  <c r="DQ121" i="136"/>
  <c r="DN121" i="136"/>
  <c r="DM121" i="136"/>
  <c r="DL121" i="136"/>
  <c r="DK121" i="136"/>
  <c r="DH121" i="136"/>
  <c r="DG121" i="136"/>
  <c r="DF121" i="136"/>
  <c r="DE121" i="136"/>
  <c r="DB121" i="136"/>
  <c r="DA121" i="136"/>
  <c r="CZ121" i="136"/>
  <c r="CY121" i="136"/>
  <c r="CW115" i="136"/>
  <c r="CW111" i="136"/>
  <c r="CV111" i="136"/>
  <c r="CU111" i="136"/>
  <c r="CT111" i="136"/>
  <c r="CS111" i="136"/>
  <c r="DB111" i="136"/>
  <c r="DA111" i="136"/>
  <c r="CZ111" i="136"/>
  <c r="CY111" i="136"/>
  <c r="DC115" i="136"/>
  <c r="DB115" i="136"/>
  <c r="DA115" i="136"/>
  <c r="CZ115" i="136"/>
  <c r="CY115" i="136"/>
  <c r="DX114" i="136"/>
  <c r="DW125" i="136" l="1"/>
  <c r="DI123" i="136"/>
  <c r="EA123" i="136"/>
  <c r="CW126" i="136"/>
  <c r="DX125" i="136"/>
  <c r="DO123" i="136"/>
  <c r="DU123" i="136"/>
  <c r="DC123" i="136"/>
  <c r="DO121" i="136"/>
  <c r="EA121" i="136"/>
  <c r="DC121" i="136"/>
  <c r="DI121" i="136"/>
  <c r="DY114" i="136"/>
  <c r="DZ114" i="136" s="1"/>
  <c r="DZ125" i="136" s="1"/>
  <c r="DU121" i="136"/>
  <c r="EA114" i="136" l="1"/>
  <c r="EC114" i="136" s="1"/>
  <c r="DY125" i="136"/>
  <c r="EA125" i="136" s="1"/>
  <c r="ED114" i="136" l="1"/>
  <c r="ED125" i="136" s="1"/>
  <c r="EC125" i="136"/>
  <c r="EE114" i="136" l="1"/>
  <c r="EE125" i="136" s="1"/>
  <c r="EF114" i="136" l="1"/>
  <c r="EG114" i="136" s="1"/>
  <c r="DA99" i="136"/>
  <c r="CZ99" i="136"/>
  <c r="CY99" i="136"/>
  <c r="DA105" i="136"/>
  <c r="CZ105" i="136"/>
  <c r="CY105" i="136"/>
  <c r="CY104" i="136"/>
  <c r="DC107" i="136"/>
  <c r="DC111" i="136" s="1"/>
  <c r="EA109" i="136"/>
  <c r="DY109" i="136" s="1"/>
  <c r="EA108" i="136"/>
  <c r="EA101" i="136"/>
  <c r="CW104" i="136"/>
  <c r="CV104" i="136"/>
  <c r="CU104" i="136"/>
  <c r="CT104" i="136"/>
  <c r="CS104" i="136"/>
  <c r="DH89" i="136"/>
  <c r="DG89" i="136"/>
  <c r="DF89" i="136"/>
  <c r="DE89" i="136"/>
  <c r="DB89" i="136"/>
  <c r="DA89" i="136"/>
  <c r="CZ89" i="136"/>
  <c r="CY89" i="136"/>
  <c r="CV89" i="136"/>
  <c r="CU89" i="136"/>
  <c r="CT89" i="136"/>
  <c r="CS89" i="136"/>
  <c r="CY90" i="136"/>
  <c r="DH181" i="136"/>
  <c r="DH166" i="136" s="1"/>
  <c r="DH167" i="136" s="1"/>
  <c r="DG181" i="136"/>
  <c r="DG166" i="136" s="1"/>
  <c r="DF181" i="136"/>
  <c r="DF166" i="136" s="1"/>
  <c r="EF152" i="136"/>
  <c r="EE152" i="136"/>
  <c r="ED152" i="136"/>
  <c r="EC152" i="136"/>
  <c r="DQ181" i="136"/>
  <c r="EC181" i="136"/>
  <c r="DZ181" i="136"/>
  <c r="DY181" i="136"/>
  <c r="DX181" i="136"/>
  <c r="DW181" i="136"/>
  <c r="DT181" i="136"/>
  <c r="DS181" i="136"/>
  <c r="DR181" i="136"/>
  <c r="DN181" i="136"/>
  <c r="DM181" i="136"/>
  <c r="DL181" i="136"/>
  <c r="DK181" i="136"/>
  <c r="DE181" i="136"/>
  <c r="DE166" i="136" s="1"/>
  <c r="DE167" i="136" s="1"/>
  <c r="DZ178" i="136"/>
  <c r="DZ180" i="136" s="1"/>
  <c r="DY178" i="136"/>
  <c r="DY180" i="136" s="1"/>
  <c r="DX178" i="136"/>
  <c r="DX180" i="136" s="1"/>
  <c r="DW178" i="136"/>
  <c r="DW180" i="136" s="1"/>
  <c r="DT178" i="136"/>
  <c r="DT180" i="136" s="1"/>
  <c r="DS178" i="136"/>
  <c r="DS180" i="136" s="1"/>
  <c r="DR178" i="136"/>
  <c r="DR180" i="136" s="1"/>
  <c r="DQ178" i="136"/>
  <c r="DQ180" i="136" s="1"/>
  <c r="DN178" i="136"/>
  <c r="DN180" i="136" s="1"/>
  <c r="DM178" i="136"/>
  <c r="DM180" i="136" s="1"/>
  <c r="DL178" i="136"/>
  <c r="DL180" i="136" s="1"/>
  <c r="DK178" i="136"/>
  <c r="DK180" i="136" s="1"/>
  <c r="DH178" i="136"/>
  <c r="DH180" i="136" s="1"/>
  <c r="DG178" i="136"/>
  <c r="DG180" i="136" s="1"/>
  <c r="DF178" i="136"/>
  <c r="DF180" i="136" s="1"/>
  <c r="DE178" i="136"/>
  <c r="DE180" i="136" s="1"/>
  <c r="DC186" i="136"/>
  <c r="DB186" i="136"/>
  <c r="DA186" i="136"/>
  <c r="CZ186" i="136"/>
  <c r="CY186" i="136"/>
  <c r="DX185" i="136"/>
  <c r="DY185" i="136" s="1"/>
  <c r="DZ185" i="136" s="1"/>
  <c r="EA185" i="136" s="1"/>
  <c r="EC185" i="136" s="1"/>
  <c r="ED185" i="136" s="1"/>
  <c r="EE185" i="136" s="1"/>
  <c r="EF185" i="136" s="1"/>
  <c r="EG185" i="136" s="1"/>
  <c r="EG182" i="136"/>
  <c r="EA182" i="136"/>
  <c r="DU182" i="136"/>
  <c r="DO182" i="136"/>
  <c r="DI182" i="136"/>
  <c r="ED179" i="136"/>
  <c r="ED181" i="136" s="1"/>
  <c r="DZ173" i="136"/>
  <c r="EF170" i="136"/>
  <c r="EF173" i="136" s="1"/>
  <c r="EF175" i="136" s="1"/>
  <c r="EE170" i="136"/>
  <c r="EE173" i="136" s="1"/>
  <c r="EE175" i="136" s="1"/>
  <c r="ED170" i="136"/>
  <c r="ED173" i="136" s="1"/>
  <c r="ED175" i="136" s="1"/>
  <c r="EC170" i="136"/>
  <c r="DE173" i="136"/>
  <c r="EG172" i="136"/>
  <c r="DY173" i="136"/>
  <c r="DY175" i="136" s="1"/>
  <c r="DX173" i="136"/>
  <c r="DW173" i="136"/>
  <c r="DW175" i="136" s="1"/>
  <c r="DT173" i="136"/>
  <c r="DT175" i="136" s="1"/>
  <c r="DS173" i="136"/>
  <c r="DS175" i="136" s="1"/>
  <c r="DR173" i="136"/>
  <c r="DR175" i="136" s="1"/>
  <c r="DQ173" i="136"/>
  <c r="DQ175" i="136" s="1"/>
  <c r="DN173" i="136"/>
  <c r="DN175" i="136" s="1"/>
  <c r="DM173" i="136"/>
  <c r="DM175" i="136" s="1"/>
  <c r="DL173" i="136"/>
  <c r="DL175" i="136" s="1"/>
  <c r="DK173" i="136"/>
  <c r="DH173" i="136"/>
  <c r="DH175" i="136" s="1"/>
  <c r="DG173" i="136"/>
  <c r="DG175" i="136" s="1"/>
  <c r="DF173" i="136"/>
  <c r="DF175" i="136" s="1"/>
  <c r="DB173" i="136"/>
  <c r="DB175" i="136" s="1"/>
  <c r="DA173" i="136"/>
  <c r="DA175" i="136" s="1"/>
  <c r="CZ173" i="136"/>
  <c r="CZ175" i="136" s="1"/>
  <c r="CY173" i="136"/>
  <c r="CV173" i="136"/>
  <c r="CU173" i="136"/>
  <c r="CT173" i="136"/>
  <c r="CS173" i="136"/>
  <c r="EA172" i="136"/>
  <c r="DU172" i="136"/>
  <c r="DO172" i="136"/>
  <c r="DI172" i="136"/>
  <c r="DZ171" i="136"/>
  <c r="DY171" i="136"/>
  <c r="DX171" i="136"/>
  <c r="DW171" i="136"/>
  <c r="DT171" i="136"/>
  <c r="DS171" i="136"/>
  <c r="DR171" i="136"/>
  <c r="DQ171" i="136"/>
  <c r="DN171" i="136"/>
  <c r="DM171" i="136"/>
  <c r="DL171" i="136"/>
  <c r="DK171" i="136"/>
  <c r="DH171" i="136"/>
  <c r="DG171" i="136"/>
  <c r="DF171" i="136"/>
  <c r="DE171" i="136"/>
  <c r="DB171" i="136"/>
  <c r="DA171" i="136"/>
  <c r="CZ171" i="136"/>
  <c r="CY171" i="136"/>
  <c r="EA170" i="136"/>
  <c r="DU170" i="136"/>
  <c r="DO170" i="136"/>
  <c r="DO178" i="136" s="1"/>
  <c r="DI170" i="136"/>
  <c r="DI178" i="136" s="1"/>
  <c r="CW170" i="136"/>
  <c r="CW178" i="136" s="1"/>
  <c r="DC170" i="136"/>
  <c r="DC178" i="136" s="1"/>
  <c r="DB90" i="136"/>
  <c r="DA90" i="136"/>
  <c r="CZ90" i="136"/>
  <c r="CV90" i="136"/>
  <c r="CU90" i="136"/>
  <c r="CT90" i="136"/>
  <c r="CS90" i="136"/>
  <c r="EF125" i="136" l="1"/>
  <c r="EG125" i="136" s="1"/>
  <c r="DC105" i="136"/>
  <c r="DL166" i="136"/>
  <c r="DC99" i="136"/>
  <c r="DS166" i="136"/>
  <c r="DY166" i="136"/>
  <c r="DM166" i="136"/>
  <c r="DZ166" i="136"/>
  <c r="DW166" i="136"/>
  <c r="DX166" i="136"/>
  <c r="DN166" i="136"/>
  <c r="DR166" i="136"/>
  <c r="DQ166" i="136"/>
  <c r="DK166" i="136"/>
  <c r="ED166" i="136"/>
  <c r="EC166" i="136"/>
  <c r="DT166" i="136"/>
  <c r="DZ109" i="136"/>
  <c r="DW109" i="136"/>
  <c r="DX109" i="136"/>
  <c r="CW89" i="136"/>
  <c r="DI89" i="136"/>
  <c r="DC89" i="136"/>
  <c r="DN183" i="136"/>
  <c r="DN184" i="136" s="1"/>
  <c r="DZ183" i="136"/>
  <c r="DZ184" i="136" s="1"/>
  <c r="DI181" i="136"/>
  <c r="DI166" i="136" s="1"/>
  <c r="DT183" i="136"/>
  <c r="DT184" i="136" s="1"/>
  <c r="DW183" i="136"/>
  <c r="DE183" i="136"/>
  <c r="DF183" i="136"/>
  <c r="DF184" i="136" s="1"/>
  <c r="DR183" i="136"/>
  <c r="DR184" i="136" s="1"/>
  <c r="DG183" i="136"/>
  <c r="DG184" i="136" s="1"/>
  <c r="DS183" i="136"/>
  <c r="DS184" i="136" s="1"/>
  <c r="DK183" i="136"/>
  <c r="DH183" i="136"/>
  <c r="DX183" i="136"/>
  <c r="DX184" i="136" s="1"/>
  <c r="DL183" i="136"/>
  <c r="DL184" i="136" s="1"/>
  <c r="DM183" i="136"/>
  <c r="DY183" i="136"/>
  <c r="DY187" i="136" s="1"/>
  <c r="DQ183" i="136"/>
  <c r="DU180" i="136"/>
  <c r="DU181" i="136"/>
  <c r="DO181" i="136"/>
  <c r="DO180" i="136"/>
  <c r="EA180" i="136"/>
  <c r="DI180" i="136"/>
  <c r="CW173" i="136"/>
  <c r="EA181" i="136"/>
  <c r="EG170" i="136"/>
  <c r="EG171" i="136" s="1"/>
  <c r="ED177" i="136"/>
  <c r="ED178" i="136" s="1"/>
  <c r="ED180" i="136" s="1"/>
  <c r="ED183" i="136" s="1"/>
  <c r="EC173" i="136"/>
  <c r="EG173" i="136" s="1"/>
  <c r="EC177" i="136"/>
  <c r="EC178" i="136" s="1"/>
  <c r="EC180" i="136" s="1"/>
  <c r="DO193" i="136"/>
  <c r="DO171" i="136"/>
  <c r="DO173" i="136"/>
  <c r="DO175" i="136" s="1"/>
  <c r="DI193" i="136"/>
  <c r="CZ183" i="136"/>
  <c r="CZ184" i="136" s="1"/>
  <c r="DU171" i="136"/>
  <c r="DI191" i="136"/>
  <c r="DO191" i="136"/>
  <c r="DY195" i="136"/>
  <c r="EA171" i="136"/>
  <c r="DC173" i="136"/>
  <c r="DC175" i="136" s="1"/>
  <c r="EA173" i="136"/>
  <c r="EA175" i="136" s="1"/>
  <c r="ED195" i="136"/>
  <c r="DZ195" i="136"/>
  <c r="DZ175" i="136"/>
  <c r="CY183" i="136"/>
  <c r="EE195" i="136"/>
  <c r="EC195" i="136"/>
  <c r="DU178" i="136"/>
  <c r="DC171" i="136"/>
  <c r="EE179" i="136"/>
  <c r="EE181" i="136" s="1"/>
  <c r="EE166" i="136" s="1"/>
  <c r="DB183" i="136"/>
  <c r="DB184" i="136" s="1"/>
  <c r="EA191" i="136"/>
  <c r="EF195" i="136"/>
  <c r="DA183" i="136"/>
  <c r="DA184" i="136" s="1"/>
  <c r="DI171" i="136"/>
  <c r="DW195" i="136"/>
  <c r="DU191" i="136"/>
  <c r="EA178" i="136"/>
  <c r="EA193" i="136"/>
  <c r="DX195" i="136"/>
  <c r="DU193" i="136"/>
  <c r="DE175" i="136"/>
  <c r="CY175" i="136"/>
  <c r="DX175" i="136"/>
  <c r="DU173" i="136"/>
  <c r="DU175" i="136" s="1"/>
  <c r="DI173" i="136"/>
  <c r="DI175" i="136" s="1"/>
  <c r="DK175" i="136"/>
  <c r="DC90" i="136"/>
  <c r="CW90" i="136"/>
  <c r="DO166" i="136" l="1"/>
  <c r="DU166" i="136"/>
  <c r="EA166" i="136"/>
  <c r="DZ187" i="136"/>
  <c r="EA183" i="136"/>
  <c r="EA184" i="136" s="1"/>
  <c r="DO183" i="136"/>
  <c r="DO184" i="136" s="1"/>
  <c r="DU183" i="136"/>
  <c r="DU184" i="136" s="1"/>
  <c r="DE184" i="136"/>
  <c r="DX187" i="136"/>
  <c r="DQ184" i="136"/>
  <c r="EC175" i="136"/>
  <c r="EC183" i="136"/>
  <c r="EC184" i="136" s="1"/>
  <c r="DM184" i="136"/>
  <c r="DY184" i="136"/>
  <c r="ED184" i="136"/>
  <c r="EG175" i="136"/>
  <c r="EG195" i="136"/>
  <c r="DK184" i="136"/>
  <c r="ED187" i="136"/>
  <c r="EE177" i="136"/>
  <c r="EF179" i="136"/>
  <c r="EF181" i="136" s="1"/>
  <c r="EF166" i="136" s="1"/>
  <c r="DC183" i="136"/>
  <c r="DC184" i="136" s="1"/>
  <c r="CY184" i="136"/>
  <c r="DH184" i="136"/>
  <c r="DW187" i="136"/>
  <c r="DW184" i="136"/>
  <c r="EA195" i="136"/>
  <c r="DI183" i="136"/>
  <c r="DI184" i="136" s="1"/>
  <c r="EC187" i="136" l="1"/>
  <c r="EG181" i="136"/>
  <c r="EG166" i="136" s="1"/>
  <c r="EE178" i="136"/>
  <c r="EE180" i="136" s="1"/>
  <c r="EE183" i="136" s="1"/>
  <c r="EF177" i="136"/>
  <c r="EG177" i="136" s="1"/>
  <c r="EG178" i="136" s="1"/>
  <c r="EG179" i="136"/>
  <c r="EA187" i="136"/>
  <c r="EF178" i="136" l="1"/>
  <c r="EF180" i="136" s="1"/>
  <c r="EE187" i="136"/>
  <c r="EE184" i="136"/>
  <c r="EG180" i="136" l="1"/>
  <c r="EF183" i="136"/>
  <c r="EG183" i="136" s="1"/>
  <c r="EG184" i="136" s="1"/>
  <c r="EF187" i="136" l="1"/>
  <c r="EG187" i="136" s="1"/>
  <c r="EF184" i="136"/>
  <c r="DE58" i="135" l="1"/>
  <c r="DB66" i="135"/>
  <c r="DA66" i="135"/>
  <c r="CZ66" i="135"/>
  <c r="CY66" i="135"/>
  <c r="DC66" i="135" l="1"/>
  <c r="CE31" i="136"/>
  <c r="CE28" i="136"/>
  <c r="CW73" i="134" l="1"/>
  <c r="DF73" i="134"/>
  <c r="DE73" i="134"/>
  <c r="DC73" i="134"/>
  <c r="DB73" i="134"/>
  <c r="DA73" i="134"/>
  <c r="CZ73" i="134"/>
  <c r="CY73" i="134"/>
  <c r="DC87" i="134"/>
  <c r="DB87" i="134"/>
  <c r="DU86" i="134"/>
  <c r="DO86" i="134"/>
  <c r="DU85" i="134"/>
  <c r="DO85" i="134"/>
  <c r="DU84" i="134"/>
  <c r="DO84" i="134"/>
  <c r="DU83" i="134"/>
  <c r="DO83" i="134"/>
  <c r="DU82" i="134"/>
  <c r="DO82" i="134"/>
  <c r="DU81" i="134"/>
  <c r="DO81" i="134"/>
  <c r="DU80" i="134"/>
  <c r="DO80" i="134"/>
  <c r="DU79" i="134"/>
  <c r="DO79" i="134"/>
  <c r="DU78" i="134"/>
  <c r="DO78" i="134"/>
  <c r="DU77" i="134"/>
  <c r="DO77" i="134"/>
  <c r="DU33" i="12" l="1"/>
  <c r="DO33" i="12"/>
  <c r="DI33" i="12"/>
  <c r="M76" i="12"/>
  <c r="G76" i="12"/>
  <c r="I76" i="12"/>
  <c r="K76" i="12"/>
  <c r="E76" i="12"/>
  <c r="S76" i="12"/>
  <c r="Y76" i="12"/>
  <c r="CB363" i="136" l="1"/>
  <c r="CC363" i="136" s="1"/>
  <c r="CD363" i="136" s="1"/>
  <c r="BV363" i="136"/>
  <c r="BW363" i="136" s="1"/>
  <c r="BX363" i="136" s="1"/>
  <c r="CB365" i="136"/>
  <c r="CC365" i="136" s="1"/>
  <c r="CD365" i="136" s="1"/>
  <c r="BV365" i="136"/>
  <c r="BW365" i="136" s="1"/>
  <c r="BX365" i="136" s="1"/>
  <c r="BP365" i="136"/>
  <c r="BQ365" i="136" s="1"/>
  <c r="BR365" i="136" s="1"/>
  <c r="BP363" i="136"/>
  <c r="BQ363" i="136" s="1"/>
  <c r="BR363" i="136" s="1"/>
  <c r="CK364" i="136"/>
  <c r="CK362" i="136"/>
  <c r="BY72" i="134"/>
  <c r="BX72" i="134"/>
  <c r="BW72" i="134"/>
  <c r="BV72" i="134"/>
  <c r="BU72" i="134"/>
  <c r="BY71" i="134"/>
  <c r="BX71" i="134"/>
  <c r="BW71" i="134"/>
  <c r="BV71" i="134"/>
  <c r="BU71" i="134"/>
  <c r="BX70" i="134"/>
  <c r="BW70" i="134"/>
  <c r="BV70" i="134"/>
  <c r="BU70" i="134"/>
  <c r="CE72" i="134"/>
  <c r="CD72" i="134"/>
  <c r="CC72" i="134"/>
  <c r="CB72" i="134"/>
  <c r="CA72" i="134"/>
  <c r="CE71" i="134"/>
  <c r="CD71" i="134"/>
  <c r="CC71" i="134"/>
  <c r="CB71" i="134"/>
  <c r="CA71" i="134"/>
  <c r="CD70" i="134"/>
  <c r="CC70" i="134"/>
  <c r="CB70" i="134"/>
  <c r="CA70" i="134"/>
  <c r="CJ72" i="134"/>
  <c r="CI72" i="134"/>
  <c r="CH72" i="134"/>
  <c r="CG72" i="134"/>
  <c r="CJ71" i="134"/>
  <c r="CI71" i="134"/>
  <c r="CH71" i="134"/>
  <c r="CG71" i="134"/>
  <c r="CJ70" i="134"/>
  <c r="CI70" i="134"/>
  <c r="CH70" i="134"/>
  <c r="CG70" i="134"/>
  <c r="CP72" i="134"/>
  <c r="CO72" i="134"/>
  <c r="CN72" i="134"/>
  <c r="CM72" i="134"/>
  <c r="CP71" i="134"/>
  <c r="CO71" i="134"/>
  <c r="CN71" i="134"/>
  <c r="CM71" i="134"/>
  <c r="CP70" i="134"/>
  <c r="CO70" i="134"/>
  <c r="CN70" i="134"/>
  <c r="CM70" i="134"/>
  <c r="BS19" i="134"/>
  <c r="BS18" i="134"/>
  <c r="CE19" i="134"/>
  <c r="CE18" i="134"/>
  <c r="BY19" i="134"/>
  <c r="BY18" i="134"/>
  <c r="BR357" i="136"/>
  <c r="BQ357" i="136"/>
  <c r="BP357" i="136"/>
  <c r="BO357" i="136"/>
  <c r="BS356" i="136"/>
  <c r="BR356" i="136"/>
  <c r="BQ356" i="136"/>
  <c r="BP356" i="136"/>
  <c r="BO356" i="136"/>
  <c r="BR355" i="136"/>
  <c r="BQ355" i="136"/>
  <c r="BP355" i="136"/>
  <c r="BO355" i="136"/>
  <c r="BR354" i="136"/>
  <c r="BQ354" i="136"/>
  <c r="BP354" i="136"/>
  <c r="BO354" i="136"/>
  <c r="BX357" i="136"/>
  <c r="BW357" i="136"/>
  <c r="BV357" i="136"/>
  <c r="BU357" i="136"/>
  <c r="BX356" i="136"/>
  <c r="BW356" i="136"/>
  <c r="BV356" i="136"/>
  <c r="BU356" i="136"/>
  <c r="BX355" i="136"/>
  <c r="BW355" i="136"/>
  <c r="BV355" i="136"/>
  <c r="BU355" i="136"/>
  <c r="BX354" i="136"/>
  <c r="BW354" i="136"/>
  <c r="BV354" i="136"/>
  <c r="BU354" i="136"/>
  <c r="CE357" i="136"/>
  <c r="CC357" i="136"/>
  <c r="CB357" i="136"/>
  <c r="CA357" i="136"/>
  <c r="CD356" i="136"/>
  <c r="CC356" i="136"/>
  <c r="CB356" i="136"/>
  <c r="CA356" i="136"/>
  <c r="CD355" i="136"/>
  <c r="CC355" i="136"/>
  <c r="CB355" i="136"/>
  <c r="CA355" i="136"/>
  <c r="CE354" i="136"/>
  <c r="CD354" i="136"/>
  <c r="CC354" i="136"/>
  <c r="CB354" i="136"/>
  <c r="CA354" i="136"/>
  <c r="CK357" i="136"/>
  <c r="CI357" i="136"/>
  <c r="CH357" i="136"/>
  <c r="CG357" i="136"/>
  <c r="CJ356" i="136"/>
  <c r="CI356" i="136"/>
  <c r="CH356" i="136"/>
  <c r="CG356" i="136"/>
  <c r="CJ355" i="136"/>
  <c r="CI355" i="136"/>
  <c r="CH355" i="136"/>
  <c r="CG355" i="136"/>
  <c r="CK354" i="136"/>
  <c r="CJ354" i="136"/>
  <c r="CI354" i="136"/>
  <c r="CH354" i="136"/>
  <c r="CG354" i="136"/>
  <c r="CQ357" i="136"/>
  <c r="CO357" i="136"/>
  <c r="CN357" i="136"/>
  <c r="CM357" i="136"/>
  <c r="CQ356" i="136"/>
  <c r="CP356" i="136"/>
  <c r="CO356" i="136"/>
  <c r="CN356" i="136"/>
  <c r="CM356" i="136"/>
  <c r="CQ355" i="136"/>
  <c r="CO355" i="136"/>
  <c r="CN355" i="136"/>
  <c r="CM355" i="136"/>
  <c r="CQ354" i="136"/>
  <c r="CO354" i="136"/>
  <c r="CN354" i="136"/>
  <c r="CM354" i="136"/>
  <c r="BR31" i="136"/>
  <c r="BQ31" i="136"/>
  <c r="BP31" i="136"/>
  <c r="BO31" i="136"/>
  <c r="BX31" i="136"/>
  <c r="BW31" i="136"/>
  <c r="BV31" i="136"/>
  <c r="BU31" i="136"/>
  <c r="CC31" i="136"/>
  <c r="CB31" i="136"/>
  <c r="CA31" i="136"/>
  <c r="CK31" i="136"/>
  <c r="CI31" i="136"/>
  <c r="CH31" i="136"/>
  <c r="CG31" i="136"/>
  <c r="CQ31" i="136"/>
  <c r="CO31" i="136"/>
  <c r="CN31" i="136"/>
  <c r="CM31" i="136"/>
  <c r="CJ318" i="136"/>
  <c r="CJ31" i="136" s="1"/>
  <c r="BR319" i="136"/>
  <c r="BX325" i="136" s="1"/>
  <c r="BX324" i="136" s="1"/>
  <c r="BX321" i="136" s="1"/>
  <c r="BQ319" i="136"/>
  <c r="BW325" i="136" s="1"/>
  <c r="BW324" i="136" s="1"/>
  <c r="BW321" i="136" s="1"/>
  <c r="BP319" i="136"/>
  <c r="BV325" i="136" s="1"/>
  <c r="BV324" i="136" s="1"/>
  <c r="BV321" i="136" s="1"/>
  <c r="BO319" i="136"/>
  <c r="BU325" i="136" s="1"/>
  <c r="BU324" i="136" s="1"/>
  <c r="BU321" i="136" s="1"/>
  <c r="BS318" i="136"/>
  <c r="BS357" i="136" s="1"/>
  <c r="BY318" i="136"/>
  <c r="BY357" i="136" s="1"/>
  <c r="CK220" i="136"/>
  <c r="CK356" i="136" s="1"/>
  <c r="CE220" i="136"/>
  <c r="BY220" i="136"/>
  <c r="BY356" i="136" s="1"/>
  <c r="CE319" i="136"/>
  <c r="DB319" i="136"/>
  <c r="DA319" i="136"/>
  <c r="DG322" i="136" s="1"/>
  <c r="DG326" i="136" s="1"/>
  <c r="DG325" i="136" s="1"/>
  <c r="DG324" i="136" s="1"/>
  <c r="CZ319" i="136"/>
  <c r="CY319" i="136"/>
  <c r="CV319" i="136"/>
  <c r="DB325" i="136" s="1"/>
  <c r="DB324" i="136" s="1"/>
  <c r="DB321" i="136" s="1"/>
  <c r="CU319" i="136"/>
  <c r="DA325" i="136" s="1"/>
  <c r="DA324" i="136" s="1"/>
  <c r="DA321" i="136" s="1"/>
  <c r="CT319" i="136"/>
  <c r="CZ325" i="136" s="1"/>
  <c r="CZ324" i="136" s="1"/>
  <c r="CZ321" i="136" s="1"/>
  <c r="CS319" i="136"/>
  <c r="CY325" i="136" s="1"/>
  <c r="CY324" i="136" s="1"/>
  <c r="CK319" i="136"/>
  <c r="CK328" i="136"/>
  <c r="CK327" i="136"/>
  <c r="CE328" i="136"/>
  <c r="CE327" i="136"/>
  <c r="BY328" i="136"/>
  <c r="BY327" i="136"/>
  <c r="DG321" i="136" l="1"/>
  <c r="DF325" i="136"/>
  <c r="DF324" i="136" s="1"/>
  <c r="DF321" i="136" s="1"/>
  <c r="DF322" i="136"/>
  <c r="DE325" i="136"/>
  <c r="DE324" i="136" s="1"/>
  <c r="DE321" i="136" s="1"/>
  <c r="DE322" i="136"/>
  <c r="CY321" i="136"/>
  <c r="CE356" i="136"/>
  <c r="CE30" i="136"/>
  <c r="BY31" i="136"/>
  <c r="BS319" i="136"/>
  <c r="BY325" i="136" s="1"/>
  <c r="BY324" i="136" s="1"/>
  <c r="BY321" i="136" s="1"/>
  <c r="CJ357" i="136"/>
  <c r="BS31" i="136"/>
  <c r="CK325" i="136"/>
  <c r="CK324" i="136" s="1"/>
  <c r="CK321" i="136" s="1"/>
  <c r="CK322" i="136" l="1"/>
  <c r="CK326" i="136" s="1"/>
  <c r="CH34" i="136"/>
  <c r="CI34" i="136" s="1"/>
  <c r="CB34" i="136"/>
  <c r="BV34" i="136"/>
  <c r="BP34" i="136"/>
  <c r="BQ34" i="136" s="1"/>
  <c r="BR34" i="136" s="1"/>
  <c r="CV29" i="136"/>
  <c r="CU29" i="136"/>
  <c r="CT29" i="136"/>
  <c r="CS29" i="136"/>
  <c r="CQ29" i="136"/>
  <c r="CO29" i="136"/>
  <c r="CN29" i="136"/>
  <c r="CM29" i="136"/>
  <c r="CJ29" i="136"/>
  <c r="CI29" i="136"/>
  <c r="CH29" i="136"/>
  <c r="CG29" i="136"/>
  <c r="CD29" i="136"/>
  <c r="CC29" i="136"/>
  <c r="CB29" i="136"/>
  <c r="CA29" i="136"/>
  <c r="BX29" i="136"/>
  <c r="BW29" i="136"/>
  <c r="BV29" i="136"/>
  <c r="BU29" i="136"/>
  <c r="CV28" i="136"/>
  <c r="CU28" i="136"/>
  <c r="CT28" i="136"/>
  <c r="CS28" i="136"/>
  <c r="CQ28" i="136"/>
  <c r="CO28" i="136"/>
  <c r="CN28" i="136"/>
  <c r="CM28" i="136"/>
  <c r="CK28" i="136"/>
  <c r="CJ28" i="136"/>
  <c r="CI28" i="136"/>
  <c r="CH28" i="136"/>
  <c r="CG28" i="136"/>
  <c r="CD28" i="136"/>
  <c r="CC28" i="136"/>
  <c r="CB28" i="136"/>
  <c r="CA28" i="136"/>
  <c r="BX28" i="136"/>
  <c r="BW28" i="136"/>
  <c r="BV28" i="136"/>
  <c r="BU28" i="136"/>
  <c r="BR29" i="136"/>
  <c r="BQ29" i="136"/>
  <c r="BP29" i="136"/>
  <c r="BR28" i="136"/>
  <c r="BQ28" i="136"/>
  <c r="BP28" i="136"/>
  <c r="BO28" i="136"/>
  <c r="BO29" i="136"/>
  <c r="DC162" i="136"/>
  <c r="CW162" i="136"/>
  <c r="DB162" i="136"/>
  <c r="DA162" i="136"/>
  <c r="CN164" i="136"/>
  <c r="CJ164" i="136"/>
  <c r="CI164" i="136"/>
  <c r="CH164" i="136"/>
  <c r="CG164" i="136"/>
  <c r="CW87" i="136"/>
  <c r="CP154" i="136"/>
  <c r="CK154" i="136"/>
  <c r="CK355" i="136" s="1"/>
  <c r="CE154" i="136"/>
  <c r="BY154" i="136"/>
  <c r="BY355" i="136" s="1"/>
  <c r="BS154" i="136"/>
  <c r="BS355" i="136" s="1"/>
  <c r="BY77" i="136"/>
  <c r="CP77" i="136"/>
  <c r="CP354" i="136" s="1"/>
  <c r="BS77" i="136"/>
  <c r="BS354" i="136" s="1"/>
  <c r="DC87" i="136"/>
  <c r="DC86" i="136"/>
  <c r="DB85" i="136"/>
  <c r="DC77" i="136"/>
  <c r="DC70" i="136"/>
  <c r="DI72" i="136" l="1"/>
  <c r="DI71" i="136"/>
  <c r="DI73" i="136"/>
  <c r="DC78" i="136"/>
  <c r="CE355" i="136"/>
  <c r="CE29" i="136"/>
  <c r="CK29" i="136"/>
  <c r="BY29" i="136"/>
  <c r="BS29" i="136"/>
  <c r="CP355" i="136"/>
  <c r="CP29" i="136"/>
  <c r="BY354" i="136"/>
  <c r="CP28" i="136"/>
  <c r="BS28" i="136"/>
  <c r="BY28" i="136"/>
  <c r="CJ34" i="136"/>
  <c r="CK34" i="136" s="1"/>
  <c r="CC34" i="136"/>
  <c r="BW34" i="136"/>
  <c r="BS34" i="136"/>
  <c r="BX34" i="136" l="1"/>
  <c r="CD34" i="136"/>
  <c r="CE34" i="136" s="1"/>
  <c r="BY34" i="136" l="1"/>
  <c r="BU230" i="136" l="1"/>
  <c r="CV230" i="136" l="1"/>
  <c r="CU230" i="136"/>
  <c r="CU387" i="136" s="1"/>
  <c r="CT230" i="136"/>
  <c r="CT387" i="136" s="1"/>
  <c r="CS229" i="136"/>
  <c r="CW228" i="136"/>
  <c r="CW230" i="136" s="1"/>
  <c r="CQ228" i="136"/>
  <c r="CK230" i="136"/>
  <c r="CE230" i="136"/>
  <c r="BY230" i="136"/>
  <c r="CQ229" i="136"/>
  <c r="BS230" i="136"/>
  <c r="BS228" i="136" s="1"/>
  <c r="CS230" i="136" l="1"/>
  <c r="CS387" i="136" s="1"/>
  <c r="CS385" i="136"/>
  <c r="AM84" i="138"/>
  <c r="AL84" i="138"/>
  <c r="BL16" i="138"/>
  <c r="BJ16" i="138"/>
  <c r="BI16" i="138"/>
  <c r="BK16" i="138"/>
  <c r="AO16" i="138"/>
  <c r="AS16" i="138"/>
  <c r="AY16" i="138"/>
  <c r="AZ16" i="138"/>
  <c r="AQ16" i="138"/>
  <c r="M25" i="136"/>
  <c r="N25" i="136"/>
  <c r="O25" i="136"/>
  <c r="P25" i="136"/>
  <c r="CV38" i="138"/>
  <c r="CU38" i="138"/>
  <c r="CT38" i="138"/>
  <c r="CS38" i="138"/>
  <c r="CP38" i="138"/>
  <c r="CO38" i="138"/>
  <c r="CN38" i="138"/>
  <c r="CM38" i="138"/>
  <c r="CK38" i="138"/>
  <c r="CJ38" i="138"/>
  <c r="CI38" i="138"/>
  <c r="CH38" i="138"/>
  <c r="CG38" i="138"/>
  <c r="CE38" i="138"/>
  <c r="CD38" i="138"/>
  <c r="CC38" i="138"/>
  <c r="CB38" i="138"/>
  <c r="CA38" i="138"/>
  <c r="BY38" i="138"/>
  <c r="BX38" i="138"/>
  <c r="BW38" i="138"/>
  <c r="BV38" i="138"/>
  <c r="BU38" i="138"/>
  <c r="BS38" i="138"/>
  <c r="BR38" i="138"/>
  <c r="BQ38" i="138"/>
  <c r="BP38" i="138"/>
  <c r="BO38" i="138"/>
  <c r="BM38" i="138"/>
  <c r="BL38" i="138"/>
  <c r="BK38" i="138"/>
  <c r="BJ38" i="138"/>
  <c r="BI38" i="138"/>
  <c r="BG38" i="138"/>
  <c r="BF38" i="138"/>
  <c r="BE38" i="138"/>
  <c r="BD38" i="138"/>
  <c r="BC38" i="138"/>
  <c r="BA38" i="138"/>
  <c r="AZ38" i="138"/>
  <c r="AY38" i="138"/>
  <c r="AX38" i="138"/>
  <c r="AW38" i="138"/>
  <c r="AU38" i="138"/>
  <c r="AT38" i="138"/>
  <c r="AS38" i="138"/>
  <c r="AR38" i="138"/>
  <c r="AQ38" i="138"/>
  <c r="AO38" i="138"/>
  <c r="AN38" i="138"/>
  <c r="AM38" i="138"/>
  <c r="AL38" i="138"/>
  <c r="AK38" i="138"/>
  <c r="AI38" i="138"/>
  <c r="AH38" i="138"/>
  <c r="AG38" i="138"/>
  <c r="AF38" i="138"/>
  <c r="AE38" i="138"/>
  <c r="CU37" i="138"/>
  <c r="CT37" i="138"/>
  <c r="CS37" i="138"/>
  <c r="CO37" i="138"/>
  <c r="CN37" i="138"/>
  <c r="CM37" i="138"/>
  <c r="CI37" i="138"/>
  <c r="CH37" i="138"/>
  <c r="CG37" i="138"/>
  <c r="CC37" i="138"/>
  <c r="CB37" i="138"/>
  <c r="CA37" i="138"/>
  <c r="BW37" i="138"/>
  <c r="BV37" i="138"/>
  <c r="BU37" i="138"/>
  <c r="BR37" i="138"/>
  <c r="BQ37" i="138"/>
  <c r="BP37" i="138"/>
  <c r="BO37" i="138"/>
  <c r="BM37" i="138"/>
  <c r="BL37" i="138"/>
  <c r="BK37" i="138"/>
  <c r="BJ37" i="138"/>
  <c r="BI37" i="138"/>
  <c r="AT37" i="138"/>
  <c r="AS37" i="138"/>
  <c r="AR37" i="138"/>
  <c r="AQ37" i="138"/>
  <c r="AN37" i="138"/>
  <c r="AM37" i="138"/>
  <c r="AL37" i="138"/>
  <c r="AK37" i="138"/>
  <c r="AI37" i="138"/>
  <c r="AH37" i="138"/>
  <c r="AG37" i="138"/>
  <c r="AF37" i="138"/>
  <c r="AE37" i="138"/>
  <c r="BM36" i="138"/>
  <c r="BG36" i="138"/>
  <c r="BF36" i="138"/>
  <c r="BE36" i="138"/>
  <c r="BD36" i="138"/>
  <c r="BC36" i="138"/>
  <c r="BA36" i="138"/>
  <c r="AZ36" i="138"/>
  <c r="AY36" i="138"/>
  <c r="AX36" i="138"/>
  <c r="AW36" i="138"/>
  <c r="AT36" i="138"/>
  <c r="AS36" i="138"/>
  <c r="AR36" i="138"/>
  <c r="AQ36" i="138"/>
  <c r="AO36" i="138"/>
  <c r="AN36" i="138"/>
  <c r="AM36" i="138"/>
  <c r="AL36" i="138"/>
  <c r="AK36" i="138"/>
  <c r="AI36" i="138"/>
  <c r="AH36" i="138"/>
  <c r="AG36" i="138"/>
  <c r="AF36" i="138"/>
  <c r="AE36" i="138"/>
  <c r="BF35" i="138"/>
  <c r="BE35" i="138"/>
  <c r="BD35" i="138"/>
  <c r="BC35" i="138"/>
  <c r="AZ35" i="138"/>
  <c r="AY35" i="138"/>
  <c r="AX35" i="138"/>
  <c r="AW35" i="138"/>
  <c r="AT35" i="138"/>
  <c r="AS35" i="138"/>
  <c r="AR35" i="138"/>
  <c r="AQ35" i="138"/>
  <c r="AO35" i="138"/>
  <c r="AN35" i="138"/>
  <c r="AM35" i="138"/>
  <c r="AL35" i="138"/>
  <c r="AK35" i="138"/>
  <c r="AI35" i="138"/>
  <c r="AH35" i="138"/>
  <c r="AG35" i="138"/>
  <c r="AF35" i="138"/>
  <c r="AE35" i="138"/>
  <c r="AC38" i="138"/>
  <c r="AC45" i="138" s="1"/>
  <c r="AB38" i="138"/>
  <c r="AB45" i="138" s="1"/>
  <c r="AA38" i="138"/>
  <c r="AA45" i="138" s="1"/>
  <c r="Z38" i="138"/>
  <c r="Y38" i="138"/>
  <c r="AC37" i="138"/>
  <c r="AC44" i="138" s="1"/>
  <c r="AB37" i="138"/>
  <c r="AB44" i="138" s="1"/>
  <c r="AA37" i="138"/>
  <c r="AA44" i="138" s="1"/>
  <c r="Z37" i="138"/>
  <c r="Y37" i="138"/>
  <c r="Y44" i="138" s="1"/>
  <c r="AC36" i="138"/>
  <c r="AC43" i="138" s="1"/>
  <c r="AB36" i="138"/>
  <c r="AB43" i="138" s="1"/>
  <c r="AA36" i="138"/>
  <c r="AA43" i="138" s="1"/>
  <c r="Z36" i="138"/>
  <c r="Z43" i="138" s="1"/>
  <c r="Y36" i="138"/>
  <c r="Y43" i="138" s="1"/>
  <c r="AC35" i="138"/>
  <c r="AC42" i="138" s="1"/>
  <c r="AB35" i="138"/>
  <c r="AB42" i="138" s="1"/>
  <c r="AA35" i="138"/>
  <c r="AA42" i="138" s="1"/>
  <c r="Z35" i="138"/>
  <c r="Z42" i="138" s="1"/>
  <c r="Y35" i="138"/>
  <c r="Y42" i="138" s="1"/>
  <c r="BM16" i="138"/>
  <c r="BF16" i="138"/>
  <c r="BE16" i="138"/>
  <c r="BD16" i="138"/>
  <c r="AW16" i="138"/>
  <c r="AU16" i="138"/>
  <c r="AT16" i="138"/>
  <c r="AR16" i="138"/>
  <c r="AM16" i="138"/>
  <c r="AL16" i="138"/>
  <c r="CP15" i="138"/>
  <c r="CO15" i="138"/>
  <c r="CN15" i="138"/>
  <c r="CM15" i="138"/>
  <c r="CK15" i="138"/>
  <c r="CJ15" i="138"/>
  <c r="CI15" i="138"/>
  <c r="CH15" i="138"/>
  <c r="CG15" i="138"/>
  <c r="CE15" i="138"/>
  <c r="CD15" i="138"/>
  <c r="CC15" i="138"/>
  <c r="CB15" i="138"/>
  <c r="CA15" i="138"/>
  <c r="BY15" i="138"/>
  <c r="BX15" i="138"/>
  <c r="BW15" i="138"/>
  <c r="BV15" i="138"/>
  <c r="BU15" i="138"/>
  <c r="BS15" i="138"/>
  <c r="BR15" i="138"/>
  <c r="BQ15" i="138"/>
  <c r="BP15" i="138"/>
  <c r="BO15" i="138"/>
  <c r="BM15" i="138"/>
  <c r="BL15" i="138"/>
  <c r="BK15" i="138"/>
  <c r="BJ15" i="138"/>
  <c r="BI15" i="138"/>
  <c r="BG15" i="138"/>
  <c r="BF15" i="138"/>
  <c r="BE15" i="138"/>
  <c r="BD15" i="138"/>
  <c r="BC15" i="138"/>
  <c r="BA15" i="138"/>
  <c r="AZ15" i="138"/>
  <c r="AY15" i="138"/>
  <c r="AX15" i="138"/>
  <c r="AW15" i="138"/>
  <c r="AU15" i="138"/>
  <c r="AT15" i="138"/>
  <c r="AS15" i="138"/>
  <c r="AR15" i="138"/>
  <c r="AQ15" i="138"/>
  <c r="AO15" i="138"/>
  <c r="AN15" i="138"/>
  <c r="AM15" i="138"/>
  <c r="AL15" i="138"/>
  <c r="AK15" i="138"/>
  <c r="AI15" i="138"/>
  <c r="AH15" i="138"/>
  <c r="AG15" i="138"/>
  <c r="AF15" i="138"/>
  <c r="AE15" i="138"/>
  <c r="AC15" i="138"/>
  <c r="AB15" i="138"/>
  <c r="AA15" i="138"/>
  <c r="Z15" i="138"/>
  <c r="Y15" i="138"/>
  <c r="CP14" i="138"/>
  <c r="CO14" i="138"/>
  <c r="CN14" i="138"/>
  <c r="CM14" i="138"/>
  <c r="CK14" i="138"/>
  <c r="CJ14" i="138"/>
  <c r="CI14" i="138"/>
  <c r="CH14" i="138"/>
  <c r="CG14" i="138"/>
  <c r="CE14" i="138"/>
  <c r="CD14" i="138"/>
  <c r="CC14" i="138"/>
  <c r="CB14" i="138"/>
  <c r="CA14" i="138"/>
  <c r="BY14" i="138"/>
  <c r="BX14" i="138"/>
  <c r="BW14" i="138"/>
  <c r="BV14" i="138"/>
  <c r="BU14" i="138"/>
  <c r="BS14" i="138"/>
  <c r="BR14" i="138"/>
  <c r="BQ14" i="138"/>
  <c r="BP14" i="138"/>
  <c r="BO14" i="138"/>
  <c r="BM14" i="138"/>
  <c r="BL14" i="138"/>
  <c r="BK14" i="138"/>
  <c r="BJ14" i="138"/>
  <c r="BI14" i="138"/>
  <c r="BG14" i="138"/>
  <c r="BA14" i="138"/>
  <c r="AU14" i="138"/>
  <c r="AT14" i="138"/>
  <c r="AS14" i="138"/>
  <c r="AR14" i="138"/>
  <c r="AQ14" i="138"/>
  <c r="AO14" i="138"/>
  <c r="AN14" i="138"/>
  <c r="AM14" i="138"/>
  <c r="AL14" i="138"/>
  <c r="AK14" i="138"/>
  <c r="AI14" i="138"/>
  <c r="AH14" i="138"/>
  <c r="AG14" i="138"/>
  <c r="AF14" i="138"/>
  <c r="AE14" i="138"/>
  <c r="AC14" i="138"/>
  <c r="AB14" i="138"/>
  <c r="AA14" i="138"/>
  <c r="Z14" i="138"/>
  <c r="Y14" i="138"/>
  <c r="CP12" i="138"/>
  <c r="CO12" i="138"/>
  <c r="CN12" i="138"/>
  <c r="CM12" i="138"/>
  <c r="CJ12" i="138"/>
  <c r="CI12" i="138"/>
  <c r="CH12" i="138"/>
  <c r="CG12" i="138"/>
  <c r="CD12" i="138"/>
  <c r="CC12" i="138"/>
  <c r="CB12" i="138"/>
  <c r="CA12" i="138"/>
  <c r="BX12" i="138"/>
  <c r="BW12" i="138"/>
  <c r="BV12" i="138"/>
  <c r="BU12" i="138"/>
  <c r="BR12" i="138"/>
  <c r="BQ12" i="138"/>
  <c r="BP12" i="138"/>
  <c r="BO12" i="138"/>
  <c r="BM12" i="138"/>
  <c r="BG12" i="138"/>
  <c r="BF12" i="138"/>
  <c r="BE12" i="138"/>
  <c r="BD12" i="138"/>
  <c r="BC12" i="138"/>
  <c r="BA12" i="138"/>
  <c r="AZ12" i="138"/>
  <c r="AY12" i="138"/>
  <c r="AX12" i="138"/>
  <c r="AW12" i="138"/>
  <c r="AU12" i="138"/>
  <c r="AT12" i="138"/>
  <c r="AS12" i="138"/>
  <c r="AR12" i="138"/>
  <c r="AQ12" i="138"/>
  <c r="AO12" i="138"/>
  <c r="AN12" i="138"/>
  <c r="AM12" i="138"/>
  <c r="AL12" i="138"/>
  <c r="AK12" i="138"/>
  <c r="AI12" i="138"/>
  <c r="AH12" i="138"/>
  <c r="AG12" i="138"/>
  <c r="AF12" i="138"/>
  <c r="AE12" i="138"/>
  <c r="AC12" i="138"/>
  <c r="AB12" i="138"/>
  <c r="AA12" i="138"/>
  <c r="Z12" i="138"/>
  <c r="Y12" i="138"/>
  <c r="CP11" i="138"/>
  <c r="CO11" i="138"/>
  <c r="CN11" i="138"/>
  <c r="CM11" i="138"/>
  <c r="CJ11" i="138"/>
  <c r="CI11" i="138"/>
  <c r="CH11" i="138"/>
  <c r="CG11" i="138"/>
  <c r="CD11" i="138"/>
  <c r="CC11" i="138"/>
  <c r="CB11" i="138"/>
  <c r="CA11" i="138"/>
  <c r="BX11" i="138"/>
  <c r="BW11" i="138"/>
  <c r="BV11" i="138"/>
  <c r="BU11" i="138"/>
  <c r="BR11" i="138"/>
  <c r="BQ11" i="138"/>
  <c r="BP11" i="138"/>
  <c r="BO11" i="138"/>
  <c r="BM11" i="138"/>
  <c r="BG11" i="138"/>
  <c r="BF11" i="138"/>
  <c r="BE11" i="138"/>
  <c r="BD11" i="138"/>
  <c r="BC11" i="138"/>
  <c r="BA11" i="138"/>
  <c r="AZ11" i="138"/>
  <c r="AY11" i="138"/>
  <c r="AX11" i="138"/>
  <c r="AW11" i="138"/>
  <c r="AU11" i="138"/>
  <c r="AT11" i="138"/>
  <c r="AS11" i="138"/>
  <c r="AR11" i="138"/>
  <c r="AQ11" i="138"/>
  <c r="AO11" i="138"/>
  <c r="AN11" i="138"/>
  <c r="AM11" i="138"/>
  <c r="AL11" i="138"/>
  <c r="AK11" i="138"/>
  <c r="AI11" i="138"/>
  <c r="AH11" i="138"/>
  <c r="AG11" i="138"/>
  <c r="AF11" i="138"/>
  <c r="AE11" i="138"/>
  <c r="AC11" i="138"/>
  <c r="AB11" i="138"/>
  <c r="AA11" i="138"/>
  <c r="Z11" i="138"/>
  <c r="Y11" i="138"/>
  <c r="W15" i="138"/>
  <c r="V15" i="138"/>
  <c r="U15" i="138"/>
  <c r="T15" i="138"/>
  <c r="S15" i="138"/>
  <c r="W14" i="138"/>
  <c r="V14" i="138"/>
  <c r="U14" i="138"/>
  <c r="T14" i="138"/>
  <c r="S14" i="138"/>
  <c r="W12" i="138"/>
  <c r="V12" i="138"/>
  <c r="U12" i="138"/>
  <c r="T12" i="138"/>
  <c r="S12" i="138"/>
  <c r="W11" i="138"/>
  <c r="V11" i="138"/>
  <c r="U11" i="138"/>
  <c r="T11" i="138"/>
  <c r="S11" i="138"/>
  <c r="AF19" i="136"/>
  <c r="AF16" i="138" s="1"/>
  <c r="AE19" i="136"/>
  <c r="AE16" i="138" s="1"/>
  <c r="AO146" i="136"/>
  <c r="AU36" i="138" s="1"/>
  <c r="AI19" i="136"/>
  <c r="AH19" i="136"/>
  <c r="AH16" i="138" s="1"/>
  <c r="AG19" i="136"/>
  <c r="AG16" i="138" s="1"/>
  <c r="AC22" i="136"/>
  <c r="AB22" i="136"/>
  <c r="AA22" i="136"/>
  <c r="Z22" i="136"/>
  <c r="Y22" i="136"/>
  <c r="AC21" i="136"/>
  <c r="AB21" i="136"/>
  <c r="AA21" i="136"/>
  <c r="Z21" i="136"/>
  <c r="Y21" i="136"/>
  <c r="AC19" i="136"/>
  <c r="AC16" i="138" s="1"/>
  <c r="AB19" i="136"/>
  <c r="AB16" i="138" s="1"/>
  <c r="AA19" i="136"/>
  <c r="AA16" i="138" s="1"/>
  <c r="Z19" i="136"/>
  <c r="Z16" i="138" s="1"/>
  <c r="Y19" i="136"/>
  <c r="Y16" i="138" s="1"/>
  <c r="W23" i="136"/>
  <c r="V23" i="136"/>
  <c r="U23" i="136"/>
  <c r="T23" i="136"/>
  <c r="S23" i="136"/>
  <c r="W22" i="136"/>
  <c r="V22" i="136"/>
  <c r="U22" i="136"/>
  <c r="T22" i="136"/>
  <c r="S22" i="136"/>
  <c r="W21" i="136"/>
  <c r="V21" i="136"/>
  <c r="U21" i="136"/>
  <c r="T21" i="136"/>
  <c r="S21" i="136"/>
  <c r="W19" i="136"/>
  <c r="W16" i="138" s="1"/>
  <c r="V19" i="136"/>
  <c r="V16" i="138" s="1"/>
  <c r="U19" i="136"/>
  <c r="U16" i="138" s="1"/>
  <c r="T19" i="136"/>
  <c r="T16" i="138" s="1"/>
  <c r="S19" i="136"/>
  <c r="S16" i="138" s="1"/>
  <c r="CP107" i="138"/>
  <c r="CO107" i="138"/>
  <c r="CN107" i="138"/>
  <c r="CM107" i="138"/>
  <c r="CJ107" i="138"/>
  <c r="CI107" i="138"/>
  <c r="CH107" i="138"/>
  <c r="CG107" i="138"/>
  <c r="CD107" i="138"/>
  <c r="CC107" i="138"/>
  <c r="CB107" i="138"/>
  <c r="CA107" i="138"/>
  <c r="BX107" i="138"/>
  <c r="BW107" i="138"/>
  <c r="BV107" i="138"/>
  <c r="BU107" i="138"/>
  <c r="BR107" i="138"/>
  <c r="BQ107" i="138"/>
  <c r="BP107" i="138"/>
  <c r="BO107" i="138"/>
  <c r="BF107" i="138"/>
  <c r="BE107" i="138"/>
  <c r="BD107" i="138"/>
  <c r="BC107" i="138"/>
  <c r="AZ107" i="138"/>
  <c r="AY107" i="138"/>
  <c r="AX107" i="138"/>
  <c r="AW107" i="138"/>
  <c r="BL104" i="138"/>
  <c r="BK104" i="138"/>
  <c r="BJ104" i="138"/>
  <c r="BI104" i="138"/>
  <c r="BL103" i="138"/>
  <c r="BK103" i="138"/>
  <c r="BJ103" i="138"/>
  <c r="BP103" i="138" s="1"/>
  <c r="BI103" i="138"/>
  <c r="BG103" i="138"/>
  <c r="BA103" i="138"/>
  <c r="AU103" i="138"/>
  <c r="AO103" i="138"/>
  <c r="CP114" i="138"/>
  <c r="CO114" i="138"/>
  <c r="CN114" i="138"/>
  <c r="CM114" i="138"/>
  <c r="CJ114" i="138"/>
  <c r="CI114" i="138"/>
  <c r="CH114" i="138"/>
  <c r="CG114" i="138"/>
  <c r="CD114" i="138"/>
  <c r="CC114" i="138"/>
  <c r="CB114" i="138"/>
  <c r="CA114" i="138"/>
  <c r="BX114" i="138"/>
  <c r="BW114" i="138"/>
  <c r="BV114" i="138"/>
  <c r="BU114" i="138"/>
  <c r="BR114" i="138"/>
  <c r="BQ114" i="138"/>
  <c r="BP114" i="138"/>
  <c r="BO114" i="138"/>
  <c r="BG114" i="138"/>
  <c r="BF114" i="138"/>
  <c r="BE114" i="138"/>
  <c r="BD114" i="138"/>
  <c r="BC114" i="138"/>
  <c r="BA114" i="138"/>
  <c r="AZ114" i="138"/>
  <c r="AY114" i="138"/>
  <c r="AX114" i="138"/>
  <c r="AW114" i="138"/>
  <c r="AT114" i="138"/>
  <c r="AS114" i="138"/>
  <c r="AR114" i="138"/>
  <c r="AQ114" i="138"/>
  <c r="AN114" i="138"/>
  <c r="AM114" i="138"/>
  <c r="AL114" i="138"/>
  <c r="AK114" i="138"/>
  <c r="BL111" i="138"/>
  <c r="BK111" i="138"/>
  <c r="BJ111" i="138"/>
  <c r="BI111" i="138"/>
  <c r="BL110" i="138"/>
  <c r="BK110" i="138"/>
  <c r="BJ110" i="138"/>
  <c r="BI110" i="138"/>
  <c r="AO110" i="138"/>
  <c r="AO114" i="138" s="1"/>
  <c r="CJ75" i="136"/>
  <c r="CI75" i="136"/>
  <c r="CH75" i="136"/>
  <c r="CG75" i="136"/>
  <c r="CD75" i="136"/>
  <c r="CC75" i="136"/>
  <c r="CB75" i="136"/>
  <c r="CA75" i="136"/>
  <c r="BX75" i="136"/>
  <c r="BW75" i="136"/>
  <c r="BV75" i="136"/>
  <c r="BU75" i="136"/>
  <c r="BR75" i="136"/>
  <c r="BQ75" i="136"/>
  <c r="BP75" i="136"/>
  <c r="BO75" i="136"/>
  <c r="BL71" i="136"/>
  <c r="BL35" i="138" s="1"/>
  <c r="BK71" i="136"/>
  <c r="BK11" i="138" s="1"/>
  <c r="BJ71" i="136"/>
  <c r="BJ11" i="138" s="1"/>
  <c r="BI71" i="136"/>
  <c r="BI11" i="138" s="1"/>
  <c r="BL70" i="136"/>
  <c r="BK70" i="136"/>
  <c r="BJ70" i="136"/>
  <c r="BI70" i="136"/>
  <c r="CJ152" i="136"/>
  <c r="CI152" i="136"/>
  <c r="CH152" i="136"/>
  <c r="CG152" i="136"/>
  <c r="CD152" i="136"/>
  <c r="CC152" i="136"/>
  <c r="CB152" i="136"/>
  <c r="CA152" i="136"/>
  <c r="BX152" i="136"/>
  <c r="BW152" i="136"/>
  <c r="BV152" i="136"/>
  <c r="BU152" i="136"/>
  <c r="BR152" i="136"/>
  <c r="BQ152" i="136"/>
  <c r="BP152" i="136"/>
  <c r="BO152" i="136"/>
  <c r="BL147" i="136"/>
  <c r="BL36" i="138" s="1"/>
  <c r="BK147" i="136"/>
  <c r="BK36" i="138" s="1"/>
  <c r="BJ147" i="136"/>
  <c r="BJ36" i="138" s="1"/>
  <c r="BI147" i="136"/>
  <c r="BI36" i="138" s="1"/>
  <c r="BL146" i="136"/>
  <c r="BR146" i="136" s="1"/>
  <c r="BK146" i="136"/>
  <c r="BJ146" i="136"/>
  <c r="BP36" i="138" s="1"/>
  <c r="BI146" i="136"/>
  <c r="BM213" i="136"/>
  <c r="BS258" i="136" s="1"/>
  <c r="CK54" i="138" l="1"/>
  <c r="CO54" i="138"/>
  <c r="CJ54" i="138"/>
  <c r="CJ61" i="138" s="1"/>
  <c r="CG54" i="138"/>
  <c r="CG61" i="138" s="1"/>
  <c r="CP54" i="138"/>
  <c r="CM54" i="138"/>
  <c r="CH54" i="138"/>
  <c r="CH61" i="138" s="1"/>
  <c r="CN54" i="138"/>
  <c r="CI54" i="138"/>
  <c r="CI61" i="138" s="1"/>
  <c r="BM275" i="136"/>
  <c r="BM274" i="136"/>
  <c r="BS37" i="138"/>
  <c r="BS234" i="136"/>
  <c r="BS243" i="136"/>
  <c r="BS252" i="136"/>
  <c r="BS250" i="136"/>
  <c r="BS244" i="136"/>
  <c r="BS242" i="136"/>
  <c r="BS251" i="136"/>
  <c r="BP110" i="138"/>
  <c r="BV110" i="138" s="1"/>
  <c r="CB110" i="138" s="1"/>
  <c r="CH110" i="138" s="1"/>
  <c r="CN110" i="138" s="1"/>
  <c r="BP35" i="138"/>
  <c r="BR70" i="136"/>
  <c r="BX70" i="136" s="1"/>
  <c r="BA107" i="138"/>
  <c r="BQ110" i="138"/>
  <c r="BW110" i="138" s="1"/>
  <c r="CC110" i="138" s="1"/>
  <c r="CI110" i="138" s="1"/>
  <c r="CO110" i="138" s="1"/>
  <c r="AU114" i="138"/>
  <c r="BR110" i="138"/>
  <c r="BX110" i="138" s="1"/>
  <c r="CD110" i="138" s="1"/>
  <c r="CJ110" i="138" s="1"/>
  <c r="CP110" i="138" s="1"/>
  <c r="BM103" i="138"/>
  <c r="BM107" i="138" s="1"/>
  <c r="BR103" i="138"/>
  <c r="BX103" i="138" s="1"/>
  <c r="CD103" i="138" s="1"/>
  <c r="CJ103" i="138" s="1"/>
  <c r="CP103" i="138" s="1"/>
  <c r="BG107" i="138"/>
  <c r="BQ103" i="138"/>
  <c r="BW103" i="138" s="1"/>
  <c r="CC103" i="138" s="1"/>
  <c r="CI103" i="138" s="1"/>
  <c r="CO103" i="138" s="1"/>
  <c r="BO110" i="138"/>
  <c r="BU110" i="138" s="1"/>
  <c r="BO103" i="138"/>
  <c r="BU103" i="138" s="1"/>
  <c r="CA103" i="138" s="1"/>
  <c r="CG103" i="138" s="1"/>
  <c r="BO70" i="136"/>
  <c r="BQ70" i="136"/>
  <c r="BO146" i="136"/>
  <c r="BK12" i="138"/>
  <c r="BL12" i="138"/>
  <c r="BX146" i="136"/>
  <c r="BR155" i="136"/>
  <c r="AF19" i="138"/>
  <c r="AO19" i="138"/>
  <c r="AY19" i="138"/>
  <c r="BI19" i="138"/>
  <c r="AK20" i="138"/>
  <c r="AK23" i="138"/>
  <c r="AT23" i="138"/>
  <c r="BD23" i="138"/>
  <c r="BM23" i="138"/>
  <c r="BW23" i="138"/>
  <c r="CG23" i="138"/>
  <c r="CP23" i="138"/>
  <c r="BI35" i="138"/>
  <c r="BO36" i="138"/>
  <c r="CB19" i="138"/>
  <c r="AO22" i="138"/>
  <c r="BR22" i="138"/>
  <c r="CK22" i="138"/>
  <c r="BJ35" i="138"/>
  <c r="BQ146" i="136"/>
  <c r="BI12" i="138"/>
  <c r="BK35" i="138"/>
  <c r="BJ12" i="138"/>
  <c r="CP20" i="138"/>
  <c r="CG20" i="138"/>
  <c r="BQ35" i="138"/>
  <c r="BR35" i="138"/>
  <c r="BX36" i="138"/>
  <c r="BP146" i="136"/>
  <c r="BP70" i="136"/>
  <c r="BL11" i="138"/>
  <c r="AI16" i="138"/>
  <c r="AI24" i="138" s="1"/>
  <c r="BQ36" i="138"/>
  <c r="BR36" i="138"/>
  <c r="BO35" i="138"/>
  <c r="BG45" i="138"/>
  <c r="BC19" i="138"/>
  <c r="AA23" i="138"/>
  <c r="AT42" i="138"/>
  <c r="AF43" i="138"/>
  <c r="AY43" i="138"/>
  <c r="AO42" i="138"/>
  <c r="AK43" i="138"/>
  <c r="AT43" i="138"/>
  <c r="BD43" i="138"/>
  <c r="BM43" i="138"/>
  <c r="BR44" i="138"/>
  <c r="CB44" i="138"/>
  <c r="CU44" i="138"/>
  <c r="AK45" i="138"/>
  <c r="AT45" i="138"/>
  <c r="BD45" i="138"/>
  <c r="BM45" i="138"/>
  <c r="BW45" i="138"/>
  <c r="CG45" i="138"/>
  <c r="CP45" i="138"/>
  <c r="AX43" i="138"/>
  <c r="CJ45" i="138"/>
  <c r="AA20" i="138"/>
  <c r="AM20" i="138"/>
  <c r="AH22" i="138"/>
  <c r="AR22" i="138"/>
  <c r="CN22" i="138"/>
  <c r="AB23" i="138"/>
  <c r="Y22" i="138"/>
  <c r="Y30" i="138" s="1"/>
  <c r="BA22" i="138"/>
  <c r="BW44" i="138"/>
  <c r="BI45" i="138"/>
  <c r="AQ42" i="138"/>
  <c r="AL43" i="138"/>
  <c r="BE43" i="138"/>
  <c r="AU45" i="138"/>
  <c r="BX45" i="138"/>
  <c r="BO19" i="138"/>
  <c r="BX19" i="138"/>
  <c r="CH19" i="138"/>
  <c r="AH44" i="138"/>
  <c r="AF42" i="138"/>
  <c r="AA19" i="138"/>
  <c r="AZ42" i="138"/>
  <c r="AU43" i="138"/>
  <c r="AQ44" i="138"/>
  <c r="CC44" i="138"/>
  <c r="CM44" i="138"/>
  <c r="AL45" i="138"/>
  <c r="BE45" i="138"/>
  <c r="BO45" i="138"/>
  <c r="CH45" i="138"/>
  <c r="Y23" i="138"/>
  <c r="Y31" i="138" s="1"/>
  <c r="BC42" i="138"/>
  <c r="CO44" i="138"/>
  <c r="BQ45" i="138"/>
  <c r="AF24" i="138"/>
  <c r="AI42" i="138"/>
  <c r="AE43" i="138"/>
  <c r="AN45" i="138"/>
  <c r="AX45" i="138"/>
  <c r="CA45" i="138"/>
  <c r="CT45" i="138"/>
  <c r="AQ19" i="138"/>
  <c r="CC19" i="138"/>
  <c r="BE20" i="138"/>
  <c r="AG22" i="138"/>
  <c r="AZ19" i="138"/>
  <c r="AU20" i="138"/>
  <c r="BX20" i="138"/>
  <c r="CH20" i="138"/>
  <c r="AQ22" i="138"/>
  <c r="BS22" i="138"/>
  <c r="AL23" i="138"/>
  <c r="AO45" i="138"/>
  <c r="AH19" i="138"/>
  <c r="AR19" i="138"/>
  <c r="BA19" i="138"/>
  <c r="BK19" i="138"/>
  <c r="AC20" i="138"/>
  <c r="AW20" i="138"/>
  <c r="CI20" i="138"/>
  <c r="BU22" i="138"/>
  <c r="CD22" i="138"/>
  <c r="AC23" i="138"/>
  <c r="BF23" i="138"/>
  <c r="BY23" i="138"/>
  <c r="Y24" i="138"/>
  <c r="Y32" i="138" s="1"/>
  <c r="AL42" i="138"/>
  <c r="BE42" i="138"/>
  <c r="AQ43" i="138"/>
  <c r="AZ43" i="138"/>
  <c r="BJ43" i="138"/>
  <c r="AL44" i="138"/>
  <c r="BO44" i="138"/>
  <c r="CH44" i="138"/>
  <c r="AG45" i="138"/>
  <c r="AQ45" i="138"/>
  <c r="AZ45" i="138"/>
  <c r="BJ45" i="138"/>
  <c r="BS45" i="138"/>
  <c r="CC45" i="138"/>
  <c r="CM45" i="138"/>
  <c r="CV45" i="138"/>
  <c r="AG19" i="138"/>
  <c r="BJ19" i="138"/>
  <c r="CM19" i="138"/>
  <c r="AL20" i="138"/>
  <c r="CC22" i="138"/>
  <c r="CM22" i="138"/>
  <c r="BE23" i="138"/>
  <c r="BX23" i="138"/>
  <c r="AK44" i="138"/>
  <c r="CB45" i="138"/>
  <c r="Z19" i="138"/>
  <c r="AX20" i="138"/>
  <c r="CE22" i="138"/>
  <c r="AS44" i="138"/>
  <c r="BV44" i="138"/>
  <c r="AB20" i="138"/>
  <c r="CD23" i="138"/>
  <c r="BU19" i="138"/>
  <c r="AR42" i="138"/>
  <c r="AM43" i="138"/>
  <c r="AW43" i="138"/>
  <c r="CD19" i="138"/>
  <c r="AS42" i="138"/>
  <c r="BL42" i="138"/>
  <c r="AN43" i="138"/>
  <c r="BG43" i="138"/>
  <c r="AI44" i="138"/>
  <c r="Y45" i="138"/>
  <c r="AE45" i="138"/>
  <c r="Y19" i="138"/>
  <c r="Y27" i="138" s="1"/>
  <c r="AB19" i="138"/>
  <c r="AA22" i="138"/>
  <c r="BF43" i="138"/>
  <c r="BP43" i="138"/>
  <c r="AR44" i="138"/>
  <c r="BU44" i="138"/>
  <c r="CN44" i="138"/>
  <c r="AM45" i="138"/>
  <c r="AW45" i="138"/>
  <c r="BF45" i="138"/>
  <c r="BP45" i="138"/>
  <c r="BY45" i="138"/>
  <c r="CI45" i="138"/>
  <c r="CS45" i="138"/>
  <c r="CN19" i="138"/>
  <c r="BF20" i="138"/>
  <c r="AM23" i="138"/>
  <c r="AW23" i="138"/>
  <c r="BP23" i="138"/>
  <c r="CI23" i="138"/>
  <c r="AH24" i="138"/>
  <c r="AY42" i="138"/>
  <c r="AI19" i="138"/>
  <c r="CO19" i="138"/>
  <c r="AE20" i="138"/>
  <c r="BG20" i="138"/>
  <c r="CJ20" i="138"/>
  <c r="Z22" i="138"/>
  <c r="AI22" i="138"/>
  <c r="AS22" i="138"/>
  <c r="CO22" i="138"/>
  <c r="Z24" i="138"/>
  <c r="AW19" i="138"/>
  <c r="BF19" i="138"/>
  <c r="CI19" i="138"/>
  <c r="AR20" i="138"/>
  <c r="CD20" i="138"/>
  <c r="AR23" i="138"/>
  <c r="BK23" i="138"/>
  <c r="AC24" i="138"/>
  <c r="AE19" i="138"/>
  <c r="AN19" i="138"/>
  <c r="AX19" i="138"/>
  <c r="BG19" i="138"/>
  <c r="BQ19" i="138"/>
  <c r="CA19" i="138"/>
  <c r="CJ19" i="138"/>
  <c r="AI20" i="138"/>
  <c r="AS20" i="138"/>
  <c r="BC20" i="138"/>
  <c r="BV20" i="138"/>
  <c r="CO20" i="138"/>
  <c r="AE22" i="138"/>
  <c r="AN22" i="138"/>
  <c r="BG22" i="138"/>
  <c r="BQ22" i="138"/>
  <c r="CA22" i="138"/>
  <c r="CJ22" i="138"/>
  <c r="Z23" i="138"/>
  <c r="AI23" i="138"/>
  <c r="AS23" i="138"/>
  <c r="BC23" i="138"/>
  <c r="BL23" i="138"/>
  <c r="BV23" i="138"/>
  <c r="CE23" i="138"/>
  <c r="CO23" i="138"/>
  <c r="AE24" i="138"/>
  <c r="AB22" i="138"/>
  <c r="AC19" i="138"/>
  <c r="BP19" i="138"/>
  <c r="BA20" i="138"/>
  <c r="BU20" i="138"/>
  <c r="CN20" i="138"/>
  <c r="AM22" i="138"/>
  <c r="BY22" i="138"/>
  <c r="CI22" i="138"/>
  <c r="AH23" i="138"/>
  <c r="BA23" i="138"/>
  <c r="BU23" i="138"/>
  <c r="CN23" i="138"/>
  <c r="AR24" i="138"/>
  <c r="BV19" i="138"/>
  <c r="AB24" i="138"/>
  <c r="AL19" i="138"/>
  <c r="AU19" i="138"/>
  <c r="AG20" i="138"/>
  <c r="AQ20" i="138"/>
  <c r="AZ20" i="138"/>
  <c r="CC20" i="138"/>
  <c r="CM20" i="138"/>
  <c r="AL22" i="138"/>
  <c r="AU22" i="138"/>
  <c r="BO22" i="138"/>
  <c r="BX22" i="138"/>
  <c r="CH22" i="138"/>
  <c r="AG23" i="138"/>
  <c r="BM20" i="138"/>
  <c r="AG42" i="138"/>
  <c r="AG44" i="138"/>
  <c r="AM19" i="138"/>
  <c r="AS19" i="138"/>
  <c r="Y20" i="138"/>
  <c r="Y28" i="138" s="1"/>
  <c r="AH20" i="138"/>
  <c r="AN20" i="138"/>
  <c r="AC22" i="138"/>
  <c r="BP22" i="138"/>
  <c r="BV22" i="138"/>
  <c r="CA20" i="138"/>
  <c r="AE23" i="138"/>
  <c r="Z20" i="138"/>
  <c r="AU23" i="138"/>
  <c r="BO23" i="138"/>
  <c r="CH23" i="138"/>
  <c r="AG24" i="138"/>
  <c r="AF22" i="138"/>
  <c r="Z45" i="138"/>
  <c r="AF45" i="138"/>
  <c r="AE42" i="138"/>
  <c r="AK42" i="138"/>
  <c r="AN42" i="138"/>
  <c r="AX42" i="138"/>
  <c r="BD42" i="138"/>
  <c r="AI43" i="138"/>
  <c r="AO43" i="138"/>
  <c r="AS43" i="138"/>
  <c r="BC43" i="138"/>
  <c r="BI43" i="138"/>
  <c r="BL43" i="138"/>
  <c r="AE44" i="138"/>
  <c r="AN44" i="138"/>
  <c r="AT44" i="138"/>
  <c r="BQ44" i="138"/>
  <c r="CA44" i="138"/>
  <c r="CG44" i="138"/>
  <c r="CT44" i="138"/>
  <c r="AI45" i="138"/>
  <c r="AS45" i="138"/>
  <c r="AY45" i="138"/>
  <c r="BC45" i="138"/>
  <c r="BL45" i="138"/>
  <c r="BR45" i="138"/>
  <c r="BV45" i="138"/>
  <c r="CE45" i="138"/>
  <c r="CK45" i="138"/>
  <c r="CO45" i="138"/>
  <c r="CU45" i="138"/>
  <c r="BE19" i="138"/>
  <c r="BD20" i="138"/>
  <c r="BW20" i="138"/>
  <c r="CB22" i="138"/>
  <c r="AN23" i="138"/>
  <c r="AX23" i="138"/>
  <c r="BG23" i="138"/>
  <c r="BQ23" i="138"/>
  <c r="CA23" i="138"/>
  <c r="CJ23" i="138"/>
  <c r="AT20" i="138"/>
  <c r="AK19" i="138"/>
  <c r="AT19" i="138"/>
  <c r="BD19" i="138"/>
  <c r="BM19" i="138"/>
  <c r="BW19" i="138"/>
  <c r="CG19" i="138"/>
  <c r="CP19" i="138"/>
  <c r="AF20" i="138"/>
  <c r="AO20" i="138"/>
  <c r="AY20" i="138"/>
  <c r="CB20" i="138"/>
  <c r="AK22" i="138"/>
  <c r="AT22" i="138"/>
  <c r="BM22" i="138"/>
  <c r="BW22" i="138"/>
  <c r="CG22" i="138"/>
  <c r="CP22" i="138"/>
  <c r="AF23" i="138"/>
  <c r="AO23" i="138"/>
  <c r="AY23" i="138"/>
  <c r="BI23" i="138"/>
  <c r="BR23" i="138"/>
  <c r="CB23" i="138"/>
  <c r="CK23" i="138"/>
  <c r="AA24" i="138"/>
  <c r="AL24" i="138"/>
  <c r="Z44" i="138"/>
  <c r="AF44" i="138"/>
  <c r="AH42" i="138"/>
  <c r="AQ23" i="138"/>
  <c r="AZ23" i="138"/>
  <c r="BJ23" i="138"/>
  <c r="BS23" i="138"/>
  <c r="CC23" i="138"/>
  <c r="CM23" i="138"/>
  <c r="AM24" i="138"/>
  <c r="AS24" i="138"/>
  <c r="BL24" i="138"/>
  <c r="AG43" i="138"/>
  <c r="AM42" i="138"/>
  <c r="AW42" i="138"/>
  <c r="BF42" i="138"/>
  <c r="AH43" i="138"/>
  <c r="AR43" i="138"/>
  <c r="BA43" i="138"/>
  <c r="BK43" i="138"/>
  <c r="AM44" i="138"/>
  <c r="BP44" i="138"/>
  <c r="CI44" i="138"/>
  <c r="CS44" i="138"/>
  <c r="AH45" i="138"/>
  <c r="AR45" i="138"/>
  <c r="BA45" i="138"/>
  <c r="BK45" i="138"/>
  <c r="BU45" i="138"/>
  <c r="CD45" i="138"/>
  <c r="CN45" i="138"/>
  <c r="BK24" i="138"/>
  <c r="BA16" i="138"/>
  <c r="BC16" i="138"/>
  <c r="AW24" i="138"/>
  <c r="AU24" i="138"/>
  <c r="BE24" i="138"/>
  <c r="AY24" i="138"/>
  <c r="AZ24" i="138"/>
  <c r="BF24" i="138"/>
  <c r="BJ24" i="138"/>
  <c r="BG16" i="138"/>
  <c r="AX16" i="138"/>
  <c r="AN16" i="138"/>
  <c r="AN24" i="138" s="1"/>
  <c r="BV103" i="138"/>
  <c r="CB103" i="138" s="1"/>
  <c r="CH103" i="138" s="1"/>
  <c r="CN103" i="138" s="1"/>
  <c r="BM110" i="138"/>
  <c r="BM114" i="138" s="1"/>
  <c r="BM70" i="136"/>
  <c r="BM146" i="136"/>
  <c r="BS150" i="136" s="1"/>
  <c r="AO14" i="136"/>
  <c r="BA213" i="136"/>
  <c r="BG258" i="136" s="1"/>
  <c r="AU213" i="136"/>
  <c r="BA37" i="138" s="1"/>
  <c r="AI213" i="136"/>
  <c r="AO37" i="138" s="1"/>
  <c r="AO44" i="138" s="1"/>
  <c r="AO213" i="136"/>
  <c r="AU37" i="138" s="1"/>
  <c r="AN343" i="136"/>
  <c r="AM343" i="136"/>
  <c r="AN13" i="136"/>
  <c r="AM13" i="136"/>
  <c r="W58" i="136"/>
  <c r="V58" i="136"/>
  <c r="U58" i="136"/>
  <c r="T58" i="136"/>
  <c r="S58" i="136"/>
  <c r="W57" i="136"/>
  <c r="V57" i="136"/>
  <c r="U57" i="136"/>
  <c r="T57" i="136"/>
  <c r="S57" i="136"/>
  <c r="W56" i="136"/>
  <c r="V56" i="136"/>
  <c r="U56" i="136"/>
  <c r="T56" i="136"/>
  <c r="S56" i="136"/>
  <c r="W55" i="136"/>
  <c r="V55" i="136"/>
  <c r="U55" i="136"/>
  <c r="T55" i="136"/>
  <c r="S55" i="136"/>
  <c r="W54" i="136"/>
  <c r="V54" i="136"/>
  <c r="U54" i="136"/>
  <c r="T54" i="136"/>
  <c r="S54" i="136"/>
  <c r="AC58" i="136"/>
  <c r="AB58" i="136"/>
  <c r="AA58" i="136"/>
  <c r="Z58" i="136"/>
  <c r="Y58" i="136"/>
  <c r="AC57" i="136"/>
  <c r="AB57" i="136"/>
  <c r="AA57" i="136"/>
  <c r="Z57" i="136"/>
  <c r="Y57" i="136"/>
  <c r="AC56" i="136"/>
  <c r="AB56" i="136"/>
  <c r="AA56" i="136"/>
  <c r="Z56" i="136"/>
  <c r="Y56" i="136"/>
  <c r="AC55" i="136"/>
  <c r="AB55" i="136"/>
  <c r="AA55" i="136"/>
  <c r="Z55" i="136"/>
  <c r="Y55" i="136"/>
  <c r="AC54" i="136"/>
  <c r="AB54" i="136"/>
  <c r="AA54" i="136"/>
  <c r="Z54" i="136"/>
  <c r="Y54" i="136"/>
  <c r="BL343" i="136"/>
  <c r="BL11" i="134" s="1"/>
  <c r="BK343" i="136"/>
  <c r="BK11" i="134" s="1"/>
  <c r="BJ343" i="136"/>
  <c r="BP20" i="136" s="1"/>
  <c r="BI343" i="136"/>
  <c r="BO19" i="136" s="1"/>
  <c r="BF343" i="136"/>
  <c r="BF11" i="134" s="1"/>
  <c r="BE343" i="136"/>
  <c r="BE11" i="134" s="1"/>
  <c r="BD343" i="136"/>
  <c r="BD11" i="134" s="1"/>
  <c r="BC343" i="136"/>
  <c r="BC11" i="134" s="1"/>
  <c r="AZ343" i="136"/>
  <c r="AY343" i="136"/>
  <c r="AX343" i="136"/>
  <c r="AW343" i="136"/>
  <c r="AT343" i="136"/>
  <c r="AT11" i="134" s="1"/>
  <c r="AS343" i="136"/>
  <c r="AS11" i="134" s="1"/>
  <c r="AR343" i="136"/>
  <c r="AR11" i="134" s="1"/>
  <c r="AQ343" i="136"/>
  <c r="AL343" i="136"/>
  <c r="AL11" i="134" s="1"/>
  <c r="AK343" i="136"/>
  <c r="AK11" i="134" s="1"/>
  <c r="AH343" i="136"/>
  <c r="AH11" i="134" s="1"/>
  <c r="AG343" i="136"/>
  <c r="AF343" i="136"/>
  <c r="AE343" i="136"/>
  <c r="AC343" i="136"/>
  <c r="AB343" i="136"/>
  <c r="AB11" i="134" s="1"/>
  <c r="AA343" i="136"/>
  <c r="AA11" i="134" s="1"/>
  <c r="Z343" i="136"/>
  <c r="Z11" i="134" s="1"/>
  <c r="Y343" i="136"/>
  <c r="Y11" i="134" s="1"/>
  <c r="V345" i="136"/>
  <c r="U345" i="136"/>
  <c r="T345" i="136"/>
  <c r="S345" i="136"/>
  <c r="W343" i="136"/>
  <c r="V343" i="136"/>
  <c r="V11" i="134" s="1"/>
  <c r="U343" i="136"/>
  <c r="U11" i="134" s="1"/>
  <c r="T343" i="136"/>
  <c r="T11" i="134" s="1"/>
  <c r="S343" i="136"/>
  <c r="BM58" i="136"/>
  <c r="BL58" i="136"/>
  <c r="BK58" i="136"/>
  <c r="BJ58" i="136"/>
  <c r="BI58" i="136"/>
  <c r="BG58" i="136"/>
  <c r="BF58" i="136"/>
  <c r="BE58" i="136"/>
  <c r="BD58" i="136"/>
  <c r="BC58" i="136"/>
  <c r="BA58" i="136"/>
  <c r="AZ58" i="136"/>
  <c r="AY58" i="136"/>
  <c r="AX58" i="136"/>
  <c r="AW58" i="136"/>
  <c r="AU58" i="136"/>
  <c r="AT58" i="136"/>
  <c r="AS58" i="136"/>
  <c r="AR58" i="136"/>
  <c r="AQ58" i="136"/>
  <c r="AO58" i="136"/>
  <c r="AN58" i="136"/>
  <c r="AM58" i="136"/>
  <c r="AL58" i="136"/>
  <c r="CV57" i="136"/>
  <c r="CU57" i="136"/>
  <c r="CT57" i="136"/>
  <c r="CS57" i="136"/>
  <c r="CP57" i="136"/>
  <c r="CO57" i="136"/>
  <c r="CN57" i="136"/>
  <c r="CM57" i="136"/>
  <c r="CK57" i="136"/>
  <c r="CJ57" i="136"/>
  <c r="CI57" i="136"/>
  <c r="CH57" i="136"/>
  <c r="CG57" i="136"/>
  <c r="CE57" i="136"/>
  <c r="CD57" i="136"/>
  <c r="CC57" i="136"/>
  <c r="CB57" i="136"/>
  <c r="CA57" i="136"/>
  <c r="BY57" i="136"/>
  <c r="BX57" i="136"/>
  <c r="BW57" i="136"/>
  <c r="BV57" i="136"/>
  <c r="BU57" i="136"/>
  <c r="BS57" i="136"/>
  <c r="BR57" i="136"/>
  <c r="BQ57" i="136"/>
  <c r="BP57" i="136"/>
  <c r="BO57" i="136"/>
  <c r="BM57" i="136"/>
  <c r="BL57" i="136"/>
  <c r="BK57" i="136"/>
  <c r="BJ57" i="136"/>
  <c r="BI57" i="136"/>
  <c r="BG57" i="136"/>
  <c r="BF57" i="136"/>
  <c r="BE57" i="136"/>
  <c r="BD57" i="136"/>
  <c r="BC57" i="136"/>
  <c r="BA57" i="136"/>
  <c r="AZ57" i="136"/>
  <c r="AY57" i="136"/>
  <c r="AX57" i="136"/>
  <c r="AW57" i="136"/>
  <c r="AU57" i="136"/>
  <c r="AT57" i="136"/>
  <c r="AS57" i="136"/>
  <c r="AR57" i="136"/>
  <c r="AQ57" i="136"/>
  <c r="AO57" i="136"/>
  <c r="AN57" i="136"/>
  <c r="AM57" i="136"/>
  <c r="AL57" i="136"/>
  <c r="AK57" i="136"/>
  <c r="CV56" i="136"/>
  <c r="CU56" i="136"/>
  <c r="CT56" i="136"/>
  <c r="CS56" i="136"/>
  <c r="CP56" i="136"/>
  <c r="CO56" i="136"/>
  <c r="CN56" i="136"/>
  <c r="CM56" i="136"/>
  <c r="CK56" i="136"/>
  <c r="CJ56" i="136"/>
  <c r="CI56" i="136"/>
  <c r="CH56" i="136"/>
  <c r="CG56" i="136"/>
  <c r="CE56" i="136"/>
  <c r="CD56" i="136"/>
  <c r="CC56" i="136"/>
  <c r="CB56" i="136"/>
  <c r="CA56" i="136"/>
  <c r="BY56" i="136"/>
  <c r="BX56" i="136"/>
  <c r="BW56" i="136"/>
  <c r="BV56" i="136"/>
  <c r="BU56" i="136"/>
  <c r="BS56" i="136"/>
  <c r="BR56" i="136"/>
  <c r="BQ56" i="136"/>
  <c r="BP56" i="136"/>
  <c r="BO56" i="136"/>
  <c r="BM56" i="136"/>
  <c r="BL56" i="136"/>
  <c r="BK56" i="136"/>
  <c r="BJ56" i="136"/>
  <c r="BI56" i="136"/>
  <c r="BG56" i="136"/>
  <c r="BA56" i="136"/>
  <c r="AU56" i="136"/>
  <c r="AT56" i="136"/>
  <c r="AS56" i="136"/>
  <c r="AR56" i="136"/>
  <c r="AQ56" i="136"/>
  <c r="AO56" i="136"/>
  <c r="AN56" i="136"/>
  <c r="AM56" i="136"/>
  <c r="AL56" i="136"/>
  <c r="AK56" i="136"/>
  <c r="CW55" i="136"/>
  <c r="CV55" i="136"/>
  <c r="CU55" i="136"/>
  <c r="CT55" i="136"/>
  <c r="CS55" i="136"/>
  <c r="CP55" i="136"/>
  <c r="CO55" i="136"/>
  <c r="CN55" i="136"/>
  <c r="CM55" i="136"/>
  <c r="CJ55" i="136"/>
  <c r="CI55" i="136"/>
  <c r="CH55" i="136"/>
  <c r="CG55" i="136"/>
  <c r="CD55" i="136"/>
  <c r="CC55" i="136"/>
  <c r="CB55" i="136"/>
  <c r="CA55" i="136"/>
  <c r="BX55" i="136"/>
  <c r="BW55" i="136"/>
  <c r="BV55" i="136"/>
  <c r="BU55" i="136"/>
  <c r="BR55" i="136"/>
  <c r="BQ55" i="136"/>
  <c r="BP55" i="136"/>
  <c r="BO55" i="136"/>
  <c r="BM55" i="136"/>
  <c r="BL55" i="136"/>
  <c r="BK55" i="136"/>
  <c r="BJ55" i="136"/>
  <c r="BI55" i="136"/>
  <c r="BG55" i="136"/>
  <c r="BF55" i="136"/>
  <c r="BE55" i="136"/>
  <c r="BD55" i="136"/>
  <c r="BC55" i="136"/>
  <c r="BA55" i="136"/>
  <c r="AZ55" i="136"/>
  <c r="AY55" i="136"/>
  <c r="AX55" i="136"/>
  <c r="AW55" i="136"/>
  <c r="AU55" i="136"/>
  <c r="AT55" i="136"/>
  <c r="AS55" i="136"/>
  <c r="AR55" i="136"/>
  <c r="AQ55" i="136"/>
  <c r="AO55" i="136"/>
  <c r="AN55" i="136"/>
  <c r="AM55" i="136"/>
  <c r="AL55" i="136"/>
  <c r="AK55" i="136"/>
  <c r="CW54" i="136"/>
  <c r="CV54" i="136"/>
  <c r="CU54" i="136"/>
  <c r="CT54" i="136"/>
  <c r="CS54" i="136"/>
  <c r="CP54" i="136"/>
  <c r="CO54" i="136"/>
  <c r="CN54" i="136"/>
  <c r="CM54" i="136"/>
  <c r="CJ54" i="136"/>
  <c r="CI54" i="136"/>
  <c r="CH54" i="136"/>
  <c r="CG54" i="136"/>
  <c r="CD54" i="136"/>
  <c r="CC54" i="136"/>
  <c r="CB54" i="136"/>
  <c r="CA54" i="136"/>
  <c r="BX54" i="136"/>
  <c r="BW54" i="136"/>
  <c r="BV54" i="136"/>
  <c r="BU54" i="136"/>
  <c r="BR54" i="136"/>
  <c r="BQ54" i="136"/>
  <c r="BP54" i="136"/>
  <c r="BO54" i="136"/>
  <c r="BM54" i="136"/>
  <c r="BL54" i="136"/>
  <c r="BK54" i="136"/>
  <c r="BJ54" i="136"/>
  <c r="BI54" i="136"/>
  <c r="BG54" i="136"/>
  <c r="BF54" i="136"/>
  <c r="BE54" i="136"/>
  <c r="BD54" i="136"/>
  <c r="BC54" i="136"/>
  <c r="BA54" i="136"/>
  <c r="AZ54" i="136"/>
  <c r="AY54" i="136"/>
  <c r="AX54" i="136"/>
  <c r="AW54" i="136"/>
  <c r="AU54" i="136"/>
  <c r="AT54" i="136"/>
  <c r="AS54" i="136"/>
  <c r="AR54" i="136"/>
  <c r="AQ54" i="136"/>
  <c r="AO54" i="136"/>
  <c r="AN54" i="136"/>
  <c r="AM54" i="136"/>
  <c r="AL54" i="136"/>
  <c r="AK54" i="136"/>
  <c r="AI58" i="136"/>
  <c r="AH58" i="136"/>
  <c r="AG58" i="136"/>
  <c r="AF58" i="136"/>
  <c r="AE58" i="136"/>
  <c r="AI57" i="136"/>
  <c r="AH57" i="136"/>
  <c r="AG57" i="136"/>
  <c r="AF57" i="136"/>
  <c r="AE57" i="136"/>
  <c r="AI56" i="136"/>
  <c r="AH56" i="136"/>
  <c r="AG56" i="136"/>
  <c r="AF56" i="136"/>
  <c r="AE56" i="136"/>
  <c r="AI55" i="136"/>
  <c r="AH55" i="136"/>
  <c r="AG55" i="136"/>
  <c r="AF55" i="136"/>
  <c r="AE55" i="136"/>
  <c r="AI54" i="136"/>
  <c r="AH54" i="136"/>
  <c r="AG54" i="136"/>
  <c r="AF54" i="136"/>
  <c r="AE54" i="136"/>
  <c r="AC16" i="136"/>
  <c r="AC17" i="136" s="1"/>
  <c r="AB16" i="136"/>
  <c r="AB17" i="136" s="1"/>
  <c r="AA16" i="136"/>
  <c r="AA17" i="136" s="1"/>
  <c r="Z16" i="136"/>
  <c r="Z17" i="136" s="1"/>
  <c r="Y16" i="136"/>
  <c r="Y17" i="136" s="1"/>
  <c r="W16" i="136"/>
  <c r="W17" i="136" s="1"/>
  <c r="V16" i="136"/>
  <c r="U16" i="136"/>
  <c r="T16" i="136"/>
  <c r="T17" i="136" s="1"/>
  <c r="Z39" i="138" s="1"/>
  <c r="Z46" i="138" s="1"/>
  <c r="S16" i="136"/>
  <c r="S17" i="136" s="1"/>
  <c r="Y39" i="138" s="1"/>
  <c r="Y46" i="138" s="1"/>
  <c r="CQ311" i="136"/>
  <c r="CQ315" i="136"/>
  <c r="CQ320" i="136" s="1"/>
  <c r="CQ314" i="136"/>
  <c r="CQ312" i="136"/>
  <c r="CW311" i="136"/>
  <c r="DC313" i="136" s="1"/>
  <c r="DC311" i="136"/>
  <c r="CY320" i="136"/>
  <c r="CZ320" i="136"/>
  <c r="DA316" i="136"/>
  <c r="DB320" i="136"/>
  <c r="W133" i="138"/>
  <c r="W132" i="138"/>
  <c r="V132" i="138"/>
  <c r="U132" i="138"/>
  <c r="T132" i="138"/>
  <c r="V133" i="138"/>
  <c r="U133" i="138"/>
  <c r="T133" i="138"/>
  <c r="S133" i="138"/>
  <c r="S132" i="138"/>
  <c r="AC133" i="138"/>
  <c r="AB133" i="138"/>
  <c r="AA133" i="138"/>
  <c r="Z133" i="138"/>
  <c r="Y133" i="138"/>
  <c r="AC132" i="138"/>
  <c r="AB132" i="138"/>
  <c r="AA132" i="138"/>
  <c r="Z132" i="138"/>
  <c r="Y132" i="138"/>
  <c r="AT218" i="136"/>
  <c r="AW218" i="136"/>
  <c r="BD218" i="136"/>
  <c r="AY218" i="136"/>
  <c r="AZ15" i="136"/>
  <c r="BK218" i="136"/>
  <c r="BL218" i="136"/>
  <c r="AS15" i="136"/>
  <c r="AR15" i="136"/>
  <c r="AM15" i="136"/>
  <c r="BI218" i="136"/>
  <c r="BF214" i="136"/>
  <c r="BE214" i="136"/>
  <c r="BE56" i="136" s="1"/>
  <c r="BD214" i="136"/>
  <c r="BC214" i="136"/>
  <c r="AZ214" i="136"/>
  <c r="AY214" i="136"/>
  <c r="AX214" i="136"/>
  <c r="AW214" i="136"/>
  <c r="BC218" i="136"/>
  <c r="AR218" i="136"/>
  <c r="AN218" i="136"/>
  <c r="AL218" i="136"/>
  <c r="BG152" i="136"/>
  <c r="BF152" i="136"/>
  <c r="BE152" i="136"/>
  <c r="BD152" i="136"/>
  <c r="BC152" i="136"/>
  <c r="BA152" i="136"/>
  <c r="AZ152" i="136"/>
  <c r="AY152" i="136"/>
  <c r="AX152" i="136"/>
  <c r="AW152" i="136"/>
  <c r="AU152" i="136"/>
  <c r="AT152" i="136"/>
  <c r="AS152" i="136"/>
  <c r="AR152" i="136"/>
  <c r="AQ152" i="136"/>
  <c r="AO152" i="136"/>
  <c r="AN152" i="136"/>
  <c r="AM152" i="136"/>
  <c r="AL152" i="136"/>
  <c r="AK152" i="136"/>
  <c r="AH14" i="136"/>
  <c r="AE14" i="136"/>
  <c r="AG14" i="136"/>
  <c r="AW75" i="136"/>
  <c r="BC75" i="136"/>
  <c r="AY75" i="136"/>
  <c r="AX75" i="136"/>
  <c r="AU70" i="136"/>
  <c r="AU13" i="136" s="1"/>
  <c r="AO70" i="136"/>
  <c r="AO13" i="136" s="1"/>
  <c r="CE16" i="136"/>
  <c r="CD16" i="136"/>
  <c r="CC16" i="136"/>
  <c r="CB16" i="136"/>
  <c r="CA16" i="136"/>
  <c r="BY16" i="136"/>
  <c r="BX16" i="136"/>
  <c r="BW16" i="136"/>
  <c r="BV16" i="136"/>
  <c r="BU16" i="136"/>
  <c r="BS16" i="136"/>
  <c r="BR16" i="136"/>
  <c r="BQ16" i="136"/>
  <c r="BP16" i="136"/>
  <c r="BO16" i="136"/>
  <c r="BM16" i="136"/>
  <c r="BL16" i="136"/>
  <c r="BK16" i="136"/>
  <c r="BJ16" i="136"/>
  <c r="BI16" i="136"/>
  <c r="BG16" i="136"/>
  <c r="BF16" i="136"/>
  <c r="BE16" i="136"/>
  <c r="BD16" i="136"/>
  <c r="BC16" i="136"/>
  <c r="BA16" i="136"/>
  <c r="AZ16" i="136"/>
  <c r="AY16" i="136"/>
  <c r="AX16" i="136"/>
  <c r="AW16" i="136"/>
  <c r="AU16" i="136"/>
  <c r="AT16" i="136"/>
  <c r="AS16" i="136"/>
  <c r="AR16" i="136"/>
  <c r="AQ16" i="136"/>
  <c r="AO16" i="136"/>
  <c r="AN16" i="136"/>
  <c r="AM16" i="136"/>
  <c r="AL16" i="136"/>
  <c r="AK16" i="136"/>
  <c r="AI16" i="136"/>
  <c r="AH16" i="136"/>
  <c r="AG16" i="136"/>
  <c r="AF16" i="136"/>
  <c r="AE16" i="136"/>
  <c r="CC15" i="136"/>
  <c r="CB15" i="136"/>
  <c r="CA15" i="136"/>
  <c r="BW15" i="136"/>
  <c r="BV15" i="136"/>
  <c r="BU15" i="136"/>
  <c r="BQ15" i="136"/>
  <c r="BP15" i="136"/>
  <c r="BO15" i="136"/>
  <c r="BL15" i="136"/>
  <c r="BK15" i="136"/>
  <c r="BJ15" i="136"/>
  <c r="BI15" i="136"/>
  <c r="AY15" i="136"/>
  <c r="AW15" i="136"/>
  <c r="AH15" i="136"/>
  <c r="AG15" i="136"/>
  <c r="AF15" i="136"/>
  <c r="AW13" i="136"/>
  <c r="AT13" i="136"/>
  <c r="AS13" i="136"/>
  <c r="AR13" i="136"/>
  <c r="AQ13" i="136"/>
  <c r="CK16" i="136"/>
  <c r="CJ16" i="136"/>
  <c r="CI16" i="136"/>
  <c r="CH16" i="136"/>
  <c r="CG16" i="136"/>
  <c r="CI15" i="136"/>
  <c r="CH15" i="136"/>
  <c r="CG15" i="136"/>
  <c r="AE133" i="138"/>
  <c r="AF133" i="138"/>
  <c r="AG133" i="138"/>
  <c r="AH133" i="138"/>
  <c r="AI133" i="138"/>
  <c r="AO132" i="138"/>
  <c r="AU132" i="138"/>
  <c r="BA135" i="138" s="1"/>
  <c r="AI132" i="138"/>
  <c r="AO135" i="138" s="1"/>
  <c r="DB122" i="138"/>
  <c r="DB121" i="138" s="1"/>
  <c r="DA122" i="138"/>
  <c r="DA121" i="138" s="1"/>
  <c r="CZ122" i="138"/>
  <c r="CZ121" i="138" s="1"/>
  <c r="CY122" i="138"/>
  <c r="CY121" i="138" s="1"/>
  <c r="CV122" i="138"/>
  <c r="CU122" i="138"/>
  <c r="CT122" i="138"/>
  <c r="CS122" i="138"/>
  <c r="CP122" i="138"/>
  <c r="CO122" i="138"/>
  <c r="CN122" i="138"/>
  <c r="CM122" i="138"/>
  <c r="CJ122" i="138"/>
  <c r="CI122" i="138"/>
  <c r="CH122" i="138"/>
  <c r="CG122" i="138"/>
  <c r="CD122" i="138"/>
  <c r="CC122" i="138"/>
  <c r="CB122" i="138"/>
  <c r="CA122" i="138"/>
  <c r="BX122" i="138"/>
  <c r="BW122" i="138"/>
  <c r="BV122" i="138"/>
  <c r="BU122" i="138"/>
  <c r="BR122" i="138"/>
  <c r="BQ122" i="138"/>
  <c r="BP122" i="138"/>
  <c r="BO122" i="138"/>
  <c r="BF119" i="138"/>
  <c r="BE119" i="138"/>
  <c r="BD119" i="138"/>
  <c r="BC119" i="138"/>
  <c r="AZ119" i="138"/>
  <c r="AY119" i="138"/>
  <c r="AX119" i="138"/>
  <c r="AW119" i="138"/>
  <c r="DC118" i="138"/>
  <c r="CW118" i="138"/>
  <c r="DC119" i="138" s="1"/>
  <c r="CQ118" i="138"/>
  <c r="CK118" i="138"/>
  <c r="CQ121" i="138" s="1"/>
  <c r="CE118" i="138"/>
  <c r="BY118" i="138"/>
  <c r="BS118" i="138"/>
  <c r="BM118" i="138"/>
  <c r="AI118" i="138"/>
  <c r="DB96" i="138"/>
  <c r="DB115" i="138" s="1"/>
  <c r="DA96" i="138"/>
  <c r="DA115" i="138" s="1"/>
  <c r="CZ96" i="138"/>
  <c r="CY96" i="138"/>
  <c r="CV96" i="138"/>
  <c r="CU96" i="138"/>
  <c r="CT96" i="138"/>
  <c r="CT132" i="138" s="1"/>
  <c r="CZ133" i="138" s="1"/>
  <c r="CS96" i="138"/>
  <c r="CS115" i="138" s="1"/>
  <c r="CP96" i="138"/>
  <c r="CO96" i="138"/>
  <c r="CO115" i="138" s="1"/>
  <c r="CN96" i="138"/>
  <c r="CM96" i="138"/>
  <c r="DB92" i="138"/>
  <c r="DB93" i="138" s="1"/>
  <c r="DA92" i="138"/>
  <c r="DA93" i="138" s="1"/>
  <c r="CZ92" i="138"/>
  <c r="CZ93" i="138" s="1"/>
  <c r="CY92" i="138"/>
  <c r="CY93" i="138" s="1"/>
  <c r="CV92" i="138"/>
  <c r="CV93" i="138" s="1"/>
  <c r="CU92" i="138"/>
  <c r="CU93" i="138" s="1"/>
  <c r="CT92" i="138"/>
  <c r="CT93" i="138" s="1"/>
  <c r="CS92" i="138"/>
  <c r="CS93" i="138" s="1"/>
  <c r="CP92" i="138"/>
  <c r="CP93" i="138" s="1"/>
  <c r="CO92" i="138"/>
  <c r="CO93" i="138" s="1"/>
  <c r="CN92" i="138"/>
  <c r="CN93" i="138" s="1"/>
  <c r="CM92" i="138"/>
  <c r="CM93" i="138" s="1"/>
  <c r="CJ92" i="138"/>
  <c r="CI92" i="138"/>
  <c r="CH92" i="138"/>
  <c r="CG92" i="138"/>
  <c r="CD92" i="138"/>
  <c r="CC92" i="138"/>
  <c r="CB92" i="138"/>
  <c r="CA92" i="138"/>
  <c r="BX92" i="138"/>
  <c r="BW92" i="138"/>
  <c r="BV92" i="138"/>
  <c r="BU92" i="138"/>
  <c r="BR92" i="138"/>
  <c r="BQ92" i="138"/>
  <c r="BP92" i="138"/>
  <c r="BO92" i="138"/>
  <c r="BG92" i="138"/>
  <c r="BC92" i="138" s="1"/>
  <c r="DC90" i="138"/>
  <c r="DC93" i="138" s="1"/>
  <c r="CW90" i="138"/>
  <c r="CW93" i="138" s="1"/>
  <c r="CQ90" i="138"/>
  <c r="CQ93" i="138" s="1"/>
  <c r="AU90" i="138"/>
  <c r="AU93" i="138" s="1"/>
  <c r="AU88" i="138"/>
  <c r="AO88" i="138"/>
  <c r="BF87" i="138"/>
  <c r="AT87" i="138"/>
  <c r="AN87" i="138"/>
  <c r="AT85" i="138"/>
  <c r="AN85" i="138"/>
  <c r="AI85" i="138"/>
  <c r="AS84" i="138"/>
  <c r="AR84" i="138"/>
  <c r="AQ84" i="138"/>
  <c r="AG84" i="138"/>
  <c r="AF84" i="138"/>
  <c r="AE84" i="138"/>
  <c r="AK82" i="138"/>
  <c r="AK84" i="138" s="1"/>
  <c r="CO61" i="138" l="1"/>
  <c r="CN61" i="138"/>
  <c r="CM61" i="138"/>
  <c r="CP61" i="138"/>
  <c r="BM276" i="136"/>
  <c r="BG37" i="138"/>
  <c r="BG234" i="136"/>
  <c r="BG242" i="136"/>
  <c r="BG251" i="136"/>
  <c r="BG252" i="136"/>
  <c r="BG53" i="138" s="1"/>
  <c r="BG250" i="136"/>
  <c r="BS44" i="138"/>
  <c r="BY105" i="138" s="1"/>
  <c r="AK88" i="138"/>
  <c r="AK86" i="138" s="1"/>
  <c r="AN86" i="138" s="1"/>
  <c r="AN84" i="138"/>
  <c r="AN132" i="138" s="1"/>
  <c r="AN82" i="138"/>
  <c r="BA90" i="138"/>
  <c r="AW90" i="138" s="1"/>
  <c r="AW84" i="138" s="1"/>
  <c r="AW88" i="138" s="1"/>
  <c r="BX35" i="138"/>
  <c r="AG63" i="136"/>
  <c r="DI313" i="136"/>
  <c r="DC316" i="136"/>
  <c r="DA315" i="136"/>
  <c r="DA320" i="136" s="1"/>
  <c r="DC314" i="136"/>
  <c r="CW313" i="136"/>
  <c r="CW312" i="136"/>
  <c r="CW57" i="136" s="1"/>
  <c r="BP78" i="136"/>
  <c r="BQ78" i="136"/>
  <c r="BQ19" i="136"/>
  <c r="BR20" i="136"/>
  <c r="BR78" i="136"/>
  <c r="BP19" i="136"/>
  <c r="BS72" i="136"/>
  <c r="BO20" i="136"/>
  <c r="BU36" i="138"/>
  <c r="BU35" i="138"/>
  <c r="BQ20" i="136"/>
  <c r="BR19" i="136"/>
  <c r="BS149" i="136"/>
  <c r="BP41" i="136"/>
  <c r="CA41" i="136"/>
  <c r="BR41" i="136"/>
  <c r="CB41" i="136"/>
  <c r="CJ41" i="136"/>
  <c r="BQ41" i="136"/>
  <c r="CC41" i="136"/>
  <c r="BU41" i="136"/>
  <c r="CK41" i="136"/>
  <c r="BS41" i="136"/>
  <c r="CG41" i="136"/>
  <c r="CE41" i="136"/>
  <c r="CH41" i="136"/>
  <c r="BW41" i="136"/>
  <c r="BY41" i="136"/>
  <c r="BV41" i="136"/>
  <c r="CI41" i="136"/>
  <c r="BO41" i="136"/>
  <c r="BX41" i="136"/>
  <c r="BR42" i="138"/>
  <c r="BR43" i="138"/>
  <c r="BJ42" i="138"/>
  <c r="BI20" i="138"/>
  <c r="BI28" i="138" s="1"/>
  <c r="BQ20" i="138"/>
  <c r="AX24" i="138"/>
  <c r="AX32" i="138" s="1"/>
  <c r="BA24" i="138"/>
  <c r="BI42" i="138"/>
  <c r="BR19" i="138"/>
  <c r="BR27" i="138" s="1"/>
  <c r="BP20" i="138"/>
  <c r="BC24" i="138"/>
  <c r="BC32" i="138" s="1"/>
  <c r="BK42" i="138"/>
  <c r="BL20" i="138"/>
  <c r="BU70" i="136"/>
  <c r="BU78" i="136" s="1"/>
  <c r="BO78" i="136"/>
  <c r="BS122" i="138"/>
  <c r="CW122" i="138"/>
  <c r="DC120" i="138"/>
  <c r="BS110" i="138"/>
  <c r="BS114" i="138" s="1"/>
  <c r="CQ122" i="138"/>
  <c r="DC121" i="138"/>
  <c r="CW119" i="138"/>
  <c r="DC122" i="138"/>
  <c r="CQ119" i="138"/>
  <c r="CQ120" i="138"/>
  <c r="BS103" i="138"/>
  <c r="BS107" i="138" s="1"/>
  <c r="CW120" i="138"/>
  <c r="CW121" i="138"/>
  <c r="BW35" i="138"/>
  <c r="BW70" i="136"/>
  <c r="BU146" i="136"/>
  <c r="BO343" i="136"/>
  <c r="BO11" i="134" s="1"/>
  <c r="BK20" i="138"/>
  <c r="BO155" i="136"/>
  <c r="BK63" i="136"/>
  <c r="BX62" i="136"/>
  <c r="CJ62" i="136"/>
  <c r="CS64" i="136"/>
  <c r="AL64" i="136"/>
  <c r="BJ62" i="136"/>
  <c r="AI343" i="136"/>
  <c r="CH31" i="138"/>
  <c r="BP42" i="138"/>
  <c r="AT62" i="136"/>
  <c r="BD62" i="136"/>
  <c r="AR63" i="136"/>
  <c r="BU63" i="136"/>
  <c r="CD63" i="136"/>
  <c r="CN63" i="136"/>
  <c r="AU64" i="136"/>
  <c r="BO64" i="136"/>
  <c r="CH64" i="136"/>
  <c r="BR20" i="138"/>
  <c r="BU28" i="138" s="1"/>
  <c r="AK64" i="136"/>
  <c r="AU44" i="138"/>
  <c r="AH63" i="136"/>
  <c r="Z63" i="134"/>
  <c r="BJ20" i="138"/>
  <c r="BA64" i="136"/>
  <c r="CH62" i="136"/>
  <c r="CT62" i="136"/>
  <c r="BS63" i="136"/>
  <c r="CC63" i="136"/>
  <c r="CM63" i="136"/>
  <c r="CV63" i="136"/>
  <c r="AT64" i="136"/>
  <c r="BD64" i="136"/>
  <c r="BM64" i="136"/>
  <c r="BW64" i="136"/>
  <c r="CG64" i="136"/>
  <c r="CP64" i="136"/>
  <c r="T25" i="136"/>
  <c r="AI63" i="136"/>
  <c r="CU62" i="136"/>
  <c r="BA63" i="136"/>
  <c r="BX31" i="138"/>
  <c r="BR30" i="138"/>
  <c r="AK30" i="138"/>
  <c r="AH63" i="134"/>
  <c r="CP28" i="138"/>
  <c r="BU30" i="138"/>
  <c r="BK63" i="134"/>
  <c r="BL63" i="134"/>
  <c r="BL19" i="138"/>
  <c r="BO27" i="138" s="1"/>
  <c r="AG27" i="138"/>
  <c r="CD146" i="136"/>
  <c r="BX155" i="136"/>
  <c r="BX158" i="136" s="1"/>
  <c r="BX162" i="136" s="1"/>
  <c r="BX161" i="136" s="1"/>
  <c r="BX160" i="136" s="1"/>
  <c r="BX157" i="136" s="1"/>
  <c r="AA62" i="136"/>
  <c r="CD36" i="138"/>
  <c r="AR63" i="134"/>
  <c r="AI62" i="136"/>
  <c r="CQ328" i="136"/>
  <c r="CQ327" i="136"/>
  <c r="CQ325" i="136" s="1"/>
  <c r="CQ324" i="136" s="1"/>
  <c r="CQ321" i="136" s="1"/>
  <c r="CQ319" i="136"/>
  <c r="CW315" i="136"/>
  <c r="CE63" i="136"/>
  <c r="BS146" i="136"/>
  <c r="BS155" i="136" s="1"/>
  <c r="BP155" i="136"/>
  <c r="CD70" i="136"/>
  <c r="BX78" i="136"/>
  <c r="AA63" i="134"/>
  <c r="AK31" i="138"/>
  <c r="CB27" i="138"/>
  <c r="AB63" i="134"/>
  <c r="Y64" i="136"/>
  <c r="BW36" i="138"/>
  <c r="BQ155" i="136"/>
  <c r="CP31" i="138"/>
  <c r="CG31" i="138"/>
  <c r="BJ27" i="138"/>
  <c r="DI312" i="136"/>
  <c r="DC328" i="136"/>
  <c r="DC327" i="136"/>
  <c r="AT31" i="138"/>
  <c r="BO20" i="138"/>
  <c r="CW327" i="136"/>
  <c r="CW328" i="136"/>
  <c r="BO43" i="138"/>
  <c r="AR64" i="136"/>
  <c r="BK64" i="136"/>
  <c r="BU64" i="136"/>
  <c r="CN64" i="136"/>
  <c r="BI27" i="138"/>
  <c r="CD64" i="136"/>
  <c r="AX61" i="136"/>
  <c r="BF64" i="136"/>
  <c r="BF62" i="136"/>
  <c r="CA62" i="136"/>
  <c r="AX64" i="136"/>
  <c r="CT64" i="136"/>
  <c r="AE64" i="136"/>
  <c r="Z62" i="136"/>
  <c r="AC63" i="136"/>
  <c r="AA65" i="136"/>
  <c r="AW31" i="138"/>
  <c r="AL31" i="138"/>
  <c r="BO42" i="138"/>
  <c r="AI61" i="136"/>
  <c r="AM28" i="138"/>
  <c r="BG61" i="136"/>
  <c r="BP64" i="136"/>
  <c r="BM61" i="136"/>
  <c r="CB62" i="136"/>
  <c r="BO63" i="136"/>
  <c r="BX63" i="136"/>
  <c r="CH63" i="136"/>
  <c r="AE61" i="136"/>
  <c r="AH62" i="136"/>
  <c r="AF64" i="136"/>
  <c r="BE31" i="138"/>
  <c r="AA63" i="136"/>
  <c r="AU62" i="136"/>
  <c r="AW64" i="136"/>
  <c r="BY64" i="136"/>
  <c r="AK63" i="136"/>
  <c r="BL62" i="136"/>
  <c r="AF61" i="136"/>
  <c r="Y61" i="136"/>
  <c r="AB62" i="136"/>
  <c r="BQ42" i="138"/>
  <c r="BE62" i="136"/>
  <c r="CI64" i="136"/>
  <c r="AI15" i="136"/>
  <c r="AC62" i="136"/>
  <c r="AS27" i="138"/>
  <c r="BP343" i="136"/>
  <c r="BP11" i="134" s="1"/>
  <c r="BW146" i="136"/>
  <c r="CC146" i="136" s="1"/>
  <c r="Z64" i="136"/>
  <c r="BQ64" i="136"/>
  <c r="BS70" i="136"/>
  <c r="CD35" i="138"/>
  <c r="AZ61" i="136"/>
  <c r="AX62" i="136"/>
  <c r="BQ62" i="136"/>
  <c r="BM63" i="136"/>
  <c r="BW63" i="136"/>
  <c r="CG63" i="136"/>
  <c r="CP63" i="136"/>
  <c r="BG64" i="136"/>
  <c r="CA64" i="136"/>
  <c r="Z61" i="136"/>
  <c r="AA64" i="136"/>
  <c r="BD27" i="138"/>
  <c r="CC27" i="138"/>
  <c r="AB31" i="138"/>
  <c r="AN64" i="136"/>
  <c r="BA61" i="136"/>
  <c r="BC61" i="136"/>
  <c r="AZ62" i="136"/>
  <c r="BY63" i="136"/>
  <c r="CS63" i="136"/>
  <c r="AZ64" i="136"/>
  <c r="BS64" i="136"/>
  <c r="CM64" i="136"/>
  <c r="CV64" i="136"/>
  <c r="CJ64" i="136"/>
  <c r="CH28" i="138"/>
  <c r="BD61" i="136"/>
  <c r="CS62" i="136"/>
  <c r="AO65" i="136"/>
  <c r="BQ343" i="136"/>
  <c r="BW20" i="136" s="1"/>
  <c r="AZ11" i="134"/>
  <c r="AC61" i="136"/>
  <c r="AN62" i="136"/>
  <c r="AR61" i="136"/>
  <c r="CS61" i="136"/>
  <c r="AY62" i="136"/>
  <c r="CU64" i="136"/>
  <c r="AS61" i="136"/>
  <c r="BM62" i="136"/>
  <c r="BP63" i="136"/>
  <c r="CI63" i="136"/>
  <c r="AQ64" i="136"/>
  <c r="BJ64" i="136"/>
  <c r="CC64" i="136"/>
  <c r="T346" i="136"/>
  <c r="Z63" i="136"/>
  <c r="AK62" i="136"/>
  <c r="AO61" i="136"/>
  <c r="BI61" i="136"/>
  <c r="AM62" i="136"/>
  <c r="AQ63" i="136"/>
  <c r="BR63" i="136"/>
  <c r="CB63" i="136"/>
  <c r="CK63" i="136"/>
  <c r="CU63" i="136"/>
  <c r="AF62" i="136"/>
  <c r="AG65" i="136"/>
  <c r="AS28" i="138"/>
  <c r="CN30" i="138"/>
  <c r="BE64" i="136"/>
  <c r="AY64" i="136"/>
  <c r="BE61" i="136"/>
  <c r="AH64" i="136"/>
  <c r="BC62" i="136"/>
  <c r="AU61" i="136"/>
  <c r="BS71" i="136"/>
  <c r="BS73" i="136"/>
  <c r="AQ11" i="134"/>
  <c r="BX64" i="136"/>
  <c r="BR64" i="136"/>
  <c r="CK64" i="136"/>
  <c r="AX37" i="138"/>
  <c r="AX14" i="138"/>
  <c r="AX56" i="136"/>
  <c r="AX63" i="136" s="1"/>
  <c r="BQ43" i="138"/>
  <c r="AY14" i="138"/>
  <c r="AY37" i="138"/>
  <c r="AY56" i="136"/>
  <c r="BE63" i="136" s="1"/>
  <c r="AZ14" i="138"/>
  <c r="AZ37" i="138"/>
  <c r="AZ56" i="136"/>
  <c r="BI64" i="136"/>
  <c r="AE63" i="136"/>
  <c r="AA61" i="136"/>
  <c r="DC312" i="136"/>
  <c r="BG62" i="136"/>
  <c r="BA62" i="136"/>
  <c r="AO64" i="136"/>
  <c r="BX43" i="138"/>
  <c r="CB64" i="136"/>
  <c r="AG61" i="136"/>
  <c r="AH61" i="136"/>
  <c r="Y63" i="136"/>
  <c r="CQ15" i="138"/>
  <c r="CQ38" i="138"/>
  <c r="CQ57" i="136"/>
  <c r="AM64" i="136"/>
  <c r="AG64" i="136"/>
  <c r="AQ61" i="136"/>
  <c r="AK61" i="136"/>
  <c r="AW62" i="136"/>
  <c r="AQ62" i="136"/>
  <c r="AF63" i="136"/>
  <c r="AI64" i="136"/>
  <c r="AB64" i="136"/>
  <c r="BC37" i="138"/>
  <c r="BC14" i="138"/>
  <c r="AT61" i="136"/>
  <c r="CT61" i="136"/>
  <c r="CM62" i="136"/>
  <c r="CV62" i="136"/>
  <c r="S346" i="136"/>
  <c r="S11" i="134"/>
  <c r="S25" i="136" s="1"/>
  <c r="V346" i="136"/>
  <c r="AF11" i="134"/>
  <c r="AF63" i="134" s="1"/>
  <c r="AY11" i="134"/>
  <c r="Y65" i="136"/>
  <c r="AC64" i="136"/>
  <c r="BA44" i="138"/>
  <c r="CQ316" i="136"/>
  <c r="BQ63" i="136"/>
  <c r="CT63" i="136"/>
  <c r="AB61" i="136"/>
  <c r="BE37" i="138"/>
  <c r="BE14" i="138"/>
  <c r="S50" i="136"/>
  <c r="S51" i="136" s="1"/>
  <c r="AW61" i="136"/>
  <c r="BF61" i="136"/>
  <c r="CV61" i="136"/>
  <c r="BV62" i="136"/>
  <c r="CO62" i="136"/>
  <c r="BG63" i="136"/>
  <c r="AX11" i="134"/>
  <c r="Y62" i="136"/>
  <c r="AB63" i="136"/>
  <c r="AR27" i="138"/>
  <c r="AN63" i="136"/>
  <c r="CA63" i="136"/>
  <c r="AL65" i="136"/>
  <c r="AO343" i="136"/>
  <c r="AU35" i="138"/>
  <c r="AU42" i="138" s="1"/>
  <c r="BF14" i="138"/>
  <c r="BF37" i="138"/>
  <c r="BF56" i="136"/>
  <c r="BL63" i="136" s="1"/>
  <c r="BC56" i="136"/>
  <c r="BI63" i="136" s="1"/>
  <c r="AG62" i="136"/>
  <c r="BV63" i="136"/>
  <c r="CO63" i="136"/>
  <c r="AO24" i="138"/>
  <c r="Z31" i="138"/>
  <c r="BD37" i="138"/>
  <c r="BD14" i="138"/>
  <c r="CJ63" i="136"/>
  <c r="AW11" i="134"/>
  <c r="AE62" i="136"/>
  <c r="BA35" i="138"/>
  <c r="AU343" i="136"/>
  <c r="AW37" i="138"/>
  <c r="AW14" i="138"/>
  <c r="AW56" i="136"/>
  <c r="AW63" i="136" s="1"/>
  <c r="AY61" i="136"/>
  <c r="BI62" i="136"/>
  <c r="BD56" i="136"/>
  <c r="BJ63" i="136" s="1"/>
  <c r="AS64" i="136"/>
  <c r="BC64" i="136"/>
  <c r="BL64" i="136"/>
  <c r="BV64" i="136"/>
  <c r="CE64" i="136"/>
  <c r="CO64" i="136"/>
  <c r="AA27" i="138"/>
  <c r="Z27" i="138"/>
  <c r="CU61" i="136"/>
  <c r="AL62" i="136"/>
  <c r="AM63" i="136"/>
  <c r="U346" i="136"/>
  <c r="AE11" i="134"/>
  <c r="AK63" i="134" s="1"/>
  <c r="BV70" i="136"/>
  <c r="BV35" i="138"/>
  <c r="BM152" i="136"/>
  <c r="AG32" i="138"/>
  <c r="BV146" i="136"/>
  <c r="BV36" i="138"/>
  <c r="BR61" i="136"/>
  <c r="CB61" i="136"/>
  <c r="BW62" i="136"/>
  <c r="CG62" i="136"/>
  <c r="CP62" i="136"/>
  <c r="AU63" i="136"/>
  <c r="AG11" i="134"/>
  <c r="AG63" i="134" s="1"/>
  <c r="AI65" i="136"/>
  <c r="AQ30" i="138"/>
  <c r="CD30" i="138"/>
  <c r="BC27" i="138"/>
  <c r="BS147" i="136"/>
  <c r="BS148" i="136" s="1"/>
  <c r="CG30" i="138"/>
  <c r="AN28" i="138"/>
  <c r="CM28" i="138"/>
  <c r="BF28" i="138"/>
  <c r="AA31" i="138"/>
  <c r="AB27" i="138"/>
  <c r="AH30" i="138"/>
  <c r="AF30" i="138"/>
  <c r="AB28" i="138"/>
  <c r="AL28" i="138"/>
  <c r="AA30" i="138"/>
  <c r="AS32" i="138"/>
  <c r="AK27" i="138"/>
  <c r="AE31" i="138"/>
  <c r="AH28" i="138"/>
  <c r="AR30" i="138"/>
  <c r="CI28" i="138"/>
  <c r="AT30" i="138"/>
  <c r="CI27" i="138"/>
  <c r="AM32" i="138"/>
  <c r="AX31" i="138"/>
  <c r="BV30" i="138"/>
  <c r="CD27" i="138"/>
  <c r="CA28" i="138"/>
  <c r="AA28" i="138"/>
  <c r="AE28" i="138"/>
  <c r="Z30" i="138"/>
  <c r="AQ27" i="138"/>
  <c r="AH32" i="138"/>
  <c r="AF32" i="138"/>
  <c r="AQ31" i="138"/>
  <c r="CO30" i="138"/>
  <c r="BC31" i="138"/>
  <c r="AS30" i="138"/>
  <c r="BX27" i="138"/>
  <c r="BP27" i="138"/>
  <c r="BK27" i="138"/>
  <c r="Z32" i="138"/>
  <c r="BR31" i="138"/>
  <c r="AW27" i="138"/>
  <c r="AN31" i="138"/>
  <c r="AZ27" i="138"/>
  <c r="AZ28" i="138"/>
  <c r="AB30" i="138"/>
  <c r="BV31" i="138"/>
  <c r="AX27" i="138"/>
  <c r="CO27" i="138"/>
  <c r="CG27" i="138"/>
  <c r="CM31" i="138"/>
  <c r="AX28" i="138"/>
  <c r="BV28" i="138"/>
  <c r="CA27" i="138"/>
  <c r="CH30" i="138"/>
  <c r="CM30" i="138"/>
  <c r="BF31" i="138"/>
  <c r="AY31" i="138"/>
  <c r="AE27" i="138"/>
  <c r="AM31" i="138"/>
  <c r="CM27" i="138"/>
  <c r="AG30" i="138"/>
  <c r="BL31" i="138"/>
  <c r="AN27" i="138"/>
  <c r="CD28" i="138"/>
  <c r="CD31" i="138"/>
  <c r="CA31" i="138"/>
  <c r="CB31" i="138"/>
  <c r="AM27" i="138"/>
  <c r="AN30" i="138"/>
  <c r="CA30" i="138"/>
  <c r="AY28" i="138"/>
  <c r="AT27" i="138"/>
  <c r="AH27" i="138"/>
  <c r="CI30" i="138"/>
  <c r="BI31" i="138"/>
  <c r="CJ28" i="138"/>
  <c r="CN27" i="138"/>
  <c r="AF28" i="138"/>
  <c r="BV27" i="138"/>
  <c r="BW31" i="138"/>
  <c r="AL27" i="138"/>
  <c r="BC28" i="138"/>
  <c r="AM30" i="138"/>
  <c r="AR28" i="138"/>
  <c r="BF32" i="138"/>
  <c r="AA32" i="138"/>
  <c r="CP30" i="138"/>
  <c r="BW27" i="138"/>
  <c r="CN28" i="138"/>
  <c r="AS31" i="138"/>
  <c r="CG28" i="138"/>
  <c r="CC31" i="138"/>
  <c r="CJ31" i="138"/>
  <c r="BD28" i="138"/>
  <c r="BD31" i="138"/>
  <c r="BP30" i="138"/>
  <c r="AY27" i="138"/>
  <c r="AE30" i="138"/>
  <c r="CJ27" i="138"/>
  <c r="BE27" i="138"/>
  <c r="BO31" i="138"/>
  <c r="AF27" i="138"/>
  <c r="AE32" i="138"/>
  <c r="CO28" i="138"/>
  <c r="CP27" i="138"/>
  <c r="BJ31" i="138"/>
  <c r="AT28" i="138"/>
  <c r="BQ31" i="138"/>
  <c r="BW28" i="138"/>
  <c r="AH31" i="138"/>
  <c r="CO31" i="138"/>
  <c r="CJ30" i="138"/>
  <c r="BQ27" i="138"/>
  <c r="AQ28" i="138"/>
  <c r="AB32" i="138"/>
  <c r="AL30" i="138"/>
  <c r="CN31" i="138"/>
  <c r="BW30" i="138"/>
  <c r="AG28" i="138"/>
  <c r="CI31" i="138"/>
  <c r="BX30" i="138"/>
  <c r="BE28" i="138"/>
  <c r="BU31" i="138"/>
  <c r="AN32" i="138"/>
  <c r="BX28" i="138"/>
  <c r="Z28" i="138"/>
  <c r="AK28" i="138"/>
  <c r="BK31" i="138"/>
  <c r="BQ30" i="138"/>
  <c r="AW28" i="138"/>
  <c r="CB30" i="138"/>
  <c r="CC30" i="138"/>
  <c r="AF31" i="138"/>
  <c r="AG31" i="138"/>
  <c r="CB28" i="138"/>
  <c r="BP31" i="138"/>
  <c r="BF27" i="138"/>
  <c r="CH27" i="138"/>
  <c r="BL32" i="138"/>
  <c r="AZ31" i="138"/>
  <c r="CC28" i="138"/>
  <c r="AR31" i="138"/>
  <c r="AT24" i="138"/>
  <c r="AT32" i="138" s="1"/>
  <c r="BI24" i="138"/>
  <c r="BI32" i="138" s="1"/>
  <c r="BJ65" i="136"/>
  <c r="BD24" i="138"/>
  <c r="AZ32" i="138"/>
  <c r="BA65" i="136"/>
  <c r="BG24" i="138"/>
  <c r="BK32" i="138"/>
  <c r="AT65" i="136"/>
  <c r="BD65" i="136"/>
  <c r="BM65" i="136"/>
  <c r="BM24" i="138"/>
  <c r="BE65" i="136"/>
  <c r="Z50" i="136"/>
  <c r="Z51" i="136" s="1"/>
  <c r="AF39" i="138"/>
  <c r="Z25" i="136"/>
  <c r="AF22" i="136"/>
  <c r="Z23" i="136"/>
  <c r="AA50" i="136"/>
  <c r="AG39" i="138"/>
  <c r="AG22" i="136"/>
  <c r="AA25" i="136"/>
  <c r="AB50" i="136"/>
  <c r="AB25" i="136"/>
  <c r="AH22" i="136"/>
  <c r="AH39" i="138"/>
  <c r="AE22" i="136"/>
  <c r="Y25" i="136"/>
  <c r="AE39" i="138"/>
  <c r="Y23" i="136"/>
  <c r="AC39" i="138"/>
  <c r="AC46" i="138" s="1"/>
  <c r="AC50" i="136"/>
  <c r="AI22" i="136"/>
  <c r="AC23" i="136"/>
  <c r="AI39" i="138"/>
  <c r="BI65" i="136"/>
  <c r="BK65" i="136"/>
  <c r="AS65" i="136"/>
  <c r="BC65" i="136"/>
  <c r="BL65" i="136"/>
  <c r="BF65" i="136"/>
  <c r="BG65" i="136"/>
  <c r="AW65" i="136"/>
  <c r="AX65" i="136"/>
  <c r="AZ65" i="136"/>
  <c r="AY65" i="136"/>
  <c r="AT63" i="136"/>
  <c r="AR65" i="136"/>
  <c r="AM65" i="136"/>
  <c r="AL61" i="136"/>
  <c r="AM61" i="136"/>
  <c r="AN61" i="136"/>
  <c r="AO63" i="136"/>
  <c r="AN65" i="136"/>
  <c r="AS63" i="136"/>
  <c r="AL63" i="136"/>
  <c r="AU65" i="136"/>
  <c r="AR62" i="136"/>
  <c r="AO62" i="136"/>
  <c r="AC11" i="134"/>
  <c r="BG11" i="134"/>
  <c r="AS62" i="136"/>
  <c r="AH65" i="136"/>
  <c r="AF65" i="136"/>
  <c r="AB65" i="136"/>
  <c r="AC65" i="136"/>
  <c r="Z65" i="136"/>
  <c r="AE65" i="136"/>
  <c r="CS100" i="138"/>
  <c r="DC96" i="138"/>
  <c r="DC115" i="138" s="1"/>
  <c r="BY103" i="138"/>
  <c r="CE103" i="138"/>
  <c r="CK103" i="138"/>
  <c r="CM103" i="138"/>
  <c r="CQ103" i="138" s="1"/>
  <c r="BY110" i="138"/>
  <c r="CA110" i="138"/>
  <c r="BX61" i="136"/>
  <c r="CH61" i="136"/>
  <c r="BP61" i="136"/>
  <c r="CI61" i="136"/>
  <c r="CA61" i="136"/>
  <c r="BW61" i="136"/>
  <c r="CG61" i="136"/>
  <c r="CP61" i="136"/>
  <c r="BQ61" i="136"/>
  <c r="CJ61" i="136"/>
  <c r="BJ61" i="136"/>
  <c r="CC61" i="136"/>
  <c r="CM61" i="136"/>
  <c r="BK61" i="136"/>
  <c r="BU61" i="136"/>
  <c r="CD61" i="136"/>
  <c r="CN61" i="136"/>
  <c r="BL61" i="136"/>
  <c r="BV61" i="136"/>
  <c r="CO61" i="136"/>
  <c r="BO61" i="136"/>
  <c r="CC62" i="136"/>
  <c r="BO62" i="136"/>
  <c r="CD62" i="136"/>
  <c r="CN62" i="136"/>
  <c r="BJ11" i="134"/>
  <c r="BK62" i="136"/>
  <c r="BU62" i="136"/>
  <c r="BP62" i="136"/>
  <c r="CI62" i="136"/>
  <c r="BR62" i="136"/>
  <c r="BM343" i="136"/>
  <c r="BI11" i="134"/>
  <c r="AM11" i="134"/>
  <c r="AN11" i="134"/>
  <c r="AN63" i="134" s="1"/>
  <c r="Y50" i="136"/>
  <c r="Y51" i="136" s="1"/>
  <c r="T50" i="136"/>
  <c r="T51" i="136" s="1"/>
  <c r="W50" i="136"/>
  <c r="U17" i="136"/>
  <c r="AA39" i="138" s="1"/>
  <c r="AA46" i="138" s="1"/>
  <c r="V17" i="136"/>
  <c r="AB39" i="138" s="1"/>
  <c r="AB46" i="138" s="1"/>
  <c r="AQ15" i="136"/>
  <c r="BC15" i="136"/>
  <c r="AX218" i="136"/>
  <c r="BF15" i="136"/>
  <c r="BF218" i="136"/>
  <c r="AS218" i="136"/>
  <c r="AO218" i="136"/>
  <c r="AO15" i="136"/>
  <c r="AO17" i="136" s="1"/>
  <c r="AU39" i="138" s="1"/>
  <c r="BM218" i="136"/>
  <c r="AL15" i="136"/>
  <c r="BE15" i="136"/>
  <c r="BE218" i="136"/>
  <c r="AM218" i="136"/>
  <c r="AN15" i="136"/>
  <c r="AX15" i="136"/>
  <c r="BJ218" i="136"/>
  <c r="AZ218" i="136"/>
  <c r="AQ218" i="136"/>
  <c r="AK15" i="136"/>
  <c r="AT15" i="136"/>
  <c r="BD15" i="136"/>
  <c r="AN14" i="136"/>
  <c r="AR14" i="136"/>
  <c r="AR17" i="136" s="1"/>
  <c r="AR25" i="136" s="1"/>
  <c r="AS14" i="136"/>
  <c r="AL14" i="136"/>
  <c r="AM14" i="136"/>
  <c r="AM17" i="136" s="1"/>
  <c r="AS39" i="138" s="1"/>
  <c r="AF14" i="136"/>
  <c r="AF17" i="136" s="1"/>
  <c r="AL39" i="138" s="1"/>
  <c r="BC13" i="136"/>
  <c r="BF13" i="136"/>
  <c r="BF75" i="136"/>
  <c r="AX13" i="136"/>
  <c r="AZ75" i="136"/>
  <c r="AY13" i="136"/>
  <c r="AZ13" i="136"/>
  <c r="BA70" i="136"/>
  <c r="AE17" i="136"/>
  <c r="AG17" i="136"/>
  <c r="AM39" i="138" s="1"/>
  <c r="AH17" i="136"/>
  <c r="AN39" i="138" s="1"/>
  <c r="DB100" i="138"/>
  <c r="CW96" i="138"/>
  <c r="DC99" i="138" s="1"/>
  <c r="AR88" i="138"/>
  <c r="AL88" i="138"/>
  <c r="CW91" i="138"/>
  <c r="AM88" i="138"/>
  <c r="CT100" i="138"/>
  <c r="CS132" i="138"/>
  <c r="CY133" i="138" s="1"/>
  <c r="DB132" i="138"/>
  <c r="CV132" i="138"/>
  <c r="DB134" i="138" s="1"/>
  <c r="CM132" i="138"/>
  <c r="CS133" i="138" s="1"/>
  <c r="AO136" i="138"/>
  <c r="CZ135" i="138"/>
  <c r="AO133" i="138"/>
  <c r="AO134" i="138"/>
  <c r="AS88" i="138"/>
  <c r="AS132" i="138"/>
  <c r="AY134" i="138" s="1"/>
  <c r="AH84" i="138"/>
  <c r="AT84" i="138"/>
  <c r="BM92" i="138"/>
  <c r="BD92" i="138"/>
  <c r="BF92" i="138"/>
  <c r="BE92" i="138"/>
  <c r="AK118" i="138"/>
  <c r="AK132" i="138"/>
  <c r="AQ135" i="138" s="1"/>
  <c r="AQ88" i="138"/>
  <c r="AQ86" i="138" s="1"/>
  <c r="AT86" i="138" s="1"/>
  <c r="AF132" i="138"/>
  <c r="AL118" i="138"/>
  <c r="AL122" i="138" s="1"/>
  <c r="CP132" i="138"/>
  <c r="CV135" i="138" s="1"/>
  <c r="CV100" i="138"/>
  <c r="CP115" i="138"/>
  <c r="CZ100" i="138"/>
  <c r="CZ132" i="138"/>
  <c r="CZ136" i="138" s="1"/>
  <c r="CZ115" i="138"/>
  <c r="AR132" i="138"/>
  <c r="AX134" i="138" s="1"/>
  <c r="AG132" i="138"/>
  <c r="CO132" i="138"/>
  <c r="CU133" i="138" s="1"/>
  <c r="CU100" i="138"/>
  <c r="CY100" i="138"/>
  <c r="CY132" i="138"/>
  <c r="CY115" i="138"/>
  <c r="CQ96" i="138"/>
  <c r="CW98" i="138" s="1"/>
  <c r="DA100" i="138"/>
  <c r="DA132" i="138"/>
  <c r="CE122" i="138"/>
  <c r="CK122" i="138"/>
  <c r="AL132" i="138"/>
  <c r="AR134" i="138" s="1"/>
  <c r="AM132" i="138"/>
  <c r="AS134" i="138" s="1"/>
  <c r="CU132" i="138"/>
  <c r="CN115" i="138"/>
  <c r="CN132" i="138"/>
  <c r="CT133" i="138" s="1"/>
  <c r="AU135" i="138"/>
  <c r="AU136" i="138"/>
  <c r="BA133" i="138"/>
  <c r="AU134" i="138"/>
  <c r="BY122" i="138"/>
  <c r="AE132" i="138"/>
  <c r="AQ132" i="138"/>
  <c r="AW135" i="138" s="1"/>
  <c r="BA134" i="138"/>
  <c r="AU133" i="138"/>
  <c r="CZ134" i="138"/>
  <c r="CT115" i="138"/>
  <c r="CU115" i="138"/>
  <c r="CM115" i="138"/>
  <c r="CV115" i="138"/>
  <c r="BA93" i="138" l="1"/>
  <c r="AW93" i="138"/>
  <c r="AX90" i="138"/>
  <c r="AX84" i="138" s="1"/>
  <c r="AW132" i="138"/>
  <c r="BC135" i="138" s="1"/>
  <c r="BG90" i="138"/>
  <c r="BD90" i="138" s="1"/>
  <c r="BD84" i="138" s="1"/>
  <c r="BY104" i="138"/>
  <c r="BM44" i="138"/>
  <c r="BG44" i="138"/>
  <c r="BA102" i="138"/>
  <c r="AY90" i="138"/>
  <c r="AY84" i="138" s="1"/>
  <c r="CW38" i="138"/>
  <c r="BX42" i="138"/>
  <c r="BJ28" i="138"/>
  <c r="CW64" i="136"/>
  <c r="BU43" i="138"/>
  <c r="CW316" i="136"/>
  <c r="DC315" i="136"/>
  <c r="DC320" i="136" s="1"/>
  <c r="CA70" i="136"/>
  <c r="CA78" i="136" s="1"/>
  <c r="CA81" i="136" s="1"/>
  <c r="CA85" i="136" s="1"/>
  <c r="CA84" i="136" s="1"/>
  <c r="CA83" i="136" s="1"/>
  <c r="CA80" i="136" s="1"/>
  <c r="CA35" i="138"/>
  <c r="CA42" i="138" s="1"/>
  <c r="BU42" i="138"/>
  <c r="BL28" i="138"/>
  <c r="BS20" i="136"/>
  <c r="BY72" i="136"/>
  <c r="BU20" i="136"/>
  <c r="BY149" i="136"/>
  <c r="BW19" i="136"/>
  <c r="BV20" i="136"/>
  <c r="BU155" i="136"/>
  <c r="BU158" i="136" s="1"/>
  <c r="BU162" i="136" s="1"/>
  <c r="BU161" i="136" s="1"/>
  <c r="BU160" i="136" s="1"/>
  <c r="BU157" i="136" s="1"/>
  <c r="BU19" i="136"/>
  <c r="BV19" i="136"/>
  <c r="AY32" i="138"/>
  <c r="BQ28" i="138"/>
  <c r="BU385" i="136"/>
  <c r="BD32" i="138"/>
  <c r="BO28" i="138"/>
  <c r="AX44" i="138"/>
  <c r="BJ63" i="134"/>
  <c r="BU27" i="138"/>
  <c r="BY27" i="138" s="1"/>
  <c r="AY44" i="138"/>
  <c r="AZ63" i="134"/>
  <c r="CD42" i="138"/>
  <c r="AY63" i="134"/>
  <c r="BI63" i="134"/>
  <c r="BV43" i="138"/>
  <c r="BW42" i="138"/>
  <c r="AW22" i="138"/>
  <c r="AW30" i="138" s="1"/>
  <c r="BW43" i="138"/>
  <c r="CQ45" i="138"/>
  <c r="AZ22" i="138"/>
  <c r="AY22" i="138"/>
  <c r="AW44" i="138"/>
  <c r="CD43" i="138"/>
  <c r="BV42" i="138"/>
  <c r="AZ44" i="138"/>
  <c r="AX63" i="134"/>
  <c r="AX22" i="138"/>
  <c r="BY114" i="138"/>
  <c r="CW320" i="136"/>
  <c r="BU343" i="136"/>
  <c r="BU11" i="134" s="1"/>
  <c r="BU387" i="136"/>
  <c r="CJ70" i="136"/>
  <c r="BV385" i="136"/>
  <c r="BW78" i="136"/>
  <c r="BW81" i="136" s="1"/>
  <c r="BW85" i="136" s="1"/>
  <c r="BW84" i="136" s="1"/>
  <c r="BW83" i="136" s="1"/>
  <c r="BW80" i="136" s="1"/>
  <c r="BW385" i="136"/>
  <c r="CC70" i="136"/>
  <c r="CE107" i="138"/>
  <c r="CK107" i="138"/>
  <c r="CQ107" i="138"/>
  <c r="BY107" i="138"/>
  <c r="CQ23" i="138"/>
  <c r="CA146" i="136"/>
  <c r="CC35" i="138"/>
  <c r="CA36" i="138"/>
  <c r="BR28" i="138"/>
  <c r="BP28" i="138"/>
  <c r="BK28" i="138"/>
  <c r="CC36" i="138"/>
  <c r="BS152" i="136"/>
  <c r="BY150" i="136"/>
  <c r="AM63" i="134"/>
  <c r="BE63" i="134"/>
  <c r="BY147" i="136"/>
  <c r="AS63" i="134"/>
  <c r="BL27" i="138"/>
  <c r="BM27" i="138" s="1"/>
  <c r="AW63" i="134"/>
  <c r="BV78" i="136"/>
  <c r="AC25" i="136"/>
  <c r="CD78" i="136"/>
  <c r="CD81" i="136" s="1"/>
  <c r="CD85" i="136" s="1"/>
  <c r="CD84" i="136" s="1"/>
  <c r="CD83" i="136" s="1"/>
  <c r="CD80" i="136" s="1"/>
  <c r="CJ35" i="138"/>
  <c r="AT63" i="134"/>
  <c r="CQ322" i="136"/>
  <c r="CQ326" i="136" s="1"/>
  <c r="CW325" i="136"/>
  <c r="CW324" i="136" s="1"/>
  <c r="CW321" i="136" s="1"/>
  <c r="BY73" i="136"/>
  <c r="BS78" i="136"/>
  <c r="BA42" i="138"/>
  <c r="BD63" i="134"/>
  <c r="BU81" i="136"/>
  <c r="BU85" i="136" s="1"/>
  <c r="BU84" i="136" s="1"/>
  <c r="BU83" i="136" s="1"/>
  <c r="BU80" i="136" s="1"/>
  <c r="BO63" i="134"/>
  <c r="BQ11" i="134"/>
  <c r="BX81" i="136"/>
  <c r="BX85" i="136" s="1"/>
  <c r="BX84" i="136" s="1"/>
  <c r="BX83" i="136" s="1"/>
  <c r="BX80" i="136" s="1"/>
  <c r="CJ146" i="136"/>
  <c r="CD155" i="136"/>
  <c r="CD158" i="136" s="1"/>
  <c r="CD162" i="136" s="1"/>
  <c r="CD161" i="136" s="1"/>
  <c r="CD160" i="136" s="1"/>
  <c r="CD157" i="136" s="1"/>
  <c r="CJ36" i="138"/>
  <c r="CC155" i="136"/>
  <c r="AI11" i="134"/>
  <c r="AI63" i="134" s="1"/>
  <c r="AE63" i="134"/>
  <c r="BS75" i="136"/>
  <c r="BW343" i="136"/>
  <c r="CC19" i="136" s="1"/>
  <c r="BW155" i="136"/>
  <c r="Y63" i="134"/>
  <c r="V50" i="136"/>
  <c r="BY146" i="136"/>
  <c r="CE147" i="136" s="1"/>
  <c r="CE148" i="136" s="1"/>
  <c r="CE13" i="138" s="1"/>
  <c r="BV155" i="136"/>
  <c r="BV158" i="136" s="1"/>
  <c r="BV162" i="136" s="1"/>
  <c r="BV161" i="136" s="1"/>
  <c r="BV160" i="136" s="1"/>
  <c r="BV157" i="136" s="1"/>
  <c r="AU11" i="134"/>
  <c r="AQ63" i="134"/>
  <c r="BP63" i="134"/>
  <c r="BF63" i="134"/>
  <c r="BC63" i="134"/>
  <c r="AL63" i="134"/>
  <c r="BY71" i="136"/>
  <c r="BY35" i="138" s="1"/>
  <c r="BF63" i="136"/>
  <c r="BY70" i="136"/>
  <c r="U25" i="136"/>
  <c r="AR49" i="136"/>
  <c r="CQ31" i="138"/>
  <c r="AC31" i="138"/>
  <c r="W11" i="134"/>
  <c r="W25" i="136" s="1"/>
  <c r="AC27" i="138"/>
  <c r="BS11" i="138"/>
  <c r="BS54" i="136"/>
  <c r="AG25" i="136"/>
  <c r="BS35" i="138"/>
  <c r="AB23" i="136"/>
  <c r="CI146" i="136"/>
  <c r="CI36" i="138"/>
  <c r="AH25" i="136"/>
  <c r="AR50" i="136"/>
  <c r="BD63" i="136"/>
  <c r="BJ44" i="138"/>
  <c r="BD44" i="138"/>
  <c r="BG35" i="138"/>
  <c r="BA343" i="136"/>
  <c r="BK44" i="138"/>
  <c r="BE44" i="138"/>
  <c r="AF25" i="136"/>
  <c r="AL17" i="136"/>
  <c r="AL50" i="136" s="1"/>
  <c r="AM25" i="136"/>
  <c r="BJ32" i="138"/>
  <c r="BM32" i="138" s="1"/>
  <c r="CB146" i="136"/>
  <c r="CB36" i="138"/>
  <c r="CB70" i="136"/>
  <c r="CB35" i="138"/>
  <c r="BV343" i="136"/>
  <c r="CB19" i="136" s="1"/>
  <c r="BL22" i="138"/>
  <c r="BF22" i="138"/>
  <c r="AZ63" i="136"/>
  <c r="BK22" i="138"/>
  <c r="BE22" i="138"/>
  <c r="AS46" i="138"/>
  <c r="BF44" i="138"/>
  <c r="BL44" i="138"/>
  <c r="AS17" i="136"/>
  <c r="AS48" i="136" s="1"/>
  <c r="AA23" i="136"/>
  <c r="BC63" i="136"/>
  <c r="BC22" i="138"/>
  <c r="BI22" i="138"/>
  <c r="AY63" i="136"/>
  <c r="BS12" i="138"/>
  <c r="BS55" i="136"/>
  <c r="BA11" i="134"/>
  <c r="AX39" i="138"/>
  <c r="AR47" i="136"/>
  <c r="AR48" i="136"/>
  <c r="BS36" i="138"/>
  <c r="BJ22" i="138"/>
  <c r="BD22" i="138"/>
  <c r="V25" i="136"/>
  <c r="BC44" i="138"/>
  <c r="BI44" i="138"/>
  <c r="CQ64" i="136"/>
  <c r="AO28" i="138"/>
  <c r="AO31" i="138"/>
  <c r="AC30" i="138"/>
  <c r="AO27" i="138"/>
  <c r="AC28" i="138"/>
  <c r="AI32" i="138"/>
  <c r="CE31" i="138"/>
  <c r="AU30" i="138"/>
  <c r="CE27" i="138"/>
  <c r="BG31" i="138"/>
  <c r="BA31" i="138"/>
  <c r="AU27" i="138"/>
  <c r="BS27" i="138"/>
  <c r="BG27" i="138"/>
  <c r="AI27" i="138"/>
  <c r="CK27" i="138"/>
  <c r="CK30" i="138"/>
  <c r="AI28" i="138"/>
  <c r="CQ30" i="138"/>
  <c r="AO30" i="138"/>
  <c r="AI30" i="138"/>
  <c r="BA27" i="138"/>
  <c r="BS31" i="138"/>
  <c r="AU28" i="138"/>
  <c r="CK28" i="138"/>
  <c r="BY31" i="138"/>
  <c r="BM31" i="138"/>
  <c r="BA28" i="138"/>
  <c r="CK31" i="138"/>
  <c r="CQ28" i="138"/>
  <c r="BG28" i="138"/>
  <c r="BY28" i="138"/>
  <c r="CQ27" i="138"/>
  <c r="AC32" i="138"/>
  <c r="CW99" i="138"/>
  <c r="CW97" i="138"/>
  <c r="AU31" i="138"/>
  <c r="CE28" i="138"/>
  <c r="AI31" i="138"/>
  <c r="CE30" i="138"/>
  <c r="BY30" i="138"/>
  <c r="AW32" i="138"/>
  <c r="BE32" i="138"/>
  <c r="AE25" i="136"/>
  <c r="AK39" i="138"/>
  <c r="AH46" i="138"/>
  <c r="AN46" i="138"/>
  <c r="AG46" i="138"/>
  <c r="AM46" i="138"/>
  <c r="AE46" i="138"/>
  <c r="AF46" i="138"/>
  <c r="AL46" i="138"/>
  <c r="AI46" i="138"/>
  <c r="AH23" i="136"/>
  <c r="AH21" i="136" s="1"/>
  <c r="AG23" i="136"/>
  <c r="AG21" i="136" s="1"/>
  <c r="AM23" i="136"/>
  <c r="AE23" i="136"/>
  <c r="AE21" i="136" s="1"/>
  <c r="AF23" i="136"/>
  <c r="AF21" i="136" s="1"/>
  <c r="AN88" i="138"/>
  <c r="CY135" i="138"/>
  <c r="CY136" i="138"/>
  <c r="CY134" i="138"/>
  <c r="CG110" i="138"/>
  <c r="CE110" i="138"/>
  <c r="CE114" i="138" s="1"/>
  <c r="BM11" i="134"/>
  <c r="AO11" i="134"/>
  <c r="AM47" i="136"/>
  <c r="AM49" i="136"/>
  <c r="AM48" i="136"/>
  <c r="AM50" i="136"/>
  <c r="AH49" i="136"/>
  <c r="AH50" i="136"/>
  <c r="AH48" i="136"/>
  <c r="AG49" i="136"/>
  <c r="AG50" i="136"/>
  <c r="AG48" i="136"/>
  <c r="AE50" i="136"/>
  <c r="AE48" i="136"/>
  <c r="AE49" i="136"/>
  <c r="AF48" i="136"/>
  <c r="AF50" i="136"/>
  <c r="AF49" i="136"/>
  <c r="AC51" i="136"/>
  <c r="AA51" i="136"/>
  <c r="AB51" i="136"/>
  <c r="W51" i="136"/>
  <c r="U50" i="136"/>
  <c r="AU218" i="136"/>
  <c r="AU15" i="136"/>
  <c r="BA218" i="136"/>
  <c r="BA15" i="136"/>
  <c r="BG218" i="136"/>
  <c r="BG15" i="136"/>
  <c r="AN17" i="136"/>
  <c r="AT39" i="138" s="1"/>
  <c r="AT46" i="138" s="1"/>
  <c r="AK14" i="136"/>
  <c r="AK17" i="136" s="1"/>
  <c r="AI14" i="136"/>
  <c r="AY14" i="136"/>
  <c r="AT14" i="136"/>
  <c r="AX14" i="136"/>
  <c r="BO13" i="136"/>
  <c r="BI13" i="136"/>
  <c r="BL13" i="136"/>
  <c r="BD13" i="136"/>
  <c r="BD75" i="136"/>
  <c r="BG70" i="136"/>
  <c r="BA13" i="136"/>
  <c r="BA75" i="136"/>
  <c r="BE13" i="136"/>
  <c r="BE75" i="136"/>
  <c r="BU13" i="136"/>
  <c r="DC97" i="138"/>
  <c r="CW100" i="138"/>
  <c r="CW115" i="138"/>
  <c r="CW132" i="138"/>
  <c r="DC98" i="138"/>
  <c r="CS136" i="138"/>
  <c r="AM135" i="138"/>
  <c r="AY133" i="138"/>
  <c r="DB135" i="138"/>
  <c r="CS134" i="138"/>
  <c r="AR135" i="138"/>
  <c r="DB136" i="138"/>
  <c r="CS135" i="138"/>
  <c r="AY135" i="138"/>
  <c r="DB133" i="138"/>
  <c r="AS135" i="138"/>
  <c r="AM133" i="138"/>
  <c r="AL134" i="138"/>
  <c r="AL135" i="138"/>
  <c r="AR136" i="138"/>
  <c r="AK136" i="138"/>
  <c r="AL133" i="138"/>
  <c r="AM134" i="138"/>
  <c r="CV136" i="138"/>
  <c r="CU134" i="138"/>
  <c r="AK134" i="138"/>
  <c r="CU136" i="138"/>
  <c r="CT135" i="138"/>
  <c r="CU135" i="138"/>
  <c r="AW133" i="138"/>
  <c r="DA135" i="138"/>
  <c r="AM136" i="138"/>
  <c r="AS133" i="138"/>
  <c r="CQ132" i="138"/>
  <c r="CQ115" i="138"/>
  <c r="CV133" i="138"/>
  <c r="AX135" i="138"/>
  <c r="AL136" i="138"/>
  <c r="BI92" i="138"/>
  <c r="BK92" i="138"/>
  <c r="BL92" i="138"/>
  <c r="BJ92" i="138"/>
  <c r="CT136" i="138"/>
  <c r="AK135" i="138"/>
  <c r="AR133" i="138"/>
  <c r="DA134" i="138"/>
  <c r="AQ133" i="138"/>
  <c r="AS136" i="138"/>
  <c r="AT88" i="138"/>
  <c r="AT132" i="138"/>
  <c r="AZ135" i="138" s="1"/>
  <c r="AH132" i="138"/>
  <c r="AT134" i="138"/>
  <c r="AQ136" i="138"/>
  <c r="AT133" i="138"/>
  <c r="AQ134" i="138"/>
  <c r="AM118" i="138"/>
  <c r="AM122" i="138" s="1"/>
  <c r="DA136" i="138"/>
  <c r="AW134" i="138"/>
  <c r="DA133" i="138"/>
  <c r="CT134" i="138"/>
  <c r="AX133" i="138"/>
  <c r="AT135" i="138"/>
  <c r="AK133" i="138"/>
  <c r="DC132" i="138"/>
  <c r="DC116" i="138"/>
  <c r="DC100" i="138"/>
  <c r="CV134" i="138"/>
  <c r="AY93" i="138" l="1"/>
  <c r="AX93" i="138"/>
  <c r="BG93" i="138"/>
  <c r="BC133" i="138"/>
  <c r="BE90" i="138"/>
  <c r="BE84" i="138" s="1"/>
  <c r="BE88" i="138" s="1"/>
  <c r="AW136" i="138"/>
  <c r="BC134" i="138"/>
  <c r="BC90" i="138"/>
  <c r="BC84" i="138" s="1"/>
  <c r="BM90" i="138"/>
  <c r="BM93" i="138" s="1"/>
  <c r="BY36" i="138"/>
  <c r="BY148" i="136"/>
  <c r="BY13" i="138" s="1"/>
  <c r="BY21" i="138" s="1"/>
  <c r="AZ90" i="138"/>
  <c r="AZ84" i="138" s="1"/>
  <c r="BA84" i="138" s="1"/>
  <c r="CW45" i="138"/>
  <c r="CG70" i="136"/>
  <c r="CM35" i="138" s="1"/>
  <c r="CG35" i="138"/>
  <c r="CG42" i="138" s="1"/>
  <c r="BM28" i="138"/>
  <c r="BU388" i="136"/>
  <c r="BU375" i="136" s="1"/>
  <c r="BU373" i="136"/>
  <c r="BA32" i="138"/>
  <c r="CE149" i="136"/>
  <c r="CB20" i="136"/>
  <c r="CE72" i="136"/>
  <c r="CA20" i="136"/>
  <c r="CC20" i="136"/>
  <c r="CG146" i="136"/>
  <c r="CI35" i="138"/>
  <c r="CA19" i="136"/>
  <c r="BU38" i="136"/>
  <c r="CJ78" i="136"/>
  <c r="CJ81" i="136" s="1"/>
  <c r="AX30" i="138"/>
  <c r="BU372" i="136"/>
  <c r="BU386" i="136"/>
  <c r="BU374" i="136" s="1"/>
  <c r="BO38" i="136"/>
  <c r="BG32" i="138"/>
  <c r="BY152" i="136"/>
  <c r="CI70" i="136"/>
  <c r="AY30" i="138"/>
  <c r="AZ30" i="138"/>
  <c r="CJ43" i="138"/>
  <c r="CA43" i="138"/>
  <c r="BM63" i="134"/>
  <c r="CC42" i="138"/>
  <c r="BS19" i="138"/>
  <c r="CC43" i="138"/>
  <c r="BC30" i="138"/>
  <c r="CB43" i="138"/>
  <c r="BQ63" i="134"/>
  <c r="BU63" i="134"/>
  <c r="CJ42" i="138"/>
  <c r="BS20" i="138"/>
  <c r="BS43" i="138"/>
  <c r="CB42" i="138"/>
  <c r="BG42" i="138"/>
  <c r="CA385" i="136"/>
  <c r="BW386" i="136"/>
  <c r="BW374" i="136" s="1"/>
  <c r="CC343" i="136"/>
  <c r="CC372" i="136" s="1"/>
  <c r="CP70" i="136"/>
  <c r="CP35" i="138"/>
  <c r="BV372" i="136"/>
  <c r="BV373" i="136"/>
  <c r="CB385" i="136"/>
  <c r="BW11" i="134"/>
  <c r="BW372" i="136"/>
  <c r="BW373" i="136"/>
  <c r="CC385" i="136"/>
  <c r="BV386" i="136"/>
  <c r="BV374" i="136" s="1"/>
  <c r="CC78" i="136"/>
  <c r="CC81" i="136" s="1"/>
  <c r="CC85" i="136" s="1"/>
  <c r="CC84" i="136" s="1"/>
  <c r="CC83" i="136" s="1"/>
  <c r="CC80" i="136" s="1"/>
  <c r="CA343" i="136"/>
  <c r="CG19" i="136" s="1"/>
  <c r="CA155" i="136"/>
  <c r="CA158" i="136" s="1"/>
  <c r="CA162" i="136" s="1"/>
  <c r="CA161" i="136" s="1"/>
  <c r="CA160" i="136" s="1"/>
  <c r="CA157" i="136" s="1"/>
  <c r="CG36" i="138"/>
  <c r="BS28" i="138"/>
  <c r="CI43" i="138"/>
  <c r="BY12" i="138"/>
  <c r="BY55" i="136"/>
  <c r="BY62" i="136" s="1"/>
  <c r="CE36" i="138"/>
  <c r="AC63" i="134"/>
  <c r="BY11" i="138"/>
  <c r="AH51" i="136"/>
  <c r="BJ30" i="138"/>
  <c r="BA63" i="134"/>
  <c r="CB155" i="136"/>
  <c r="CB158" i="136" s="1"/>
  <c r="CB162" i="136" s="1"/>
  <c r="CB161" i="136" s="1"/>
  <c r="CB160" i="136" s="1"/>
  <c r="CB157" i="136" s="1"/>
  <c r="CE70" i="136"/>
  <c r="CB78" i="136"/>
  <c r="CB81" i="136" s="1"/>
  <c r="CB85" i="136" s="1"/>
  <c r="CB84" i="136" s="1"/>
  <c r="CB83" i="136" s="1"/>
  <c r="CB80" i="136" s="1"/>
  <c r="BY54" i="136"/>
  <c r="BY61" i="136" s="1"/>
  <c r="BW158" i="136"/>
  <c r="BW162" i="136" s="1"/>
  <c r="BW161" i="136" s="1"/>
  <c r="BW160" i="136" s="1"/>
  <c r="BW157" i="136" s="1"/>
  <c r="AO25" i="136"/>
  <c r="AO63" i="134"/>
  <c r="CP146" i="136"/>
  <c r="CJ155" i="136"/>
  <c r="CP36" i="138"/>
  <c r="CE146" i="136"/>
  <c r="CK150" i="136" s="1"/>
  <c r="AU63" i="134"/>
  <c r="BG63" i="134"/>
  <c r="BV81" i="136"/>
  <c r="BV85" i="136" s="1"/>
  <c r="BV84" i="136" s="1"/>
  <c r="BV83" i="136" s="1"/>
  <c r="BV80" i="136" s="1"/>
  <c r="CI155" i="136"/>
  <c r="CI158" i="136" s="1"/>
  <c r="CI162" i="136" s="1"/>
  <c r="CI161" i="136" s="1"/>
  <c r="CI160" i="136" s="1"/>
  <c r="CI157" i="136" s="1"/>
  <c r="BY42" i="138"/>
  <c r="CE73" i="136"/>
  <c r="BY78" i="136"/>
  <c r="BY81" i="136" s="1"/>
  <c r="BY87" i="136"/>
  <c r="BY86" i="136"/>
  <c r="CE150" i="136"/>
  <c r="BY155" i="136"/>
  <c r="BY158" i="136" s="1"/>
  <c r="BY163" i="136"/>
  <c r="BY164" i="136"/>
  <c r="CC158" i="136"/>
  <c r="CC162" i="136" s="1"/>
  <c r="CC161" i="136" s="1"/>
  <c r="CC160" i="136" s="1"/>
  <c r="CC157" i="136" s="1"/>
  <c r="AF51" i="136"/>
  <c r="AE51" i="136"/>
  <c r="BF30" i="138"/>
  <c r="AG51" i="136"/>
  <c r="AL23" i="136"/>
  <c r="AL49" i="136"/>
  <c r="BY75" i="136"/>
  <c r="CE71" i="136"/>
  <c r="BD30" i="138"/>
  <c r="BE30" i="138"/>
  <c r="BK30" i="138"/>
  <c r="AR23" i="136"/>
  <c r="AR39" i="138"/>
  <c r="AR46" i="138" s="1"/>
  <c r="AL25" i="136"/>
  <c r="BS61" i="136"/>
  <c r="CH70" i="136"/>
  <c r="CH35" i="138"/>
  <c r="CB343" i="136"/>
  <c r="CH19" i="136" s="1"/>
  <c r="AX17" i="136"/>
  <c r="BI30" i="138"/>
  <c r="AY39" i="138"/>
  <c r="AS23" i="136"/>
  <c r="AS49" i="136"/>
  <c r="AS47" i="136"/>
  <c r="AS50" i="136"/>
  <c r="AS25" i="136"/>
  <c r="AI17" i="136"/>
  <c r="AI48" i="136" s="1"/>
  <c r="AQ39" i="138"/>
  <c r="AQ46" i="138" s="1"/>
  <c r="AK25" i="136"/>
  <c r="AN25" i="136"/>
  <c r="AT17" i="136"/>
  <c r="AN23" i="136"/>
  <c r="CH146" i="136"/>
  <c r="CH36" i="138"/>
  <c r="CO146" i="136"/>
  <c r="CO36" i="138"/>
  <c r="BO30" i="138"/>
  <c r="BS30" i="138" s="1"/>
  <c r="BL30" i="138"/>
  <c r="BV11" i="134"/>
  <c r="BM35" i="138"/>
  <c r="BG343" i="136"/>
  <c r="BM75" i="136"/>
  <c r="AY17" i="136"/>
  <c r="AL48" i="136"/>
  <c r="BS105" i="138"/>
  <c r="BS104" i="138"/>
  <c r="AR51" i="136"/>
  <c r="BS62" i="136"/>
  <c r="CE12" i="138"/>
  <c r="CE55" i="136"/>
  <c r="AK16" i="138"/>
  <c r="AK58" i="136"/>
  <c r="AK46" i="138"/>
  <c r="AK23" i="136"/>
  <c r="DC134" i="138"/>
  <c r="DC133" i="138"/>
  <c r="CM110" i="138"/>
  <c r="CQ110" i="138" s="1"/>
  <c r="CK110" i="138"/>
  <c r="CK114" i="138" s="1"/>
  <c r="AM51" i="136"/>
  <c r="AN47" i="136"/>
  <c r="AN49" i="136"/>
  <c r="AN48" i="136"/>
  <c r="AN50" i="136"/>
  <c r="AK49" i="136"/>
  <c r="AK48" i="136"/>
  <c r="AK50" i="136"/>
  <c r="AO47" i="136"/>
  <c r="AO49" i="136"/>
  <c r="AO48" i="136"/>
  <c r="AO50" i="136"/>
  <c r="V51" i="136"/>
  <c r="U51" i="136"/>
  <c r="AU14" i="136"/>
  <c r="AU17" i="136" s="1"/>
  <c r="AQ14" i="136"/>
  <c r="BE14" i="136"/>
  <c r="BD14" i="136"/>
  <c r="AZ14" i="136"/>
  <c r="BJ13" i="136"/>
  <c r="BR13" i="136"/>
  <c r="BK13" i="136"/>
  <c r="BG75" i="136"/>
  <c r="BG13" i="136"/>
  <c r="CA13" i="136"/>
  <c r="BD93" i="138"/>
  <c r="DC135" i="138"/>
  <c r="CW136" i="138"/>
  <c r="DC136" i="138"/>
  <c r="CW133" i="138"/>
  <c r="AN136" i="138"/>
  <c r="CW135" i="138"/>
  <c r="BE132" i="138"/>
  <c r="BK135" i="138" s="1"/>
  <c r="AY132" i="138"/>
  <c r="AY136" i="138" s="1"/>
  <c r="AY88" i="138"/>
  <c r="AN133" i="138"/>
  <c r="BD132" i="138"/>
  <c r="BJ134" i="138" s="1"/>
  <c r="BD88" i="138"/>
  <c r="AQ118" i="138"/>
  <c r="AX132" i="138"/>
  <c r="AX136" i="138" s="1"/>
  <c r="AX88" i="138"/>
  <c r="CW134" i="138"/>
  <c r="AN134" i="138"/>
  <c r="AX118" i="138"/>
  <c r="AR118" i="138"/>
  <c r="AR122" i="138" s="1"/>
  <c r="AT136" i="138"/>
  <c r="AZ133" i="138"/>
  <c r="AN135" i="138"/>
  <c r="AY118" i="138"/>
  <c r="AS118" i="138"/>
  <c r="AS122" i="138" s="1"/>
  <c r="AZ134" i="138"/>
  <c r="BF90" i="138" l="1"/>
  <c r="BF84" i="138" s="1"/>
  <c r="BG84" i="138" s="1"/>
  <c r="BS90" i="138"/>
  <c r="BS93" i="138" s="1"/>
  <c r="BJ90" i="138"/>
  <c r="BJ96" i="138" s="1"/>
  <c r="BP101" i="138" s="1"/>
  <c r="BC93" i="138"/>
  <c r="BE93" i="138"/>
  <c r="BK90" i="138"/>
  <c r="BK93" i="138" s="1"/>
  <c r="BI90" i="138"/>
  <c r="BI93" i="138" s="1"/>
  <c r="AZ93" i="138"/>
  <c r="BY43" i="138"/>
  <c r="CE21" i="138"/>
  <c r="CG78" i="136"/>
  <c r="CG81" i="136" s="1"/>
  <c r="CG343" i="136"/>
  <c r="CM19" i="136" s="1"/>
  <c r="CM70" i="136"/>
  <c r="CS35" i="138" s="1"/>
  <c r="CM36" i="138"/>
  <c r="CG155" i="136"/>
  <c r="CG158" i="136" s="1"/>
  <c r="CG162" i="136" s="1"/>
  <c r="CG161" i="136" s="1"/>
  <c r="CG160" i="136" s="1"/>
  <c r="CG157" i="136" s="1"/>
  <c r="CI42" i="138"/>
  <c r="CG385" i="136"/>
  <c r="CA11" i="134"/>
  <c r="CA63" i="134" s="1"/>
  <c r="CM146" i="136"/>
  <c r="CK72" i="136"/>
  <c r="CO70" i="136"/>
  <c r="CO385" i="136" s="1"/>
  <c r="CG20" i="136"/>
  <c r="CI19" i="136"/>
  <c r="CH20" i="136"/>
  <c r="CI20" i="136"/>
  <c r="CK149" i="136"/>
  <c r="BA30" i="138"/>
  <c r="CO35" i="138"/>
  <c r="CV35" i="138"/>
  <c r="AX48" i="136"/>
  <c r="AY48" i="136"/>
  <c r="CK71" i="136"/>
  <c r="CK35" i="138" s="1"/>
  <c r="CA38" i="136"/>
  <c r="CI78" i="136"/>
  <c r="CI81" i="136" s="1"/>
  <c r="BR38" i="136"/>
  <c r="CI343" i="136"/>
  <c r="CI373" i="136" s="1"/>
  <c r="CI385" i="136"/>
  <c r="BW63" i="134"/>
  <c r="CP42" i="138"/>
  <c r="CH43" i="138"/>
  <c r="BY20" i="138"/>
  <c r="BM42" i="138"/>
  <c r="BY19" i="138"/>
  <c r="CG43" i="138"/>
  <c r="AY46" i="138"/>
  <c r="CH42" i="138"/>
  <c r="CE43" i="138"/>
  <c r="CO43" i="138"/>
  <c r="CP43" i="138"/>
  <c r="BV63" i="134"/>
  <c r="CM42" i="138"/>
  <c r="CC11" i="134"/>
  <c r="CP78" i="136"/>
  <c r="CP81" i="136" s="1"/>
  <c r="CP85" i="136" s="1"/>
  <c r="CP84" i="136" s="1"/>
  <c r="CP83" i="136" s="1"/>
  <c r="CP80" i="136" s="1"/>
  <c r="CC386" i="136"/>
  <c r="CC374" i="136" s="1"/>
  <c r="CC373" i="136"/>
  <c r="CA386" i="136"/>
  <c r="CA374" i="136" s="1"/>
  <c r="CH385" i="136"/>
  <c r="CB386" i="136"/>
  <c r="CB374" i="136" s="1"/>
  <c r="CB372" i="136"/>
  <c r="CB373" i="136"/>
  <c r="CA373" i="136"/>
  <c r="CA372" i="136"/>
  <c r="CE20" i="138"/>
  <c r="CK73" i="136"/>
  <c r="BY162" i="136"/>
  <c r="BY161" i="136" s="1"/>
  <c r="BY160" i="136" s="1"/>
  <c r="BY157" i="136" s="1"/>
  <c r="CE75" i="136"/>
  <c r="CE152" i="136"/>
  <c r="CE78" i="136"/>
  <c r="CE81" i="136" s="1"/>
  <c r="CE87" i="136"/>
  <c r="CE86" i="136"/>
  <c r="CJ158" i="136"/>
  <c r="CJ162" i="136" s="1"/>
  <c r="CJ161" i="136" s="1"/>
  <c r="CJ160" i="136" s="1"/>
  <c r="CJ157" i="136" s="1"/>
  <c r="CK70" i="136"/>
  <c r="CH78" i="136"/>
  <c r="CH81" i="136" s="1"/>
  <c r="CH155" i="136"/>
  <c r="CH158" i="136" s="1"/>
  <c r="CH162" i="136" s="1"/>
  <c r="CH161" i="136" s="1"/>
  <c r="CH160" i="136" s="1"/>
  <c r="CH157" i="136" s="1"/>
  <c r="CV36" i="138"/>
  <c r="CP155" i="136"/>
  <c r="CK147" i="136"/>
  <c r="CE155" i="136"/>
  <c r="CE158" i="136" s="1"/>
  <c r="CE163" i="136"/>
  <c r="CE164" i="136"/>
  <c r="CO155" i="136"/>
  <c r="CO158" i="136" s="1"/>
  <c r="CO162" i="136" s="1"/>
  <c r="CO161" i="136" s="1"/>
  <c r="CO160" i="136" s="1"/>
  <c r="CO157" i="136" s="1"/>
  <c r="BY85" i="136"/>
  <c r="BY84" i="136" s="1"/>
  <c r="BY83" i="136" s="1"/>
  <c r="BY80" i="136" s="1"/>
  <c r="AX46" i="138"/>
  <c r="AL51" i="136"/>
  <c r="BG30" i="138"/>
  <c r="CE11" i="138"/>
  <c r="CE54" i="136"/>
  <c r="CE61" i="136" s="1"/>
  <c r="CE35" i="138"/>
  <c r="BD17" i="136"/>
  <c r="BE17" i="136"/>
  <c r="AQ17" i="136"/>
  <c r="AQ48" i="136" s="1"/>
  <c r="BA39" i="138"/>
  <c r="AU23" i="136"/>
  <c r="AU25" i="136"/>
  <c r="BM30" i="138"/>
  <c r="CB11" i="134"/>
  <c r="AS51" i="136"/>
  <c r="BD39" i="138"/>
  <c r="AX23" i="136"/>
  <c r="AX50" i="136"/>
  <c r="AX47" i="136"/>
  <c r="AX25" i="136"/>
  <c r="AX49" i="136"/>
  <c r="CN70" i="136"/>
  <c r="CN35" i="138"/>
  <c r="CH343" i="136"/>
  <c r="CN19" i="136" s="1"/>
  <c r="AZ39" i="138"/>
  <c r="AT23" i="136"/>
  <c r="AT50" i="136"/>
  <c r="AT25" i="136"/>
  <c r="AT47" i="136"/>
  <c r="AT49" i="136"/>
  <c r="CN146" i="136"/>
  <c r="CN36" i="138"/>
  <c r="CK146" i="136"/>
  <c r="CK164" i="136" s="1"/>
  <c r="BE39" i="138"/>
  <c r="AY23" i="136"/>
  <c r="AY50" i="136"/>
  <c r="AY49" i="136"/>
  <c r="AY25" i="136"/>
  <c r="AY47" i="136"/>
  <c r="CE62" i="136"/>
  <c r="AI50" i="136"/>
  <c r="AO39" i="138"/>
  <c r="AI49" i="136"/>
  <c r="AI23" i="136"/>
  <c r="AI21" i="136" s="1"/>
  <c r="AO23" i="136"/>
  <c r="AI25" i="136"/>
  <c r="BS42" i="138"/>
  <c r="AZ17" i="136"/>
  <c r="CU36" i="138"/>
  <c r="AT48" i="136"/>
  <c r="AK24" i="138"/>
  <c r="AQ24" i="138"/>
  <c r="AK65" i="136"/>
  <c r="AQ65" i="136"/>
  <c r="CQ114" i="138"/>
  <c r="AU50" i="136"/>
  <c r="AU47" i="136"/>
  <c r="AU48" i="136"/>
  <c r="AU49" i="136"/>
  <c r="AO51" i="136"/>
  <c r="AN51" i="136"/>
  <c r="AK51" i="136"/>
  <c r="BA14" i="136"/>
  <c r="AW14" i="136"/>
  <c r="BJ14" i="136"/>
  <c r="BF14" i="136"/>
  <c r="BK14" i="136"/>
  <c r="BP13" i="136"/>
  <c r="BQ13" i="136"/>
  <c r="BX13" i="136"/>
  <c r="CG13" i="136"/>
  <c r="BM13" i="136"/>
  <c r="AX122" i="138"/>
  <c r="AY122" i="138"/>
  <c r="BJ135" i="138"/>
  <c r="BK133" i="138"/>
  <c r="BD135" i="138"/>
  <c r="BJ133" i="138"/>
  <c r="BD133" i="138"/>
  <c r="BE134" i="138"/>
  <c r="BD134" i="138"/>
  <c r="BE133" i="138"/>
  <c r="BK134" i="138"/>
  <c r="AZ132" i="138"/>
  <c r="AZ136" i="138" s="1"/>
  <c r="AZ88" i="138"/>
  <c r="AQ122" i="138"/>
  <c r="BD136" i="138"/>
  <c r="BC132" i="138"/>
  <c r="BC136" i="138" s="1"/>
  <c r="BC88" i="138"/>
  <c r="BA132" i="138"/>
  <c r="BA136" i="138" s="1"/>
  <c r="BA88" i="138"/>
  <c r="AW118" i="138"/>
  <c r="BE136" i="138"/>
  <c r="BE135" i="138"/>
  <c r="AN118" i="138"/>
  <c r="BI96" i="138" l="1"/>
  <c r="BF93" i="138"/>
  <c r="BQ90" i="138"/>
  <c r="BQ96" i="138" s="1"/>
  <c r="BI84" i="138"/>
  <c r="BI132" i="138" s="1"/>
  <c r="BI136" i="138" s="1"/>
  <c r="BY90" i="138"/>
  <c r="BV90" i="138" s="1"/>
  <c r="BP90" i="138"/>
  <c r="BP96" i="138" s="1"/>
  <c r="BO90" i="138"/>
  <c r="BO96" i="138" s="1"/>
  <c r="BJ84" i="138"/>
  <c r="BJ88" i="138" s="1"/>
  <c r="BL90" i="138"/>
  <c r="BL96" i="138" s="1"/>
  <c r="BR101" i="138" s="1"/>
  <c r="BK96" i="138"/>
  <c r="BQ101" i="138" s="1"/>
  <c r="BJ93" i="138"/>
  <c r="BK84" i="138"/>
  <c r="BK88" i="138" s="1"/>
  <c r="CK36" i="138"/>
  <c r="CK43" i="138" s="1"/>
  <c r="CK148" i="136"/>
  <c r="CK13" i="138" s="1"/>
  <c r="CK21" i="138" s="1"/>
  <c r="CM43" i="138"/>
  <c r="CG11" i="134"/>
  <c r="CG373" i="136"/>
  <c r="CM20" i="136"/>
  <c r="CG372" i="136"/>
  <c r="CG386" i="136"/>
  <c r="CG374" i="136" s="1"/>
  <c r="CM78" i="136"/>
  <c r="CM81" i="136" s="1"/>
  <c r="CM385" i="136"/>
  <c r="CM343" i="136"/>
  <c r="CS58" i="136" s="1"/>
  <c r="CS36" i="138"/>
  <c r="CS43" i="138" s="1"/>
  <c r="CM155" i="136"/>
  <c r="CM158" i="136" s="1"/>
  <c r="CM162" i="136" s="1"/>
  <c r="CM161" i="136" s="1"/>
  <c r="CM160" i="136" s="1"/>
  <c r="CM157" i="136" s="1"/>
  <c r="CU35" i="138"/>
  <c r="CU42" i="138" s="1"/>
  <c r="CO343" i="136"/>
  <c r="CQ150" i="136"/>
  <c r="CQ151" i="136"/>
  <c r="CQ156" i="136" s="1"/>
  <c r="CQ149" i="136"/>
  <c r="CV42" i="138"/>
  <c r="CO42" i="138"/>
  <c r="CO78" i="136"/>
  <c r="CO81" i="136" s="1"/>
  <c r="CS64" i="134"/>
  <c r="CN20" i="136"/>
  <c r="CO20" i="136"/>
  <c r="CQ72" i="136"/>
  <c r="CO19" i="136"/>
  <c r="CI372" i="136"/>
  <c r="CI11" i="134"/>
  <c r="CI386" i="136"/>
  <c r="CI374" i="136" s="1"/>
  <c r="BE48" i="136"/>
  <c r="CK54" i="136"/>
  <c r="CK61" i="136" s="1"/>
  <c r="BD48" i="136"/>
  <c r="CG38" i="136"/>
  <c r="BA17" i="136"/>
  <c r="CK11" i="138"/>
  <c r="BQ38" i="136"/>
  <c r="AZ48" i="136"/>
  <c r="CQ74" i="136"/>
  <c r="CQ79" i="136" s="1"/>
  <c r="BX38" i="136"/>
  <c r="BP38" i="136"/>
  <c r="CN42" i="138"/>
  <c r="CV43" i="138"/>
  <c r="CB63" i="134"/>
  <c r="BA46" i="138"/>
  <c r="CE42" i="138"/>
  <c r="AZ46" i="138"/>
  <c r="CS42" i="138"/>
  <c r="CU43" i="138"/>
  <c r="BE46" i="138"/>
  <c r="CN43" i="138"/>
  <c r="BD46" i="138"/>
  <c r="CC63" i="134"/>
  <c r="CH386" i="136"/>
  <c r="CH374" i="136" s="1"/>
  <c r="CN385" i="136"/>
  <c r="CH372" i="136"/>
  <c r="CH373" i="136"/>
  <c r="CE19" i="138"/>
  <c r="AY51" i="136"/>
  <c r="CQ147" i="136"/>
  <c r="CK155" i="136"/>
  <c r="CK158" i="136" s="1"/>
  <c r="CK163" i="136"/>
  <c r="CT36" i="138"/>
  <c r="CN155" i="136"/>
  <c r="CN158" i="136" s="1"/>
  <c r="CN162" i="136" s="1"/>
  <c r="CN161" i="136" s="1"/>
  <c r="CN160" i="136" s="1"/>
  <c r="CN157" i="136" s="1"/>
  <c r="CK75" i="136"/>
  <c r="CE162" i="136"/>
  <c r="CE161" i="136" s="1"/>
  <c r="CE160" i="136" s="1"/>
  <c r="CE157" i="136" s="1"/>
  <c r="CK78" i="136"/>
  <c r="CK81" i="136" s="1"/>
  <c r="CK86" i="136"/>
  <c r="CQ71" i="136"/>
  <c r="CQ35" i="138" s="1"/>
  <c r="CN78" i="136"/>
  <c r="CK55" i="136"/>
  <c r="CK62" i="136" s="1"/>
  <c r="CK12" i="138"/>
  <c r="CP158" i="136"/>
  <c r="CP162" i="136" s="1"/>
  <c r="CP161" i="136" s="1"/>
  <c r="CP160" i="136" s="1"/>
  <c r="CP157" i="136" s="1"/>
  <c r="CQ73" i="136"/>
  <c r="CE85" i="136"/>
  <c r="CE84" i="136" s="1"/>
  <c r="CE83" i="136" s="1"/>
  <c r="CE80" i="136" s="1"/>
  <c r="CK42" i="138"/>
  <c r="AI51" i="136"/>
  <c r="CQ146" i="136"/>
  <c r="AX51" i="136"/>
  <c r="CT35" i="138"/>
  <c r="CN343" i="136"/>
  <c r="CQ70" i="136"/>
  <c r="CQ75" i="136" s="1"/>
  <c r="AW17" i="136"/>
  <c r="BK39" i="138"/>
  <c r="BE23" i="136"/>
  <c r="BE50" i="136"/>
  <c r="BE25" i="136"/>
  <c r="BE49" i="136"/>
  <c r="BE47" i="136"/>
  <c r="BF17" i="136"/>
  <c r="AW39" i="138"/>
  <c r="AQ47" i="136"/>
  <c r="AQ50" i="136"/>
  <c r="AQ25" i="136"/>
  <c r="AQ49" i="136"/>
  <c r="AQ23" i="136"/>
  <c r="BJ39" i="138"/>
  <c r="BD50" i="136"/>
  <c r="BD23" i="136"/>
  <c r="BD25" i="136"/>
  <c r="BD49" i="136"/>
  <c r="BD47" i="136"/>
  <c r="BF39" i="138"/>
  <c r="AZ23" i="136"/>
  <c r="AZ49" i="136"/>
  <c r="AZ50" i="136"/>
  <c r="AZ25" i="136"/>
  <c r="AZ47" i="136"/>
  <c r="AU46" i="138"/>
  <c r="AO46" i="138"/>
  <c r="AT51" i="136"/>
  <c r="CK152" i="136"/>
  <c r="CH11" i="134"/>
  <c r="AK32" i="138"/>
  <c r="AL32" i="138"/>
  <c r="AR32" i="138"/>
  <c r="AQ32" i="138"/>
  <c r="BI115" i="138"/>
  <c r="BO101" i="138"/>
  <c r="BK17" i="136"/>
  <c r="BJ17" i="136"/>
  <c r="AU51" i="136"/>
  <c r="BG14" i="136"/>
  <c r="BC14" i="136"/>
  <c r="BL14" i="136"/>
  <c r="BQ14" i="136"/>
  <c r="BP14" i="136"/>
  <c r="BV13" i="136"/>
  <c r="CD13" i="136"/>
  <c r="BW13" i="136"/>
  <c r="BS13" i="136"/>
  <c r="BF134" i="138"/>
  <c r="BI133" i="138"/>
  <c r="BF135" i="138"/>
  <c r="BF133" i="138"/>
  <c r="BG132" i="138"/>
  <c r="BG136" i="138" s="1"/>
  <c r="BG88" i="138"/>
  <c r="BD118" i="138"/>
  <c r="AN122" i="138"/>
  <c r="AO118" i="138"/>
  <c r="AO122" i="138" s="1"/>
  <c r="BC118" i="138"/>
  <c r="BG135" i="138"/>
  <c r="BF132" i="138"/>
  <c r="BF136" i="138" s="1"/>
  <c r="BF88" i="138"/>
  <c r="AT118" i="138"/>
  <c r="BG134" i="138"/>
  <c r="BI135" i="138"/>
  <c r="BE118" i="138"/>
  <c r="BG133" i="138"/>
  <c r="BI134" i="138"/>
  <c r="AW122" i="138"/>
  <c r="BQ93" i="138" l="1"/>
  <c r="BY93" i="138"/>
  <c r="BO135" i="138"/>
  <c r="BW90" i="138"/>
  <c r="BW93" i="138" s="1"/>
  <c r="BO133" i="138"/>
  <c r="BO134" i="138"/>
  <c r="BI88" i="138"/>
  <c r="BU90" i="138"/>
  <c r="BK132" i="138"/>
  <c r="BK136" i="138" s="1"/>
  <c r="BP93" i="138"/>
  <c r="CE90" i="138"/>
  <c r="CE93" i="138" s="1"/>
  <c r="BJ132" i="138"/>
  <c r="BJ136" i="138" s="1"/>
  <c r="BM96" i="138"/>
  <c r="BR90" i="138"/>
  <c r="BR96" i="138" s="1"/>
  <c r="BR132" i="138" s="1"/>
  <c r="BX133" i="138" s="1"/>
  <c r="BL84" i="138"/>
  <c r="BM84" i="138" s="1"/>
  <c r="BO93" i="138"/>
  <c r="BL93" i="138"/>
  <c r="BS112" i="138" s="1"/>
  <c r="CQ36" i="138"/>
  <c r="CQ148" i="136"/>
  <c r="CQ13" i="138" s="1"/>
  <c r="CG63" i="134"/>
  <c r="CM386" i="136"/>
  <c r="CM374" i="136" s="1"/>
  <c r="CM373" i="136"/>
  <c r="CM11" i="134"/>
  <c r="CM372" i="136"/>
  <c r="CO373" i="136"/>
  <c r="CO372" i="136"/>
  <c r="CO11" i="134"/>
  <c r="CO386" i="136"/>
  <c r="CO374" i="136" s="1"/>
  <c r="CQ164" i="136"/>
  <c r="CQ152" i="136"/>
  <c r="CI63" i="134"/>
  <c r="CT64" i="134"/>
  <c r="CT58" i="136"/>
  <c r="CU64" i="134"/>
  <c r="CU58" i="136"/>
  <c r="CK19" i="138"/>
  <c r="BA50" i="136"/>
  <c r="BA25" i="136"/>
  <c r="BA47" i="136"/>
  <c r="BA23" i="136"/>
  <c r="BP39" i="136"/>
  <c r="BG39" i="138"/>
  <c r="BQ21" i="136"/>
  <c r="BS38" i="136"/>
  <c r="BW38" i="136"/>
  <c r="BF48" i="136"/>
  <c r="BQ39" i="136"/>
  <c r="CD38" i="136"/>
  <c r="BA49" i="136"/>
  <c r="BV38" i="136"/>
  <c r="BA48" i="136"/>
  <c r="AW48" i="136"/>
  <c r="BF46" i="138"/>
  <c r="BK46" i="138"/>
  <c r="AW46" i="138"/>
  <c r="BJ46" i="138"/>
  <c r="CQ42" i="138"/>
  <c r="CT43" i="138"/>
  <c r="CT42" i="138"/>
  <c r="CN386" i="136"/>
  <c r="CN374" i="136" s="1"/>
  <c r="CN372" i="136"/>
  <c r="CN373" i="136"/>
  <c r="CK20" i="138"/>
  <c r="CQ54" i="136"/>
  <c r="CW61" i="136" s="1"/>
  <c r="CQ11" i="138"/>
  <c r="CQ55" i="136"/>
  <c r="CW62" i="136" s="1"/>
  <c r="CQ12" i="138"/>
  <c r="CN81" i="136"/>
  <c r="CH63" i="134"/>
  <c r="CK162" i="136"/>
  <c r="CK161" i="136" s="1"/>
  <c r="CK160" i="136" s="1"/>
  <c r="CK157" i="136" s="1"/>
  <c r="CQ78" i="136"/>
  <c r="CQ81" i="136" s="1"/>
  <c r="CQ86" i="136"/>
  <c r="CQ155" i="136"/>
  <c r="CQ163" i="136"/>
  <c r="AQ51" i="136"/>
  <c r="AZ51" i="136"/>
  <c r="CW36" i="138"/>
  <c r="CW35" i="138"/>
  <c r="CN11" i="134"/>
  <c r="BJ48" i="136"/>
  <c r="BJ25" i="136"/>
  <c r="BP64" i="134"/>
  <c r="BL39" i="138"/>
  <c r="BF23" i="136"/>
  <c r="BF25" i="136"/>
  <c r="BF50" i="136"/>
  <c r="BF47" i="136"/>
  <c r="BF49" i="136"/>
  <c r="BC17" i="136"/>
  <c r="BK48" i="136"/>
  <c r="BK25" i="136"/>
  <c r="BD51" i="136"/>
  <c r="BE51" i="136"/>
  <c r="BQ64" i="134"/>
  <c r="BG17" i="136"/>
  <c r="BC39" i="138"/>
  <c r="AW23" i="136"/>
  <c r="AW49" i="136"/>
  <c r="AW50" i="136"/>
  <c r="AW47" i="136"/>
  <c r="AW25" i="136"/>
  <c r="BP21" i="136"/>
  <c r="AU32" i="138"/>
  <c r="BL133" i="138"/>
  <c r="BL135" i="138"/>
  <c r="AO32" i="138"/>
  <c r="BQ17" i="136"/>
  <c r="BJ23" i="136"/>
  <c r="BJ49" i="136"/>
  <c r="BJ50" i="136"/>
  <c r="BJ47" i="136"/>
  <c r="BK50" i="136"/>
  <c r="BK47" i="136"/>
  <c r="BK23" i="136"/>
  <c r="BK49" i="136"/>
  <c r="BP17" i="136"/>
  <c r="BL17" i="136"/>
  <c r="BM14" i="136"/>
  <c r="BI14" i="136"/>
  <c r="BW14" i="136"/>
  <c r="BR14" i="136"/>
  <c r="BV14" i="136"/>
  <c r="BY13" i="136"/>
  <c r="CB13" i="136"/>
  <c r="CC13" i="136"/>
  <c r="CJ13" i="136"/>
  <c r="BL134" i="138"/>
  <c r="BM133" i="138"/>
  <c r="BO100" i="138"/>
  <c r="BU101" i="138"/>
  <c r="BO132" i="138"/>
  <c r="BO136" i="138" s="1"/>
  <c r="CO116" i="138"/>
  <c r="BK115" i="138"/>
  <c r="BO115" i="138"/>
  <c r="BD122" i="138"/>
  <c r="BJ122" i="138"/>
  <c r="BV101" i="138"/>
  <c r="BP132" i="138"/>
  <c r="BP100" i="138"/>
  <c r="CN116" i="138"/>
  <c r="BJ115" i="138"/>
  <c r="AT122" i="138"/>
  <c r="AU118" i="138"/>
  <c r="AU122" i="138" s="1"/>
  <c r="BQ132" i="138"/>
  <c r="BQ115" i="138"/>
  <c r="BW101" i="138"/>
  <c r="BW109" i="138" s="1"/>
  <c r="BQ100" i="138"/>
  <c r="AZ118" i="138"/>
  <c r="BM134" i="138"/>
  <c r="BV96" i="138"/>
  <c r="BV132" i="138" s="1"/>
  <c r="BV93" i="138"/>
  <c r="BE122" i="138"/>
  <c r="BK122" i="138"/>
  <c r="BC122" i="138"/>
  <c r="BI122" i="138"/>
  <c r="BM135" i="138"/>
  <c r="BW96" i="138"/>
  <c r="BX90" i="138" l="1"/>
  <c r="BX96" i="138" s="1"/>
  <c r="CD101" i="138" s="1"/>
  <c r="BU93" i="138"/>
  <c r="BL132" i="138"/>
  <c r="BR136" i="138" s="1"/>
  <c r="BQ136" i="138"/>
  <c r="BQ134" i="138"/>
  <c r="BQ135" i="138"/>
  <c r="BQ133" i="138"/>
  <c r="BU96" i="138"/>
  <c r="BU132" i="138" s="1"/>
  <c r="BU136" i="138" s="1"/>
  <c r="BP136" i="138"/>
  <c r="BP135" i="138"/>
  <c r="CB90" i="138"/>
  <c r="CB96" i="138" s="1"/>
  <c r="CC90" i="138"/>
  <c r="CC93" i="138" s="1"/>
  <c r="CK90" i="138"/>
  <c r="CK93" i="138" s="1"/>
  <c r="CA90" i="138"/>
  <c r="CA96" i="138" s="1"/>
  <c r="BS96" i="138"/>
  <c r="BS132" i="138" s="1"/>
  <c r="BL88" i="138"/>
  <c r="BR100" i="138"/>
  <c r="BX101" i="138"/>
  <c r="BS111" i="138"/>
  <c r="BR93" i="138"/>
  <c r="BY112" i="138" s="1"/>
  <c r="BP134" i="138"/>
  <c r="BP133" i="138"/>
  <c r="CQ43" i="138"/>
  <c r="CQ21" i="138"/>
  <c r="CW21" i="138"/>
  <c r="CS63" i="134"/>
  <c r="CM63" i="134"/>
  <c r="CO63" i="134"/>
  <c r="CU63" i="134"/>
  <c r="BU134" i="138"/>
  <c r="BA51" i="136"/>
  <c r="BG46" i="138"/>
  <c r="CJ38" i="136"/>
  <c r="BC48" i="136"/>
  <c r="BW39" i="136"/>
  <c r="CB38" i="136"/>
  <c r="CC38" i="136"/>
  <c r="BG48" i="136"/>
  <c r="BY38" i="136"/>
  <c r="BV39" i="136"/>
  <c r="BP32" i="136"/>
  <c r="BP358" i="136" s="1"/>
  <c r="BP359" i="136" s="1"/>
  <c r="BR39" i="136"/>
  <c r="BL46" i="138"/>
  <c r="CW43" i="138"/>
  <c r="BC46" i="138"/>
  <c r="CW42" i="138"/>
  <c r="CQ19" i="138"/>
  <c r="CQ20" i="138"/>
  <c r="CQ61" i="136"/>
  <c r="CQ62" i="136"/>
  <c r="CW161" i="136"/>
  <c r="CQ158" i="136"/>
  <c r="CQ162" i="136" s="1"/>
  <c r="CQ161" i="136" s="1"/>
  <c r="CQ160" i="136" s="1"/>
  <c r="CQ157" i="136" s="1"/>
  <c r="CN63" i="134"/>
  <c r="CT63" i="134"/>
  <c r="BW21" i="136"/>
  <c r="BQ32" i="136"/>
  <c r="BX93" i="138"/>
  <c r="CE112" i="138" s="1"/>
  <c r="AW51" i="136"/>
  <c r="BL48" i="136"/>
  <c r="BL25" i="136"/>
  <c r="BQ39" i="138"/>
  <c r="BQ16" i="138"/>
  <c r="BQ58" i="136"/>
  <c r="BI39" i="138"/>
  <c r="BC23" i="136"/>
  <c r="BC25" i="136"/>
  <c r="BC50" i="136"/>
  <c r="BC49" i="136"/>
  <c r="BC47" i="136"/>
  <c r="BM39" i="138"/>
  <c r="BG23" i="136"/>
  <c r="BG50" i="136"/>
  <c r="BG25" i="136"/>
  <c r="BG49" i="136"/>
  <c r="BG47" i="136"/>
  <c r="BR21" i="136"/>
  <c r="BP39" i="138"/>
  <c r="BP58" i="136"/>
  <c r="BP16" i="138"/>
  <c r="BP48" i="136"/>
  <c r="BP25" i="136"/>
  <c r="BV64" i="134"/>
  <c r="BR64" i="134"/>
  <c r="BQ48" i="136"/>
  <c r="BQ25" i="136"/>
  <c r="BF51" i="136"/>
  <c r="BV21" i="136"/>
  <c r="BX135" i="138"/>
  <c r="BK51" i="136"/>
  <c r="BJ51" i="136"/>
  <c r="BV17" i="136"/>
  <c r="BL47" i="136"/>
  <c r="BL23" i="136"/>
  <c r="BL49" i="136"/>
  <c r="BL50" i="136"/>
  <c r="BP47" i="136"/>
  <c r="BP23" i="136"/>
  <c r="BP49" i="136"/>
  <c r="BP50" i="136"/>
  <c r="BW17" i="136"/>
  <c r="BI17" i="136"/>
  <c r="BQ47" i="136"/>
  <c r="BQ23" i="136"/>
  <c r="BQ49" i="136"/>
  <c r="BQ50" i="136"/>
  <c r="BS14" i="136"/>
  <c r="BO14" i="136"/>
  <c r="BX14" i="136"/>
  <c r="CB14" i="136"/>
  <c r="CC14" i="136"/>
  <c r="CI13" i="136"/>
  <c r="CE13" i="136"/>
  <c r="CH13" i="136"/>
  <c r="BW102" i="138"/>
  <c r="BW132" i="138"/>
  <c r="BW136" i="138" s="1"/>
  <c r="BU133" i="138"/>
  <c r="BV133" i="138"/>
  <c r="CC96" i="138"/>
  <c r="BW100" i="138"/>
  <c r="CC101" i="138"/>
  <c r="BW115" i="138"/>
  <c r="BV100" i="138"/>
  <c r="BV136" i="138"/>
  <c r="BV115" i="138"/>
  <c r="CB101" i="138"/>
  <c r="BW135" i="138"/>
  <c r="BX134" i="138"/>
  <c r="BV134" i="138"/>
  <c r="BW134" i="138"/>
  <c r="BP115" i="138"/>
  <c r="BX100" i="138"/>
  <c r="BX132" i="138"/>
  <c r="BX136" i="138" s="1"/>
  <c r="BW133" i="138"/>
  <c r="AZ122" i="138"/>
  <c r="BA118" i="138"/>
  <c r="BA122" i="138" s="1"/>
  <c r="BV135" i="138"/>
  <c r="BU135" i="138"/>
  <c r="BF118" i="138"/>
  <c r="BM132" i="138"/>
  <c r="BM88" i="138"/>
  <c r="BR135" i="138" l="1"/>
  <c r="BR134" i="138"/>
  <c r="BR133" i="138"/>
  <c r="BL136" i="138"/>
  <c r="CB93" i="138"/>
  <c r="BY96" i="138"/>
  <c r="BY132" i="138" s="1"/>
  <c r="BY136" i="138" s="1"/>
  <c r="CA101" i="138"/>
  <c r="BU100" i="138"/>
  <c r="CD90" i="138"/>
  <c r="CD93" i="138" s="1"/>
  <c r="CG90" i="138"/>
  <c r="CG93" i="138" s="1"/>
  <c r="CH90" i="138"/>
  <c r="CH96" i="138" s="1"/>
  <c r="CQ91" i="138"/>
  <c r="CI90" i="138"/>
  <c r="CI96" i="138" s="1"/>
  <c r="CA93" i="138"/>
  <c r="BY111" i="138"/>
  <c r="BS100" i="138"/>
  <c r="CE111" i="138"/>
  <c r="CC39" i="136"/>
  <c r="CH38" i="136"/>
  <c r="BX39" i="136"/>
  <c r="CE38" i="136"/>
  <c r="BO39" i="136"/>
  <c r="BV32" i="136"/>
  <c r="BV358" i="136" s="1"/>
  <c r="BV359" i="136" s="1"/>
  <c r="CI38" i="136"/>
  <c r="CB39" i="136"/>
  <c r="BO21" i="136"/>
  <c r="BS39" i="136"/>
  <c r="BM46" i="138"/>
  <c r="BP46" i="138"/>
  <c r="BQ46" i="138"/>
  <c r="BI46" i="138"/>
  <c r="BQ24" i="138"/>
  <c r="BW39" i="138"/>
  <c r="BW64" i="134"/>
  <c r="BP360" i="136"/>
  <c r="BP369" i="136" s="1"/>
  <c r="BP368" i="136"/>
  <c r="BC51" i="136"/>
  <c r="BW32" i="136"/>
  <c r="BW358" i="136" s="1"/>
  <c r="BQ358" i="136"/>
  <c r="BQ359" i="136" s="1"/>
  <c r="CC21" i="136"/>
  <c r="BG51" i="136"/>
  <c r="BR16" i="138"/>
  <c r="BR58" i="136"/>
  <c r="BQ65" i="136"/>
  <c r="BV16" i="138"/>
  <c r="BV58" i="136"/>
  <c r="BV65" i="136" s="1"/>
  <c r="BP65" i="136"/>
  <c r="BP51" i="136"/>
  <c r="BV39" i="138"/>
  <c r="BV48" i="136"/>
  <c r="CB64" i="134"/>
  <c r="BR39" i="138"/>
  <c r="BQ51" i="136"/>
  <c r="BP24" i="138"/>
  <c r="BI48" i="136"/>
  <c r="BI25" i="136"/>
  <c r="CB21" i="136"/>
  <c r="BW48" i="136"/>
  <c r="BW16" i="138"/>
  <c r="BW58" i="136"/>
  <c r="BI23" i="136"/>
  <c r="BI49" i="136"/>
  <c r="BI50" i="136"/>
  <c r="BI47" i="136"/>
  <c r="BO17" i="136"/>
  <c r="BW23" i="136"/>
  <c r="BW47" i="136"/>
  <c r="BW50" i="136"/>
  <c r="BW49" i="136"/>
  <c r="BW25" i="136"/>
  <c r="BL51" i="136"/>
  <c r="CB17" i="136"/>
  <c r="CC17" i="136"/>
  <c r="BV23" i="136"/>
  <c r="BV50" i="136"/>
  <c r="BV49" i="136"/>
  <c r="BV47" i="136"/>
  <c r="BV25" i="136"/>
  <c r="BU14" i="136"/>
  <c r="CD14" i="136"/>
  <c r="CI14" i="136"/>
  <c r="CH14" i="136"/>
  <c r="CK13" i="136"/>
  <c r="BU115" i="138"/>
  <c r="CA133" i="138"/>
  <c r="CA134" i="138"/>
  <c r="CA135" i="138"/>
  <c r="CD135" i="138"/>
  <c r="CC135" i="138"/>
  <c r="BS136" i="138"/>
  <c r="CC134" i="138"/>
  <c r="CC133" i="138"/>
  <c r="BY133" i="138"/>
  <c r="CG101" i="138"/>
  <c r="CA132" i="138"/>
  <c r="CA136" i="138" s="1"/>
  <c r="CA100" i="138"/>
  <c r="CH101" i="138"/>
  <c r="CB132" i="138"/>
  <c r="CB136" i="138" s="1"/>
  <c r="CB115" i="138"/>
  <c r="CB100" i="138"/>
  <c r="CB135" i="138"/>
  <c r="CC132" i="138"/>
  <c r="CC136" i="138" s="1"/>
  <c r="CC115" i="138"/>
  <c r="CC100" i="138"/>
  <c r="CI101" i="138"/>
  <c r="BY135" i="138"/>
  <c r="CB134" i="138"/>
  <c r="BY134" i="138"/>
  <c r="BF122" i="138"/>
  <c r="BL122" i="138"/>
  <c r="BG118" i="138"/>
  <c r="CD134" i="138"/>
  <c r="CB133" i="138"/>
  <c r="BM136" i="138"/>
  <c r="BS134" i="138"/>
  <c r="BS133" i="138"/>
  <c r="BS135" i="138"/>
  <c r="CD133" i="138"/>
  <c r="BL115" i="138"/>
  <c r="CA115" i="138"/>
  <c r="CD96" i="138" l="1"/>
  <c r="CE96" i="138" s="1"/>
  <c r="CE100" i="138" s="1"/>
  <c r="BY100" i="138"/>
  <c r="CG96" i="138"/>
  <c r="CG115" i="138" s="1"/>
  <c r="CH93" i="138"/>
  <c r="CJ90" i="138"/>
  <c r="CJ93" i="138" s="1"/>
  <c r="CI93" i="138"/>
  <c r="CK112" i="138"/>
  <c r="BQ32" i="138"/>
  <c r="CK38" i="136"/>
  <c r="CH39" i="136"/>
  <c r="CI39" i="136"/>
  <c r="CC32" i="136"/>
  <c r="CC358" i="136" s="1"/>
  <c r="CC359" i="136" s="1"/>
  <c r="BU39" i="136"/>
  <c r="CD39" i="136"/>
  <c r="BR24" i="138"/>
  <c r="BR32" i="138" s="1"/>
  <c r="BV46" i="138"/>
  <c r="BW24" i="138"/>
  <c r="BW46" i="138"/>
  <c r="BR46" i="138"/>
  <c r="BV24" i="138"/>
  <c r="CC16" i="138"/>
  <c r="CC64" i="134"/>
  <c r="BO39" i="138"/>
  <c r="BO64" i="134"/>
  <c r="BV360" i="136"/>
  <c r="BV369" i="136" s="1"/>
  <c r="BV368" i="136"/>
  <c r="BQ360" i="136"/>
  <c r="BQ369" i="136" s="1"/>
  <c r="BQ368" i="136"/>
  <c r="CC39" i="138"/>
  <c r="CC58" i="136"/>
  <c r="CC65" i="136" s="1"/>
  <c r="BW359" i="136"/>
  <c r="BO48" i="136"/>
  <c r="BO32" i="136"/>
  <c r="CB48" i="136"/>
  <c r="CB32" i="136"/>
  <c r="BR65" i="136"/>
  <c r="BO25" i="136"/>
  <c r="CB16" i="138"/>
  <c r="CB58" i="136"/>
  <c r="CB65" i="136" s="1"/>
  <c r="CB39" i="138"/>
  <c r="BU21" i="136"/>
  <c r="BO16" i="138"/>
  <c r="BO58" i="136"/>
  <c r="CC48" i="136"/>
  <c r="CI64" i="134"/>
  <c r="CI21" i="136"/>
  <c r="CH64" i="134"/>
  <c r="BW65" i="136"/>
  <c r="CH21" i="136"/>
  <c r="CK111" i="138"/>
  <c r="BV51" i="136"/>
  <c r="BO47" i="136"/>
  <c r="BO23" i="136"/>
  <c r="BO49" i="136"/>
  <c r="BO50" i="136"/>
  <c r="BU17" i="136"/>
  <c r="CB47" i="136"/>
  <c r="CB49" i="136"/>
  <c r="CB23" i="136"/>
  <c r="CB50" i="136"/>
  <c r="CB25" i="136"/>
  <c r="BI51" i="136"/>
  <c r="CH17" i="136"/>
  <c r="CI17" i="136"/>
  <c r="BW51" i="136"/>
  <c r="CC23" i="136"/>
  <c r="CC50" i="136"/>
  <c r="CC49" i="136"/>
  <c r="CC47" i="136"/>
  <c r="CC25" i="136"/>
  <c r="BY14" i="136"/>
  <c r="CA14" i="136"/>
  <c r="CJ14" i="136"/>
  <c r="CG134" i="138"/>
  <c r="CG135" i="138"/>
  <c r="CE135" i="138"/>
  <c r="CI134" i="138"/>
  <c r="CE134" i="138"/>
  <c r="CG133" i="138"/>
  <c r="CD100" i="138"/>
  <c r="CE133" i="138"/>
  <c r="CH133" i="138"/>
  <c r="CI132" i="138"/>
  <c r="CO133" i="138" s="1"/>
  <c r="CO101" i="138"/>
  <c r="CI115" i="138"/>
  <c r="CI100" i="138"/>
  <c r="CO100" i="138"/>
  <c r="CI133" i="138"/>
  <c r="CH135" i="138"/>
  <c r="CH100" i="138"/>
  <c r="CH132" i="138"/>
  <c r="CN135" i="138" s="1"/>
  <c r="CH115" i="138"/>
  <c r="CN101" i="138"/>
  <c r="CN100" i="138"/>
  <c r="BG122" i="138"/>
  <c r="BG115" i="138"/>
  <c r="BM122" i="138"/>
  <c r="BG95" i="138"/>
  <c r="CI135" i="138"/>
  <c r="CH134" i="138"/>
  <c r="BR115" i="138"/>
  <c r="BM115" i="138"/>
  <c r="CJ96" i="138" l="1"/>
  <c r="CJ132" i="138" s="1"/>
  <c r="CP134" i="138" s="1"/>
  <c r="CE132" i="138"/>
  <c r="CE136" i="138" s="1"/>
  <c r="CJ101" i="138"/>
  <c r="CD132" i="138"/>
  <c r="CD136" i="138" s="1"/>
  <c r="CM100" i="138"/>
  <c r="CM101" i="138"/>
  <c r="CG100" i="138"/>
  <c r="CG132" i="138"/>
  <c r="CM135" i="138" s="1"/>
  <c r="CQ111" i="138"/>
  <c r="CJ39" i="136"/>
  <c r="CA39" i="136"/>
  <c r="BY39" i="136"/>
  <c r="CI32" i="136"/>
  <c r="CI358" i="136" s="1"/>
  <c r="BW32" i="138"/>
  <c r="BO24" i="138"/>
  <c r="BO32" i="138" s="1"/>
  <c r="CC46" i="138"/>
  <c r="CC24" i="138"/>
  <c r="BO46" i="138"/>
  <c r="CB46" i="138"/>
  <c r="CB24" i="138"/>
  <c r="BV370" i="136"/>
  <c r="BU39" i="138"/>
  <c r="BU64" i="134"/>
  <c r="BW360" i="136"/>
  <c r="BW369" i="136" s="1"/>
  <c r="BW368" i="136"/>
  <c r="CC360" i="136"/>
  <c r="CC369" i="136" s="1"/>
  <c r="CC368" i="136"/>
  <c r="CN21" i="136"/>
  <c r="CH32" i="136"/>
  <c r="BO358" i="136"/>
  <c r="CB358" i="136"/>
  <c r="CB359" i="136" s="1"/>
  <c r="BU32" i="136"/>
  <c r="CO64" i="134"/>
  <c r="CO21" i="136"/>
  <c r="BU48" i="136"/>
  <c r="BO65" i="136"/>
  <c r="CH48" i="136"/>
  <c r="CH16" i="138"/>
  <c r="CH58" i="136"/>
  <c r="CH65" i="136" s="1"/>
  <c r="CH39" i="138"/>
  <c r="CA21" i="136"/>
  <c r="CI16" i="138"/>
  <c r="CI58" i="136"/>
  <c r="CI39" i="138"/>
  <c r="BU16" i="138"/>
  <c r="BU58" i="136"/>
  <c r="BU65" i="136" s="1"/>
  <c r="CQ113" i="138"/>
  <c r="CQ112" i="138"/>
  <c r="CC51" i="136"/>
  <c r="CB51" i="136"/>
  <c r="BU49" i="136"/>
  <c r="BU23" i="136"/>
  <c r="BU50" i="136"/>
  <c r="BU47" i="136"/>
  <c r="BU25" i="136"/>
  <c r="CI47" i="136"/>
  <c r="CI49" i="136"/>
  <c r="CI23" i="136"/>
  <c r="CI50" i="136"/>
  <c r="CI25" i="136"/>
  <c r="CH47" i="136"/>
  <c r="CH49" i="136"/>
  <c r="CH23" i="136"/>
  <c r="CH50" i="136"/>
  <c r="CH25" i="136"/>
  <c r="CA17" i="136"/>
  <c r="BO51" i="136"/>
  <c r="CI48" i="136"/>
  <c r="CK14" i="136"/>
  <c r="CE14" i="136"/>
  <c r="CG14" i="136"/>
  <c r="CO135" i="138"/>
  <c r="BS115" i="138"/>
  <c r="CN134" i="138"/>
  <c r="CI136" i="138"/>
  <c r="CO136" i="138"/>
  <c r="CK134" i="138"/>
  <c r="BX115" i="138"/>
  <c r="CO134" i="138"/>
  <c r="CH136" i="138"/>
  <c r="CN136" i="138"/>
  <c r="CN133" i="138"/>
  <c r="CK96" i="138" l="1"/>
  <c r="CQ99" i="138" s="1"/>
  <c r="CP100" i="138"/>
  <c r="CJ100" i="138"/>
  <c r="CP101" i="138"/>
  <c r="CK135" i="138"/>
  <c r="CK133" i="138"/>
  <c r="CJ134" i="138"/>
  <c r="CJ133" i="138"/>
  <c r="CJ135" i="138"/>
  <c r="CG136" i="138"/>
  <c r="CM134" i="138"/>
  <c r="CM136" i="138"/>
  <c r="CM133" i="138"/>
  <c r="BP32" i="138"/>
  <c r="BS32" i="138" s="1"/>
  <c r="CC32" i="138"/>
  <c r="CE39" i="136"/>
  <c r="CK39" i="136"/>
  <c r="CG39" i="136"/>
  <c r="CI24" i="138"/>
  <c r="CH46" i="138"/>
  <c r="BU46" i="138"/>
  <c r="CH24" i="138"/>
  <c r="CI46" i="138"/>
  <c r="BU24" i="138"/>
  <c r="BU32" i="138" s="1"/>
  <c r="BW370" i="136"/>
  <c r="CN39" i="138"/>
  <c r="CN64" i="134"/>
  <c r="CA16" i="138"/>
  <c r="CA64" i="134"/>
  <c r="CC370" i="136"/>
  <c r="CB360" i="136"/>
  <c r="CB369" i="136" s="1"/>
  <c r="CB368" i="136"/>
  <c r="CA58" i="136"/>
  <c r="CA65" i="136" s="1"/>
  <c r="CA39" i="138"/>
  <c r="BU358" i="136"/>
  <c r="BO359" i="136"/>
  <c r="CH358" i="136"/>
  <c r="CH359" i="136" s="1"/>
  <c r="CI359" i="136"/>
  <c r="CA32" i="136"/>
  <c r="CO16" i="138"/>
  <c r="CO58" i="136"/>
  <c r="CU65" i="136" s="1"/>
  <c r="CI65" i="136"/>
  <c r="CO39" i="138"/>
  <c r="CN16" i="138"/>
  <c r="CN58" i="136"/>
  <c r="CT65" i="136" s="1"/>
  <c r="CG21" i="136"/>
  <c r="CG17" i="136"/>
  <c r="CI51" i="136"/>
  <c r="BU51" i="136"/>
  <c r="CA47" i="136"/>
  <c r="CA49" i="136"/>
  <c r="CA23" i="136"/>
  <c r="CA50" i="136"/>
  <c r="CA25" i="136"/>
  <c r="CH51" i="136"/>
  <c r="CA48" i="136"/>
  <c r="CP135" i="138"/>
  <c r="CP133" i="138"/>
  <c r="BY115" i="138"/>
  <c r="CJ136" i="138"/>
  <c r="CP136" i="138"/>
  <c r="CD115" i="138"/>
  <c r="CM116" i="138"/>
  <c r="CK100" i="138" l="1"/>
  <c r="CQ97" i="138"/>
  <c r="CQ100" i="138"/>
  <c r="CK132" i="138"/>
  <c r="CQ135" i="138" s="1"/>
  <c r="CQ98" i="138"/>
  <c r="CQ133" i="138"/>
  <c r="CI32" i="138"/>
  <c r="CN46" i="138"/>
  <c r="BV32" i="138"/>
  <c r="CA24" i="138"/>
  <c r="CB32" i="138" s="1"/>
  <c r="CN24" i="138"/>
  <c r="CO46" i="138"/>
  <c r="CO24" i="138"/>
  <c r="CA46" i="138"/>
  <c r="CB370" i="136"/>
  <c r="CQ136" i="138"/>
  <c r="CG58" i="136"/>
  <c r="CG65" i="136" s="1"/>
  <c r="CG64" i="134"/>
  <c r="CH360" i="136"/>
  <c r="CH369" i="136" s="1"/>
  <c r="CH368" i="136"/>
  <c r="BO360" i="136"/>
  <c r="BO369" i="136" s="1"/>
  <c r="BO368" i="136"/>
  <c r="CI360" i="136"/>
  <c r="CI369" i="136" s="1"/>
  <c r="CI368" i="136"/>
  <c r="CA358" i="136"/>
  <c r="CA359" i="136" s="1"/>
  <c r="CN65" i="136"/>
  <c r="CG39" i="138"/>
  <c r="CG16" i="138"/>
  <c r="BU359" i="136"/>
  <c r="CG32" i="136"/>
  <c r="CM21" i="136"/>
  <c r="CG48" i="136"/>
  <c r="CO65" i="136"/>
  <c r="CA51" i="136"/>
  <c r="CG23" i="136"/>
  <c r="CG47" i="136"/>
  <c r="CG49" i="136"/>
  <c r="CG50" i="136"/>
  <c r="CG25" i="136"/>
  <c r="CE115" i="138"/>
  <c r="CJ115" i="138"/>
  <c r="CQ134" i="138" l="1"/>
  <c r="CK136" i="138"/>
  <c r="CO32" i="138"/>
  <c r="CG46" i="138"/>
  <c r="CG24" i="138"/>
  <c r="CH32" i="138" s="1"/>
  <c r="CI370" i="136"/>
  <c r="CH370" i="136"/>
  <c r="CM58" i="136"/>
  <c r="CM65" i="136" s="1"/>
  <c r="CM64" i="134"/>
  <c r="CA360" i="136"/>
  <c r="CA369" i="136" s="1"/>
  <c r="CA368" i="136"/>
  <c r="BU360" i="136"/>
  <c r="BU369" i="136" s="1"/>
  <c r="BU368" i="136"/>
  <c r="CM16" i="138"/>
  <c r="CG51" i="136"/>
  <c r="CM39" i="138"/>
  <c r="CG358" i="136"/>
  <c r="CK115" i="138"/>
  <c r="CP116" i="138"/>
  <c r="CM46" i="138" l="1"/>
  <c r="CM24" i="138"/>
  <c r="CN32" i="138" s="1"/>
  <c r="CS65" i="136"/>
  <c r="BU370" i="136"/>
  <c r="CA370" i="136"/>
  <c r="CG359" i="136"/>
  <c r="CG368" i="136" s="1"/>
  <c r="CQ116" i="138"/>
  <c r="CG360" i="136" l="1"/>
  <c r="CG369" i="136" s="1"/>
  <c r="CG370" i="136" l="1"/>
  <c r="BG30" i="136"/>
  <c r="BM30" i="136"/>
  <c r="BL30" i="136"/>
  <c r="BK30" i="136"/>
  <c r="BJ30" i="136"/>
  <c r="BI30" i="136"/>
  <c r="BS30" i="136"/>
  <c r="BR30" i="136"/>
  <c r="BQ30" i="136"/>
  <c r="BP30" i="136"/>
  <c r="BO30" i="136"/>
  <c r="BY30" i="136"/>
  <c r="BX30" i="136"/>
  <c r="BW30" i="136"/>
  <c r="BV30" i="136"/>
  <c r="BU30" i="136"/>
  <c r="CK30" i="136"/>
  <c r="CJ30" i="136"/>
  <c r="CI30" i="136"/>
  <c r="CH30" i="136"/>
  <c r="CG30" i="136"/>
  <c r="CD30" i="136"/>
  <c r="CC30" i="136"/>
  <c r="CB30" i="136"/>
  <c r="CA30" i="136"/>
  <c r="CQ30" i="136"/>
  <c r="CP30" i="136"/>
  <c r="CO30" i="136"/>
  <c r="CN30" i="136"/>
  <c r="CM30" i="136"/>
  <c r="CK87" i="134"/>
  <c r="CQ87" i="134"/>
  <c r="CK85" i="134"/>
  <c r="CK89" i="134"/>
  <c r="CK88" i="134"/>
  <c r="CK86" i="134"/>
  <c r="CK84" i="134"/>
  <c r="CK82" i="134"/>
  <c r="CK81" i="134"/>
  <c r="CK80" i="134"/>
  <c r="CK77" i="134"/>
  <c r="CK40" i="134"/>
  <c r="CQ88" i="134"/>
  <c r="CQ89" i="134"/>
  <c r="CQ86" i="134"/>
  <c r="CQ84" i="134"/>
  <c r="CQ82" i="134"/>
  <c r="CQ77" i="134"/>
  <c r="CQ40" i="134"/>
  <c r="CK17" i="134"/>
  <c r="CQ16" i="136"/>
  <c r="CP16" i="136"/>
  <c r="CO16" i="136"/>
  <c r="CN16" i="136"/>
  <c r="CM16" i="136"/>
  <c r="CO15" i="136"/>
  <c r="CN15" i="136"/>
  <c r="CM15" i="136"/>
  <c r="CQ13" i="136"/>
  <c r="BG221" i="136"/>
  <c r="CO221" i="136"/>
  <c r="CN221" i="136"/>
  <c r="CM221" i="136"/>
  <c r="CI221" i="136"/>
  <c r="CO227" i="136" s="1"/>
  <c r="CO226" i="136" s="1"/>
  <c r="CO223" i="136" s="1"/>
  <c r="CH221" i="136"/>
  <c r="CN227" i="136" s="1"/>
  <c r="CN226" i="136" s="1"/>
  <c r="CN223" i="136" s="1"/>
  <c r="CG221" i="136"/>
  <c r="CM227" i="136" s="1"/>
  <c r="CM226" i="136" s="1"/>
  <c r="CM223" i="136" s="1"/>
  <c r="CC221" i="136"/>
  <c r="CB221" i="136"/>
  <c r="CH227" i="136" s="1"/>
  <c r="CA221" i="136"/>
  <c r="CG227" i="136" s="1"/>
  <c r="BW221" i="136"/>
  <c r="BV221" i="136"/>
  <c r="CB227" i="136" s="1"/>
  <c r="CB226" i="136" s="1"/>
  <c r="CB223" i="136" s="1"/>
  <c r="BU221" i="136"/>
  <c r="CA227" i="136" s="1"/>
  <c r="CA226" i="136" s="1"/>
  <c r="CA223" i="136" s="1"/>
  <c r="BQ221" i="136"/>
  <c r="BP221" i="136"/>
  <c r="BO221" i="136"/>
  <c r="BL221" i="136"/>
  <c r="BK221" i="136"/>
  <c r="BJ221" i="136"/>
  <c r="BI221" i="136"/>
  <c r="CQ38" i="136" l="1"/>
  <c r="CQ41" i="136"/>
  <c r="CN41" i="136"/>
  <c r="CO41" i="136"/>
  <c r="CM41" i="136"/>
  <c r="CQ90" i="134"/>
  <c r="CK90" i="134"/>
  <c r="CK33" i="134"/>
  <c r="BU40" i="136"/>
  <c r="BU33" i="136"/>
  <c r="BW227" i="136"/>
  <c r="BW226" i="136" s="1"/>
  <c r="BW223" i="136" s="1"/>
  <c r="BQ224" i="136"/>
  <c r="CN40" i="136"/>
  <c r="CN87" i="136" s="1"/>
  <c r="BW40" i="136"/>
  <c r="BW33" i="136"/>
  <c r="CO40" i="136"/>
  <c r="CO87" i="136" s="1"/>
  <c r="CG40" i="136"/>
  <c r="CG87" i="136" s="1"/>
  <c r="CG33" i="136"/>
  <c r="CQ33" i="136"/>
  <c r="CI40" i="136"/>
  <c r="CI87" i="136" s="1"/>
  <c r="CI33" i="136"/>
  <c r="BO40" i="136"/>
  <c r="BO33" i="136"/>
  <c r="BO42" i="136" s="1"/>
  <c r="CC40" i="136"/>
  <c r="CC33" i="136"/>
  <c r="CA40" i="136"/>
  <c r="CA33" i="136"/>
  <c r="BP40" i="136"/>
  <c r="BP33" i="136"/>
  <c r="BP42" i="136" s="1"/>
  <c r="BV227" i="136"/>
  <c r="BV226" i="136" s="1"/>
  <c r="BV223" i="136" s="1"/>
  <c r="BP224" i="136"/>
  <c r="CM40" i="136"/>
  <c r="CM87" i="136" s="1"/>
  <c r="BV40" i="136"/>
  <c r="BV33" i="136"/>
  <c r="CH40" i="136"/>
  <c r="CH87" i="136" s="1"/>
  <c r="CH33" i="136"/>
  <c r="BO224" i="136"/>
  <c r="CI227" i="136"/>
  <c r="CI226" i="136" s="1"/>
  <c r="CI223" i="136" s="1"/>
  <c r="CB40" i="136"/>
  <c r="CB33" i="136"/>
  <c r="BQ40" i="136"/>
  <c r="BQ33" i="136"/>
  <c r="BQ42" i="136" s="1"/>
  <c r="CM230" i="136"/>
  <c r="CS227" i="136"/>
  <c r="CS226" i="136" s="1"/>
  <c r="CS223" i="136" s="1"/>
  <c r="BW230" i="136"/>
  <c r="BW387" i="136" s="1"/>
  <c r="BW388" i="136" s="1"/>
  <c r="BW375" i="136" s="1"/>
  <c r="CC227" i="136"/>
  <c r="CC226" i="136" s="1"/>
  <c r="CC223" i="136" s="1"/>
  <c r="CN230" i="136"/>
  <c r="CT227" i="136"/>
  <c r="CT226" i="136" s="1"/>
  <c r="CT223" i="136" s="1"/>
  <c r="CO230" i="136"/>
  <c r="CU227" i="136"/>
  <c r="CU226" i="136" s="1"/>
  <c r="CU223" i="136" s="1"/>
  <c r="BU227" i="136"/>
  <c r="BU226" i="136" s="1"/>
  <c r="BU223" i="136" s="1"/>
  <c r="CA230" i="136"/>
  <c r="CA387" i="136" s="1"/>
  <c r="CG226" i="136"/>
  <c r="CG223" i="136" s="1"/>
  <c r="CB230" i="136"/>
  <c r="CB387" i="136" s="1"/>
  <c r="CB388" i="136" s="1"/>
  <c r="CB375" i="136" s="1"/>
  <c r="CH226" i="136"/>
  <c r="CH223" i="136" s="1"/>
  <c r="BV230" i="136"/>
  <c r="BV387" i="136" s="1"/>
  <c r="CC230" i="136"/>
  <c r="CC387" i="136" s="1"/>
  <c r="CC388" i="136" s="1"/>
  <c r="CC375" i="136" s="1"/>
  <c r="CG230" i="136"/>
  <c r="CH230" i="136"/>
  <c r="CI230" i="136"/>
  <c r="CQ33" i="134"/>
  <c r="K8" i="136"/>
  <c r="Q8" i="136"/>
  <c r="W8" i="136" s="1"/>
  <c r="AC8" i="136" s="1"/>
  <c r="AI8" i="136" s="1"/>
  <c r="AO8" i="136" s="1"/>
  <c r="AU8" i="136" s="1"/>
  <c r="BA8" i="136" s="1"/>
  <c r="BG8" i="136" s="1"/>
  <c r="BM8" i="136" s="1"/>
  <c r="BS8" i="136" s="1"/>
  <c r="BY8" i="136" s="1"/>
  <c r="CE8" i="136" s="1"/>
  <c r="CK8" i="136" s="1"/>
  <c r="CQ8" i="136" s="1"/>
  <c r="CW8" i="136" s="1"/>
  <c r="DC8" i="136" s="1"/>
  <c r="DI8" i="136" s="1"/>
  <c r="DO8" i="136" s="1"/>
  <c r="DU8" i="136" s="1"/>
  <c r="EA8" i="136" s="1"/>
  <c r="EG8" i="136" s="1"/>
  <c r="S8" i="136"/>
  <c r="Y8" i="136" s="1"/>
  <c r="AE8" i="136" s="1"/>
  <c r="AK8" i="136" s="1"/>
  <c r="AQ8" i="136" s="1"/>
  <c r="AW8" i="136" s="1"/>
  <c r="BC8" i="136" s="1"/>
  <c r="BI8" i="136" s="1"/>
  <c r="BO8" i="136" s="1"/>
  <c r="BU8" i="136" s="1"/>
  <c r="CA8" i="136" s="1"/>
  <c r="CG8" i="136" s="1"/>
  <c r="CM8" i="136" s="1"/>
  <c r="CS8" i="136" s="1"/>
  <c r="CY8" i="136" s="1"/>
  <c r="DE8" i="136" s="1"/>
  <c r="DK8" i="136" s="1"/>
  <c r="DQ8" i="136" s="1"/>
  <c r="DW8" i="136" s="1"/>
  <c r="EC8" i="136" s="1"/>
  <c r="N9" i="136"/>
  <c r="O9" i="136" s="1"/>
  <c r="P9" i="136" s="1"/>
  <c r="S9" i="136"/>
  <c r="T9" i="136" s="1"/>
  <c r="U9" i="136" s="1"/>
  <c r="V9" i="136" s="1"/>
  <c r="DK9" i="136"/>
  <c r="DQ9" i="136" s="1"/>
  <c r="DW9" i="136" s="1"/>
  <c r="EC9" i="136" s="1"/>
  <c r="DL9" i="136"/>
  <c r="DR9" i="136" s="1"/>
  <c r="DX9" i="136" s="1"/>
  <c r="ED9" i="136" s="1"/>
  <c r="DM9" i="136"/>
  <c r="DS9" i="136" s="1"/>
  <c r="DY9" i="136" s="1"/>
  <c r="EE9" i="136" s="1"/>
  <c r="DN9" i="136"/>
  <c r="DT9" i="136" s="1"/>
  <c r="DZ9" i="136" s="1"/>
  <c r="EF9" i="136" s="1"/>
  <c r="CS13" i="136"/>
  <c r="CT13" i="136"/>
  <c r="CU13" i="136"/>
  <c r="CV13" i="136"/>
  <c r="CW70" i="136"/>
  <c r="CY13" i="136"/>
  <c r="CZ13" i="136"/>
  <c r="DA13" i="136"/>
  <c r="DB13" i="136"/>
  <c r="CS14" i="136"/>
  <c r="CT14" i="136"/>
  <c r="CU14" i="136"/>
  <c r="CV14" i="136"/>
  <c r="CW146" i="136"/>
  <c r="CY14" i="136"/>
  <c r="CZ14" i="136"/>
  <c r="DA14" i="136"/>
  <c r="DB14" i="136"/>
  <c r="DC146" i="136"/>
  <c r="CS15" i="136"/>
  <c r="CT15" i="136"/>
  <c r="CU15" i="136"/>
  <c r="CV213" i="136"/>
  <c r="CY15" i="136"/>
  <c r="CZ15" i="136"/>
  <c r="DA15" i="136"/>
  <c r="DB15" i="136"/>
  <c r="DC213" i="136"/>
  <c r="DF15" i="136"/>
  <c r="CS16" i="136"/>
  <c r="CT16" i="136"/>
  <c r="CU16" i="136"/>
  <c r="CV16" i="136"/>
  <c r="CW16" i="136"/>
  <c r="CY16" i="136"/>
  <c r="CZ16" i="136"/>
  <c r="DA16" i="136"/>
  <c r="DB16" i="136"/>
  <c r="DC16" i="136"/>
  <c r="BR213" i="136"/>
  <c r="BX213" i="136"/>
  <c r="CD213" i="136"/>
  <c r="CJ213" i="136"/>
  <c r="CP213" i="136"/>
  <c r="CY343" i="136"/>
  <c r="CZ343" i="136"/>
  <c r="DA343" i="136"/>
  <c r="DB343" i="136"/>
  <c r="CY28" i="136"/>
  <c r="CZ28" i="136"/>
  <c r="DA28" i="136"/>
  <c r="DB28" i="136"/>
  <c r="CW154" i="136"/>
  <c r="CY29" i="136"/>
  <c r="CZ29" i="136"/>
  <c r="DA29" i="136"/>
  <c r="DB29" i="136"/>
  <c r="DC154" i="136"/>
  <c r="CS30" i="136"/>
  <c r="CT30" i="136"/>
  <c r="CU30" i="136"/>
  <c r="CV30" i="136"/>
  <c r="CW220" i="136"/>
  <c r="CY30" i="136"/>
  <c r="CZ30" i="136"/>
  <c r="DA30" i="136"/>
  <c r="DB30" i="136"/>
  <c r="DC220" i="136"/>
  <c r="CS31" i="136"/>
  <c r="CT31" i="136"/>
  <c r="CU31" i="136"/>
  <c r="CV31" i="136"/>
  <c r="CW318" i="136"/>
  <c r="CY31" i="136"/>
  <c r="CZ31" i="136"/>
  <c r="DA31" i="136"/>
  <c r="DB31" i="136"/>
  <c r="DC318" i="136"/>
  <c r="DW321" i="136"/>
  <c r="DX321" i="136" s="1"/>
  <c r="DY321" i="136" s="1"/>
  <c r="DZ321" i="136" s="1"/>
  <c r="EC321" i="136" s="1"/>
  <c r="ED321" i="136" s="1"/>
  <c r="EE321" i="136" s="1"/>
  <c r="EF321" i="136" s="1"/>
  <c r="CM13" i="136"/>
  <c r="CN13" i="136"/>
  <c r="CY79" i="136"/>
  <c r="CZ79" i="136"/>
  <c r="DA79" i="136"/>
  <c r="DB75" i="136"/>
  <c r="CU78" i="136"/>
  <c r="CV78" i="136"/>
  <c r="CY78" i="136"/>
  <c r="DE81" i="136" s="1"/>
  <c r="DE85" i="136" s="1"/>
  <c r="DE84" i="136" s="1"/>
  <c r="DE83" i="136" s="1"/>
  <c r="DE80" i="136" s="1"/>
  <c r="CZ78" i="136"/>
  <c r="DF81" i="136" s="1"/>
  <c r="DA78" i="136"/>
  <c r="DG81" i="136" s="1"/>
  <c r="DG85" i="136" s="1"/>
  <c r="DG84" i="136" s="1"/>
  <c r="DG83" i="136" s="1"/>
  <c r="DG80" i="136" s="1"/>
  <c r="DB78" i="136"/>
  <c r="CM14" i="136"/>
  <c r="CN14" i="136"/>
  <c r="CY156" i="136"/>
  <c r="CZ152" i="136"/>
  <c r="DA152" i="136"/>
  <c r="DB152" i="136"/>
  <c r="CS155" i="136"/>
  <c r="CT155" i="136"/>
  <c r="CU155" i="136"/>
  <c r="DA161" i="136" s="1"/>
  <c r="DA160" i="136" s="1"/>
  <c r="DA157" i="136" s="1"/>
  <c r="CV155" i="136"/>
  <c r="DB161" i="136" s="1"/>
  <c r="DB160" i="136" s="1"/>
  <c r="DB157" i="136" s="1"/>
  <c r="CY155" i="136"/>
  <c r="DE158" i="136" s="1"/>
  <c r="DE161" i="136" s="1"/>
  <c r="DE160" i="136" s="1"/>
  <c r="CZ155" i="136"/>
  <c r="DF158" i="136" s="1"/>
  <c r="DF161" i="136" s="1"/>
  <c r="DF160" i="136" s="1"/>
  <c r="DF157" i="136" s="1"/>
  <c r="DA155" i="136"/>
  <c r="DG158" i="136" s="1"/>
  <c r="DG162" i="136" s="1"/>
  <c r="DG161" i="136" s="1"/>
  <c r="DG160" i="136" s="1"/>
  <c r="DB155" i="136"/>
  <c r="BM15" i="136"/>
  <c r="BO218" i="136"/>
  <c r="BO217" i="136" s="1"/>
  <c r="BP218" i="136"/>
  <c r="BP217" i="136" s="1"/>
  <c r="BQ218" i="136"/>
  <c r="BQ217" i="136" s="1"/>
  <c r="BU218" i="136"/>
  <c r="BU217" i="136" s="1"/>
  <c r="BV218" i="136"/>
  <c r="BV217" i="136" s="1"/>
  <c r="BW218" i="136"/>
  <c r="BW217" i="136" s="1"/>
  <c r="CA218" i="136"/>
  <c r="CA217" i="136" s="1"/>
  <c r="CB218" i="136"/>
  <c r="CB217" i="136" s="1"/>
  <c r="CC218" i="136"/>
  <c r="CC217" i="136" s="1"/>
  <c r="CG218" i="136"/>
  <c r="CG217" i="136" s="1"/>
  <c r="CH218" i="136"/>
  <c r="CH217" i="136" s="1"/>
  <c r="CI218" i="136"/>
  <c r="CI217" i="136" s="1"/>
  <c r="CM218" i="136"/>
  <c r="CM217" i="136" s="1"/>
  <c r="CN218" i="136"/>
  <c r="CN217" i="136" s="1"/>
  <c r="CO218" i="136"/>
  <c r="CO217" i="136" s="1"/>
  <c r="CS222" i="136"/>
  <c r="CS391" i="136" s="1"/>
  <c r="CT222" i="136"/>
  <c r="CT391" i="136" s="1"/>
  <c r="CU222" i="136"/>
  <c r="CU391" i="136" s="1"/>
  <c r="CY218" i="136"/>
  <c r="CZ218" i="136"/>
  <c r="DA218" i="136"/>
  <c r="CS221" i="136"/>
  <c r="CT221" i="136"/>
  <c r="CU221" i="136"/>
  <c r="CY221" i="136"/>
  <c r="CZ221" i="136"/>
  <c r="DA221" i="136"/>
  <c r="DB221" i="136"/>
  <c r="CY223" i="136"/>
  <c r="CZ223" i="136"/>
  <c r="DA223" i="136"/>
  <c r="CY322" i="136"/>
  <c r="CS343" i="136"/>
  <c r="CT343" i="136"/>
  <c r="CZ64" i="134" s="1"/>
  <c r="CU343" i="136"/>
  <c r="DA64" i="134" s="1"/>
  <c r="CU354" i="136"/>
  <c r="CV354" i="136"/>
  <c r="CY354" i="136"/>
  <c r="CZ354" i="136"/>
  <c r="DA354" i="136"/>
  <c r="DB354" i="136"/>
  <c r="CS355" i="136"/>
  <c r="CT355" i="136"/>
  <c r="CU355" i="136"/>
  <c r="CV355" i="136"/>
  <c r="CY355" i="136"/>
  <c r="CZ355" i="136"/>
  <c r="DA355" i="136"/>
  <c r="DB355" i="136"/>
  <c r="CS356" i="136"/>
  <c r="CT356" i="136"/>
  <c r="CU356" i="136"/>
  <c r="CV356" i="136"/>
  <c r="CY356" i="136"/>
  <c r="CZ356" i="136"/>
  <c r="DA356" i="136"/>
  <c r="DB356" i="136"/>
  <c r="CS357" i="136"/>
  <c r="CT357" i="136"/>
  <c r="CU357" i="136"/>
  <c r="CV357" i="136"/>
  <c r="CY357" i="136"/>
  <c r="CZ357" i="136"/>
  <c r="DA357" i="136"/>
  <c r="DB357" i="136"/>
  <c r="CS364" i="136"/>
  <c r="CT364" i="136"/>
  <c r="CU364" i="136"/>
  <c r="CV364" i="136"/>
  <c r="CY364" i="136"/>
  <c r="CZ364" i="136"/>
  <c r="DA364" i="136"/>
  <c r="DB364" i="136"/>
  <c r="CY54" i="136"/>
  <c r="CZ54" i="136"/>
  <c r="DA54" i="136"/>
  <c r="DB54" i="136"/>
  <c r="DC54" i="136"/>
  <c r="DK54" i="136"/>
  <c r="DL54" i="136"/>
  <c r="DM54" i="136"/>
  <c r="DN54" i="136"/>
  <c r="DQ54" i="136"/>
  <c r="DW61" i="136" s="1"/>
  <c r="DR54" i="136"/>
  <c r="DX61" i="136" s="1"/>
  <c r="DS54" i="136"/>
  <c r="DY61" i="136" s="1"/>
  <c r="DT54" i="136"/>
  <c r="DZ61" i="136" s="1"/>
  <c r="CY55" i="136"/>
  <c r="CZ55" i="136"/>
  <c r="DA55" i="136"/>
  <c r="DB55" i="136"/>
  <c r="DC55" i="136"/>
  <c r="DE55" i="136"/>
  <c r="DF55" i="136"/>
  <c r="DG55" i="136"/>
  <c r="DH55" i="136"/>
  <c r="DK55" i="136"/>
  <c r="DL55" i="136"/>
  <c r="DM55" i="136"/>
  <c r="DN55" i="136"/>
  <c r="DQ55" i="136"/>
  <c r="DW62" i="136" s="1"/>
  <c r="DR55" i="136"/>
  <c r="DX62" i="136" s="1"/>
  <c r="DS55" i="136"/>
  <c r="DY62" i="136" s="1"/>
  <c r="DT55" i="136"/>
  <c r="DZ62" i="136" s="1"/>
  <c r="CY56" i="136"/>
  <c r="CZ56" i="136"/>
  <c r="DA56" i="136"/>
  <c r="DB56" i="136"/>
  <c r="DE56" i="136"/>
  <c r="DF56" i="136"/>
  <c r="DG56" i="136"/>
  <c r="DH56" i="136"/>
  <c r="DK56" i="136"/>
  <c r="DL56" i="136"/>
  <c r="DM56" i="136"/>
  <c r="DN56" i="136"/>
  <c r="DQ56" i="136"/>
  <c r="DW63" i="136" s="1"/>
  <c r="DR56" i="136"/>
  <c r="DX63" i="136" s="1"/>
  <c r="DS56" i="136"/>
  <c r="DY63" i="136" s="1"/>
  <c r="DT56" i="136"/>
  <c r="DZ63" i="136" s="1"/>
  <c r="CY57" i="136"/>
  <c r="CZ57" i="136"/>
  <c r="DA57" i="136"/>
  <c r="DB57" i="136"/>
  <c r="DE57" i="136"/>
  <c r="DF57" i="136"/>
  <c r="DG57" i="136"/>
  <c r="DH57" i="136"/>
  <c r="DK57" i="136"/>
  <c r="DL57" i="136"/>
  <c r="DM57" i="136"/>
  <c r="DN57" i="136"/>
  <c r="DQ57" i="136"/>
  <c r="DW64" i="136" s="1"/>
  <c r="DR57" i="136"/>
  <c r="DX64" i="136" s="1"/>
  <c r="DS57" i="136"/>
  <c r="DY64" i="136" s="1"/>
  <c r="DT57" i="136"/>
  <c r="DZ64" i="136" s="1"/>
  <c r="DB92" i="136"/>
  <c r="DE92" i="136"/>
  <c r="DF92" i="136"/>
  <c r="DG92" i="136"/>
  <c r="DM92" i="136" s="1"/>
  <c r="CY93" i="136"/>
  <c r="CZ93" i="136"/>
  <c r="DA93" i="136"/>
  <c r="DC93" i="136"/>
  <c r="CT98" i="136"/>
  <c r="CU98" i="136"/>
  <c r="CV98" i="136"/>
  <c r="CW98" i="136"/>
  <c r="CY98" i="136"/>
  <c r="CZ98" i="136"/>
  <c r="DA98" i="136"/>
  <c r="DC98" i="136"/>
  <c r="DC101" i="136"/>
  <c r="DI101" i="136"/>
  <c r="DO101" i="136"/>
  <c r="DU101" i="136"/>
  <c r="CZ104" i="136"/>
  <c r="DA104" i="136"/>
  <c r="DC104" i="136"/>
  <c r="DI107" i="136"/>
  <c r="DI108" i="136"/>
  <c r="DO108" i="136"/>
  <c r="DU108" i="136"/>
  <c r="DI109" i="136"/>
  <c r="DF109" i="136" s="1"/>
  <c r="DO109" i="136"/>
  <c r="DM109" i="136" s="1"/>
  <c r="DU109" i="136"/>
  <c r="DI242" i="136" l="1"/>
  <c r="DI234" i="136"/>
  <c r="DI250" i="136"/>
  <c r="DI258" i="136"/>
  <c r="BX248" i="136"/>
  <c r="BY248" i="136" s="1"/>
  <c r="BX240" i="136"/>
  <c r="BY240" i="136" s="1"/>
  <c r="BR248" i="136"/>
  <c r="BS248" i="136" s="1"/>
  <c r="BS253" i="136" s="1"/>
  <c r="BR240" i="136"/>
  <c r="BS240" i="136" s="1"/>
  <c r="BS245" i="136" s="1"/>
  <c r="CV240" i="136"/>
  <c r="CW240" i="136" s="1"/>
  <c r="CV248" i="136"/>
  <c r="CW248" i="136" s="1"/>
  <c r="CP248" i="136"/>
  <c r="CQ248" i="136" s="1"/>
  <c r="CP240" i="136"/>
  <c r="CQ240" i="136" s="1"/>
  <c r="CJ240" i="136"/>
  <c r="CK240" i="136" s="1"/>
  <c r="CJ248" i="136"/>
  <c r="CK248" i="136" s="1"/>
  <c r="CD240" i="136"/>
  <c r="CE240" i="136" s="1"/>
  <c r="CD248" i="136"/>
  <c r="CE248" i="136" s="1"/>
  <c r="CN260" i="136"/>
  <c r="CN259" i="136" s="1"/>
  <c r="CN236" i="136"/>
  <c r="CN235" i="136" s="1"/>
  <c r="CI260" i="136"/>
  <c r="CI259" i="136" s="1"/>
  <c r="CI236" i="136"/>
  <c r="CI235" i="136" s="1"/>
  <c r="CG260" i="136"/>
  <c r="CG259" i="136" s="1"/>
  <c r="CG236" i="136"/>
  <c r="CG235" i="136" s="1"/>
  <c r="CB260" i="136"/>
  <c r="CB259" i="136" s="1"/>
  <c r="CB236" i="136"/>
  <c r="CB235" i="136" s="1"/>
  <c r="BW260" i="136"/>
  <c r="BW259" i="136" s="1"/>
  <c r="BW236" i="136"/>
  <c r="BW235" i="136" s="1"/>
  <c r="BU260" i="136"/>
  <c r="BU259" i="136" s="1"/>
  <c r="BU236" i="136"/>
  <c r="BU235" i="136" s="1"/>
  <c r="BP22" i="136"/>
  <c r="BP260" i="136"/>
  <c r="BP259" i="136" s="1"/>
  <c r="BP236" i="136"/>
  <c r="BP235" i="136" s="1"/>
  <c r="CP274" i="136"/>
  <c r="CP275" i="136"/>
  <c r="CP232" i="136"/>
  <c r="CP256" i="136"/>
  <c r="CQ256" i="136" s="1"/>
  <c r="CD274" i="136"/>
  <c r="CD275" i="136"/>
  <c r="CD256" i="136"/>
  <c r="CE256" i="136" s="1"/>
  <c r="CD232" i="136"/>
  <c r="BR274" i="136"/>
  <c r="BR275" i="136"/>
  <c r="BR256" i="136"/>
  <c r="BR232" i="136"/>
  <c r="DI215" i="136"/>
  <c r="DC275" i="136"/>
  <c r="DC274" i="136"/>
  <c r="CO236" i="136"/>
  <c r="CO235" i="136" s="1"/>
  <c r="CO260" i="136"/>
  <c r="CO259" i="136" s="1"/>
  <c r="CM236" i="136"/>
  <c r="CM235" i="136" s="1"/>
  <c r="CM260" i="136"/>
  <c r="CM259" i="136" s="1"/>
  <c r="CH236" i="136"/>
  <c r="CH235" i="136" s="1"/>
  <c r="CH260" i="136"/>
  <c r="CH259" i="136" s="1"/>
  <c r="CC236" i="136"/>
  <c r="CC235" i="136" s="1"/>
  <c r="CC260" i="136"/>
  <c r="CC259" i="136" s="1"/>
  <c r="CA236" i="136"/>
  <c r="CA235" i="136" s="1"/>
  <c r="CA260" i="136"/>
  <c r="CA259" i="136" s="1"/>
  <c r="BV236" i="136"/>
  <c r="BV235" i="136" s="1"/>
  <c r="BV260" i="136"/>
  <c r="BV259" i="136" s="1"/>
  <c r="BQ22" i="136"/>
  <c r="BQ236" i="136"/>
  <c r="BQ235" i="136" s="1"/>
  <c r="BQ260" i="136"/>
  <c r="BQ259" i="136" s="1"/>
  <c r="BO22" i="136"/>
  <c r="BO236" i="136"/>
  <c r="BO235" i="136" s="1"/>
  <c r="BO260" i="136"/>
  <c r="BO259" i="136" s="1"/>
  <c r="CJ274" i="136"/>
  <c r="CJ275" i="136"/>
  <c r="CJ232" i="136"/>
  <c r="CJ256" i="136"/>
  <c r="CK256" i="136" s="1"/>
  <c r="BX274" i="136"/>
  <c r="BX275" i="136"/>
  <c r="BX232" i="136"/>
  <c r="BX256" i="136"/>
  <c r="BY256" i="136" s="1"/>
  <c r="CV274" i="136"/>
  <c r="CV275" i="136"/>
  <c r="CV256" i="136"/>
  <c r="CV232" i="136"/>
  <c r="DG157" i="136"/>
  <c r="DG224" i="136"/>
  <c r="DG228" i="136" s="1"/>
  <c r="DG227" i="136" s="1"/>
  <c r="DG226" i="136" s="1"/>
  <c r="DG381" i="136" s="1"/>
  <c r="DF85" i="136"/>
  <c r="DF84" i="136" s="1"/>
  <c r="DF83" i="136" s="1"/>
  <c r="DF80" i="136" s="1"/>
  <c r="DF227" i="136"/>
  <c r="DF226" i="136" s="1"/>
  <c r="DF224" i="136"/>
  <c r="DF31" i="136"/>
  <c r="DF16" i="136"/>
  <c r="DE227" i="136"/>
  <c r="DE226" i="136" s="1"/>
  <c r="DE381" i="136" s="1"/>
  <c r="DE224" i="136"/>
  <c r="DE157" i="136"/>
  <c r="CA44" i="136"/>
  <c r="DA217" i="136"/>
  <c r="CY217" i="136"/>
  <c r="DB151" i="136"/>
  <c r="DB156" i="136" s="1"/>
  <c r="CZ151" i="136"/>
  <c r="CZ156" i="136" s="1"/>
  <c r="DB74" i="136"/>
  <c r="DB79" i="136" s="1"/>
  <c r="CV218" i="136"/>
  <c r="CV217" i="136" s="1"/>
  <c r="DI149" i="136"/>
  <c r="DI151" i="136"/>
  <c r="DC152" i="136"/>
  <c r="DC151" i="136" s="1"/>
  <c r="DC156" i="136" s="1"/>
  <c r="DI147" i="136"/>
  <c r="DI55" i="136" s="1"/>
  <c r="DI62" i="136" s="1"/>
  <c r="DI150" i="136"/>
  <c r="CZ217" i="136"/>
  <c r="DA151" i="136"/>
  <c r="DA156" i="136" s="1"/>
  <c r="DA58" i="136"/>
  <c r="DA65" i="136" s="1"/>
  <c r="CZ58" i="136"/>
  <c r="CZ65" i="136" s="1"/>
  <c r="CY64" i="134"/>
  <c r="CY58" i="136"/>
  <c r="CY65" i="136" s="1"/>
  <c r="BU44" i="136"/>
  <c r="CC44" i="136"/>
  <c r="CM39" i="136"/>
  <c r="CW13" i="136"/>
  <c r="CN38" i="136"/>
  <c r="CT392" i="136"/>
  <c r="CT371" i="136" s="1"/>
  <c r="CM38" i="136"/>
  <c r="CU392" i="136"/>
  <c r="CU371" i="136" s="1"/>
  <c r="CS392" i="136"/>
  <c r="CS371" i="136" s="1"/>
  <c r="CN39" i="136"/>
  <c r="BV44" i="136"/>
  <c r="CC22" i="136"/>
  <c r="CC222" i="136"/>
  <c r="CC391" i="136" s="1"/>
  <c r="CC392" i="136" s="1"/>
  <c r="CC371" i="136" s="1"/>
  <c r="DN89" i="136"/>
  <c r="BX385" i="136"/>
  <c r="BY385" i="136" s="1"/>
  <c r="CB22" i="136"/>
  <c r="CB222" i="136"/>
  <c r="CB391" i="136" s="1"/>
  <c r="CB392" i="136" s="1"/>
  <c r="CB371" i="136" s="1"/>
  <c r="DM89" i="136"/>
  <c r="CA22" i="136"/>
  <c r="CA222" i="136"/>
  <c r="CA391" i="136" s="1"/>
  <c r="CA392" i="136" s="1"/>
  <c r="CA371" i="136" s="1"/>
  <c r="BW22" i="136"/>
  <c r="BW222" i="136"/>
  <c r="BW391" i="136" s="1"/>
  <c r="BW392" i="136" s="1"/>
  <c r="BW371" i="136" s="1"/>
  <c r="CM22" i="136"/>
  <c r="CM222" i="136"/>
  <c r="CM391" i="136" s="1"/>
  <c r="CM392" i="136" s="1"/>
  <c r="CM371" i="136" s="1"/>
  <c r="BV22" i="136"/>
  <c r="BV222" i="136"/>
  <c r="BV391" i="136" s="1"/>
  <c r="BV392" i="136" s="1"/>
  <c r="BV371" i="136" s="1"/>
  <c r="DK89" i="136"/>
  <c r="CN22" i="136"/>
  <c r="CN222" i="136"/>
  <c r="CN391" i="136" s="1"/>
  <c r="CN392" i="136" s="1"/>
  <c r="CN371" i="136" s="1"/>
  <c r="BU22" i="136"/>
  <c r="BU222" i="136"/>
  <c r="BU391" i="136" s="1"/>
  <c r="CP385" i="136"/>
  <c r="CQ385" i="136" s="1"/>
  <c r="CH22" i="136"/>
  <c r="CH222" i="136"/>
  <c r="CH391" i="136" s="1"/>
  <c r="CH392" i="136" s="1"/>
  <c r="CH371" i="136" s="1"/>
  <c r="CJ385" i="136"/>
  <c r="CK385" i="136" s="1"/>
  <c r="BW44" i="136"/>
  <c r="CO22" i="136"/>
  <c r="CO222" i="136"/>
  <c r="CO391" i="136" s="1"/>
  <c r="CO392" i="136" s="1"/>
  <c r="CO371" i="136" s="1"/>
  <c r="DL89" i="136"/>
  <c r="CI22" i="136"/>
  <c r="CI222" i="136"/>
  <c r="CI391" i="136" s="1"/>
  <c r="CI392" i="136" s="1"/>
  <c r="CI371" i="136" s="1"/>
  <c r="CB44" i="136"/>
  <c r="CG22" i="136"/>
  <c r="CG222" i="136"/>
  <c r="CG391" i="136" s="1"/>
  <c r="CG392" i="136" s="1"/>
  <c r="CG371" i="136" s="1"/>
  <c r="CD385" i="136"/>
  <c r="CE385" i="136" s="1"/>
  <c r="CM387" i="136"/>
  <c r="CM388" i="136" s="1"/>
  <c r="CM375" i="136" s="1"/>
  <c r="CO85" i="136"/>
  <c r="CO84" i="136" s="1"/>
  <c r="CO83" i="136" s="1"/>
  <c r="CO80" i="136" s="1"/>
  <c r="CO387" i="136"/>
  <c r="CO388" i="136" s="1"/>
  <c r="CO375" i="136" s="1"/>
  <c r="CN85" i="136"/>
  <c r="CN84" i="136" s="1"/>
  <c r="CN83" i="136" s="1"/>
  <c r="CN80" i="136" s="1"/>
  <c r="CN387" i="136"/>
  <c r="CN388" i="136" s="1"/>
  <c r="CN375" i="136" s="1"/>
  <c r="CG387" i="136"/>
  <c r="CV385" i="136"/>
  <c r="CW385" i="136" s="1"/>
  <c r="CV387" i="136"/>
  <c r="CW387" i="136" s="1"/>
  <c r="CA388" i="136"/>
  <c r="CA375" i="136" s="1"/>
  <c r="CI85" i="136"/>
  <c r="CI84" i="136" s="1"/>
  <c r="CI83" i="136" s="1"/>
  <c r="CI80" i="136" s="1"/>
  <c r="CI387" i="136"/>
  <c r="CI388" i="136" s="1"/>
  <c r="CI375" i="136" s="1"/>
  <c r="BV388" i="136"/>
  <c r="BV375" i="136" s="1"/>
  <c r="CH85" i="136"/>
  <c r="CH84" i="136" s="1"/>
  <c r="CH83" i="136" s="1"/>
  <c r="CH80" i="136" s="1"/>
  <c r="CH387" i="136"/>
  <c r="CH388" i="136" s="1"/>
  <c r="CH375" i="136" s="1"/>
  <c r="DB372" i="136"/>
  <c r="DB373" i="136"/>
  <c r="DB388" i="136"/>
  <c r="DB375" i="136" s="1"/>
  <c r="DB386" i="136"/>
  <c r="DB374" i="136" s="1"/>
  <c r="CU372" i="136"/>
  <c r="CU373" i="136"/>
  <c r="CU388" i="136"/>
  <c r="CU375" i="136" s="1"/>
  <c r="CU386" i="136"/>
  <c r="CU374" i="136" s="1"/>
  <c r="DA373" i="136"/>
  <c r="DA388" i="136"/>
  <c r="DA375" i="136" s="1"/>
  <c r="DA386" i="136"/>
  <c r="DA374" i="136" s="1"/>
  <c r="CZ372" i="136"/>
  <c r="CZ373" i="136"/>
  <c r="CZ388" i="136"/>
  <c r="CZ375" i="136" s="1"/>
  <c r="CZ386" i="136"/>
  <c r="CZ374" i="136" s="1"/>
  <c r="CT372" i="136"/>
  <c r="CT373" i="136"/>
  <c r="CT388" i="136"/>
  <c r="CT375" i="136" s="1"/>
  <c r="CT386" i="136"/>
  <c r="CT374" i="136" s="1"/>
  <c r="CS372" i="136"/>
  <c r="CS373" i="136"/>
  <c r="CS386" i="136"/>
  <c r="CS374" i="136" s="1"/>
  <c r="CS388" i="136"/>
  <c r="CS375" i="136" s="1"/>
  <c r="CY373" i="136"/>
  <c r="CY386" i="136"/>
  <c r="CY374" i="136" s="1"/>
  <c r="CY388" i="136"/>
  <c r="CY375" i="136" s="1"/>
  <c r="DF14" i="136"/>
  <c r="CY372" i="136"/>
  <c r="DA372" i="136"/>
  <c r="CG42" i="136"/>
  <c r="CG44" i="136"/>
  <c r="CI42" i="136"/>
  <c r="CI44" i="136"/>
  <c r="CH42" i="136"/>
  <c r="CH44" i="136"/>
  <c r="DB105" i="136"/>
  <c r="DB99" i="136"/>
  <c r="BV381" i="136"/>
  <c r="BU381" i="136"/>
  <c r="BW381" i="136"/>
  <c r="BW42" i="136"/>
  <c r="BV42" i="136"/>
  <c r="BU42" i="136"/>
  <c r="DN75" i="136"/>
  <c r="DF13" i="136"/>
  <c r="DI213" i="136"/>
  <c r="DS107" i="136"/>
  <c r="DR107" i="136"/>
  <c r="CB42" i="136"/>
  <c r="CA42" i="136"/>
  <c r="CC42" i="136"/>
  <c r="DG64" i="136"/>
  <c r="DG63" i="136"/>
  <c r="DH62" i="136"/>
  <c r="DF64" i="136"/>
  <c r="DF63" i="136"/>
  <c r="DG62" i="136"/>
  <c r="BV345" i="136"/>
  <c r="DE31" i="136"/>
  <c r="CB345" i="136"/>
  <c r="BO345" i="136"/>
  <c r="CW14" i="136"/>
  <c r="CW160" i="136"/>
  <c r="CW157" i="136" s="1"/>
  <c r="CA345" i="136"/>
  <c r="CG345" i="136"/>
  <c r="CG346" i="136" s="1"/>
  <c r="CW29" i="136"/>
  <c r="CG85" i="136"/>
  <c r="CG84" i="136" s="1"/>
  <c r="CG83" i="136" s="1"/>
  <c r="CG80" i="136" s="1"/>
  <c r="DR80" i="136"/>
  <c r="DS80" i="136" s="1"/>
  <c r="DT80" i="136" s="1"/>
  <c r="DW80" i="136" s="1"/>
  <c r="DX80" i="136" s="1"/>
  <c r="DY80" i="136" s="1"/>
  <c r="DZ80" i="136" s="1"/>
  <c r="EC80" i="136" s="1"/>
  <c r="ED80" i="136" s="1"/>
  <c r="EE80" i="136" s="1"/>
  <c r="EF80" i="136" s="1"/>
  <c r="CZ158" i="136"/>
  <c r="CZ162" i="136" s="1"/>
  <c r="CZ161" i="136" s="1"/>
  <c r="CZ160" i="136" s="1"/>
  <c r="CZ157" i="136" s="1"/>
  <c r="BQ345" i="136"/>
  <c r="CQ345" i="136"/>
  <c r="DC229" i="136"/>
  <c r="DC228" i="136"/>
  <c r="DC230" i="136"/>
  <c r="CI345" i="136"/>
  <c r="CI346" i="136" s="1"/>
  <c r="CY158" i="136"/>
  <c r="CY162" i="136" s="1"/>
  <c r="CY161" i="136" s="1"/>
  <c r="DC319" i="136"/>
  <c r="CH345" i="136"/>
  <c r="CH346" i="136" s="1"/>
  <c r="BW345" i="136"/>
  <c r="BU345" i="136"/>
  <c r="CW31" i="136"/>
  <c r="CW41" i="136" s="1"/>
  <c r="CW319" i="136"/>
  <c r="CQ87" i="136"/>
  <c r="CQ85" i="136" s="1"/>
  <c r="CQ84" i="136" s="1"/>
  <c r="CQ83" i="136" s="1"/>
  <c r="CQ80" i="136" s="1"/>
  <c r="CM85" i="136"/>
  <c r="CM84" i="136" s="1"/>
  <c r="CM83" i="136" s="1"/>
  <c r="CM80" i="136" s="1"/>
  <c r="DH64" i="136"/>
  <c r="DH63" i="136"/>
  <c r="BP345" i="136"/>
  <c r="CC345" i="136"/>
  <c r="DF62" i="136"/>
  <c r="DA224" i="136"/>
  <c r="DC15" i="136"/>
  <c r="DE64" i="136"/>
  <c r="DE63" i="136"/>
  <c r="DN62" i="136"/>
  <c r="CZ224" i="136"/>
  <c r="DA322" i="136"/>
  <c r="CY224" i="136"/>
  <c r="DE62" i="136"/>
  <c r="DB322" i="136"/>
  <c r="CZ322" i="136"/>
  <c r="CV158" i="136"/>
  <c r="CV162" i="136" s="1"/>
  <c r="CV161" i="136" s="1"/>
  <c r="CV160" i="136" s="1"/>
  <c r="CV157" i="136" s="1"/>
  <c r="DB84" i="136"/>
  <c r="CV81" i="136"/>
  <c r="CV85" i="136" s="1"/>
  <c r="CV84" i="136" s="1"/>
  <c r="CV83" i="136" s="1"/>
  <c r="CV80" i="136" s="1"/>
  <c r="CU158" i="136"/>
  <c r="CU162" i="136" s="1"/>
  <c r="CU161" i="136" s="1"/>
  <c r="CU160" i="136" s="1"/>
  <c r="CU157" i="136" s="1"/>
  <c r="CU81" i="136"/>
  <c r="CU85" i="136" s="1"/>
  <c r="CU84" i="136" s="1"/>
  <c r="CU83" i="136" s="1"/>
  <c r="CU80" i="136" s="1"/>
  <c r="DN64" i="136"/>
  <c r="DN63" i="136"/>
  <c r="CT158" i="136"/>
  <c r="CT162" i="136" s="1"/>
  <c r="CT161" i="136" s="1"/>
  <c r="CT160" i="136" s="1"/>
  <c r="CT157" i="136" s="1"/>
  <c r="DM64" i="136"/>
  <c r="DL64" i="136"/>
  <c r="DL63" i="136"/>
  <c r="DL62" i="136"/>
  <c r="DA227" i="136"/>
  <c r="DA226" i="136" s="1"/>
  <c r="CV37" i="138"/>
  <c r="CP343" i="136"/>
  <c r="CJ15" i="136"/>
  <c r="CP37" i="138"/>
  <c r="CJ343" i="136"/>
  <c r="CP19" i="136" s="1"/>
  <c r="CD15" i="136"/>
  <c r="CJ37" i="138"/>
  <c r="CD343" i="136"/>
  <c r="CJ20" i="136" s="1"/>
  <c r="BX15" i="136"/>
  <c r="CD37" i="138"/>
  <c r="BX343" i="136"/>
  <c r="CD20" i="136" s="1"/>
  <c r="DM63" i="136"/>
  <c r="DK64" i="136"/>
  <c r="DK63" i="136"/>
  <c r="DK62" i="136"/>
  <c r="CZ227" i="136"/>
  <c r="CZ226" i="136" s="1"/>
  <c r="DA85" i="136"/>
  <c r="DA84" i="136" s="1"/>
  <c r="DA83" i="136" s="1"/>
  <c r="DA80" i="136" s="1"/>
  <c r="BR15" i="136"/>
  <c r="BX37" i="138"/>
  <c r="BR343" i="136"/>
  <c r="BR11" i="134" s="1"/>
  <c r="DM62" i="136"/>
  <c r="CS158" i="136"/>
  <c r="CS162" i="136" s="1"/>
  <c r="CS161" i="136" s="1"/>
  <c r="CS160" i="136" s="1"/>
  <c r="CS157" i="136" s="1"/>
  <c r="CY227" i="136"/>
  <c r="CY226" i="136" s="1"/>
  <c r="BM17" i="136"/>
  <c r="DK109" i="136"/>
  <c r="CN17" i="136"/>
  <c r="CM17" i="136"/>
  <c r="Y9" i="136"/>
  <c r="AE9" i="136" s="1"/>
  <c r="AK9" i="136" s="1"/>
  <c r="CS365" i="136"/>
  <c r="DA39" i="136"/>
  <c r="DA365" i="136"/>
  <c r="CP13" i="136"/>
  <c r="CO13" i="136"/>
  <c r="CO14" i="136"/>
  <c r="CV343" i="136"/>
  <c r="DB64" i="134" s="1"/>
  <c r="CQ213" i="136"/>
  <c r="CW250" i="136" s="1"/>
  <c r="CW52" i="138" s="1"/>
  <c r="CP15" i="136"/>
  <c r="BY213" i="136"/>
  <c r="CE243" i="136" s="1"/>
  <c r="BR218" i="136"/>
  <c r="BR217" i="136" s="1"/>
  <c r="CY365" i="136"/>
  <c r="DI315" i="136"/>
  <c r="CT365" i="136"/>
  <c r="DH54" i="136"/>
  <c r="DI214" i="136"/>
  <c r="DI56" i="136" s="1"/>
  <c r="BS213" i="136"/>
  <c r="BY258" i="136" s="1"/>
  <c r="DB41" i="136"/>
  <c r="CV41" i="136"/>
  <c r="CT41" i="136"/>
  <c r="CW357" i="136"/>
  <c r="DT63" i="136"/>
  <c r="DB63" i="136"/>
  <c r="CZ62" i="136"/>
  <c r="DR61" i="136"/>
  <c r="DB365" i="136"/>
  <c r="CZ41" i="136"/>
  <c r="DI217" i="136"/>
  <c r="DA63" i="136"/>
  <c r="CY62" i="136"/>
  <c r="DC61" i="136"/>
  <c r="CS40" i="136"/>
  <c r="DI216" i="136"/>
  <c r="DC75" i="136"/>
  <c r="DG97" i="136"/>
  <c r="CZ365" i="136"/>
  <c r="DI57" i="136"/>
  <c r="DB64" i="136"/>
  <c r="DG54" i="136"/>
  <c r="DI314" i="136"/>
  <c r="DS64" i="136"/>
  <c r="DA38" i="136"/>
  <c r="DR64" i="136"/>
  <c r="DF54" i="136"/>
  <c r="CY40" i="136"/>
  <c r="DA40" i="136"/>
  <c r="CU39" i="136"/>
  <c r="DS92" i="136"/>
  <c r="DM97" i="136"/>
  <c r="CW213" i="136"/>
  <c r="DC234" i="136" s="1"/>
  <c r="BM221" i="136"/>
  <c r="BM224" i="136" s="1"/>
  <c r="BX221" i="136"/>
  <c r="DS62" i="136"/>
  <c r="CP221" i="136"/>
  <c r="CV227" i="136" s="1"/>
  <c r="CV226" i="136" s="1"/>
  <c r="CV223" i="136" s="1"/>
  <c r="CJ221" i="136"/>
  <c r="DC57" i="136"/>
  <c r="DT64" i="136"/>
  <c r="DE54" i="136"/>
  <c r="DA61" i="136"/>
  <c r="DB218" i="136"/>
  <c r="CP218" i="136"/>
  <c r="CP217" i="136" s="1"/>
  <c r="CY41" i="136"/>
  <c r="CZ39" i="136"/>
  <c r="CY17" i="136"/>
  <c r="DI54" i="136"/>
  <c r="DM213" i="136"/>
  <c r="DM15" i="136" s="1"/>
  <c r="DR62" i="136"/>
  <c r="CZ61" i="136"/>
  <c r="CW356" i="136"/>
  <c r="DB223" i="136"/>
  <c r="CV221" i="136"/>
  <c r="DB224" i="136" s="1"/>
  <c r="CY39" i="136"/>
  <c r="CD221" i="136"/>
  <c r="DQ62" i="136"/>
  <c r="DA62" i="136"/>
  <c r="DS61" i="136"/>
  <c r="CY61" i="136"/>
  <c r="BX218" i="136"/>
  <c r="BX217" i="136" s="1"/>
  <c r="BR221" i="136"/>
  <c r="BR224" i="136" s="1"/>
  <c r="CZ40" i="136"/>
  <c r="CW355" i="136"/>
  <c r="CW155" i="136"/>
  <c r="DC161" i="136" s="1"/>
  <c r="DC160" i="136" s="1"/>
  <c r="DC157" i="136" s="1"/>
  <c r="DH221" i="136"/>
  <c r="DE15" i="136"/>
  <c r="DC14" i="136"/>
  <c r="DB61" i="136"/>
  <c r="DC30" i="136"/>
  <c r="DC221" i="136"/>
  <c r="BG225" i="136" s="1"/>
  <c r="BG226" i="136" s="1"/>
  <c r="DC356" i="136"/>
  <c r="DC62" i="136"/>
  <c r="CZ32" i="136"/>
  <c r="CZ38" i="136"/>
  <c r="CY38" i="136"/>
  <c r="CY32" i="136"/>
  <c r="CE213" i="136"/>
  <c r="CK242" i="136" s="1"/>
  <c r="CK51" i="138" s="1"/>
  <c r="CK58" i="138" s="1"/>
  <c r="CD218" i="136"/>
  <c r="CD217" i="136" s="1"/>
  <c r="DC31" i="136"/>
  <c r="DC41" i="136" s="1"/>
  <c r="DC357" i="136"/>
  <c r="CU41" i="136"/>
  <c r="CU365" i="136"/>
  <c r="CJ218" i="136"/>
  <c r="CJ217" i="136" s="1"/>
  <c r="CW30" i="136"/>
  <c r="DQ107" i="136"/>
  <c r="DO107" i="136"/>
  <c r="DE64" i="134"/>
  <c r="DA64" i="136"/>
  <c r="DT61" i="136"/>
  <c r="DC29" i="136"/>
  <c r="DC155" i="136"/>
  <c r="DC355" i="136"/>
  <c r="CK213" i="136"/>
  <c r="DF30" i="136"/>
  <c r="DF40" i="136" s="1"/>
  <c r="DC13" i="136"/>
  <c r="DC343" i="136"/>
  <c r="DB62" i="136"/>
  <c r="DQ61" i="136"/>
  <c r="DB39" i="136"/>
  <c r="CT39" i="136"/>
  <c r="CV15" i="136"/>
  <c r="CT40" i="136"/>
  <c r="DB40" i="136"/>
  <c r="CU40" i="136"/>
  <c r="CU17" i="136"/>
  <c r="DC28" i="136"/>
  <c r="DC354" i="136"/>
  <c r="DL92" i="136"/>
  <c r="DF97" i="136"/>
  <c r="CU38" i="136"/>
  <c r="CU33" i="136"/>
  <c r="DE97" i="136"/>
  <c r="DE99" i="136" s="1"/>
  <c r="DK92" i="136"/>
  <c r="CS17" i="136"/>
  <c r="CS39" i="136"/>
  <c r="CV39" i="136"/>
  <c r="CZ64" i="136"/>
  <c r="DT62" i="136"/>
  <c r="CY64" i="136"/>
  <c r="DS109" i="136"/>
  <c r="DT109" i="136"/>
  <c r="DQ109" i="136"/>
  <c r="DR109" i="136"/>
  <c r="DE109" i="136"/>
  <c r="DG109" i="136"/>
  <c r="DH109" i="136"/>
  <c r="DQ64" i="136"/>
  <c r="DQ63" i="136"/>
  <c r="DL109" i="136"/>
  <c r="DN109" i="136"/>
  <c r="DH92" i="136"/>
  <c r="DB104" i="136"/>
  <c r="CZ63" i="136"/>
  <c r="DR157" i="136"/>
  <c r="DS157" i="136" s="1"/>
  <c r="DT157" i="136" s="1"/>
  <c r="DW157" i="136" s="1"/>
  <c r="DX157" i="136" s="1"/>
  <c r="DY157" i="136" s="1"/>
  <c r="DZ157" i="136" s="1"/>
  <c r="EC157" i="136" s="1"/>
  <c r="ED157" i="136" s="1"/>
  <c r="EE157" i="136" s="1"/>
  <c r="EF157" i="136" s="1"/>
  <c r="DS63" i="136"/>
  <c r="CY63" i="136"/>
  <c r="DR63" i="136"/>
  <c r="DN311" i="136"/>
  <c r="DB32" i="136"/>
  <c r="DB38" i="136"/>
  <c r="DA41" i="136"/>
  <c r="DA33" i="136"/>
  <c r="CS41" i="136"/>
  <c r="DB17" i="136"/>
  <c r="DT107" i="136"/>
  <c r="CZ17" i="136"/>
  <c r="DM311" i="136"/>
  <c r="DL213" i="136"/>
  <c r="DA17" i="136"/>
  <c r="DL311" i="136"/>
  <c r="DE16" i="136"/>
  <c r="DI311" i="136"/>
  <c r="DO313" i="136" s="1"/>
  <c r="CV38" i="136"/>
  <c r="CV32" i="136"/>
  <c r="CT17" i="136"/>
  <c r="DN213" i="136"/>
  <c r="DN220" i="136" s="1"/>
  <c r="DI260" i="136" l="1"/>
  <c r="DI236" i="136"/>
  <c r="DI275" i="136"/>
  <c r="DI274" i="136"/>
  <c r="DI238" i="136"/>
  <c r="DH23" i="136"/>
  <c r="DH21" i="136" s="1"/>
  <c r="DH155" i="136"/>
  <c r="DH158" i="136" s="1"/>
  <c r="DH162" i="136" s="1"/>
  <c r="DH161" i="136" s="1"/>
  <c r="DH160" i="136" s="1"/>
  <c r="DH29" i="136"/>
  <c r="DH39" i="136" s="1"/>
  <c r="DI264" i="136"/>
  <c r="DI265" i="136" s="1"/>
  <c r="DO242" i="136"/>
  <c r="DO234" i="136"/>
  <c r="DO250" i="136"/>
  <c r="DO258" i="136"/>
  <c r="DO262" i="136" s="1"/>
  <c r="DH16" i="138"/>
  <c r="DK167" i="136"/>
  <c r="DK169" i="136"/>
  <c r="CQ242" i="136"/>
  <c r="CQ51" i="138" s="1"/>
  <c r="CQ58" i="138" s="1"/>
  <c r="BY243" i="136"/>
  <c r="CK261" i="136"/>
  <c r="DC258" i="136"/>
  <c r="DC53" i="138" s="1"/>
  <c r="CK245" i="136"/>
  <c r="BY253" i="136"/>
  <c r="DC250" i="136"/>
  <c r="DI254" i="136" s="1"/>
  <c r="DC50" i="138"/>
  <c r="DC242" i="136"/>
  <c r="DI246" i="136" s="1"/>
  <c r="CE253" i="136"/>
  <c r="BY242" i="136"/>
  <c r="DI53" i="138"/>
  <c r="CW258" i="136"/>
  <c r="CQ243" i="136"/>
  <c r="CQ245" i="136"/>
  <c r="DI52" i="138"/>
  <c r="CW242" i="136"/>
  <c r="CW51" i="138" s="1"/>
  <c r="CQ253" i="136"/>
  <c r="BY244" i="136"/>
  <c r="DI50" i="138"/>
  <c r="CW234" i="136"/>
  <c r="CW50" i="138" s="1"/>
  <c r="CQ251" i="136"/>
  <c r="BY234" i="136"/>
  <c r="DI51" i="138"/>
  <c r="CE261" i="136"/>
  <c r="CK252" i="136"/>
  <c r="CE244" i="136"/>
  <c r="CE245" i="136"/>
  <c r="CK250" i="136"/>
  <c r="CK52" i="138" s="1"/>
  <c r="CK59" i="138" s="1"/>
  <c r="CQ234" i="136"/>
  <c r="CQ50" i="138" s="1"/>
  <c r="BY251" i="136"/>
  <c r="CK244" i="136"/>
  <c r="BY245" i="136"/>
  <c r="CQ261" i="136"/>
  <c r="CK234" i="136"/>
  <c r="CK50" i="138" s="1"/>
  <c r="CK57" i="138" s="1"/>
  <c r="CE234" i="136"/>
  <c r="CK253" i="136"/>
  <c r="CQ244" i="136"/>
  <c r="BY252" i="136"/>
  <c r="CE258" i="136"/>
  <c r="CK243" i="136"/>
  <c r="CE250" i="136"/>
  <c r="CK258" i="136"/>
  <c r="CQ250" i="136"/>
  <c r="CQ52" i="138" s="1"/>
  <c r="CQ258" i="136"/>
  <c r="CQ53" i="138" s="1"/>
  <c r="CE242" i="136"/>
  <c r="CE251" i="136"/>
  <c r="CK251" i="136"/>
  <c r="CE252" i="136"/>
  <c r="CQ252" i="136"/>
  <c r="BY250" i="136"/>
  <c r="DG23" i="136"/>
  <c r="DG21" i="136" s="1"/>
  <c r="DE39" i="138"/>
  <c r="DC276" i="136"/>
  <c r="BR276" i="136"/>
  <c r="CD276" i="136"/>
  <c r="CP276" i="136"/>
  <c r="CV276" i="136"/>
  <c r="BX276" i="136"/>
  <c r="CJ276" i="136"/>
  <c r="CK275" i="136"/>
  <c r="CK274" i="136"/>
  <c r="CD222" i="136"/>
  <c r="CD391" i="136" s="1"/>
  <c r="CD392" i="136" s="1"/>
  <c r="CD371" i="136" s="1"/>
  <c r="CD260" i="136"/>
  <c r="CD236" i="136"/>
  <c r="CP222" i="136"/>
  <c r="CP391" i="136" s="1"/>
  <c r="CP392" i="136" s="1"/>
  <c r="CP371" i="136" s="1"/>
  <c r="CP260" i="136"/>
  <c r="CP236" i="136"/>
  <c r="BS275" i="136"/>
  <c r="BS274" i="136"/>
  <c r="BR22" i="136"/>
  <c r="BR260" i="136"/>
  <c r="BR236" i="136"/>
  <c r="DA222" i="136"/>
  <c r="DA391" i="136" s="1"/>
  <c r="DA392" i="136" s="1"/>
  <c r="DA371" i="136" s="1"/>
  <c r="DA236" i="136"/>
  <c r="DA235" i="136" s="1"/>
  <c r="DA260" i="136"/>
  <c r="DA259" i="136" s="1"/>
  <c r="CV261" i="136"/>
  <c r="DB261" i="136"/>
  <c r="CW256" i="136"/>
  <c r="BX237" i="136"/>
  <c r="BY232" i="136"/>
  <c r="CJ237" i="136"/>
  <c r="CK232" i="136"/>
  <c r="BR237" i="136"/>
  <c r="BS232" i="136"/>
  <c r="BS237" i="136" s="1"/>
  <c r="CD237" i="136"/>
  <c r="CE232" i="136"/>
  <c r="CP261" i="136"/>
  <c r="CJ222" i="136"/>
  <c r="CJ391" i="136" s="1"/>
  <c r="CJ392" i="136" s="1"/>
  <c r="CJ371" i="136" s="1"/>
  <c r="CJ236" i="136"/>
  <c r="CJ260" i="136"/>
  <c r="CE275" i="136"/>
  <c r="CE274" i="136"/>
  <c r="BX222" i="136"/>
  <c r="BX391" i="136" s="1"/>
  <c r="BX392" i="136" s="1"/>
  <c r="BX371" i="136" s="1"/>
  <c r="BX236" i="136"/>
  <c r="BX260" i="136"/>
  <c r="CW275" i="136"/>
  <c r="CW274" i="136"/>
  <c r="BY275" i="136"/>
  <c r="BY274" i="136"/>
  <c r="CQ275" i="136"/>
  <c r="CQ274" i="136"/>
  <c r="CZ222" i="136"/>
  <c r="CZ391" i="136" s="1"/>
  <c r="CZ392" i="136" s="1"/>
  <c r="CZ371" i="136" s="1"/>
  <c r="CZ260" i="136"/>
  <c r="CZ259" i="136" s="1"/>
  <c r="CZ236" i="136"/>
  <c r="CZ235" i="136" s="1"/>
  <c r="CV222" i="136"/>
  <c r="CV391" i="136" s="1"/>
  <c r="CV392" i="136" s="1"/>
  <c r="CV371" i="136" s="1"/>
  <c r="CV236" i="136"/>
  <c r="CV260" i="136"/>
  <c r="CY222" i="136"/>
  <c r="CY391" i="136" s="1"/>
  <c r="CY392" i="136" s="1"/>
  <c r="CY371" i="136" s="1"/>
  <c r="CY236" i="136"/>
  <c r="CY235" i="136" s="1"/>
  <c r="CY260" i="136"/>
  <c r="CY259" i="136" s="1"/>
  <c r="CV237" i="136"/>
  <c r="DB237" i="136"/>
  <c r="CW232" i="136"/>
  <c r="BX261" i="136"/>
  <c r="CJ261" i="136"/>
  <c r="BR261" i="136"/>
  <c r="BS256" i="136"/>
  <c r="BS261" i="136" s="1"/>
  <c r="CD261" i="136"/>
  <c r="CP237" i="136"/>
  <c r="CQ232" i="136"/>
  <c r="DG44" i="136"/>
  <c r="DI148" i="136"/>
  <c r="DI13" i="138" s="1"/>
  <c r="DI21" i="138" s="1"/>
  <c r="DH13" i="138"/>
  <c r="BW377" i="136"/>
  <c r="CB377" i="136"/>
  <c r="CB376" i="136" s="1"/>
  <c r="CC377" i="136"/>
  <c r="CI377" i="136"/>
  <c r="CI378" i="136" s="1"/>
  <c r="DF17" i="136"/>
  <c r="DF41" i="136"/>
  <c r="DG167" i="136"/>
  <c r="DG39" i="138"/>
  <c r="DF39" i="138"/>
  <c r="DH39" i="138"/>
  <c r="DF167" i="136"/>
  <c r="CA377" i="136"/>
  <c r="CW218" i="136"/>
  <c r="DB217" i="136"/>
  <c r="DI230" i="136"/>
  <c r="DI218" i="136"/>
  <c r="DC74" i="136"/>
  <c r="DC79" i="136" s="1"/>
  <c r="CW215" i="136"/>
  <c r="CW217" i="136"/>
  <c r="DI20" i="136"/>
  <c r="CQ215" i="136"/>
  <c r="BS19" i="136"/>
  <c r="CD19" i="136"/>
  <c r="CP20" i="136"/>
  <c r="DO215" i="136"/>
  <c r="BX20" i="136"/>
  <c r="CJ19" i="136"/>
  <c r="DC214" i="136"/>
  <c r="DC56" i="136" s="1"/>
  <c r="DI63" i="136" s="1"/>
  <c r="DC215" i="136"/>
  <c r="BX19" i="136"/>
  <c r="BV377" i="136"/>
  <c r="CY50" i="136"/>
  <c r="CO38" i="136"/>
  <c r="DL146" i="136"/>
  <c r="CO39" i="136"/>
  <c r="CT39" i="138"/>
  <c r="BR40" i="136"/>
  <c r="CT48" i="136"/>
  <c r="CD40" i="136"/>
  <c r="CP40" i="136"/>
  <c r="CH377" i="136"/>
  <c r="BX40" i="136"/>
  <c r="CP38" i="136"/>
  <c r="CS39" i="138"/>
  <c r="CS46" i="138" s="1"/>
  <c r="CJ40" i="136"/>
  <c r="CJ87" i="136" s="1"/>
  <c r="CK87" i="136" s="1"/>
  <c r="CK85" i="136" s="1"/>
  <c r="CK84" i="136" s="1"/>
  <c r="CK83" i="136" s="1"/>
  <c r="CK80" i="136" s="1"/>
  <c r="BU392" i="136"/>
  <c r="BU371" i="136"/>
  <c r="BX44" i="138"/>
  <c r="DO89" i="136"/>
  <c r="DA44" i="136"/>
  <c r="CG388" i="136"/>
  <c r="CG375" i="136" s="1"/>
  <c r="CJ372" i="136"/>
  <c r="CJ373" i="136"/>
  <c r="CJ386" i="136"/>
  <c r="CJ374" i="136" s="1"/>
  <c r="BX373" i="136"/>
  <c r="BX372" i="136"/>
  <c r="BX386" i="136"/>
  <c r="BX374" i="136" s="1"/>
  <c r="CD372" i="136"/>
  <c r="CD373" i="136"/>
  <c r="CD386" i="136"/>
  <c r="CD374" i="136" s="1"/>
  <c r="CP372" i="136"/>
  <c r="CP373" i="136"/>
  <c r="CP386" i="136"/>
  <c r="CP374" i="136" s="1"/>
  <c r="DC372" i="136"/>
  <c r="DC373" i="136"/>
  <c r="DC388" i="136"/>
  <c r="DC375" i="136" s="1"/>
  <c r="DC386" i="136"/>
  <c r="DC374" i="136" s="1"/>
  <c r="CV373" i="136"/>
  <c r="CV386" i="136"/>
  <c r="CV374" i="136" s="1"/>
  <c r="CV388" i="136"/>
  <c r="CV375" i="136" s="1"/>
  <c r="DN146" i="136"/>
  <c r="DN169" i="136" s="1"/>
  <c r="DE14" i="136"/>
  <c r="DM146" i="136"/>
  <c r="DM169" i="136" s="1"/>
  <c r="DI146" i="136"/>
  <c r="DI152" i="136" s="1"/>
  <c r="DF29" i="136"/>
  <c r="DF39" i="136" s="1"/>
  <c r="DG58" i="136"/>
  <c r="DG65" i="136" s="1"/>
  <c r="CS48" i="136"/>
  <c r="DF58" i="136"/>
  <c r="DF65" i="136" s="1"/>
  <c r="DF64" i="134"/>
  <c r="DH58" i="136"/>
  <c r="DG103" i="136"/>
  <c r="DG111" i="136" s="1"/>
  <c r="DG99" i="136"/>
  <c r="DM103" i="136"/>
  <c r="DM111" i="136" s="1"/>
  <c r="DM99" i="136"/>
  <c r="DF103" i="136"/>
  <c r="DF111" i="136" s="1"/>
  <c r="DF99" i="136"/>
  <c r="DY92" i="136"/>
  <c r="DS97" i="136"/>
  <c r="DS99" i="136" s="1"/>
  <c r="DA381" i="136"/>
  <c r="DR89" i="136"/>
  <c r="DX107" i="136"/>
  <c r="ED107" i="136" s="1"/>
  <c r="ED89" i="136" s="1"/>
  <c r="DT89" i="136"/>
  <c r="DZ107" i="136"/>
  <c r="EF107" i="136" s="1"/>
  <c r="EF89" i="136" s="1"/>
  <c r="DS89" i="136"/>
  <c r="DY107" i="136"/>
  <c r="EE107" i="136" s="1"/>
  <c r="EE89" i="136" s="1"/>
  <c r="DQ89" i="136"/>
  <c r="DW107" i="136"/>
  <c r="EC107" i="136" s="1"/>
  <c r="BW382" i="136"/>
  <c r="BU382" i="136"/>
  <c r="BV382" i="136"/>
  <c r="DF90" i="136"/>
  <c r="DF385" i="136"/>
  <c r="DF387" i="136"/>
  <c r="DG90" i="136"/>
  <c r="DG385" i="136"/>
  <c r="DG387" i="136"/>
  <c r="DH90" i="136"/>
  <c r="DH387" i="136"/>
  <c r="DH385" i="136"/>
  <c r="DE90" i="136"/>
  <c r="CV365" i="136"/>
  <c r="CV372" i="136"/>
  <c r="DI327" i="136"/>
  <c r="DG343" i="136"/>
  <c r="DM70" i="136"/>
  <c r="BQ346" i="136"/>
  <c r="BQ347" i="136"/>
  <c r="BP346" i="136"/>
  <c r="BP347" i="136"/>
  <c r="BU346" i="136"/>
  <c r="BU347" i="136"/>
  <c r="DF343" i="136"/>
  <c r="BW346" i="136"/>
  <c r="BW347" i="136"/>
  <c r="BO346" i="136"/>
  <c r="BO347" i="136"/>
  <c r="DA42" i="136"/>
  <c r="DL70" i="136"/>
  <c r="CU42" i="136"/>
  <c r="BV346" i="136"/>
  <c r="BV347" i="136"/>
  <c r="DI70" i="136"/>
  <c r="DI75" i="136" s="1"/>
  <c r="DE343" i="136"/>
  <c r="DE13" i="136"/>
  <c r="DQ73" i="136"/>
  <c r="DQ75" i="136" s="1"/>
  <c r="DN70" i="136"/>
  <c r="DH343" i="136"/>
  <c r="CA346" i="136"/>
  <c r="CA347" i="136"/>
  <c r="CG347" i="136"/>
  <c r="CC346" i="136"/>
  <c r="CC347" i="136"/>
  <c r="CI347" i="136"/>
  <c r="CB346" i="136"/>
  <c r="CB347" i="136"/>
  <c r="CH347" i="136"/>
  <c r="DI328" i="136"/>
  <c r="CY160" i="136"/>
  <c r="CW39" i="136"/>
  <c r="DC40" i="136"/>
  <c r="DE29" i="136"/>
  <c r="BR63" i="134"/>
  <c r="BS11" i="134"/>
  <c r="CY33" i="136"/>
  <c r="CY34" i="136"/>
  <c r="CJ224" i="136"/>
  <c r="CJ230" i="136" s="1"/>
  <c r="DB33" i="136"/>
  <c r="DB34" i="136"/>
  <c r="CU50" i="136"/>
  <c r="CU34" i="136"/>
  <c r="CZ33" i="136"/>
  <c r="CZ34" i="136"/>
  <c r="BX224" i="136"/>
  <c r="BX230" i="136" s="1"/>
  <c r="BX387" i="136" s="1"/>
  <c r="BY387" i="136" s="1"/>
  <c r="CD227" i="136"/>
  <c r="CD226" i="136" s="1"/>
  <c r="CD223" i="136" s="1"/>
  <c r="CW322" i="136"/>
  <c r="CW326" i="136" s="1"/>
  <c r="DC325" i="136"/>
  <c r="DC324" i="136" s="1"/>
  <c r="DC321" i="136" s="1"/>
  <c r="DC322" i="136"/>
  <c r="DC326" i="136" s="1"/>
  <c r="DQ213" i="136"/>
  <c r="CD224" i="136"/>
  <c r="CD230" i="136" s="1"/>
  <c r="CD387" i="136" s="1"/>
  <c r="CE387" i="136" s="1"/>
  <c r="CJ227" i="136"/>
  <c r="CJ226" i="136" s="1"/>
  <c r="CJ223" i="136" s="1"/>
  <c r="DI229" i="136"/>
  <c r="DA50" i="136"/>
  <c r="DA34" i="136"/>
  <c r="DB83" i="136"/>
  <c r="DB80" i="136" s="1"/>
  <c r="CT47" i="136"/>
  <c r="BX227" i="136"/>
  <c r="BX226" i="136" s="1"/>
  <c r="BX223" i="136" s="1"/>
  <c r="CS49" i="136"/>
  <c r="BS227" i="136"/>
  <c r="BS226" i="136" s="1"/>
  <c r="CP227" i="136"/>
  <c r="CP226" i="136" s="1"/>
  <c r="CP223" i="136" s="1"/>
  <c r="CJ44" i="138"/>
  <c r="CD11" i="134"/>
  <c r="CD17" i="136"/>
  <c r="CU47" i="136"/>
  <c r="CS23" i="136"/>
  <c r="BY15" i="136"/>
  <c r="CE37" i="138"/>
  <c r="BY343" i="136"/>
  <c r="CE20" i="136" s="1"/>
  <c r="CT49" i="136"/>
  <c r="CJ11" i="134"/>
  <c r="CT50" i="136"/>
  <c r="CS47" i="136"/>
  <c r="CP44" i="138"/>
  <c r="CK15" i="136"/>
  <c r="CK343" i="136"/>
  <c r="DB227" i="136"/>
  <c r="DB226" i="136" s="1"/>
  <c r="BY37" i="138"/>
  <c r="BS343" i="136"/>
  <c r="BY20" i="136" s="1"/>
  <c r="CQ15" i="136"/>
  <c r="CQ343" i="136"/>
  <c r="CU49" i="136"/>
  <c r="BX11" i="134"/>
  <c r="CJ17" i="136"/>
  <c r="CE15" i="136"/>
  <c r="CK37" i="138"/>
  <c r="CE343" i="136"/>
  <c r="CK20" i="136" s="1"/>
  <c r="DH224" i="136"/>
  <c r="DH228" i="136" s="1"/>
  <c r="DH227" i="136" s="1"/>
  <c r="DH226" i="136" s="1"/>
  <c r="CU48" i="136"/>
  <c r="CP230" i="136"/>
  <c r="CP387" i="136" s="1"/>
  <c r="CQ387" i="136" s="1"/>
  <c r="BM49" i="136"/>
  <c r="BM25" i="136"/>
  <c r="CS50" i="136"/>
  <c r="CD44" i="138"/>
  <c r="CP11" i="134"/>
  <c r="CV40" i="136"/>
  <c r="BR17" i="136"/>
  <c r="DC64" i="136"/>
  <c r="DI64" i="136"/>
  <c r="BX17" i="136"/>
  <c r="CV44" i="138"/>
  <c r="DK61" i="136"/>
  <c r="DE61" i="136"/>
  <c r="DG61" i="136"/>
  <c r="DM61" i="136"/>
  <c r="DE58" i="136"/>
  <c r="DI61" i="136"/>
  <c r="DF61" i="136"/>
  <c r="DL61" i="136"/>
  <c r="DH61" i="136"/>
  <c r="DN61" i="136"/>
  <c r="CM23" i="136"/>
  <c r="CM49" i="136"/>
  <c r="CM50" i="136"/>
  <c r="CM47" i="136"/>
  <c r="CM25" i="136"/>
  <c r="CN49" i="136"/>
  <c r="CN23" i="136"/>
  <c r="CN50" i="136"/>
  <c r="CN47" i="136"/>
  <c r="CN25" i="136"/>
  <c r="CN48" i="136"/>
  <c r="CM48" i="136"/>
  <c r="BM48" i="136"/>
  <c r="BM23" i="136"/>
  <c r="BM50" i="136"/>
  <c r="BM47" i="136"/>
  <c r="AF9" i="136"/>
  <c r="AG9" i="136" s="1"/>
  <c r="AH9" i="136" s="1"/>
  <c r="BS15" i="136"/>
  <c r="Z9" i="136"/>
  <c r="AA9" i="136" s="1"/>
  <c r="AB9" i="136" s="1"/>
  <c r="CQ221" i="136"/>
  <c r="BY221" i="136"/>
  <c r="CO17" i="136"/>
  <c r="CW216" i="136"/>
  <c r="CW214" i="136"/>
  <c r="DC17" i="136"/>
  <c r="DE41" i="136"/>
  <c r="BS221" i="136"/>
  <c r="BY227" i="136" s="1"/>
  <c r="BY226" i="136" s="1"/>
  <c r="BY223" i="136" s="1"/>
  <c r="BY218" i="136"/>
  <c r="BY217" i="136" s="1"/>
  <c r="BY260" i="136" s="1"/>
  <c r="BS218" i="136"/>
  <c r="BS217" i="136" s="1"/>
  <c r="DC39" i="136"/>
  <c r="DC223" i="136"/>
  <c r="CQ217" i="136"/>
  <c r="CQ260" i="136" s="1"/>
  <c r="DS213" i="136"/>
  <c r="CW221" i="136"/>
  <c r="DC227" i="136" s="1"/>
  <c r="DC226" i="136" s="1"/>
  <c r="CW15" i="136"/>
  <c r="CW343" i="136"/>
  <c r="DC218" i="136"/>
  <c r="DC216" i="136"/>
  <c r="CQ216" i="136"/>
  <c r="CE218" i="136"/>
  <c r="CE217" i="136" s="1"/>
  <c r="CE260" i="136" s="1"/>
  <c r="CE221" i="136"/>
  <c r="CY49" i="136"/>
  <c r="CY25" i="136"/>
  <c r="CY47" i="136"/>
  <c r="CY48" i="136"/>
  <c r="CK221" i="136"/>
  <c r="CQ227" i="136" s="1"/>
  <c r="CQ226" i="136" s="1"/>
  <c r="DE30" i="136"/>
  <c r="DE40" i="136" s="1"/>
  <c r="CV17" i="136"/>
  <c r="CK218" i="136"/>
  <c r="CK217" i="136" s="1"/>
  <c r="CK260" i="136" s="1"/>
  <c r="CQ214" i="136"/>
  <c r="CQ218" i="136"/>
  <c r="CY23" i="136"/>
  <c r="CS25" i="136"/>
  <c r="CU25" i="136"/>
  <c r="AQ9" i="136"/>
  <c r="AL9" i="136"/>
  <c r="AM9" i="136" s="1"/>
  <c r="AN9" i="136" s="1"/>
  <c r="DO311" i="136"/>
  <c r="DU315" i="136" s="1"/>
  <c r="DQ311" i="136"/>
  <c r="DB25" i="136"/>
  <c r="DB48" i="136"/>
  <c r="DB49" i="136"/>
  <c r="DB50" i="136"/>
  <c r="DB47" i="136"/>
  <c r="DQ92" i="136"/>
  <c r="DK97" i="136"/>
  <c r="DK99" i="136" s="1"/>
  <c r="DT213" i="136"/>
  <c r="DN15" i="136"/>
  <c r="CT25" i="136"/>
  <c r="DI15" i="136"/>
  <c r="DO214" i="136"/>
  <c r="DO56" i="136" s="1"/>
  <c r="DO63" i="136" s="1"/>
  <c r="DO216" i="136"/>
  <c r="DO217" i="136"/>
  <c r="CZ23" i="136"/>
  <c r="CZ25" i="136"/>
  <c r="CZ50" i="136"/>
  <c r="CZ49" i="136"/>
  <c r="CZ47" i="136"/>
  <c r="CZ48" i="136"/>
  <c r="DA345" i="136"/>
  <c r="DE103" i="136"/>
  <c r="DE111" i="136" s="1"/>
  <c r="DC38" i="136"/>
  <c r="DN16" i="136"/>
  <c r="DT311" i="136"/>
  <c r="DQ146" i="136"/>
  <c r="DR213" i="136"/>
  <c r="DL15" i="136"/>
  <c r="DL220" i="136"/>
  <c r="DO213" i="136"/>
  <c r="CU345" i="136"/>
  <c r="DM318" i="136"/>
  <c r="DM319" i="136" s="1"/>
  <c r="DM16" i="136"/>
  <c r="DS311" i="136"/>
  <c r="DU107" i="136"/>
  <c r="DN92" i="136"/>
  <c r="DH97" i="136"/>
  <c r="CV33" i="136"/>
  <c r="DI92" i="136"/>
  <c r="DI93" i="136" s="1"/>
  <c r="DI16" i="136"/>
  <c r="DO315" i="136"/>
  <c r="DI316" i="136"/>
  <c r="DO312" i="136"/>
  <c r="DO57" i="136" s="1"/>
  <c r="DO64" i="136" s="1"/>
  <c r="DO314" i="136"/>
  <c r="DR92" i="136"/>
  <c r="DL97" i="136"/>
  <c r="DR311" i="136"/>
  <c r="DL318" i="136"/>
  <c r="DL319" i="136" s="1"/>
  <c r="DL16" i="136"/>
  <c r="DA25" i="136"/>
  <c r="DA23" i="136"/>
  <c r="DA49" i="136"/>
  <c r="DA48" i="136"/>
  <c r="DA47" i="136"/>
  <c r="DC32" i="136"/>
  <c r="DK148" i="136" l="1"/>
  <c r="DK13" i="138" s="1"/>
  <c r="DR73" i="136"/>
  <c r="DR75" i="136" s="1"/>
  <c r="DR70" i="136" s="1"/>
  <c r="DH21" i="138"/>
  <c r="EW13" i="138"/>
  <c r="DI276" i="136"/>
  <c r="DI262" i="136"/>
  <c r="EG107" i="136"/>
  <c r="EC89" i="136"/>
  <c r="EG89" i="136" s="1"/>
  <c r="DO51" i="138"/>
  <c r="DO246" i="136"/>
  <c r="DU216" i="136"/>
  <c r="DU250" i="136"/>
  <c r="DU242" i="136"/>
  <c r="DU234" i="136"/>
  <c r="DU258" i="136"/>
  <c r="DO52" i="138"/>
  <c r="DO59" i="138" s="1"/>
  <c r="DO254" i="136"/>
  <c r="DO50" i="138"/>
  <c r="DO238" i="136"/>
  <c r="DY97" i="136"/>
  <c r="DY103" i="136" s="1"/>
  <c r="DY111" i="136" s="1"/>
  <c r="EE92" i="136"/>
  <c r="EE97" i="136" s="1"/>
  <c r="CQ246" i="136"/>
  <c r="CW58" i="138"/>
  <c r="DG365" i="136"/>
  <c r="DM365" i="136" s="1"/>
  <c r="DG363" i="136"/>
  <c r="DM363" i="136" s="1"/>
  <c r="DG360" i="136"/>
  <c r="DG369" i="136" s="1"/>
  <c r="DN20" i="136"/>
  <c r="DH363" i="136"/>
  <c r="DN363" i="136" s="1"/>
  <c r="DH365" i="136"/>
  <c r="DN365" i="136" s="1"/>
  <c r="DH360" i="136"/>
  <c r="DH78" i="136"/>
  <c r="DH81" i="136" s="1"/>
  <c r="DH85" i="136" s="1"/>
  <c r="DH84" i="136" s="1"/>
  <c r="DH83" i="136" s="1"/>
  <c r="DH80" i="136" s="1"/>
  <c r="DH28" i="136"/>
  <c r="DO264" i="136"/>
  <c r="DO265" i="136" s="1"/>
  <c r="DO53" i="138"/>
  <c r="DC52" i="138"/>
  <c r="DC59" i="138" s="1"/>
  <c r="DW36" i="138"/>
  <c r="DQ169" i="136"/>
  <c r="DQ148" i="136" s="1"/>
  <c r="DQ13" i="138" s="1"/>
  <c r="DL167" i="136"/>
  <c r="DL169" i="136"/>
  <c r="DL148" i="136" s="1"/>
  <c r="DL13" i="138" s="1"/>
  <c r="DC264" i="136"/>
  <c r="DC265" i="136" s="1"/>
  <c r="DC254" i="136"/>
  <c r="DC262" i="136"/>
  <c r="DC57" i="138"/>
  <c r="CD259" i="136"/>
  <c r="CE259" i="136" s="1"/>
  <c r="BR259" i="136"/>
  <c r="BS259" i="136" s="1"/>
  <c r="CW246" i="136"/>
  <c r="CQ237" i="136"/>
  <c r="DI57" i="138"/>
  <c r="DC51" i="138"/>
  <c r="DC58" i="138" s="1"/>
  <c r="DC246" i="136"/>
  <c r="DI60" i="138"/>
  <c r="DC238" i="136"/>
  <c r="CW264" i="136"/>
  <c r="CW265" i="136" s="1"/>
  <c r="CW53" i="138"/>
  <c r="DC60" i="138" s="1"/>
  <c r="CW59" i="138"/>
  <c r="CQ59" i="138"/>
  <c r="CK53" i="138"/>
  <c r="CK60" i="138" s="1"/>
  <c r="CK264" i="136"/>
  <c r="CK61" i="138" s="1"/>
  <c r="CW57" i="138"/>
  <c r="CQ57" i="138"/>
  <c r="CW254" i="136"/>
  <c r="CQ254" i="136"/>
  <c r="CW262" i="136"/>
  <c r="CQ262" i="136"/>
  <c r="CQ264" i="136"/>
  <c r="CQ238" i="136"/>
  <c r="CW238" i="136"/>
  <c r="BY261" i="136"/>
  <c r="CP235" i="136"/>
  <c r="CQ235" i="136" s="1"/>
  <c r="CC376" i="136"/>
  <c r="BW378" i="136"/>
  <c r="CJ259" i="136"/>
  <c r="CK259" i="136" s="1"/>
  <c r="CQ276" i="136"/>
  <c r="BY276" i="136"/>
  <c r="CW276" i="136"/>
  <c r="CY21" i="136"/>
  <c r="CS21" i="136"/>
  <c r="BS16" i="138"/>
  <c r="BS24" i="138" s="1"/>
  <c r="DF23" i="136"/>
  <c r="DF21" i="136" s="1"/>
  <c r="CZ21" i="136"/>
  <c r="BX259" i="136"/>
  <c r="BY259" i="136" s="1"/>
  <c r="CP259" i="136"/>
  <c r="CQ259" i="136" s="1"/>
  <c r="CD235" i="136"/>
  <c r="CE235" i="136" s="1"/>
  <c r="BR235" i="136"/>
  <c r="BS235" i="136" s="1"/>
  <c r="CE276" i="136"/>
  <c r="BS276" i="136"/>
  <c r="CK276" i="136"/>
  <c r="CK237" i="136"/>
  <c r="BY237" i="136"/>
  <c r="CV259" i="136"/>
  <c r="CW259" i="136" s="1"/>
  <c r="CW222" i="136"/>
  <c r="CW391" i="136" s="1"/>
  <c r="CW392" i="136" s="1"/>
  <c r="CW371" i="136" s="1"/>
  <c r="CW260" i="136"/>
  <c r="CW236" i="136"/>
  <c r="CW237" i="136"/>
  <c r="DC237" i="136"/>
  <c r="CV235" i="136"/>
  <c r="CW235" i="136" s="1"/>
  <c r="CE237" i="136"/>
  <c r="CJ235" i="136"/>
  <c r="CK235" i="136" s="1"/>
  <c r="BX235" i="136"/>
  <c r="BY235" i="136" s="1"/>
  <c r="CE222" i="136"/>
  <c r="CE391" i="136" s="1"/>
  <c r="CE392" i="136" s="1"/>
  <c r="CE371" i="136" s="1"/>
  <c r="CE236" i="136"/>
  <c r="CQ222" i="136"/>
  <c r="CQ391" i="136" s="1"/>
  <c r="CQ392" i="136" s="1"/>
  <c r="CQ371" i="136" s="1"/>
  <c r="CQ236" i="136"/>
  <c r="BY222" i="136"/>
  <c r="BY391" i="136" s="1"/>
  <c r="BY392" i="136" s="1"/>
  <c r="BY371" i="136" s="1"/>
  <c r="BY236" i="136"/>
  <c r="CK222" i="136"/>
  <c r="CK391" i="136" s="1"/>
  <c r="CK392" i="136" s="1"/>
  <c r="CK371" i="136" s="1"/>
  <c r="CK236" i="136"/>
  <c r="BS22" i="136"/>
  <c r="BS236" i="136"/>
  <c r="BS260" i="136"/>
  <c r="DB222" i="136"/>
  <c r="DB391" i="136" s="1"/>
  <c r="DB392" i="136" s="1"/>
  <c r="DB371" i="136" s="1"/>
  <c r="DB260" i="136"/>
  <c r="DB259" i="136" s="1"/>
  <c r="DC259" i="136" s="1"/>
  <c r="DB236" i="136"/>
  <c r="DB235" i="136" s="1"/>
  <c r="DC235" i="136" s="1"/>
  <c r="CW261" i="136"/>
  <c r="DC261" i="136"/>
  <c r="CC378" i="136"/>
  <c r="BW376" i="136"/>
  <c r="CC379" i="136"/>
  <c r="DM20" i="136"/>
  <c r="DG372" i="136"/>
  <c r="DG373" i="136"/>
  <c r="DG382" i="136"/>
  <c r="DW37" i="138"/>
  <c r="DW213" i="136"/>
  <c r="EC37" i="138" s="1"/>
  <c r="CI376" i="136"/>
  <c r="DX38" i="138"/>
  <c r="DX311" i="136"/>
  <c r="DX37" i="138"/>
  <c r="DX213" i="136"/>
  <c r="CB378" i="136"/>
  <c r="DW38" i="138"/>
  <c r="DW311" i="136"/>
  <c r="EC38" i="138" s="1"/>
  <c r="DY38" i="138"/>
  <c r="DY311" i="136"/>
  <c r="DZ38" i="138"/>
  <c r="DZ311" i="136"/>
  <c r="DZ37" i="138"/>
  <c r="DZ213" i="136"/>
  <c r="DY37" i="138"/>
  <c r="DY213" i="136"/>
  <c r="CG377" i="136"/>
  <c r="BU377" i="136"/>
  <c r="BU376" i="136" s="1"/>
  <c r="BV379" i="136"/>
  <c r="CA379" i="136"/>
  <c r="CI379" i="136"/>
  <c r="CB379" i="136"/>
  <c r="BW379" i="136"/>
  <c r="DF25" i="136"/>
  <c r="DL20" i="136"/>
  <c r="DF365" i="136"/>
  <c r="DL365" i="136" s="1"/>
  <c r="DF363" i="136"/>
  <c r="DL363" i="136" s="1"/>
  <c r="DF28" i="136"/>
  <c r="CA376" i="136"/>
  <c r="DI169" i="136"/>
  <c r="DM148" i="136"/>
  <c r="DM13" i="138" s="1"/>
  <c r="DM167" i="136"/>
  <c r="CA378" i="136"/>
  <c r="DN148" i="136"/>
  <c r="DN13" i="138" s="1"/>
  <c r="DN167" i="136"/>
  <c r="DI24" i="136"/>
  <c r="CY157" i="136"/>
  <c r="DE372" i="136"/>
  <c r="DE360" i="136"/>
  <c r="DE369" i="136" s="1"/>
  <c r="DE365" i="136"/>
  <c r="DE363" i="136"/>
  <c r="DE388" i="136"/>
  <c r="DE375" i="136" s="1"/>
  <c r="DE386" i="136"/>
  <c r="DE374" i="136" s="1"/>
  <c r="DE392" i="136"/>
  <c r="DE373" i="136"/>
  <c r="DE382" i="136"/>
  <c r="DC217" i="136"/>
  <c r="BS64" i="134"/>
  <c r="BV378" i="136"/>
  <c r="CQ20" i="136"/>
  <c r="BV376" i="136"/>
  <c r="DO149" i="136"/>
  <c r="DU313" i="136"/>
  <c r="DO73" i="136"/>
  <c r="DU215" i="136"/>
  <c r="DO72" i="136"/>
  <c r="CH376" i="136"/>
  <c r="CH379" i="136"/>
  <c r="CT46" i="138"/>
  <c r="CH378" i="136"/>
  <c r="BX32" i="136"/>
  <c r="BX33" i="136" s="1"/>
  <c r="CE40" i="136"/>
  <c r="BS40" i="136"/>
  <c r="BR32" i="136"/>
  <c r="BR358" i="136" s="1"/>
  <c r="DL14" i="136"/>
  <c r="CK40" i="136"/>
  <c r="CQ40" i="136"/>
  <c r="CJ387" i="136"/>
  <c r="CJ388" i="136" s="1"/>
  <c r="CJ375" i="136" s="1"/>
  <c r="DR146" i="136"/>
  <c r="DR169" i="136" s="1"/>
  <c r="DC50" i="136"/>
  <c r="CJ85" i="136"/>
  <c r="CJ84" i="136" s="1"/>
  <c r="CJ83" i="136" s="1"/>
  <c r="CJ80" i="136" s="1"/>
  <c r="CJ22" i="136"/>
  <c r="CP21" i="136"/>
  <c r="CV49" i="136"/>
  <c r="BY40" i="136"/>
  <c r="DI164" i="136"/>
  <c r="BY44" i="138"/>
  <c r="CE105" i="138" s="1"/>
  <c r="BS63" i="134"/>
  <c r="BX63" i="134"/>
  <c r="DF47" i="136"/>
  <c r="DN14" i="136"/>
  <c r="CQ381" i="136"/>
  <c r="CQ382" i="136" s="1"/>
  <c r="CQ223" i="136"/>
  <c r="BS39" i="138"/>
  <c r="BS58" i="136"/>
  <c r="BS65" i="136" s="1"/>
  <c r="CW56" i="136"/>
  <c r="DC63" i="136" s="1"/>
  <c r="CD388" i="136"/>
  <c r="CD375" i="136" s="1"/>
  <c r="CP388" i="136"/>
  <c r="CP375" i="136" s="1"/>
  <c r="BX388" i="136"/>
  <c r="BX375" i="136" s="1"/>
  <c r="CE373" i="136"/>
  <c r="CE372" i="136"/>
  <c r="CE388" i="136"/>
  <c r="CE375" i="136" s="1"/>
  <c r="CE386" i="136"/>
  <c r="CE374" i="136" s="1"/>
  <c r="BY373" i="136"/>
  <c r="BY372" i="136"/>
  <c r="BY388" i="136"/>
  <c r="BY375" i="136" s="1"/>
  <c r="BY386" i="136"/>
  <c r="BY374" i="136" s="1"/>
  <c r="CK373" i="136"/>
  <c r="CK372" i="136"/>
  <c r="CK386" i="136"/>
  <c r="CK374" i="136" s="1"/>
  <c r="CW372" i="136"/>
  <c r="CW373" i="136"/>
  <c r="CW386" i="136"/>
  <c r="CW374" i="136" s="1"/>
  <c r="CW388" i="136"/>
  <c r="CW375" i="136" s="1"/>
  <c r="CQ372" i="136"/>
  <c r="CQ373" i="136"/>
  <c r="CQ388" i="136"/>
  <c r="CQ375" i="136" s="1"/>
  <c r="CQ386" i="136"/>
  <c r="CQ374" i="136" s="1"/>
  <c r="DQ154" i="136"/>
  <c r="DL154" i="136"/>
  <c r="DL155" i="136" s="1"/>
  <c r="DM154" i="136"/>
  <c r="DM155" i="136" s="1"/>
  <c r="DI167" i="136"/>
  <c r="DT146" i="136"/>
  <c r="DT169" i="136" s="1"/>
  <c r="DN154" i="136"/>
  <c r="DO147" i="136"/>
  <c r="DO55" i="136" s="1"/>
  <c r="DO62" i="136" s="1"/>
  <c r="DS146" i="136"/>
  <c r="DI163" i="136"/>
  <c r="DI86" i="136"/>
  <c r="DO151" i="136"/>
  <c r="DO146" i="136"/>
  <c r="DM14" i="136"/>
  <c r="DI154" i="136"/>
  <c r="DI355" i="136" s="1"/>
  <c r="DI87" i="136"/>
  <c r="DO150" i="136"/>
  <c r="DE17" i="136"/>
  <c r="DE39" i="136"/>
  <c r="DI14" i="136"/>
  <c r="DA382" i="136"/>
  <c r="DB44" i="136"/>
  <c r="DH103" i="136"/>
  <c r="DH99" i="136"/>
  <c r="DF104" i="136"/>
  <c r="DF105" i="136"/>
  <c r="DM104" i="136"/>
  <c r="DM105" i="136"/>
  <c r="DS103" i="136"/>
  <c r="DS111" i="136" s="1"/>
  <c r="DE104" i="136"/>
  <c r="DE105" i="136"/>
  <c r="DX92" i="136"/>
  <c r="DR97" i="136"/>
  <c r="DR99" i="136" s="1"/>
  <c r="DL103" i="136"/>
  <c r="DL99" i="136"/>
  <c r="DW92" i="136"/>
  <c r="DQ97" i="136"/>
  <c r="DG104" i="136"/>
  <c r="DG105" i="136"/>
  <c r="DU89" i="136"/>
  <c r="DY89" i="136"/>
  <c r="DW89" i="136"/>
  <c r="EA107" i="136"/>
  <c r="DX89" i="136"/>
  <c r="DZ89" i="136"/>
  <c r="DB381" i="136"/>
  <c r="DH388" i="136"/>
  <c r="DH375" i="136" s="1"/>
  <c r="DK90" i="136"/>
  <c r="DK385" i="136"/>
  <c r="DK387" i="136"/>
  <c r="DM90" i="136"/>
  <c r="DM387" i="136"/>
  <c r="DM385" i="136"/>
  <c r="DL90" i="136"/>
  <c r="DL387" i="136"/>
  <c r="DL385" i="136"/>
  <c r="DN90" i="136"/>
  <c r="DN387" i="136"/>
  <c r="DN385" i="136"/>
  <c r="DI90" i="136"/>
  <c r="DG388" i="136"/>
  <c r="DG375" i="136" s="1"/>
  <c r="DG386" i="136"/>
  <c r="DG374" i="136" s="1"/>
  <c r="DI385" i="136"/>
  <c r="DI387" i="136"/>
  <c r="DF388" i="136"/>
  <c r="DF375" i="136" s="1"/>
  <c r="DF386" i="136"/>
  <c r="DF374" i="136" s="1"/>
  <c r="DH386" i="136"/>
  <c r="DH374" i="136" s="1"/>
  <c r="DH372" i="136"/>
  <c r="DH373" i="136"/>
  <c r="DF372" i="136"/>
  <c r="DF373" i="136"/>
  <c r="DI77" i="136"/>
  <c r="DW146" i="136"/>
  <c r="DQ167" i="136"/>
  <c r="DI343" i="136"/>
  <c r="DS15" i="136"/>
  <c r="DL22" i="136"/>
  <c r="DM19" i="136"/>
  <c r="DN19" i="136"/>
  <c r="DM343" i="136"/>
  <c r="DS20" i="136" s="1"/>
  <c r="DO71" i="136"/>
  <c r="DO54" i="136" s="1"/>
  <c r="DO61" i="136" s="1"/>
  <c r="DS70" i="136"/>
  <c r="DN13" i="136"/>
  <c r="DM77" i="136"/>
  <c r="DM78" i="136" s="1"/>
  <c r="DM13" i="136"/>
  <c r="DM22" i="136"/>
  <c r="DL19" i="136"/>
  <c r="DT70" i="136"/>
  <c r="DN343" i="136"/>
  <c r="DT20" i="136" s="1"/>
  <c r="CZ42" i="136"/>
  <c r="DE28" i="136"/>
  <c r="DE38" i="136" s="1"/>
  <c r="DL343" i="136"/>
  <c r="DR20" i="136" s="1"/>
  <c r="CU346" i="136"/>
  <c r="CY42" i="136"/>
  <c r="CV42" i="136"/>
  <c r="DL77" i="136"/>
  <c r="DL78" i="136" s="1"/>
  <c r="DL13" i="136"/>
  <c r="DB42" i="136"/>
  <c r="DK343" i="136"/>
  <c r="DO74" i="136"/>
  <c r="DQ70" i="136"/>
  <c r="DW35" i="138" s="1"/>
  <c r="DI13" i="136"/>
  <c r="DN22" i="136"/>
  <c r="DN77" i="136"/>
  <c r="DN78" i="136" s="1"/>
  <c r="DO70" i="136"/>
  <c r="DU72" i="136" s="1"/>
  <c r="DO327" i="136"/>
  <c r="DO229" i="136"/>
  <c r="DO230" i="136"/>
  <c r="DO328" i="136"/>
  <c r="CY345" i="136"/>
  <c r="CY346" i="136" s="1"/>
  <c r="DB345" i="136"/>
  <c r="DB346" i="136" s="1"/>
  <c r="CZ345" i="136"/>
  <c r="CZ346" i="136" s="1"/>
  <c r="DC34" i="136"/>
  <c r="DQ220" i="136"/>
  <c r="DQ30" i="136" s="1"/>
  <c r="CD49" i="136"/>
  <c r="CV34" i="136"/>
  <c r="CK363" i="136"/>
  <c r="CG363" i="136" s="1"/>
  <c r="CK365" i="136"/>
  <c r="CG365" i="136" s="1"/>
  <c r="CE11" i="134"/>
  <c r="CD63" i="134"/>
  <c r="CJ63" i="134"/>
  <c r="CK11" i="134"/>
  <c r="DQ15" i="136"/>
  <c r="CW227" i="136"/>
  <c r="CW226" i="136" s="1"/>
  <c r="CW223" i="136" s="1"/>
  <c r="CV63" i="134"/>
  <c r="CP63" i="134"/>
  <c r="CQ11" i="134"/>
  <c r="CP22" i="136"/>
  <c r="CJ32" i="136"/>
  <c r="BX21" i="136"/>
  <c r="CK227" i="136"/>
  <c r="CK226" i="136" s="1"/>
  <c r="CK223" i="136" s="1"/>
  <c r="CE227" i="136"/>
  <c r="CE226" i="136" s="1"/>
  <c r="CE223" i="136" s="1"/>
  <c r="CJ21" i="136"/>
  <c r="CD32" i="136"/>
  <c r="CU51" i="136"/>
  <c r="CW37" i="138"/>
  <c r="CT51" i="136"/>
  <c r="CE44" i="138"/>
  <c r="CK105" i="138" s="1"/>
  <c r="BR48" i="136"/>
  <c r="BR49" i="136"/>
  <c r="BR50" i="136"/>
  <c r="BR47" i="136"/>
  <c r="BR23" i="136"/>
  <c r="CJ48" i="136"/>
  <c r="CJ47" i="136"/>
  <c r="CJ49" i="136"/>
  <c r="CJ23" i="136"/>
  <c r="CJ50" i="136"/>
  <c r="CV47" i="136"/>
  <c r="CV50" i="136"/>
  <c r="CV48" i="136"/>
  <c r="CQ230" i="136"/>
  <c r="CD25" i="136"/>
  <c r="CQ14" i="138"/>
  <c r="CQ56" i="136"/>
  <c r="CO48" i="136"/>
  <c r="CU39" i="138"/>
  <c r="CK17" i="136"/>
  <c r="BX23" i="136"/>
  <c r="BX48" i="136"/>
  <c r="BX50" i="136"/>
  <c r="BX47" i="136"/>
  <c r="BX49" i="136"/>
  <c r="CD23" i="136"/>
  <c r="CD50" i="136"/>
  <c r="CD47" i="136"/>
  <c r="CD48" i="136"/>
  <c r="CD21" i="136"/>
  <c r="BX22" i="136"/>
  <c r="CK44" i="138"/>
  <c r="BY17" i="136"/>
  <c r="BR25" i="136"/>
  <c r="BS17" i="136"/>
  <c r="CQ37" i="138"/>
  <c r="DI19" i="136"/>
  <c r="DI22" i="136"/>
  <c r="BY11" i="134"/>
  <c r="BX25" i="136"/>
  <c r="CS51" i="136"/>
  <c r="DC224" i="136"/>
  <c r="CW17" i="136"/>
  <c r="CD22" i="136"/>
  <c r="BX64" i="134"/>
  <c r="CE17" i="136"/>
  <c r="CQ346" i="136"/>
  <c r="CJ25" i="136"/>
  <c r="DE65" i="136"/>
  <c r="CN51" i="136"/>
  <c r="BM51" i="136"/>
  <c r="CU23" i="136"/>
  <c r="CO23" i="136"/>
  <c r="CO50" i="136"/>
  <c r="CO49" i="136"/>
  <c r="CO47" i="136"/>
  <c r="CO25" i="136"/>
  <c r="CM51" i="136"/>
  <c r="DB23" i="136"/>
  <c r="DC49" i="136"/>
  <c r="DC47" i="136"/>
  <c r="DC48" i="136"/>
  <c r="CW40" i="136"/>
  <c r="DA51" i="136"/>
  <c r="CY51" i="136"/>
  <c r="CV25" i="136"/>
  <c r="DM31" i="136"/>
  <c r="DM41" i="136" s="1"/>
  <c r="DM357" i="136"/>
  <c r="DO15" i="136"/>
  <c r="DO218" i="136"/>
  <c r="DL30" i="136"/>
  <c r="DL40" i="136" s="1"/>
  <c r="DL221" i="136"/>
  <c r="DL356" i="136"/>
  <c r="DT16" i="136"/>
  <c r="DA347" i="136"/>
  <c r="DA346" i="136"/>
  <c r="DT15" i="136"/>
  <c r="DT220" i="136"/>
  <c r="DU217" i="136"/>
  <c r="DA22" i="136"/>
  <c r="DU311" i="136"/>
  <c r="DQ16" i="136"/>
  <c r="DQ318" i="136"/>
  <c r="DR16" i="136"/>
  <c r="DR318" i="136"/>
  <c r="CV345" i="136"/>
  <c r="DO16" i="136"/>
  <c r="DO316" i="136"/>
  <c r="DC33" i="136"/>
  <c r="DI97" i="136"/>
  <c r="DI99" i="136" s="1"/>
  <c r="DB51" i="136"/>
  <c r="DT92" i="136"/>
  <c r="DN97" i="136"/>
  <c r="DL31" i="136"/>
  <c r="DL41" i="136" s="1"/>
  <c r="DL357" i="136"/>
  <c r="DN30" i="136"/>
  <c r="DN40" i="136" s="1"/>
  <c r="DN221" i="136"/>
  <c r="DN356" i="136"/>
  <c r="DR220" i="136"/>
  <c r="DR15" i="136"/>
  <c r="DU213" i="136"/>
  <c r="DO92" i="136"/>
  <c r="DO93" i="136" s="1"/>
  <c r="AR9" i="136"/>
  <c r="AS9" i="136" s="1"/>
  <c r="AT9" i="136" s="1"/>
  <c r="AW9" i="136"/>
  <c r="DQ14" i="136"/>
  <c r="CZ51" i="136"/>
  <c r="DK103" i="136"/>
  <c r="DU314" i="136"/>
  <c r="DS318" i="136"/>
  <c r="DS16" i="136"/>
  <c r="DU214" i="136"/>
  <c r="DU56" i="136" s="1"/>
  <c r="CT23" i="136"/>
  <c r="DU312" i="136"/>
  <c r="DU57" i="136" s="1"/>
  <c r="EC36" i="138" l="1"/>
  <c r="DK21" i="138"/>
  <c r="EX13" i="138"/>
  <c r="DQ20" i="136"/>
  <c r="DK363" i="136"/>
  <c r="DQ363" i="136" s="1"/>
  <c r="DK365" i="136"/>
  <c r="DQ365" i="136" s="1"/>
  <c r="DK360" i="136"/>
  <c r="DN21" i="138"/>
  <c r="FA21" i="138" s="1"/>
  <c r="FA13" i="138"/>
  <c r="DL21" i="138"/>
  <c r="EY13" i="138"/>
  <c r="DM21" i="138"/>
  <c r="EZ21" i="138" s="1"/>
  <c r="EZ13" i="138"/>
  <c r="DK23" i="136"/>
  <c r="DK21" i="136" s="1"/>
  <c r="DQ21" i="138"/>
  <c r="DQ29" i="138" s="1"/>
  <c r="DH29" i="138"/>
  <c r="DI29" i="138" s="1"/>
  <c r="EW21" i="138"/>
  <c r="DY99" i="136"/>
  <c r="EC43" i="138"/>
  <c r="ED213" i="136"/>
  <c r="ED15" i="136" s="1"/>
  <c r="ED37" i="138"/>
  <c r="ED44" i="138" s="1"/>
  <c r="EE213" i="136"/>
  <c r="EE15" i="136" s="1"/>
  <c r="EE37" i="138"/>
  <c r="EE44" i="138" s="1"/>
  <c r="EF213" i="136"/>
  <c r="EF15" i="136" s="1"/>
  <c r="EF37" i="138"/>
  <c r="EF44" i="138" s="1"/>
  <c r="EC44" i="138"/>
  <c r="DU262" i="136"/>
  <c r="DU264" i="136"/>
  <c r="DU265" i="136" s="1"/>
  <c r="DU53" i="138"/>
  <c r="EA60" i="138" s="1"/>
  <c r="DU238" i="136"/>
  <c r="DU50" i="138"/>
  <c r="EA57" i="138" s="1"/>
  <c r="DU246" i="136"/>
  <c r="DU51" i="138"/>
  <c r="DU254" i="136"/>
  <c r="DU52" i="138"/>
  <c r="EA59" i="138" s="1"/>
  <c r="EC45" i="138"/>
  <c r="EF311" i="136"/>
  <c r="EF16" i="136" s="1"/>
  <c r="EF38" i="138"/>
  <c r="EF45" i="138" s="1"/>
  <c r="EE311" i="136"/>
  <c r="EE16" i="136" s="1"/>
  <c r="EE38" i="138"/>
  <c r="EE45" i="138" s="1"/>
  <c r="ED311" i="136"/>
  <c r="ED16" i="136" s="1"/>
  <c r="ED38" i="138"/>
  <c r="ED45" i="138" s="1"/>
  <c r="DO57" i="138"/>
  <c r="EC311" i="136"/>
  <c r="EC213" i="136"/>
  <c r="EE99" i="136"/>
  <c r="EE103" i="136"/>
  <c r="DW97" i="136"/>
  <c r="DW99" i="136" s="1"/>
  <c r="EC92" i="136"/>
  <c r="DX97" i="136"/>
  <c r="DX103" i="136" s="1"/>
  <c r="DX111" i="136" s="1"/>
  <c r="ED92" i="136"/>
  <c r="ED97" i="136" s="1"/>
  <c r="DO60" i="138"/>
  <c r="DI354" i="136"/>
  <c r="DI80" i="136"/>
  <c r="DR363" i="136"/>
  <c r="DL52" i="134"/>
  <c r="DT365" i="136"/>
  <c r="DN53" i="134"/>
  <c r="DS363" i="136"/>
  <c r="DM52" i="134"/>
  <c r="DR365" i="136"/>
  <c r="DL53" i="134"/>
  <c r="DT363" i="136"/>
  <c r="DN52" i="134"/>
  <c r="DS365" i="136"/>
  <c r="DM53" i="134"/>
  <c r="DH38" i="136"/>
  <c r="DH34" i="136"/>
  <c r="DI59" i="138"/>
  <c r="DI58" i="138"/>
  <c r="DY36" i="138"/>
  <c r="DS169" i="136"/>
  <c r="DS148" i="136" s="1"/>
  <c r="DS13" i="138" s="1"/>
  <c r="DS21" i="138" s="1"/>
  <c r="DW14" i="136"/>
  <c r="DW169" i="136"/>
  <c r="DW148" i="136" s="1"/>
  <c r="DW13" i="138" s="1"/>
  <c r="DW21" i="138" s="1"/>
  <c r="CW60" i="138"/>
  <c r="CQ54" i="138"/>
  <c r="CQ61" i="138" s="1"/>
  <c r="CQ60" i="138"/>
  <c r="CQ265" i="136"/>
  <c r="CU21" i="136"/>
  <c r="DC24" i="136"/>
  <c r="DI58" i="136"/>
  <c r="CT21" i="136"/>
  <c r="DC222" i="136"/>
  <c r="DC391" i="136" s="1"/>
  <c r="DC392" i="136" s="1"/>
  <c r="DC371" i="136" s="1"/>
  <c r="DC236" i="136"/>
  <c r="DC260" i="136"/>
  <c r="CG378" i="136"/>
  <c r="CG376" i="136"/>
  <c r="BU378" i="136"/>
  <c r="DX15" i="136"/>
  <c r="DX220" i="136"/>
  <c r="DX318" i="136"/>
  <c r="DX16" i="136"/>
  <c r="DW15" i="136"/>
  <c r="DW220" i="136"/>
  <c r="DX35" i="138"/>
  <c r="DR167" i="136"/>
  <c r="DX36" i="138"/>
  <c r="CH57" i="134"/>
  <c r="CI57" i="134"/>
  <c r="DW318" i="136"/>
  <c r="DW16" i="136"/>
  <c r="DZ16" i="136"/>
  <c r="EA315" i="136"/>
  <c r="EA314" i="136"/>
  <c r="EA313" i="136"/>
  <c r="EA312" i="136"/>
  <c r="DY16" i="136"/>
  <c r="DY318" i="136"/>
  <c r="EA311" i="136"/>
  <c r="DY15" i="136"/>
  <c r="EA213" i="136"/>
  <c r="EG217" i="136" s="1"/>
  <c r="DU63" i="136"/>
  <c r="DU229" i="136"/>
  <c r="EA217" i="136"/>
  <c r="EA216" i="136"/>
  <c r="EA215" i="136"/>
  <c r="EA214" i="136"/>
  <c r="EA37" i="138" s="1"/>
  <c r="DZ15" i="136"/>
  <c r="DZ220" i="136"/>
  <c r="DT14" i="136"/>
  <c r="DZ36" i="138"/>
  <c r="DZ35" i="138"/>
  <c r="DY35" i="138"/>
  <c r="BU379" i="136"/>
  <c r="CG379" i="136"/>
  <c r="DF38" i="136"/>
  <c r="DF34" i="136"/>
  <c r="DX70" i="136"/>
  <c r="ED35" i="138" s="1"/>
  <c r="DI39" i="138"/>
  <c r="DZ70" i="136"/>
  <c r="EF35" i="138" s="1"/>
  <c r="DY70" i="136"/>
  <c r="EE35" i="138" s="1"/>
  <c r="DE371" i="136"/>
  <c r="DE393" i="136"/>
  <c r="CE60" i="134"/>
  <c r="DE23" i="136"/>
  <c r="DE21" i="136" s="1"/>
  <c r="DI21" i="136" s="1"/>
  <c r="DE34" i="136"/>
  <c r="DU149" i="136"/>
  <c r="DO152" i="136"/>
  <c r="DU71" i="136"/>
  <c r="DU54" i="136" s="1"/>
  <c r="DO75" i="136"/>
  <c r="DO20" i="136"/>
  <c r="CK19" i="136"/>
  <c r="BY19" i="136"/>
  <c r="CQ19" i="136"/>
  <c r="DC19" i="136"/>
  <c r="DC20" i="136"/>
  <c r="CE19" i="136"/>
  <c r="DW70" i="136"/>
  <c r="EC35" i="138" s="1"/>
  <c r="EC42" i="138" s="1"/>
  <c r="BX358" i="136"/>
  <c r="BY358" i="136" s="1"/>
  <c r="BY359" i="136" s="1"/>
  <c r="BS32" i="136"/>
  <c r="BS33" i="136" s="1"/>
  <c r="BS345" i="136" s="1"/>
  <c r="BR33" i="136"/>
  <c r="BR42" i="136" s="1"/>
  <c r="DR14" i="136"/>
  <c r="DX146" i="136"/>
  <c r="BX381" i="136"/>
  <c r="BX382" i="136" s="1"/>
  <c r="DF49" i="136"/>
  <c r="DF48" i="136"/>
  <c r="BY32" i="136"/>
  <c r="BY33" i="136" s="1"/>
  <c r="BY42" i="136" s="1"/>
  <c r="CK387" i="136"/>
  <c r="CK388" i="136" s="1"/>
  <c r="CK375" i="136" s="1"/>
  <c r="DO169" i="136"/>
  <c r="DO148" i="136" s="1"/>
  <c r="DO13" i="138" s="1"/>
  <c r="CE104" i="138"/>
  <c r="DR148" i="136"/>
  <c r="DR13" i="138" s="1"/>
  <c r="DR21" i="138" s="1"/>
  <c r="DG47" i="136"/>
  <c r="BY63" i="134"/>
  <c r="CK54" i="134"/>
  <c r="CQ44" i="138"/>
  <c r="DH49" i="136"/>
  <c r="BS46" i="138"/>
  <c r="CU46" i="138"/>
  <c r="DL17" i="136"/>
  <c r="DF50" i="136"/>
  <c r="DE47" i="136"/>
  <c r="DN17" i="136"/>
  <c r="CE21" i="136"/>
  <c r="DL355" i="136"/>
  <c r="DL29" i="136"/>
  <c r="DL39" i="136" s="1"/>
  <c r="CK22" i="136"/>
  <c r="BY21" i="136"/>
  <c r="DG49" i="136"/>
  <c r="DG48" i="136"/>
  <c r="DG50" i="136"/>
  <c r="DR154" i="136"/>
  <c r="DR155" i="136" s="1"/>
  <c r="DT148" i="136"/>
  <c r="DT13" i="138" s="1"/>
  <c r="DT21" i="138" s="1"/>
  <c r="DT154" i="136"/>
  <c r="DI155" i="136"/>
  <c r="DI158" i="136" s="1"/>
  <c r="DI162" i="136" s="1"/>
  <c r="DI161" i="136" s="1"/>
  <c r="DS154" i="136"/>
  <c r="DN29" i="136"/>
  <c r="DN39" i="136" s="1"/>
  <c r="DN155" i="136"/>
  <c r="DN158" i="136" s="1"/>
  <c r="DN162" i="136" s="1"/>
  <c r="DN161" i="136" s="1"/>
  <c r="DN160" i="136" s="1"/>
  <c r="DM355" i="136"/>
  <c r="DM17" i="136"/>
  <c r="DM29" i="136"/>
  <c r="DM39" i="136" s="1"/>
  <c r="DT167" i="136"/>
  <c r="DZ146" i="136"/>
  <c r="DS14" i="136"/>
  <c r="DS167" i="136"/>
  <c r="DU146" i="136"/>
  <c r="DY146" i="136"/>
  <c r="DH50" i="136"/>
  <c r="DH47" i="136"/>
  <c r="DO86" i="136"/>
  <c r="DH48" i="136"/>
  <c r="DO154" i="136"/>
  <c r="DU150" i="136"/>
  <c r="DI17" i="136"/>
  <c r="DO22" i="136" s="1"/>
  <c r="DN355" i="136"/>
  <c r="DO163" i="136"/>
  <c r="DO164" i="136"/>
  <c r="DO14" i="136"/>
  <c r="DE49" i="136"/>
  <c r="DU151" i="136"/>
  <c r="DE50" i="136"/>
  <c r="DU147" i="136"/>
  <c r="DU55" i="136" s="1"/>
  <c r="DO167" i="136"/>
  <c r="DO87" i="136"/>
  <c r="DI29" i="136"/>
  <c r="DI39" i="136" s="1"/>
  <c r="DE48" i="136"/>
  <c r="DM58" i="136"/>
  <c r="DM65" i="136" s="1"/>
  <c r="DM64" i="134"/>
  <c r="DI16" i="138"/>
  <c r="DI64" i="134"/>
  <c r="CQ22" i="138"/>
  <c r="CP39" i="138"/>
  <c r="CP64" i="134"/>
  <c r="CD39" i="138"/>
  <c r="CD64" i="134"/>
  <c r="DK58" i="136"/>
  <c r="DK65" i="136" s="1"/>
  <c r="CJ39" i="138"/>
  <c r="CJ64" i="134"/>
  <c r="CW49" i="136"/>
  <c r="DN58" i="136"/>
  <c r="DN65" i="136" s="1"/>
  <c r="DN64" i="134"/>
  <c r="DL58" i="136"/>
  <c r="DL65" i="136" s="1"/>
  <c r="DL64" i="134"/>
  <c r="DR103" i="136"/>
  <c r="DR111" i="136" s="1"/>
  <c r="DL105" i="136"/>
  <c r="DL111" i="136"/>
  <c r="DK105" i="136"/>
  <c r="DK111" i="136"/>
  <c r="DH105" i="136"/>
  <c r="DH111" i="136"/>
  <c r="DH104" i="136"/>
  <c r="DY116" i="136"/>
  <c r="DN103" i="136"/>
  <c r="DN99" i="136"/>
  <c r="DL104" i="136"/>
  <c r="DZ92" i="136"/>
  <c r="DT97" i="136"/>
  <c r="DT99" i="136" s="1"/>
  <c r="DY105" i="136"/>
  <c r="DY104" i="136"/>
  <c r="DQ99" i="136"/>
  <c r="DS104" i="136"/>
  <c r="DS105" i="136"/>
  <c r="EA89" i="136"/>
  <c r="DB382" i="136"/>
  <c r="DO90" i="136"/>
  <c r="DK373" i="136"/>
  <c r="DM386" i="136"/>
  <c r="DM374" i="136" s="1"/>
  <c r="DM388" i="136"/>
  <c r="DM375" i="136" s="1"/>
  <c r="DL373" i="136"/>
  <c r="DL388" i="136"/>
  <c r="DL375" i="136" s="1"/>
  <c r="DR387" i="136"/>
  <c r="DR385" i="136"/>
  <c r="DT387" i="136"/>
  <c r="DT385" i="136"/>
  <c r="DS387" i="136"/>
  <c r="DS385" i="136"/>
  <c r="DN388" i="136"/>
  <c r="DN375" i="136" s="1"/>
  <c r="DK388" i="136"/>
  <c r="DK375" i="136" s="1"/>
  <c r="DO387" i="136"/>
  <c r="DN386" i="136"/>
  <c r="DN374" i="136" s="1"/>
  <c r="DQ387" i="136"/>
  <c r="DQ385" i="136"/>
  <c r="DK386" i="136"/>
  <c r="DK374" i="136" s="1"/>
  <c r="DO385" i="136"/>
  <c r="DN373" i="136"/>
  <c r="DL386" i="136"/>
  <c r="DL374" i="136" s="1"/>
  <c r="DI386" i="136"/>
  <c r="DI374" i="136" s="1"/>
  <c r="DI388" i="136"/>
  <c r="DI375" i="136" s="1"/>
  <c r="DI372" i="136"/>
  <c r="DI373" i="136"/>
  <c r="DS19" i="136"/>
  <c r="DM373" i="136"/>
  <c r="DI28" i="136"/>
  <c r="DI38" i="136" s="1"/>
  <c r="EC146" i="136"/>
  <c r="DW154" i="136"/>
  <c r="DW167" i="136"/>
  <c r="DU64" i="136"/>
  <c r="DQ90" i="136"/>
  <c r="DR90" i="136"/>
  <c r="DT90" i="136"/>
  <c r="DS90" i="136"/>
  <c r="DR22" i="136"/>
  <c r="DL372" i="136"/>
  <c r="DQ22" i="136"/>
  <c r="DK372" i="136"/>
  <c r="DS22" i="136"/>
  <c r="DM372" i="136"/>
  <c r="DT22" i="136"/>
  <c r="DN372" i="136"/>
  <c r="DQ19" i="136"/>
  <c r="DM28" i="136"/>
  <c r="DM38" i="136" s="1"/>
  <c r="DM354" i="136"/>
  <c r="DS343" i="136"/>
  <c r="DY20" i="136" s="1"/>
  <c r="DS13" i="136"/>
  <c r="DS77" i="136"/>
  <c r="DL354" i="136"/>
  <c r="DT343" i="136"/>
  <c r="DZ22" i="136" s="1"/>
  <c r="DT77" i="136"/>
  <c r="DT28" i="136" s="1"/>
  <c r="DT13" i="136"/>
  <c r="DQ77" i="136"/>
  <c r="DR19" i="136"/>
  <c r="DT19" i="136"/>
  <c r="DL28" i="136"/>
  <c r="DL38" i="136" s="1"/>
  <c r="DQ13" i="136"/>
  <c r="DR13" i="136"/>
  <c r="DI78" i="136"/>
  <c r="DI81" i="136" s="1"/>
  <c r="DI85" i="136" s="1"/>
  <c r="DI84" i="136" s="1"/>
  <c r="DI83" i="136" s="1"/>
  <c r="DR77" i="136"/>
  <c r="DR28" i="136" s="1"/>
  <c r="CV346" i="136"/>
  <c r="BY22" i="136"/>
  <c r="BX42" i="136"/>
  <c r="DU70" i="136"/>
  <c r="DC42" i="136"/>
  <c r="DR343" i="136"/>
  <c r="DX22" i="136" s="1"/>
  <c r="DU74" i="136"/>
  <c r="DO343" i="136"/>
  <c r="DQ343" i="136"/>
  <c r="DU73" i="136"/>
  <c r="DN354" i="136"/>
  <c r="DN28" i="136"/>
  <c r="DN38" i="136" s="1"/>
  <c r="DO77" i="136"/>
  <c r="DO80" i="136" s="1"/>
  <c r="DO13" i="136"/>
  <c r="CD358" i="136"/>
  <c r="CE358" i="136" s="1"/>
  <c r="CE359" i="136" s="1"/>
  <c r="CE32" i="136"/>
  <c r="CE33" i="136" s="1"/>
  <c r="DU230" i="136"/>
  <c r="DU327" i="136"/>
  <c r="DU328" i="136"/>
  <c r="CP16" i="138"/>
  <c r="CP58" i="136"/>
  <c r="CE22" i="136"/>
  <c r="BS25" i="136"/>
  <c r="BS49" i="136"/>
  <c r="BS47" i="136"/>
  <c r="BS50" i="136"/>
  <c r="DQ221" i="136"/>
  <c r="DQ356" i="136"/>
  <c r="CE63" i="134"/>
  <c r="BS48" i="136"/>
  <c r="CK49" i="136"/>
  <c r="CG52" i="134"/>
  <c r="CH363" i="136"/>
  <c r="CJ33" i="136"/>
  <c r="CJ358" i="136"/>
  <c r="CK32" i="136"/>
  <c r="CK33" i="136" s="1"/>
  <c r="CK63" i="134"/>
  <c r="CK49" i="134"/>
  <c r="CK52" i="134"/>
  <c r="CK53" i="134"/>
  <c r="CK13" i="134"/>
  <c r="DQ40" i="136"/>
  <c r="CK104" i="138"/>
  <c r="CQ63" i="134"/>
  <c r="BX345" i="136"/>
  <c r="BR359" i="136"/>
  <c r="BS358" i="136"/>
  <c r="BS359" i="136" s="1"/>
  <c r="CG53" i="134"/>
  <c r="CH365" i="136"/>
  <c r="CK21" i="136"/>
  <c r="CQ21" i="136"/>
  <c r="BY23" i="136"/>
  <c r="BR51" i="136"/>
  <c r="CV51" i="136"/>
  <c r="CQ22" i="136"/>
  <c r="BY25" i="136"/>
  <c r="DC23" i="136"/>
  <c r="DL322" i="136"/>
  <c r="DL326" i="136" s="1"/>
  <c r="DL325" i="136" s="1"/>
  <c r="DM322" i="136"/>
  <c r="DM326" i="136" s="1"/>
  <c r="DM325" i="136" s="1"/>
  <c r="CE25" i="136"/>
  <c r="DL224" i="136"/>
  <c r="DL228" i="136" s="1"/>
  <c r="DL227" i="136" s="1"/>
  <c r="BX16" i="138"/>
  <c r="BX58" i="136"/>
  <c r="CD16" i="138"/>
  <c r="CD58" i="136"/>
  <c r="CW44" i="138"/>
  <c r="DN224" i="136"/>
  <c r="DN228" i="136" s="1"/>
  <c r="DN227" i="136" s="1"/>
  <c r="CE50" i="136"/>
  <c r="CE23" i="136"/>
  <c r="CE48" i="136"/>
  <c r="CE47" i="136"/>
  <c r="CE49" i="136"/>
  <c r="CJ51" i="136"/>
  <c r="DM158" i="136"/>
  <c r="DM162" i="136" s="1"/>
  <c r="DM161" i="136" s="1"/>
  <c r="DM160" i="136" s="1"/>
  <c r="CW63" i="136"/>
  <c r="CQ63" i="136"/>
  <c r="BX39" i="138"/>
  <c r="CD51" i="136"/>
  <c r="BX51" i="136"/>
  <c r="CK47" i="136"/>
  <c r="CK25" i="136"/>
  <c r="CK23" i="136"/>
  <c r="CK50" i="136"/>
  <c r="CK48" i="136"/>
  <c r="CQ104" i="138"/>
  <c r="CQ106" i="138"/>
  <c r="CQ105" i="138"/>
  <c r="DL158" i="136"/>
  <c r="DL162" i="136" s="1"/>
  <c r="DL161" i="136" s="1"/>
  <c r="DL160" i="136" s="1"/>
  <c r="DB58" i="136"/>
  <c r="DH65" i="136" s="1"/>
  <c r="CW48" i="136"/>
  <c r="CW47" i="136"/>
  <c r="CW50" i="136"/>
  <c r="BS23" i="136"/>
  <c r="BY49" i="136"/>
  <c r="BY50" i="136"/>
  <c r="BY48" i="136"/>
  <c r="BY47" i="136"/>
  <c r="CJ16" i="138"/>
  <c r="CJ58" i="136"/>
  <c r="DM81" i="136"/>
  <c r="DM85" i="136" s="1"/>
  <c r="DM84" i="136" s="1"/>
  <c r="DN81" i="136"/>
  <c r="DN85" i="136" s="1"/>
  <c r="DN84" i="136" s="1"/>
  <c r="DL81" i="136"/>
  <c r="DL85" i="136" s="1"/>
  <c r="DL84" i="136" s="1"/>
  <c r="CO51" i="136"/>
  <c r="DC51" i="136"/>
  <c r="DU92" i="136"/>
  <c r="DU93" i="136" s="1"/>
  <c r="DO97" i="136"/>
  <c r="DB347" i="136"/>
  <c r="DQ103" i="136"/>
  <c r="DR357" i="136"/>
  <c r="DR31" i="136"/>
  <c r="DR41" i="136" s="1"/>
  <c r="DR319" i="136"/>
  <c r="DC345" i="136"/>
  <c r="DQ319" i="136"/>
  <c r="DQ357" i="136"/>
  <c r="DQ31" i="136"/>
  <c r="DQ41" i="136" s="1"/>
  <c r="DK104" i="136"/>
  <c r="DR30" i="136"/>
  <c r="DR40" i="136" s="1"/>
  <c r="DR221" i="136"/>
  <c r="DR356" i="136"/>
  <c r="DI103" i="136"/>
  <c r="DI111" i="136" s="1"/>
  <c r="DI98" i="136"/>
  <c r="DS31" i="136"/>
  <c r="DS41" i="136" s="1"/>
  <c r="DS319" i="136"/>
  <c r="DS357" i="136"/>
  <c r="DU218" i="136"/>
  <c r="DU15" i="136"/>
  <c r="DA21" i="136"/>
  <c r="DQ29" i="136"/>
  <c r="DQ39" i="136" s="1"/>
  <c r="DQ155" i="136"/>
  <c r="DQ355" i="136"/>
  <c r="BC9" i="136"/>
  <c r="AX9" i="136"/>
  <c r="AY9" i="136" s="1"/>
  <c r="AZ9" i="136" s="1"/>
  <c r="DU16" i="136"/>
  <c r="DU316" i="136"/>
  <c r="DT221" i="136"/>
  <c r="DT30" i="136"/>
  <c r="DT40" i="136" s="1"/>
  <c r="DT356" i="136"/>
  <c r="DM29" i="138" l="1"/>
  <c r="DN29" i="138"/>
  <c r="DR29" i="138"/>
  <c r="DL29" i="138"/>
  <c r="DO29" i="138" s="1"/>
  <c r="EY21" i="138"/>
  <c r="EX21" i="138"/>
  <c r="DK29" i="138"/>
  <c r="DX99" i="136"/>
  <c r="ED220" i="136"/>
  <c r="ED356" i="136" s="1"/>
  <c r="DU60" i="138"/>
  <c r="DW103" i="136"/>
  <c r="DW111" i="136" s="1"/>
  <c r="DW116" i="136" s="1"/>
  <c r="EF220" i="136"/>
  <c r="EF356" i="136" s="1"/>
  <c r="DZ169" i="136"/>
  <c r="DZ148" i="136" s="1"/>
  <c r="DZ13" i="138" s="1"/>
  <c r="DZ21" i="138" s="1"/>
  <c r="EF36" i="138"/>
  <c r="EF43" i="138" s="1"/>
  <c r="DX169" i="136"/>
  <c r="DX148" i="136" s="1"/>
  <c r="DX13" i="138" s="1"/>
  <c r="DX21" i="138" s="1"/>
  <c r="DX29" i="138" s="1"/>
  <c r="ED36" i="138"/>
  <c r="ED43" i="138" s="1"/>
  <c r="DY169" i="136"/>
  <c r="EE36" i="138"/>
  <c r="EE43" i="138" s="1"/>
  <c r="DU57" i="138"/>
  <c r="EG214" i="136"/>
  <c r="EG37" i="138" s="1"/>
  <c r="EG44" i="138" s="1"/>
  <c r="EG216" i="136"/>
  <c r="EG215" i="136"/>
  <c r="DU59" i="138"/>
  <c r="EC169" i="136"/>
  <c r="EC148" i="136" s="1"/>
  <c r="EC13" i="138" s="1"/>
  <c r="EC21" i="138" s="1"/>
  <c r="EC14" i="136"/>
  <c r="ED318" i="136"/>
  <c r="ED357" i="136" s="1"/>
  <c r="EE318" i="136"/>
  <c r="EE357" i="136" s="1"/>
  <c r="EG312" i="136"/>
  <c r="EG38" i="138" s="1"/>
  <c r="EF42" i="138"/>
  <c r="EE42" i="138"/>
  <c r="ED42" i="138"/>
  <c r="EG315" i="136"/>
  <c r="EG313" i="136"/>
  <c r="EG314" i="136"/>
  <c r="EG311" i="136"/>
  <c r="EC16" i="136"/>
  <c r="EC318" i="136"/>
  <c r="EC357" i="136" s="1"/>
  <c r="EC220" i="136"/>
  <c r="EC356" i="136" s="1"/>
  <c r="EG213" i="136"/>
  <c r="EC15" i="136"/>
  <c r="EE70" i="136"/>
  <c r="EF70" i="136"/>
  <c r="EC70" i="136"/>
  <c r="ED99" i="136"/>
  <c r="ED103" i="136"/>
  <c r="ED70" i="136"/>
  <c r="EC97" i="136"/>
  <c r="DZ97" i="136"/>
  <c r="EA97" i="136" s="1"/>
  <c r="EA103" i="136" s="1"/>
  <c r="EF92" i="136"/>
  <c r="EF97" i="136" s="1"/>
  <c r="EE111" i="136"/>
  <c r="EE116" i="136" s="1"/>
  <c r="EE105" i="136"/>
  <c r="EE104" i="136"/>
  <c r="DZ363" i="136"/>
  <c r="EF363" i="136" s="1"/>
  <c r="EF52" i="134" s="1"/>
  <c r="DT52" i="134"/>
  <c r="DY363" i="136"/>
  <c r="EE363" i="136" s="1"/>
  <c r="EE52" i="134" s="1"/>
  <c r="DS52" i="134"/>
  <c r="DX363" i="136"/>
  <c r="ED363" i="136" s="1"/>
  <c r="ED52" i="134" s="1"/>
  <c r="DR52" i="134"/>
  <c r="DW363" i="136"/>
  <c r="EC363" i="136" s="1"/>
  <c r="EC52" i="134" s="1"/>
  <c r="DQ52" i="134"/>
  <c r="DY365" i="136"/>
  <c r="EE365" i="136" s="1"/>
  <c r="EE53" i="134" s="1"/>
  <c r="DS53" i="134"/>
  <c r="DX365" i="136"/>
  <c r="ED365" i="136" s="1"/>
  <c r="ED53" i="134" s="1"/>
  <c r="DR53" i="134"/>
  <c r="DZ365" i="136"/>
  <c r="EF365" i="136" s="1"/>
  <c r="EF53" i="134" s="1"/>
  <c r="DT53" i="134"/>
  <c r="DW365" i="136"/>
  <c r="EC365" i="136" s="1"/>
  <c r="EC53" i="134" s="1"/>
  <c r="DQ53" i="134"/>
  <c r="DO24" i="136"/>
  <c r="BS21" i="136"/>
  <c r="DN48" i="136"/>
  <c r="DL23" i="136"/>
  <c r="DL21" i="136" s="1"/>
  <c r="CQ64" i="134"/>
  <c r="CK64" i="134"/>
  <c r="DS29" i="138"/>
  <c r="DW29" i="136"/>
  <c r="DW39" i="136" s="1"/>
  <c r="DW355" i="136"/>
  <c r="DO21" i="138"/>
  <c r="DX20" i="136"/>
  <c r="DX31" i="136"/>
  <c r="DX41" i="136" s="1"/>
  <c r="DX319" i="136"/>
  <c r="DX357" i="136"/>
  <c r="DT29" i="138"/>
  <c r="DX14" i="136"/>
  <c r="DW29" i="138"/>
  <c r="CG57" i="134"/>
  <c r="DX19" i="136"/>
  <c r="DW221" i="136"/>
  <c r="DW30" i="136"/>
  <c r="DW40" i="136" s="1"/>
  <c r="DW356" i="136"/>
  <c r="DX30" i="136"/>
  <c r="DX40" i="136" s="1"/>
  <c r="DX356" i="136"/>
  <c r="DX221" i="136"/>
  <c r="DW22" i="136"/>
  <c r="DW20" i="136"/>
  <c r="DW19" i="136"/>
  <c r="DW31" i="136"/>
  <c r="DW41" i="136" s="1"/>
  <c r="DW319" i="136"/>
  <c r="DW357" i="136"/>
  <c r="EA57" i="136"/>
  <c r="EA15" i="138"/>
  <c r="EA16" i="136"/>
  <c r="EA316" i="136"/>
  <c r="EA38" i="138"/>
  <c r="DY31" i="136"/>
  <c r="DY41" i="136" s="1"/>
  <c r="DY319" i="136"/>
  <c r="DY357" i="136"/>
  <c r="DZ30" i="136"/>
  <c r="DZ40" i="136" s="1"/>
  <c r="DZ356" i="136"/>
  <c r="DZ221" i="136"/>
  <c r="EA56" i="136"/>
  <c r="EA14" i="138"/>
  <c r="EA15" i="136"/>
  <c r="EA229" i="136"/>
  <c r="EA327" i="136"/>
  <c r="EA328" i="136"/>
  <c r="EA218" i="136"/>
  <c r="EA230" i="136"/>
  <c r="DU152" i="136"/>
  <c r="DZ14" i="136"/>
  <c r="DU62" i="136"/>
  <c r="DY14" i="136"/>
  <c r="DZ19" i="136"/>
  <c r="DZ20" i="136"/>
  <c r="DU61" i="136"/>
  <c r="DY19" i="136"/>
  <c r="DY22" i="136"/>
  <c r="DZ90" i="136"/>
  <c r="DZ13" i="136"/>
  <c r="DZ343" i="136"/>
  <c r="DZ11" i="134" s="1"/>
  <c r="DZ385" i="136"/>
  <c r="DZ387" i="136"/>
  <c r="DX90" i="136"/>
  <c r="DX13" i="136"/>
  <c r="DX343" i="136"/>
  <c r="DX11" i="134" s="1"/>
  <c r="DX387" i="136"/>
  <c r="DX385" i="136"/>
  <c r="DW90" i="136"/>
  <c r="DW13" i="136"/>
  <c r="DW387" i="136"/>
  <c r="DW385" i="136"/>
  <c r="DW343" i="136"/>
  <c r="DW11" i="134" s="1"/>
  <c r="DY90" i="136"/>
  <c r="DY13" i="136"/>
  <c r="DY387" i="136"/>
  <c r="DY385" i="136"/>
  <c r="DY343" i="136"/>
  <c r="DY11" i="134" s="1"/>
  <c r="DE377" i="136"/>
  <c r="DF33" i="136"/>
  <c r="DF359" i="136" s="1"/>
  <c r="BX359" i="136"/>
  <c r="BX368" i="136" s="1"/>
  <c r="BS42" i="136"/>
  <c r="EA72" i="136"/>
  <c r="DU75" i="136"/>
  <c r="DW77" i="136"/>
  <c r="DX167" i="136"/>
  <c r="EA70" i="136"/>
  <c r="ED146" i="136"/>
  <c r="DU20" i="136"/>
  <c r="EA147" i="136"/>
  <c r="EA149" i="136"/>
  <c r="CQ58" i="136"/>
  <c r="BR345" i="136"/>
  <c r="BR346" i="136" s="1"/>
  <c r="CQ16" i="138"/>
  <c r="BX44" i="136"/>
  <c r="CQ39" i="138"/>
  <c r="DF51" i="136"/>
  <c r="BY345" i="136"/>
  <c r="BY346" i="136" s="1"/>
  <c r="BY381" i="136"/>
  <c r="BY382" i="136" s="1"/>
  <c r="BY44" i="136"/>
  <c r="DK50" i="136"/>
  <c r="DM48" i="136"/>
  <c r="DK49" i="136"/>
  <c r="DN49" i="136"/>
  <c r="DK47" i="136"/>
  <c r="DN23" i="136"/>
  <c r="DN21" i="136" s="1"/>
  <c r="CG16" i="134"/>
  <c r="DL50" i="136"/>
  <c r="DN50" i="136"/>
  <c r="DL48" i="136"/>
  <c r="DN47" i="136"/>
  <c r="CG15" i="134"/>
  <c r="BX46" i="138"/>
  <c r="DI48" i="136"/>
  <c r="DL49" i="136"/>
  <c r="DK48" i="136"/>
  <c r="BX24" i="138"/>
  <c r="BX32" i="138" s="1"/>
  <c r="BY32" i="138" s="1"/>
  <c r="DR17" i="136"/>
  <c r="DT17" i="136"/>
  <c r="DL47" i="136"/>
  <c r="DQ17" i="136"/>
  <c r="DU14" i="136"/>
  <c r="CE44" i="136"/>
  <c r="EF146" i="136"/>
  <c r="DZ167" i="136"/>
  <c r="DH51" i="136"/>
  <c r="DU154" i="136"/>
  <c r="DX154" i="136"/>
  <c r="DR355" i="136"/>
  <c r="DG51" i="136"/>
  <c r="DR29" i="136"/>
  <c r="DR39" i="136" s="1"/>
  <c r="DM23" i="136"/>
  <c r="DM21" i="136" s="1"/>
  <c r="DM50" i="136"/>
  <c r="DM49" i="136"/>
  <c r="DM47" i="136"/>
  <c r="DI49" i="136"/>
  <c r="DI50" i="136"/>
  <c r="DE33" i="136"/>
  <c r="DO19" i="136"/>
  <c r="DI47" i="136"/>
  <c r="DI23" i="136"/>
  <c r="DU169" i="136"/>
  <c r="DU148" i="136" s="1"/>
  <c r="DU13" i="138" s="1"/>
  <c r="DU21" i="138" s="1"/>
  <c r="DS155" i="136"/>
  <c r="DS158" i="136" s="1"/>
  <c r="DS162" i="136" s="1"/>
  <c r="DS161" i="136" s="1"/>
  <c r="DS160" i="136" s="1"/>
  <c r="DS355" i="136"/>
  <c r="DS29" i="136"/>
  <c r="DS39" i="136" s="1"/>
  <c r="DO155" i="136"/>
  <c r="DO158" i="136" s="1"/>
  <c r="DO162" i="136" s="1"/>
  <c r="DO161" i="136" s="1"/>
  <c r="EA146" i="136"/>
  <c r="EG149" i="136" s="1"/>
  <c r="EE146" i="136"/>
  <c r="DY154" i="136"/>
  <c r="DY167" i="136"/>
  <c r="DT29" i="136"/>
  <c r="DT39" i="136" s="1"/>
  <c r="DT155" i="136"/>
  <c r="DT158" i="136" s="1"/>
  <c r="DT162" i="136" s="1"/>
  <c r="DT161" i="136" s="1"/>
  <c r="DT160" i="136" s="1"/>
  <c r="DU87" i="136"/>
  <c r="DU163" i="136"/>
  <c r="DS17" i="136"/>
  <c r="DU86" i="136"/>
  <c r="DU167" i="136"/>
  <c r="EA150" i="136"/>
  <c r="DU164" i="136"/>
  <c r="EA151" i="136"/>
  <c r="DO29" i="136"/>
  <c r="DO39" i="136" s="1"/>
  <c r="DE51" i="136"/>
  <c r="DO355" i="136"/>
  <c r="DT355" i="136"/>
  <c r="DZ154" i="136"/>
  <c r="DO17" i="136"/>
  <c r="CJ46" i="138"/>
  <c r="EA92" i="136"/>
  <c r="CP46" i="138"/>
  <c r="DC21" i="136"/>
  <c r="DR104" i="136"/>
  <c r="CJ42" i="136"/>
  <c r="DQ58" i="136"/>
  <c r="DQ64" i="134"/>
  <c r="DC64" i="134"/>
  <c r="DC58" i="136"/>
  <c r="BY39" i="138"/>
  <c r="BY64" i="134"/>
  <c r="CK44" i="136"/>
  <c r="CQ44" i="136"/>
  <c r="DR58" i="136"/>
  <c r="DR64" i="134"/>
  <c r="CE58" i="136"/>
  <c r="CE64" i="134"/>
  <c r="DT58" i="136"/>
  <c r="DT64" i="134"/>
  <c r="DS58" i="136"/>
  <c r="DS64" i="134"/>
  <c r="DU97" i="136"/>
  <c r="DU99" i="136" s="1"/>
  <c r="DR105" i="136"/>
  <c r="DS78" i="136"/>
  <c r="DS81" i="136" s="1"/>
  <c r="DS85" i="136" s="1"/>
  <c r="DS84" i="136" s="1"/>
  <c r="DY77" i="136"/>
  <c r="DU13" i="136"/>
  <c r="EA71" i="136"/>
  <c r="EA35" i="138" s="1"/>
  <c r="EA74" i="136"/>
  <c r="EA73" i="136"/>
  <c r="DX77" i="136"/>
  <c r="DZ77" i="136"/>
  <c r="DQ105" i="136"/>
  <c r="DQ111" i="136"/>
  <c r="DN105" i="136"/>
  <c r="DN111" i="136"/>
  <c r="DN104" i="136"/>
  <c r="DX116" i="136"/>
  <c r="DO103" i="136"/>
  <c r="DO99" i="136"/>
  <c r="DT103" i="136"/>
  <c r="DT111" i="136" s="1"/>
  <c r="DI105" i="136"/>
  <c r="DX105" i="136"/>
  <c r="DX104" i="136"/>
  <c r="DT388" i="136"/>
  <c r="DT375" i="136" s="1"/>
  <c r="DO386" i="136"/>
  <c r="DO374" i="136" s="1"/>
  <c r="DS386" i="136"/>
  <c r="DS374" i="136" s="1"/>
  <c r="CK381" i="136"/>
  <c r="DS388" i="136"/>
  <c r="DS375" i="136" s="1"/>
  <c r="DQ386" i="136"/>
  <c r="DQ374" i="136" s="1"/>
  <c r="DU385" i="136"/>
  <c r="DT386" i="136"/>
  <c r="DT374" i="136" s="1"/>
  <c r="DR386" i="136"/>
  <c r="DR374" i="136" s="1"/>
  <c r="DO388" i="136"/>
  <c r="DO375" i="136" s="1"/>
  <c r="DR388" i="136"/>
  <c r="DR375" i="136" s="1"/>
  <c r="DQ388" i="136"/>
  <c r="DQ375" i="136" s="1"/>
  <c r="DU387" i="136"/>
  <c r="DQ372" i="136"/>
  <c r="DQ373" i="136"/>
  <c r="DS372" i="136"/>
  <c r="DS373" i="136"/>
  <c r="DR372" i="136"/>
  <c r="DR373" i="136"/>
  <c r="DT372" i="136"/>
  <c r="DT373" i="136"/>
  <c r="DO372" i="136"/>
  <c r="DO373" i="136"/>
  <c r="EC167" i="136"/>
  <c r="EC154" i="136"/>
  <c r="DW155" i="136"/>
  <c r="DU90" i="136"/>
  <c r="DT78" i="136"/>
  <c r="DT81" i="136" s="1"/>
  <c r="DT85" i="136" s="1"/>
  <c r="DT84" i="136" s="1"/>
  <c r="DS28" i="136"/>
  <c r="DS38" i="136" s="1"/>
  <c r="DS354" i="136"/>
  <c r="DU77" i="136"/>
  <c r="DQ354" i="136"/>
  <c r="DQ78" i="136"/>
  <c r="DQ81" i="136" s="1"/>
  <c r="DQ85" i="136" s="1"/>
  <c r="DQ84" i="136" s="1"/>
  <c r="DQ28" i="136"/>
  <c r="DQ38" i="136" s="1"/>
  <c r="DT354" i="136"/>
  <c r="DU343" i="136"/>
  <c r="DR354" i="136"/>
  <c r="DR78" i="136"/>
  <c r="DR81" i="136" s="1"/>
  <c r="DR85" i="136" s="1"/>
  <c r="DR84" i="136" s="1"/>
  <c r="BS360" i="136"/>
  <c r="BS369" i="136" s="1"/>
  <c r="BS368" i="136"/>
  <c r="CK42" i="136"/>
  <c r="BR360" i="136"/>
  <c r="BR369" i="136" s="1"/>
  <c r="BR368" i="136"/>
  <c r="BS346" i="136"/>
  <c r="BS347" i="136"/>
  <c r="BY360" i="136"/>
  <c r="BY369" i="136" s="1"/>
  <c r="BY368" i="136"/>
  <c r="BX346" i="136"/>
  <c r="CE360" i="136"/>
  <c r="CE369" i="136" s="1"/>
  <c r="CE368" i="136"/>
  <c r="DO28" i="136"/>
  <c r="DO38" i="136" s="1"/>
  <c r="DO354" i="136"/>
  <c r="DO78" i="136"/>
  <c r="DO81" i="136" s="1"/>
  <c r="DO85" i="136" s="1"/>
  <c r="DO84" i="136" s="1"/>
  <c r="CE42" i="136"/>
  <c r="CP24" i="138"/>
  <c r="CP32" i="138" s="1"/>
  <c r="CP65" i="136"/>
  <c r="BY58" i="136"/>
  <c r="BY65" i="136" s="1"/>
  <c r="DQ224" i="136"/>
  <c r="DQ228" i="136" s="1"/>
  <c r="DQ227" i="136" s="1"/>
  <c r="BS51" i="136"/>
  <c r="BY16" i="138"/>
  <c r="CE39" i="138"/>
  <c r="DM324" i="136"/>
  <c r="CK345" i="136"/>
  <c r="CJ359" i="136"/>
  <c r="CK358" i="136"/>
  <c r="CK359" i="136" s="1"/>
  <c r="CI365" i="136"/>
  <c r="CH53" i="134"/>
  <c r="CK50" i="134"/>
  <c r="CK350" i="136"/>
  <c r="CK351" i="136" s="1"/>
  <c r="CK20" i="134"/>
  <c r="CI363" i="136"/>
  <c r="CH52" i="134"/>
  <c r="DL324" i="136"/>
  <c r="CJ345" i="136"/>
  <c r="CJ346" i="136" s="1"/>
  <c r="CE16" i="138"/>
  <c r="CD24" i="138"/>
  <c r="CD32" i="138" s="1"/>
  <c r="DN83" i="136"/>
  <c r="DM83" i="136"/>
  <c r="DL83" i="136"/>
  <c r="CE345" i="136"/>
  <c r="CD46" i="138"/>
  <c r="DR322" i="136"/>
  <c r="DR326" i="136" s="1"/>
  <c r="DR325" i="136" s="1"/>
  <c r="DS322" i="136"/>
  <c r="DS326" i="136" s="1"/>
  <c r="DS325" i="136" s="1"/>
  <c r="CK51" i="136"/>
  <c r="CK39" i="138"/>
  <c r="CJ65" i="136"/>
  <c r="CK58" i="136"/>
  <c r="CK16" i="138"/>
  <c r="DQ322" i="136"/>
  <c r="DQ326" i="136" s="1"/>
  <c r="DQ325" i="136" s="1"/>
  <c r="CJ24" i="138"/>
  <c r="CD65" i="136"/>
  <c r="BX65" i="136"/>
  <c r="DT224" i="136"/>
  <c r="DT228" i="136" s="1"/>
  <c r="DT227" i="136" s="1"/>
  <c r="DR158" i="136"/>
  <c r="DR162" i="136" s="1"/>
  <c r="DR161" i="136" s="1"/>
  <c r="DR160" i="136" s="1"/>
  <c r="DQ158" i="136"/>
  <c r="DQ162" i="136" s="1"/>
  <c r="DQ161" i="136" s="1"/>
  <c r="DQ160" i="136" s="1"/>
  <c r="BY51" i="136"/>
  <c r="CW51" i="136"/>
  <c r="CE51" i="136"/>
  <c r="DR224" i="136"/>
  <c r="DR228" i="136" s="1"/>
  <c r="DR227" i="136" s="1"/>
  <c r="DO98" i="136"/>
  <c r="DI104" i="136"/>
  <c r="BD9" i="136"/>
  <c r="BE9" i="136" s="1"/>
  <c r="BF9" i="136" s="1"/>
  <c r="BI9" i="136"/>
  <c r="DR38" i="136"/>
  <c r="DC346" i="136"/>
  <c r="DQ104" i="136"/>
  <c r="DT38" i="136"/>
  <c r="DT95" i="134"/>
  <c r="DS95" i="134"/>
  <c r="DR95" i="134"/>
  <c r="DQ95" i="134"/>
  <c r="DN95" i="134"/>
  <c r="DM95" i="134"/>
  <c r="DL95" i="134"/>
  <c r="DG95" i="134"/>
  <c r="DF95" i="134"/>
  <c r="DE95" i="134"/>
  <c r="EG147" i="136" l="1"/>
  <c r="DE44" i="136"/>
  <c r="DK44" i="136"/>
  <c r="ED30" i="136"/>
  <c r="ED40" i="136" s="1"/>
  <c r="ED221" i="136"/>
  <c r="ED224" i="136" s="1"/>
  <c r="ED228" i="136" s="1"/>
  <c r="ED227" i="136" s="1"/>
  <c r="ED226" i="136" s="1"/>
  <c r="EF30" i="136"/>
  <c r="EF40" i="136" s="1"/>
  <c r="DZ99" i="136"/>
  <c r="EF221" i="136"/>
  <c r="EF224" i="136" s="1"/>
  <c r="EF228" i="136" s="1"/>
  <c r="EF227" i="136" s="1"/>
  <c r="EF226" i="136" s="1"/>
  <c r="DW105" i="136"/>
  <c r="DW104" i="136"/>
  <c r="EA169" i="136"/>
  <c r="EA148" i="136" s="1"/>
  <c r="EA13" i="138" s="1"/>
  <c r="EA21" i="138" s="1"/>
  <c r="DZ103" i="136"/>
  <c r="DZ111" i="136" s="1"/>
  <c r="DZ116" i="136" s="1"/>
  <c r="EA116" i="136" s="1"/>
  <c r="ED31" i="136"/>
  <c r="ED41" i="136" s="1"/>
  <c r="ED319" i="136"/>
  <c r="ED322" i="136" s="1"/>
  <c r="ED326" i="136" s="1"/>
  <c r="ED325" i="136" s="1"/>
  <c r="ED324" i="136" s="1"/>
  <c r="ED169" i="136"/>
  <c r="ED148" i="136" s="1"/>
  <c r="ED13" i="138" s="1"/>
  <c r="ED21" i="138" s="1"/>
  <c r="ED29" i="138" s="1"/>
  <c r="ED14" i="136"/>
  <c r="EG92" i="136"/>
  <c r="EG93" i="136" s="1"/>
  <c r="EF169" i="136"/>
  <c r="EF148" i="136" s="1"/>
  <c r="EF13" i="138" s="1"/>
  <c r="EF21" i="138" s="1"/>
  <c r="EF14" i="136"/>
  <c r="EE169" i="136"/>
  <c r="EE148" i="136" s="1"/>
  <c r="EE13" i="138" s="1"/>
  <c r="EE14" i="136"/>
  <c r="EG229" i="136"/>
  <c r="EG327" i="136"/>
  <c r="EG328" i="136"/>
  <c r="EG56" i="136"/>
  <c r="EG63" i="136" s="1"/>
  <c r="EG14" i="138"/>
  <c r="EA14" i="136"/>
  <c r="EC29" i="138"/>
  <c r="EC29" i="136"/>
  <c r="EC39" i="136" s="1"/>
  <c r="EC355" i="136"/>
  <c r="EE319" i="136"/>
  <c r="EE322" i="136" s="1"/>
  <c r="EE326" i="136" s="1"/>
  <c r="EE325" i="136" s="1"/>
  <c r="EE324" i="136" s="1"/>
  <c r="EE31" i="136"/>
  <c r="EE41" i="136" s="1"/>
  <c r="EG45" i="138"/>
  <c r="EG57" i="136"/>
  <c r="EG64" i="136" s="1"/>
  <c r="EG15" i="138"/>
  <c r="EG23" i="138" s="1"/>
  <c r="EF343" i="136"/>
  <c r="EF387" i="136"/>
  <c r="EF385" i="136"/>
  <c r="EE385" i="136"/>
  <c r="EE343" i="136"/>
  <c r="EE387" i="136"/>
  <c r="ED387" i="136"/>
  <c r="ED343" i="136"/>
  <c r="ED385" i="136"/>
  <c r="EG72" i="136"/>
  <c r="EG71" i="136"/>
  <c r="EG35" i="138" s="1"/>
  <c r="EG42" i="138" s="1"/>
  <c r="EG73" i="136"/>
  <c r="EC343" i="136"/>
  <c r="EC385" i="136"/>
  <c r="EC387" i="136"/>
  <c r="DZ53" i="134"/>
  <c r="DY53" i="134"/>
  <c r="DZ52" i="134"/>
  <c r="DX52" i="134"/>
  <c r="DX206" i="11"/>
  <c r="DW206" i="11"/>
  <c r="DX53" i="134"/>
  <c r="DY206" i="11"/>
  <c r="DY52" i="134"/>
  <c r="DZ206" i="11"/>
  <c r="DW53" i="134"/>
  <c r="DW52" i="134"/>
  <c r="EG316" i="136"/>
  <c r="EG16" i="136"/>
  <c r="EC319" i="136"/>
  <c r="EC322" i="136" s="1"/>
  <c r="EC326" i="136" s="1"/>
  <c r="EC325" i="136" s="1"/>
  <c r="EC324" i="136" s="1"/>
  <c r="EC31" i="136"/>
  <c r="EC41" i="136" s="1"/>
  <c r="EC20" i="136"/>
  <c r="DX322" i="136"/>
  <c r="DX326" i="136" s="1"/>
  <c r="DX325" i="136" s="1"/>
  <c r="DX324" i="136" s="1"/>
  <c r="DY322" i="136"/>
  <c r="DY326" i="136" s="1"/>
  <c r="DY325" i="136" s="1"/>
  <c r="DY324" i="136" s="1"/>
  <c r="DW322" i="136"/>
  <c r="DW326" i="136" s="1"/>
  <c r="DW325" i="136" s="1"/>
  <c r="DW324" i="136" s="1"/>
  <c r="EG230" i="136"/>
  <c r="ED22" i="136"/>
  <c r="EF19" i="136"/>
  <c r="DZ224" i="136"/>
  <c r="DZ228" i="136" s="1"/>
  <c r="DZ227" i="136" s="1"/>
  <c r="DZ226" i="136" s="1"/>
  <c r="EF22" i="136"/>
  <c r="EC30" i="136"/>
  <c r="EC40" i="136" s="1"/>
  <c r="EC221" i="136"/>
  <c r="EC224" i="136" s="1"/>
  <c r="EC228" i="136" s="1"/>
  <c r="EC227" i="136" s="1"/>
  <c r="EC226" i="136" s="1"/>
  <c r="DW224" i="136"/>
  <c r="DW228" i="136" s="1"/>
  <c r="DW227" i="136" s="1"/>
  <c r="DW226" i="136" s="1"/>
  <c r="DX224" i="136"/>
  <c r="DX228" i="136" s="1"/>
  <c r="DX227" i="136" s="1"/>
  <c r="DX226" i="136" s="1"/>
  <c r="EG218" i="136"/>
  <c r="EG15" i="136"/>
  <c r="ED13" i="136"/>
  <c r="ED77" i="136"/>
  <c r="ED354" i="136" s="1"/>
  <c r="ED90" i="136"/>
  <c r="EF77" i="136"/>
  <c r="EF354" i="136" s="1"/>
  <c r="EF13" i="136"/>
  <c r="EF90" i="136"/>
  <c r="ED20" i="136"/>
  <c r="EF20" i="136"/>
  <c r="EE19" i="136"/>
  <c r="ED19" i="136"/>
  <c r="EC22" i="136"/>
  <c r="EE13" i="136"/>
  <c r="EE77" i="136"/>
  <c r="EE354" i="136" s="1"/>
  <c r="EE90" i="136"/>
  <c r="EG70" i="136"/>
  <c r="EC13" i="136"/>
  <c r="EC77" i="136"/>
  <c r="EC354" i="136" s="1"/>
  <c r="EC90" i="136"/>
  <c r="EA64" i="136"/>
  <c r="EA63" i="136"/>
  <c r="EF99" i="136"/>
  <c r="EF103" i="136"/>
  <c r="ED104" i="136"/>
  <c r="ED111" i="136"/>
  <c r="ED116" i="136" s="1"/>
  <c r="ED105" i="136"/>
  <c r="EG74" i="136"/>
  <c r="EE20" i="136"/>
  <c r="EG97" i="136"/>
  <c r="EC99" i="136"/>
  <c r="EC103" i="136"/>
  <c r="EC19" i="136"/>
  <c r="EE22" i="136"/>
  <c r="EA98" i="136"/>
  <c r="EA93" i="136"/>
  <c r="EA54" i="138"/>
  <c r="DB21" i="136"/>
  <c r="DU24" i="136"/>
  <c r="DO64" i="134"/>
  <c r="DU29" i="138"/>
  <c r="DX386" i="136"/>
  <c r="DX374" i="136" s="1"/>
  <c r="DX388" i="136"/>
  <c r="DX375" i="136" s="1"/>
  <c r="DR65" i="136"/>
  <c r="DX64" i="134"/>
  <c r="DX16" i="138"/>
  <c r="DX58" i="136"/>
  <c r="DX155" i="136"/>
  <c r="DX158" i="136" s="1"/>
  <c r="DX162" i="136" s="1"/>
  <c r="DX161" i="136" s="1"/>
  <c r="DX160" i="136" s="1"/>
  <c r="DX29" i="136"/>
  <c r="DX39" i="136" s="1"/>
  <c r="DX355" i="136"/>
  <c r="DR50" i="136"/>
  <c r="DX39" i="138"/>
  <c r="DX167" i="11"/>
  <c r="DX119" i="11"/>
  <c r="DY39" i="138"/>
  <c r="DQ65" i="136"/>
  <c r="DQ49" i="136"/>
  <c r="DW39" i="138"/>
  <c r="DW64" i="134"/>
  <c r="DW16" i="138"/>
  <c r="DW58" i="136"/>
  <c r="DW167" i="11"/>
  <c r="DW119" i="11"/>
  <c r="DY155" i="136"/>
  <c r="DY158" i="136" s="1"/>
  <c r="DY162" i="136" s="1"/>
  <c r="DY161" i="136" s="1"/>
  <c r="DY160" i="136" s="1"/>
  <c r="DY29" i="136"/>
  <c r="DY39" i="136" s="1"/>
  <c r="DY355" i="136"/>
  <c r="DY148" i="136"/>
  <c r="DY13" i="138" s="1"/>
  <c r="DY21" i="138" s="1"/>
  <c r="DY29" i="138" s="1"/>
  <c r="EA55" i="136"/>
  <c r="EA12" i="138"/>
  <c r="EA36" i="138"/>
  <c r="DZ155" i="136"/>
  <c r="DZ158" i="136" s="1"/>
  <c r="DZ162" i="136" s="1"/>
  <c r="DZ161" i="136" s="1"/>
  <c r="DZ160" i="136" s="1"/>
  <c r="DZ355" i="136"/>
  <c r="DZ29" i="136"/>
  <c r="DZ39" i="136" s="1"/>
  <c r="DT47" i="136"/>
  <c r="DZ39" i="138"/>
  <c r="EA20" i="136"/>
  <c r="DZ388" i="136"/>
  <c r="DZ375" i="136" s="1"/>
  <c r="DT65" i="136"/>
  <c r="DZ386" i="136"/>
  <c r="DZ374" i="136" s="1"/>
  <c r="DZ167" i="11"/>
  <c r="DZ119" i="11"/>
  <c r="DZ64" i="134"/>
  <c r="DZ16" i="138"/>
  <c r="DZ58" i="136"/>
  <c r="DS65" i="136"/>
  <c r="EA54" i="136"/>
  <c r="EA11" i="138"/>
  <c r="DY119" i="11"/>
  <c r="EA11" i="134"/>
  <c r="DY167" i="11"/>
  <c r="EA90" i="136"/>
  <c r="DY16" i="138"/>
  <c r="DY64" i="134"/>
  <c r="DY58" i="136"/>
  <c r="DW78" i="136"/>
  <c r="DW28" i="136"/>
  <c r="DW354" i="136"/>
  <c r="DW388" i="136"/>
  <c r="DW375" i="136" s="1"/>
  <c r="EA387" i="136"/>
  <c r="DY386" i="136"/>
  <c r="DY374" i="136" s="1"/>
  <c r="DY17" i="136"/>
  <c r="DX17" i="136"/>
  <c r="DY373" i="136"/>
  <c r="DY372" i="136"/>
  <c r="DX78" i="136"/>
  <c r="DX354" i="136"/>
  <c r="DX28" i="136"/>
  <c r="DZ373" i="136"/>
  <c r="DZ372" i="136"/>
  <c r="DZ78" i="136"/>
  <c r="DZ354" i="136"/>
  <c r="DZ28" i="136"/>
  <c r="DW17" i="136"/>
  <c r="DZ17" i="136"/>
  <c r="DW386" i="136"/>
  <c r="DW374" i="136" s="1"/>
  <c r="EA385" i="136"/>
  <c r="DY388" i="136"/>
  <c r="DY375" i="136" s="1"/>
  <c r="DY78" i="136"/>
  <c r="DY354" i="136"/>
  <c r="DY28" i="136"/>
  <c r="EA75" i="136"/>
  <c r="EA13" i="136"/>
  <c r="EA343" i="136"/>
  <c r="DW373" i="136"/>
  <c r="DW372" i="136"/>
  <c r="DX373" i="136"/>
  <c r="DX372" i="136"/>
  <c r="CE377" i="136"/>
  <c r="BY377" i="136"/>
  <c r="BX360" i="136"/>
  <c r="BX369" i="136" s="1"/>
  <c r="DE376" i="136"/>
  <c r="DF44" i="136"/>
  <c r="DF42" i="136"/>
  <c r="DQ34" i="136"/>
  <c r="EA87" i="136"/>
  <c r="EA152" i="136"/>
  <c r="ED167" i="136"/>
  <c r="BX347" i="136"/>
  <c r="BR347" i="136"/>
  <c r="CQ65" i="136"/>
  <c r="EG150" i="136"/>
  <c r="BY347" i="136"/>
  <c r="DT49" i="136"/>
  <c r="DT48" i="136"/>
  <c r="DT23" i="136"/>
  <c r="DK368" i="136"/>
  <c r="DQ23" i="136"/>
  <c r="DK51" i="136"/>
  <c r="ED154" i="136"/>
  <c r="DS47" i="136"/>
  <c r="CA32" i="138"/>
  <c r="CE32" i="138" s="1"/>
  <c r="DN51" i="136"/>
  <c r="DQ48" i="136"/>
  <c r="CG362" i="136"/>
  <c r="DL51" i="136"/>
  <c r="DQ47" i="136"/>
  <c r="CG17" i="134"/>
  <c r="BY24" i="138"/>
  <c r="DU17" i="136"/>
  <c r="BY46" i="138"/>
  <c r="CQ46" i="138"/>
  <c r="CH16" i="134"/>
  <c r="DR23" i="136"/>
  <c r="DR49" i="136"/>
  <c r="CH15" i="134"/>
  <c r="DO23" i="136"/>
  <c r="DQ50" i="136"/>
  <c r="DR48" i="136"/>
  <c r="DR47" i="136"/>
  <c r="DT50" i="136"/>
  <c r="CG364" i="136"/>
  <c r="EF167" i="136"/>
  <c r="EA167" i="136"/>
  <c r="DU78" i="136"/>
  <c r="DU81" i="136" s="1"/>
  <c r="DU85" i="136" s="1"/>
  <c r="DU84" i="136" s="1"/>
  <c r="DU80" i="136"/>
  <c r="EA163" i="136"/>
  <c r="EG151" i="136"/>
  <c r="DI51" i="136"/>
  <c r="EA164" i="136"/>
  <c r="EA86" i="136"/>
  <c r="DM51" i="136"/>
  <c r="EA99" i="136"/>
  <c r="DE42" i="136"/>
  <c r="DE345" i="136"/>
  <c r="DE347" i="136" s="1"/>
  <c r="DO58" i="136"/>
  <c r="DO65" i="136" s="1"/>
  <c r="DS50" i="136"/>
  <c r="DS49" i="136"/>
  <c r="DS23" i="136"/>
  <c r="EE154" i="136"/>
  <c r="EG146" i="136"/>
  <c r="EE167" i="136"/>
  <c r="DS48" i="136"/>
  <c r="DU155" i="136"/>
  <c r="DU158" i="136" s="1"/>
  <c r="DU162" i="136" s="1"/>
  <c r="DU161" i="136" s="1"/>
  <c r="DU160" i="136" s="1"/>
  <c r="DU157" i="136" s="1"/>
  <c r="DU29" i="136"/>
  <c r="DU39" i="136" s="1"/>
  <c r="DU355" i="136"/>
  <c r="DO47" i="136"/>
  <c r="DO49" i="136"/>
  <c r="DO48" i="136"/>
  <c r="DU19" i="136"/>
  <c r="EA154" i="136"/>
  <c r="DO50" i="136"/>
  <c r="DU22" i="136"/>
  <c r="EF154" i="136"/>
  <c r="CE46" i="138"/>
  <c r="DI65" i="136"/>
  <c r="DU98" i="136"/>
  <c r="DT104" i="136"/>
  <c r="EA77" i="136"/>
  <c r="DO105" i="136"/>
  <c r="DO111" i="136"/>
  <c r="EA105" i="136"/>
  <c r="EA111" i="136"/>
  <c r="DT105" i="136"/>
  <c r="DO104" i="136"/>
  <c r="EA104" i="136"/>
  <c r="CK382" i="136"/>
  <c r="CK383" i="136" s="1"/>
  <c r="DU386" i="136"/>
  <c r="DU374" i="136" s="1"/>
  <c r="DU388" i="136"/>
  <c r="DU375" i="136" s="1"/>
  <c r="DU372" i="136"/>
  <c r="DU373" i="136"/>
  <c r="EC155" i="136"/>
  <c r="EC158" i="136" s="1"/>
  <c r="EC162" i="136" s="1"/>
  <c r="EC161" i="136" s="1"/>
  <c r="EC160" i="136" s="1"/>
  <c r="DW158" i="136"/>
  <c r="DW162" i="136" s="1"/>
  <c r="DW161" i="136" s="1"/>
  <c r="DW160" i="136" s="1"/>
  <c r="DU103" i="136"/>
  <c r="DU111" i="136" s="1"/>
  <c r="BY370" i="136"/>
  <c r="CE370" i="136"/>
  <c r="DU28" i="136"/>
  <c r="DU38" i="136" s="1"/>
  <c r="DU354" i="136"/>
  <c r="CK346" i="136"/>
  <c r="CQ347" i="136"/>
  <c r="CJ360" i="136"/>
  <c r="CJ369" i="136" s="1"/>
  <c r="CJ368" i="136"/>
  <c r="CK360" i="136"/>
  <c r="CK369" i="136" s="1"/>
  <c r="CK368" i="136"/>
  <c r="CE346" i="136"/>
  <c r="CK347" i="136"/>
  <c r="CE347" i="136"/>
  <c r="CE65" i="136"/>
  <c r="CG32" i="138"/>
  <c r="CE24" i="138"/>
  <c r="CK65" i="136"/>
  <c r="CJ363" i="136"/>
  <c r="CJ52" i="134" s="1"/>
  <c r="CI52" i="134"/>
  <c r="DO83" i="136"/>
  <c r="DS324" i="136"/>
  <c r="DR324" i="136"/>
  <c r="CK27" i="134"/>
  <c r="CK35" i="136"/>
  <c r="CK55" i="134"/>
  <c r="DQ324" i="136"/>
  <c r="CK24" i="138"/>
  <c r="CJ365" i="136"/>
  <c r="CJ53" i="134" s="1"/>
  <c r="CI53" i="134"/>
  <c r="DT83" i="136"/>
  <c r="DS83" i="136"/>
  <c r="DQ83" i="136"/>
  <c r="DR83" i="136"/>
  <c r="CK46" i="138"/>
  <c r="CQ24" i="138"/>
  <c r="CJ32" i="138"/>
  <c r="CM32" i="138"/>
  <c r="CQ32" i="138" s="1"/>
  <c r="BO9" i="136"/>
  <c r="BJ9" i="136"/>
  <c r="BK9" i="136" s="1"/>
  <c r="BL9" i="136" s="1"/>
  <c r="DK345" i="136"/>
  <c r="DO95" i="134"/>
  <c r="DU95" i="134"/>
  <c r="CQ383" i="136" l="1"/>
  <c r="DZ105" i="136"/>
  <c r="DZ104" i="136"/>
  <c r="DX15" i="134"/>
  <c r="EG169" i="136"/>
  <c r="EG148" i="136" s="1"/>
  <c r="EG13" i="138" s="1"/>
  <c r="EG21" i="138" s="1"/>
  <c r="EG343" i="136"/>
  <c r="EG372" i="136" s="1"/>
  <c r="EE21" i="138"/>
  <c r="EE29" i="138" s="1"/>
  <c r="EC39" i="138"/>
  <c r="EC46" i="138" s="1"/>
  <c r="DY16" i="134"/>
  <c r="DY364" i="136" s="1"/>
  <c r="DZ16" i="134"/>
  <c r="DY15" i="134"/>
  <c r="EG54" i="138"/>
  <c r="EG61" i="138" s="1"/>
  <c r="EG22" i="138"/>
  <c r="EG55" i="136"/>
  <c r="EG62" i="136" s="1"/>
  <c r="EG12" i="138"/>
  <c r="EG20" i="138" s="1"/>
  <c r="EG36" i="138"/>
  <c r="EG43" i="138" s="1"/>
  <c r="EG163" i="136"/>
  <c r="EG87" i="136"/>
  <c r="EG86" i="136"/>
  <c r="EG14" i="136"/>
  <c r="EE155" i="136"/>
  <c r="EE158" i="136" s="1"/>
  <c r="EE162" i="136" s="1"/>
  <c r="EE161" i="136" s="1"/>
  <c r="EE160" i="136" s="1"/>
  <c r="EE29" i="136"/>
  <c r="EE39" i="136" s="1"/>
  <c r="EE355" i="136"/>
  <c r="EF155" i="136"/>
  <c r="EF158" i="136" s="1"/>
  <c r="EF162" i="136" s="1"/>
  <c r="EF161" i="136" s="1"/>
  <c r="EF160" i="136" s="1"/>
  <c r="EF29" i="136"/>
  <c r="EF39" i="136" s="1"/>
  <c r="EF355" i="136"/>
  <c r="ED155" i="136"/>
  <c r="ED158" i="136" s="1"/>
  <c r="ED162" i="136" s="1"/>
  <c r="ED161" i="136" s="1"/>
  <c r="ED160" i="136" s="1"/>
  <c r="ED29" i="136"/>
  <c r="ED39" i="136" s="1"/>
  <c r="ED355" i="136"/>
  <c r="EE388" i="136"/>
  <c r="EE375" i="136" s="1"/>
  <c r="EF388" i="136"/>
  <c r="EF375" i="136" s="1"/>
  <c r="ED386" i="136"/>
  <c r="ED374" i="136" s="1"/>
  <c r="ED39" i="138"/>
  <c r="ED46" i="138" s="1"/>
  <c r="EE386" i="136"/>
  <c r="EE374" i="136" s="1"/>
  <c r="EF386" i="136"/>
  <c r="EF374" i="136" s="1"/>
  <c r="ED388" i="136"/>
  <c r="ED375" i="136" s="1"/>
  <c r="EF64" i="134"/>
  <c r="EF16" i="138"/>
  <c r="EF24" i="138" s="1"/>
  <c r="EF39" i="138"/>
  <c r="EF46" i="138" s="1"/>
  <c r="EF372" i="136"/>
  <c r="EF373" i="136"/>
  <c r="EF11" i="134"/>
  <c r="EE39" i="138"/>
  <c r="EE46" i="138" s="1"/>
  <c r="EE11" i="134"/>
  <c r="EE373" i="136"/>
  <c r="EE372" i="136"/>
  <c r="EE16" i="138"/>
  <c r="EE24" i="138" s="1"/>
  <c r="EE64" i="134"/>
  <c r="EG20" i="136"/>
  <c r="ED16" i="138"/>
  <c r="ED24" i="138" s="1"/>
  <c r="ED64" i="134"/>
  <c r="ED373" i="136"/>
  <c r="ED372" i="136"/>
  <c r="ED11" i="134"/>
  <c r="EC373" i="136"/>
  <c r="EC372" i="136"/>
  <c r="EC11" i="134"/>
  <c r="EG54" i="136"/>
  <c r="EG61" i="136" s="1"/>
  <c r="EG11" i="138"/>
  <c r="EG19" i="138" s="1"/>
  <c r="EC386" i="136"/>
  <c r="EC374" i="136" s="1"/>
  <c r="EG385" i="136"/>
  <c r="EC16" i="138"/>
  <c r="EC24" i="138" s="1"/>
  <c r="EC64" i="134"/>
  <c r="EG387" i="136"/>
  <c r="EC388" i="136"/>
  <c r="EC375" i="136" s="1"/>
  <c r="DW15" i="134"/>
  <c r="DX16" i="134"/>
  <c r="DZ15" i="134"/>
  <c r="DW16" i="134"/>
  <c r="EE58" i="136"/>
  <c r="EE65" i="136" s="1"/>
  <c r="EF58" i="136"/>
  <c r="EF65" i="136" s="1"/>
  <c r="ED58" i="136"/>
  <c r="ED65" i="136" s="1"/>
  <c r="EA61" i="136"/>
  <c r="EG75" i="136"/>
  <c r="EG13" i="136"/>
  <c r="DX81" i="136"/>
  <c r="DX85" i="136" s="1"/>
  <c r="DX84" i="136" s="1"/>
  <c r="DX83" i="136" s="1"/>
  <c r="DZ65" i="136"/>
  <c r="DW65" i="136"/>
  <c r="DX65" i="136"/>
  <c r="EE78" i="136"/>
  <c r="EE81" i="136" s="1"/>
  <c r="EE85" i="136" s="1"/>
  <c r="EE84" i="136" s="1"/>
  <c r="EE83" i="136" s="1"/>
  <c r="EE28" i="136"/>
  <c r="EE17" i="136"/>
  <c r="EF17" i="136"/>
  <c r="EF47" i="136" s="1"/>
  <c r="DW81" i="136"/>
  <c r="DW85" i="136" s="1"/>
  <c r="DW84" i="136" s="1"/>
  <c r="DW83" i="136" s="1"/>
  <c r="EF78" i="136"/>
  <c r="EF81" i="136" s="1"/>
  <c r="EF85" i="136" s="1"/>
  <c r="EF84" i="136" s="1"/>
  <c r="EF83" i="136" s="1"/>
  <c r="EF28" i="136"/>
  <c r="DY81" i="136"/>
  <c r="DY85" i="136" s="1"/>
  <c r="DY84" i="136" s="1"/>
  <c r="DY83" i="136" s="1"/>
  <c r="DZ81" i="136"/>
  <c r="DZ85" i="136" s="1"/>
  <c r="DZ84" i="136" s="1"/>
  <c r="DZ83" i="136" s="1"/>
  <c r="DY65" i="136"/>
  <c r="EG90" i="136"/>
  <c r="EG99" i="136"/>
  <c r="EG103" i="136"/>
  <c r="EG98" i="136"/>
  <c r="EA62" i="136"/>
  <c r="EC58" i="136"/>
  <c r="EC65" i="136" s="1"/>
  <c r="EC78" i="136"/>
  <c r="EC81" i="136" s="1"/>
  <c r="EC85" i="136" s="1"/>
  <c r="EC84" i="136" s="1"/>
  <c r="EC83" i="136" s="1"/>
  <c r="EC28" i="136"/>
  <c r="EG77" i="136"/>
  <c r="EG354" i="136" s="1"/>
  <c r="ED78" i="136"/>
  <c r="ED81" i="136" s="1"/>
  <c r="ED85" i="136" s="1"/>
  <c r="ED84" i="136" s="1"/>
  <c r="ED83" i="136" s="1"/>
  <c r="ED28" i="136"/>
  <c r="EC104" i="136"/>
  <c r="EC111" i="136"/>
  <c r="EC116" i="136" s="1"/>
  <c r="EC105" i="136"/>
  <c r="EF111" i="136"/>
  <c r="EF116" i="136" s="1"/>
  <c r="EF105" i="136"/>
  <c r="EF104" i="136"/>
  <c r="EC17" i="136"/>
  <c r="EC47" i="136" s="1"/>
  <c r="ED17" i="136"/>
  <c r="EA206" i="11"/>
  <c r="DO21" i="136"/>
  <c r="BY376" i="136"/>
  <c r="DU64" i="134"/>
  <c r="DS21" i="136"/>
  <c r="DR21" i="136"/>
  <c r="DQ21" i="136"/>
  <c r="DT21" i="136"/>
  <c r="BY379" i="136"/>
  <c r="BX370" i="136"/>
  <c r="CE378" i="136"/>
  <c r="DX47" i="136"/>
  <c r="DX130" i="11"/>
  <c r="DX13" i="11" s="1"/>
  <c r="DZ29" i="138"/>
  <c r="EA29" i="138" s="1"/>
  <c r="DR34" i="136"/>
  <c r="DS34" i="136" s="1"/>
  <c r="DT34" i="136" s="1"/>
  <c r="DU34" i="136" s="1"/>
  <c r="DW34" i="136"/>
  <c r="EA386" i="136"/>
  <c r="EA374" i="136" s="1"/>
  <c r="DW47" i="136"/>
  <c r="DW130" i="11"/>
  <c r="DW13" i="11" s="1"/>
  <c r="DY47" i="136"/>
  <c r="EA355" i="136"/>
  <c r="EA29" i="136"/>
  <c r="EA39" i="136" s="1"/>
  <c r="DZ47" i="136"/>
  <c r="EA388" i="136"/>
  <c r="EA375" i="136" s="1"/>
  <c r="DZ140" i="11"/>
  <c r="DZ130" i="11"/>
  <c r="EA119" i="11"/>
  <c r="EA167" i="11"/>
  <c r="EA22" i="136"/>
  <c r="EA24" i="136"/>
  <c r="EA19" i="136"/>
  <c r="DY130" i="11"/>
  <c r="DY13" i="11" s="1"/>
  <c r="DZ25" i="136"/>
  <c r="EA80" i="136"/>
  <c r="EA28" i="136"/>
  <c r="EA354" i="136"/>
  <c r="EA373" i="136"/>
  <c r="EA372" i="136"/>
  <c r="DX48" i="136"/>
  <c r="DX23" i="136"/>
  <c r="DX49" i="136"/>
  <c r="DX50" i="136"/>
  <c r="DX38" i="136"/>
  <c r="EA17" i="136"/>
  <c r="DY38" i="136"/>
  <c r="DY25" i="136"/>
  <c r="DW48" i="136"/>
  <c r="DW23" i="136"/>
  <c r="DW49" i="136"/>
  <c r="DW50" i="136"/>
  <c r="DW25" i="136"/>
  <c r="DZ38" i="136"/>
  <c r="DW38" i="136"/>
  <c r="DX25" i="136"/>
  <c r="DZ49" i="136"/>
  <c r="DZ23" i="136"/>
  <c r="DZ50" i="136"/>
  <c r="DZ48" i="136"/>
  <c r="DY23" i="136"/>
  <c r="DY50" i="136"/>
  <c r="DY49" i="136"/>
  <c r="DY48" i="136"/>
  <c r="CE376" i="136"/>
  <c r="BY378" i="136"/>
  <c r="CE379" i="136"/>
  <c r="CJ377" i="136"/>
  <c r="BX377" i="136"/>
  <c r="DF358" i="136"/>
  <c r="DF360" i="136"/>
  <c r="DQ32" i="136"/>
  <c r="DQ358" i="136" s="1"/>
  <c r="DQ359" i="136" s="1"/>
  <c r="DQ368" i="136" s="1"/>
  <c r="DL32" i="136"/>
  <c r="CK377" i="136"/>
  <c r="DT51" i="136"/>
  <c r="CG350" i="136"/>
  <c r="CG13" i="134" s="1"/>
  <c r="DU50" i="136"/>
  <c r="DQ51" i="136"/>
  <c r="DU49" i="136"/>
  <c r="DR51" i="136"/>
  <c r="CG54" i="134"/>
  <c r="CH362" i="136"/>
  <c r="CI15" i="134"/>
  <c r="DU47" i="136"/>
  <c r="CI16" i="134"/>
  <c r="CJ15" i="134"/>
  <c r="CH364" i="136"/>
  <c r="DU48" i="136"/>
  <c r="CJ16" i="134"/>
  <c r="DU23" i="136"/>
  <c r="CH17" i="134"/>
  <c r="DE346" i="136"/>
  <c r="DS51" i="136"/>
  <c r="EG164" i="136"/>
  <c r="EG167" i="136"/>
  <c r="EG152" i="136"/>
  <c r="EG154" i="136"/>
  <c r="EA155" i="136"/>
  <c r="EA158" i="136" s="1"/>
  <c r="EA162" i="136" s="1"/>
  <c r="EA161" i="136" s="1"/>
  <c r="EA160" i="136" s="1"/>
  <c r="EA157" i="136" s="1"/>
  <c r="DU58" i="136"/>
  <c r="DO51" i="136"/>
  <c r="EA78" i="136"/>
  <c r="DU104" i="136"/>
  <c r="DU105" i="136"/>
  <c r="CK370" i="136"/>
  <c r="CK32" i="138"/>
  <c r="DU83" i="136"/>
  <c r="CK59" i="134"/>
  <c r="CK390" i="136" s="1"/>
  <c r="CK29" i="134"/>
  <c r="BP9" i="136"/>
  <c r="BQ9" i="136" s="1"/>
  <c r="BR9" i="136" s="1"/>
  <c r="BU9" i="136"/>
  <c r="DK347" i="136"/>
  <c r="DK346" i="136"/>
  <c r="DK369" i="136"/>
  <c r="CU26" i="134"/>
  <c r="CU95" i="134" s="1"/>
  <c r="CY26" i="134"/>
  <c r="CY95" i="134" s="1"/>
  <c r="CZ26" i="134"/>
  <c r="CZ95" i="134" s="1"/>
  <c r="DA26" i="134"/>
  <c r="DB26" i="134"/>
  <c r="DB95" i="134" s="1"/>
  <c r="CS15" i="134"/>
  <c r="CT15" i="134"/>
  <c r="CU15" i="134"/>
  <c r="CV15" i="134"/>
  <c r="CY15" i="134"/>
  <c r="CY94" i="134" s="1"/>
  <c r="CZ15" i="134"/>
  <c r="DA15" i="134"/>
  <c r="DB15" i="134"/>
  <c r="DH66" i="134" s="1"/>
  <c r="CS12" i="134"/>
  <c r="CT12" i="134"/>
  <c r="CT93" i="134" s="1"/>
  <c r="CU12" i="134"/>
  <c r="CV12" i="134"/>
  <c r="CY12" i="134"/>
  <c r="CZ12" i="134"/>
  <c r="DA12" i="134"/>
  <c r="DA93" i="134" s="1"/>
  <c r="DB12" i="134"/>
  <c r="DH65" i="134" s="1"/>
  <c r="CV95" i="134"/>
  <c r="CT95" i="134"/>
  <c r="CS95" i="134"/>
  <c r="EG373" i="136" l="1"/>
  <c r="EG388" i="136"/>
  <c r="EG375" i="136" s="1"/>
  <c r="EG386" i="136"/>
  <c r="EG374" i="136" s="1"/>
  <c r="DZ21" i="136"/>
  <c r="DW21" i="136"/>
  <c r="DX21" i="136"/>
  <c r="DY21" i="136"/>
  <c r="EF29" i="138"/>
  <c r="EG29" i="138" s="1"/>
  <c r="EE25" i="136"/>
  <c r="EG116" i="136"/>
  <c r="EC25" i="136"/>
  <c r="DZ364" i="136"/>
  <c r="DX34" i="136"/>
  <c r="DY34" i="136" s="1"/>
  <c r="DZ34" i="136" s="1"/>
  <c r="EA34" i="136" s="1"/>
  <c r="EC34" i="136"/>
  <c r="ED34" i="136" s="1"/>
  <c r="EE34" i="136" s="1"/>
  <c r="EF34" i="136" s="1"/>
  <c r="EG34" i="136" s="1"/>
  <c r="DY17" i="134"/>
  <c r="DY54" i="134" s="1"/>
  <c r="EF25" i="136"/>
  <c r="ED25" i="136"/>
  <c r="EG155" i="136"/>
  <c r="EG158" i="136" s="1"/>
  <c r="EG162" i="136" s="1"/>
  <c r="EG161" i="136" s="1"/>
  <c r="EG160" i="136" s="1"/>
  <c r="EG157" i="136" s="1"/>
  <c r="EG29" i="136"/>
  <c r="EG39" i="136" s="1"/>
  <c r="EG355" i="136"/>
  <c r="DW17" i="134"/>
  <c r="EE32" i="138"/>
  <c r="EF32" i="138"/>
  <c r="EF167" i="11"/>
  <c r="EF63" i="134"/>
  <c r="EF119" i="11"/>
  <c r="EF206" i="11"/>
  <c r="EF15" i="134"/>
  <c r="EF16" i="134"/>
  <c r="EE63" i="134"/>
  <c r="EE206" i="11"/>
  <c r="EE119" i="11"/>
  <c r="EE167" i="11"/>
  <c r="EE16" i="134"/>
  <c r="EE15" i="134"/>
  <c r="DX17" i="134"/>
  <c r="DX121" i="12" s="1"/>
  <c r="ED63" i="134"/>
  <c r="ED119" i="11"/>
  <c r="ED206" i="11"/>
  <c r="ED167" i="11"/>
  <c r="ED15" i="134"/>
  <c r="ED16" i="134"/>
  <c r="ED364" i="136" s="1"/>
  <c r="EC167" i="11"/>
  <c r="EC63" i="134"/>
  <c r="EC206" i="11"/>
  <c r="EC119" i="11"/>
  <c r="EC15" i="134"/>
  <c r="EC66" i="134" s="1"/>
  <c r="EG11" i="134"/>
  <c r="EC16" i="134"/>
  <c r="ED32" i="138"/>
  <c r="DZ17" i="134"/>
  <c r="DZ54" i="134" s="1"/>
  <c r="DX364" i="136"/>
  <c r="EA16" i="134"/>
  <c r="EA15" i="134"/>
  <c r="EE48" i="136"/>
  <c r="EE23" i="136"/>
  <c r="EE21" i="136" s="1"/>
  <c r="EE50" i="136"/>
  <c r="EE49" i="136"/>
  <c r="EA81" i="136"/>
  <c r="EA85" i="136" s="1"/>
  <c r="EA84" i="136" s="1"/>
  <c r="EA83" i="136" s="1"/>
  <c r="ED48" i="136"/>
  <c r="ED23" i="136"/>
  <c r="ED21" i="136" s="1"/>
  <c r="ED49" i="136"/>
  <c r="ED50" i="136"/>
  <c r="EG19" i="136"/>
  <c r="EE38" i="136"/>
  <c r="ED47" i="136"/>
  <c r="EF38" i="136"/>
  <c r="EG22" i="136"/>
  <c r="EG17" i="136"/>
  <c r="EG47" i="136" s="1"/>
  <c r="ED38" i="136"/>
  <c r="EC38" i="136"/>
  <c r="EC50" i="136"/>
  <c r="EC23" i="136"/>
  <c r="EC21" i="136" s="1"/>
  <c r="EC49" i="136"/>
  <c r="EC48" i="136"/>
  <c r="EF23" i="136"/>
  <c r="EF21" i="136" s="1"/>
  <c r="EF50" i="136"/>
  <c r="EF49" i="136"/>
  <c r="EF48" i="136"/>
  <c r="EG24" i="136"/>
  <c r="EG80" i="136"/>
  <c r="EG78" i="136"/>
  <c r="EG81" i="136" s="1"/>
  <c r="EG85" i="136" s="1"/>
  <c r="EG84" i="136" s="1"/>
  <c r="EG83" i="136" s="1"/>
  <c r="EG28" i="136"/>
  <c r="EG111" i="136"/>
  <c r="EG105" i="136"/>
  <c r="EG104" i="136"/>
  <c r="EE47" i="136"/>
  <c r="DU21" i="136"/>
  <c r="DT32" i="136"/>
  <c r="DT358" i="136" s="1"/>
  <c r="DB120" i="12"/>
  <c r="CZ120" i="12"/>
  <c r="CV93" i="134"/>
  <c r="CV120" i="12"/>
  <c r="CT120" i="12"/>
  <c r="DB362" i="136"/>
  <c r="DB363" i="136" s="1"/>
  <c r="CZ362" i="136"/>
  <c r="CZ363" i="136" s="1"/>
  <c r="CV362" i="136"/>
  <c r="CV363" i="136" s="1"/>
  <c r="CT362" i="136"/>
  <c r="CT363" i="136" s="1"/>
  <c r="DG65" i="134"/>
  <c r="DA120" i="12"/>
  <c r="CY93" i="134"/>
  <c r="CY99" i="134" s="1"/>
  <c r="CY120" i="12"/>
  <c r="CU120" i="12"/>
  <c r="CS93" i="134"/>
  <c r="CS120" i="12"/>
  <c r="DG66" i="134"/>
  <c r="CY362" i="136"/>
  <c r="CY363" i="136" s="1"/>
  <c r="CS362" i="136"/>
  <c r="CS363" i="136" s="1"/>
  <c r="BX378" i="136"/>
  <c r="CJ376" i="136"/>
  <c r="DR32" i="136"/>
  <c r="DR358" i="136" s="1"/>
  <c r="DR359" i="136" s="1"/>
  <c r="DR368" i="136" s="1"/>
  <c r="DS32" i="136"/>
  <c r="DS358" i="136" s="1"/>
  <c r="DW32" i="136"/>
  <c r="DW33" i="136" s="1"/>
  <c r="DW345" i="136" s="1"/>
  <c r="DZ51" i="136"/>
  <c r="DX96" i="11"/>
  <c r="DX174" i="11"/>
  <c r="CE57" i="134"/>
  <c r="DX51" i="136"/>
  <c r="DW51" i="136"/>
  <c r="DW96" i="11"/>
  <c r="DW174" i="11"/>
  <c r="DX21" i="12"/>
  <c r="EA25" i="136"/>
  <c r="DZ13" i="11"/>
  <c r="EA130" i="11"/>
  <c r="EA47" i="136"/>
  <c r="EA140" i="11"/>
  <c r="EA141" i="11" s="1"/>
  <c r="DZ21" i="11"/>
  <c r="DY51" i="136"/>
  <c r="EA64" i="134"/>
  <c r="EA16" i="138"/>
  <c r="EA58" i="136"/>
  <c r="DU65" i="136"/>
  <c r="DY96" i="11"/>
  <c r="DY174" i="11"/>
  <c r="DY21" i="12"/>
  <c r="EA39" i="138"/>
  <c r="DX362" i="136"/>
  <c r="EA49" i="136"/>
  <c r="EA23" i="136"/>
  <c r="EA50" i="136"/>
  <c r="EA48" i="136"/>
  <c r="DW362" i="136"/>
  <c r="DW364" i="136"/>
  <c r="DY362" i="136"/>
  <c r="EA38" i="136"/>
  <c r="DZ362" i="136"/>
  <c r="CK379" i="136"/>
  <c r="BX376" i="136"/>
  <c r="BX379" i="136"/>
  <c r="DQ33" i="136"/>
  <c r="DQ44" i="136" s="1"/>
  <c r="DI32" i="136"/>
  <c r="DI34" i="136" s="1"/>
  <c r="DF345" i="136"/>
  <c r="DL358" i="136"/>
  <c r="DL33" i="136"/>
  <c r="DN34" i="136"/>
  <c r="DM32" i="136"/>
  <c r="DM358" i="136" s="1"/>
  <c r="CK376" i="136"/>
  <c r="CK378" i="136"/>
  <c r="CG351" i="136"/>
  <c r="CG12" i="134"/>
  <c r="CG49" i="134" s="1"/>
  <c r="CG20" i="134"/>
  <c r="CG55" i="134" s="1"/>
  <c r="DU51" i="136"/>
  <c r="CG50" i="134"/>
  <c r="CI362" i="136"/>
  <c r="CH350" i="136"/>
  <c r="CH351" i="136" s="1"/>
  <c r="CH54" i="134"/>
  <c r="CJ17" i="134"/>
  <c r="CI364" i="136"/>
  <c r="CJ364" i="136"/>
  <c r="CI17" i="134"/>
  <c r="CJ362" i="136"/>
  <c r="DK370" i="136"/>
  <c r="CK32" i="134"/>
  <c r="CK36" i="134"/>
  <c r="DA94" i="134"/>
  <c r="DA99" i="134" s="1"/>
  <c r="DA207" i="11" s="1"/>
  <c r="DA362" i="136"/>
  <c r="DA363" i="136" s="1"/>
  <c r="CV94" i="134"/>
  <c r="CU94" i="134"/>
  <c r="CU362" i="136"/>
  <c r="CU363" i="136" s="1"/>
  <c r="DB94" i="134"/>
  <c r="CA9" i="136"/>
  <c r="BV9" i="136"/>
  <c r="BW9" i="136" s="1"/>
  <c r="BX9" i="136" s="1"/>
  <c r="DQ360" i="136"/>
  <c r="DQ369" i="136" s="1"/>
  <c r="CW95" i="134"/>
  <c r="DA95" i="134"/>
  <c r="CT94" i="134"/>
  <c r="CZ94" i="134"/>
  <c r="CZ93" i="134"/>
  <c r="DX32" i="136" l="1"/>
  <c r="DX358" i="136" s="1"/>
  <c r="DX359" i="136" s="1"/>
  <c r="DX360" i="136" s="1"/>
  <c r="DX369" i="136" s="1"/>
  <c r="DY32" i="136"/>
  <c r="DY358" i="136" s="1"/>
  <c r="DZ32" i="136"/>
  <c r="DZ358" i="136" s="1"/>
  <c r="EA21" i="136"/>
  <c r="DY121" i="12"/>
  <c r="ED32" i="136"/>
  <c r="ED33" i="136" s="1"/>
  <c r="ED345" i="136" s="1"/>
  <c r="ED346" i="136" s="1"/>
  <c r="EC32" i="136"/>
  <c r="EC33" i="136" s="1"/>
  <c r="EC345" i="136" s="1"/>
  <c r="EC346" i="136" s="1"/>
  <c r="EF32" i="136"/>
  <c r="EF358" i="136" s="1"/>
  <c r="EE32" i="136"/>
  <c r="EE358" i="136" s="1"/>
  <c r="EG25" i="136"/>
  <c r="CV99" i="134"/>
  <c r="DW54" i="134"/>
  <c r="DW121" i="12"/>
  <c r="DX54" i="134"/>
  <c r="EC51" i="136"/>
  <c r="EF51" i="136"/>
  <c r="EF364" i="136"/>
  <c r="EF67" i="134"/>
  <c r="EF362" i="136"/>
  <c r="EF17" i="134"/>
  <c r="EF147" i="11"/>
  <c r="EF32" i="12" s="1"/>
  <c r="EF140" i="11"/>
  <c r="EF142" i="11"/>
  <c r="EF130" i="11"/>
  <c r="EF66" i="134"/>
  <c r="EE362" i="136"/>
  <c r="EE17" i="134"/>
  <c r="EE66" i="134"/>
  <c r="EE364" i="136"/>
  <c r="EE67" i="134"/>
  <c r="EE140" i="11"/>
  <c r="EE21" i="11" s="1"/>
  <c r="EE130" i="11"/>
  <c r="EE13" i="11" s="1"/>
  <c r="EE147" i="11"/>
  <c r="EE32" i="12" s="1"/>
  <c r="ED130" i="11"/>
  <c r="ED13" i="11" s="1"/>
  <c r="ED147" i="11"/>
  <c r="ED32" i="12" s="1"/>
  <c r="ED140" i="11"/>
  <c r="ED21" i="11" s="1"/>
  <c r="ED362" i="136"/>
  <c r="ED17" i="134"/>
  <c r="ED66" i="134"/>
  <c r="ED67" i="134"/>
  <c r="EG16" i="138"/>
  <c r="EG24" i="138" s="1"/>
  <c r="EG64" i="134"/>
  <c r="EG39" i="138"/>
  <c r="EG46" i="138" s="1"/>
  <c r="EC147" i="11"/>
  <c r="EC140" i="11"/>
  <c r="EC21" i="11" s="1"/>
  <c r="EC130" i="11"/>
  <c r="EC13" i="11" s="1"/>
  <c r="EC364" i="136"/>
  <c r="EG16" i="134"/>
  <c r="EC362" i="136"/>
  <c r="EG15" i="134"/>
  <c r="EC17" i="134"/>
  <c r="EC67" i="134"/>
  <c r="EG119" i="11"/>
  <c r="EG167" i="11"/>
  <c r="EG206" i="11"/>
  <c r="EG63" i="134"/>
  <c r="EA17" i="134"/>
  <c r="EA54" i="134" s="1"/>
  <c r="EA52" i="134"/>
  <c r="DZ121" i="12"/>
  <c r="EA53" i="134"/>
  <c r="DZ21" i="12"/>
  <c r="EG58" i="136"/>
  <c r="EG65" i="136" s="1"/>
  <c r="EG21" i="136"/>
  <c r="EA65" i="136"/>
  <c r="EG38" i="136"/>
  <c r="ED51" i="136"/>
  <c r="EG49" i="136"/>
  <c r="EG23" i="136"/>
  <c r="EG48" i="136"/>
  <c r="EG50" i="136"/>
  <c r="EE51" i="136"/>
  <c r="CY209" i="11"/>
  <c r="CY210" i="11" s="1"/>
  <c r="CY211" i="11" s="1"/>
  <c r="DW358" i="136"/>
  <c r="DR33" i="136"/>
  <c r="DR42" i="136" s="1"/>
  <c r="DU358" i="136"/>
  <c r="DR360" i="136"/>
  <c r="DR369" i="136" s="1"/>
  <c r="DW381" i="136"/>
  <c r="DW382" i="136" s="1"/>
  <c r="DW383" i="136" s="1"/>
  <c r="DU32" i="136"/>
  <c r="DW42" i="136"/>
  <c r="CK57" i="134"/>
  <c r="DW44" i="136"/>
  <c r="DZ179" i="11"/>
  <c r="EA21" i="11"/>
  <c r="EA179" i="11" s="1"/>
  <c r="EA51" i="136"/>
  <c r="DZ174" i="11"/>
  <c r="EA13" i="11"/>
  <c r="DZ96" i="11"/>
  <c r="EA364" i="136"/>
  <c r="EA365" i="136" s="1"/>
  <c r="EA362" i="136"/>
  <c r="EA363" i="136" s="1"/>
  <c r="DW346" i="136"/>
  <c r="DQ42" i="136"/>
  <c r="DQ345" i="136"/>
  <c r="DQ346" i="136" s="1"/>
  <c r="DF368" i="136"/>
  <c r="DF369" i="136"/>
  <c r="DF347" i="136"/>
  <c r="DF346" i="136"/>
  <c r="DO34" i="136"/>
  <c r="DN32" i="136"/>
  <c r="DO32" i="136" s="1"/>
  <c r="DL44" i="136"/>
  <c r="DL42" i="136"/>
  <c r="DL345" i="136"/>
  <c r="DL359" i="136"/>
  <c r="CI350" i="136"/>
  <c r="CI13" i="134" s="1"/>
  <c r="CH13" i="134"/>
  <c r="CH20" i="134" s="1"/>
  <c r="CI54" i="134"/>
  <c r="CJ54" i="134"/>
  <c r="CJ350" i="136"/>
  <c r="CJ351" i="136" s="1"/>
  <c r="DQ370" i="136"/>
  <c r="CK34" i="134"/>
  <c r="CK37" i="134"/>
  <c r="CK38" i="134"/>
  <c r="CB9" i="136"/>
  <c r="CC9" i="136" s="1"/>
  <c r="CD9" i="136" s="1"/>
  <c r="CG9" i="136"/>
  <c r="CZ99" i="134"/>
  <c r="CT99" i="134"/>
  <c r="DC94" i="134"/>
  <c r="DC95" i="134"/>
  <c r="DX33" i="136" l="1"/>
  <c r="DX345" i="136" s="1"/>
  <c r="DX346" i="136" s="1"/>
  <c r="DX350" i="136"/>
  <c r="DX13" i="134" s="1"/>
  <c r="DX12" i="134" s="1"/>
  <c r="DX368" i="136"/>
  <c r="DX381" i="136"/>
  <c r="DX382" i="136" s="1"/>
  <c r="DX383" i="136" s="1"/>
  <c r="EA32" i="136"/>
  <c r="EA358" i="136"/>
  <c r="EC358" i="136"/>
  <c r="EC359" i="136" s="1"/>
  <c r="EC381" i="136"/>
  <c r="EC382" i="136" s="1"/>
  <c r="ED358" i="136"/>
  <c r="ED359" i="136" s="1"/>
  <c r="ED360" i="136" s="1"/>
  <c r="ED369" i="136" s="1"/>
  <c r="ED381" i="136"/>
  <c r="ED382" i="136" s="1"/>
  <c r="ED383" i="136" s="1"/>
  <c r="EG32" i="136"/>
  <c r="EC347" i="136"/>
  <c r="EC44" i="136"/>
  <c r="EC42" i="136"/>
  <c r="EG66" i="134"/>
  <c r="EG67" i="134"/>
  <c r="ED42" i="136"/>
  <c r="EF13" i="11"/>
  <c r="EF21" i="12" s="1"/>
  <c r="EG130" i="11"/>
  <c r="EG142" i="11"/>
  <c r="EG143" i="11" s="1"/>
  <c r="EF40" i="11"/>
  <c r="EF21" i="11"/>
  <c r="EG140" i="11"/>
  <c r="EG141" i="11" s="1"/>
  <c r="EF72" i="12"/>
  <c r="EF36" i="12"/>
  <c r="EF121" i="12"/>
  <c r="EF54" i="134"/>
  <c r="EA121" i="12"/>
  <c r="EF68" i="134"/>
  <c r="EE96" i="11"/>
  <c r="EE174" i="11"/>
  <c r="EE179" i="11"/>
  <c r="EE121" i="12"/>
  <c r="EE54" i="134"/>
  <c r="EE68" i="134"/>
  <c r="EE72" i="12"/>
  <c r="EE36" i="12"/>
  <c r="ED179" i="11"/>
  <c r="ED36" i="12"/>
  <c r="ED72" i="12"/>
  <c r="EE21" i="12"/>
  <c r="ED174" i="11"/>
  <c r="ED96" i="11"/>
  <c r="ED121" i="12"/>
  <c r="ED54" i="134"/>
  <c r="ED68" i="134"/>
  <c r="ED21" i="12"/>
  <c r="EC21" i="12"/>
  <c r="EC96" i="11"/>
  <c r="EC174" i="11"/>
  <c r="EC32" i="12"/>
  <c r="EG147" i="11"/>
  <c r="EG148" i="11" s="1"/>
  <c r="EC121" i="12"/>
  <c r="EC54" i="134"/>
  <c r="EC68" i="134"/>
  <c r="EG362" i="136"/>
  <c r="EG363" i="136" s="1"/>
  <c r="EG52" i="134"/>
  <c r="EG17" i="134"/>
  <c r="EG68" i="134" s="1"/>
  <c r="EC179" i="11"/>
  <c r="EG364" i="136"/>
  <c r="EG365" i="136" s="1"/>
  <c r="EG53" i="134"/>
  <c r="EG51" i="136"/>
  <c r="DW359" i="136"/>
  <c r="DW360" i="136" s="1"/>
  <c r="DW369" i="136" s="1"/>
  <c r="DR44" i="136"/>
  <c r="DR345" i="136"/>
  <c r="DR346" i="136" s="1"/>
  <c r="DX370" i="136"/>
  <c r="DW347" i="136"/>
  <c r="EA174" i="11"/>
  <c r="EA96" i="11"/>
  <c r="EA122" i="11"/>
  <c r="EA84" i="11" s="1"/>
  <c r="DQ347" i="136"/>
  <c r="DL346" i="136"/>
  <c r="DL347" i="136"/>
  <c r="DL368" i="136"/>
  <c r="DL360" i="136"/>
  <c r="DL369" i="136" s="1"/>
  <c r="DN358" i="136"/>
  <c r="CI351" i="136"/>
  <c r="CI50" i="134"/>
  <c r="CI20" i="134"/>
  <c r="CI12" i="134"/>
  <c r="CI49" i="134" s="1"/>
  <c r="CH55" i="134"/>
  <c r="CH12" i="134"/>
  <c r="CH50" i="134"/>
  <c r="CJ13" i="134"/>
  <c r="CK35" i="134"/>
  <c r="CK71" i="134"/>
  <c r="CK91" i="134"/>
  <c r="CK60" i="134"/>
  <c r="CM9" i="136"/>
  <c r="CH9" i="136"/>
  <c r="CI9" i="136" s="1"/>
  <c r="CJ9" i="136" s="1"/>
  <c r="DC16" i="134"/>
  <c r="CY17" i="134"/>
  <c r="DX351" i="136" l="1"/>
  <c r="ED347" i="136"/>
  <c r="DX44" i="136"/>
  <c r="ED44" i="136"/>
  <c r="DX20" i="134"/>
  <c r="DX42" i="136"/>
  <c r="DX50" i="134"/>
  <c r="EC383" i="136"/>
  <c r="ED368" i="136"/>
  <c r="ED350" i="136"/>
  <c r="ED13" i="134" s="1"/>
  <c r="EG358" i="136"/>
  <c r="EG40" i="11"/>
  <c r="EG187" i="11" s="1"/>
  <c r="EF187" i="11"/>
  <c r="EF179" i="11"/>
  <c r="EG21" i="11"/>
  <c r="EG179" i="11" s="1"/>
  <c r="EF96" i="11"/>
  <c r="EG13" i="11"/>
  <c r="EF174" i="11"/>
  <c r="ED370" i="136"/>
  <c r="EG21" i="12"/>
  <c r="EC36" i="12"/>
  <c r="EC72" i="12"/>
  <c r="EG32" i="12"/>
  <c r="EC368" i="136"/>
  <c r="EC360" i="136"/>
  <c r="EC369" i="136" s="1"/>
  <c r="EC350" i="136"/>
  <c r="EG121" i="12"/>
  <c r="EG54" i="134"/>
  <c r="DW368" i="136"/>
  <c r="DW350" i="136"/>
  <c r="DW13" i="134" s="1"/>
  <c r="DX125" i="11"/>
  <c r="DR347" i="136"/>
  <c r="DX347" i="136"/>
  <c r="DX120" i="12"/>
  <c r="DX122" i="12" s="1"/>
  <c r="DX93" i="134"/>
  <c r="DX49" i="134"/>
  <c r="DW370" i="136"/>
  <c r="CY121" i="12"/>
  <c r="CY122" i="12" s="1"/>
  <c r="CY124" i="12" s="1"/>
  <c r="DL370" i="136"/>
  <c r="DR370" i="136"/>
  <c r="DO358" i="136"/>
  <c r="CI55" i="134"/>
  <c r="CJ12" i="134"/>
  <c r="CJ50" i="134"/>
  <c r="CJ20" i="134"/>
  <c r="CJ55" i="134" s="1"/>
  <c r="CH49" i="134"/>
  <c r="CK72" i="134"/>
  <c r="CY54" i="134"/>
  <c r="DC364" i="136"/>
  <c r="DC365" i="136" s="1"/>
  <c r="CN9" i="136"/>
  <c r="CO9" i="136" s="1"/>
  <c r="CP9" i="136" s="1"/>
  <c r="CS9" i="136"/>
  <c r="DC15" i="134"/>
  <c r="DX168" i="11" l="1"/>
  <c r="DX55" i="134"/>
  <c r="ED351" i="136"/>
  <c r="EG96" i="11"/>
  <c r="EG174" i="11"/>
  <c r="EG122" i="11"/>
  <c r="EG84" i="11" s="1"/>
  <c r="ED20" i="134"/>
  <c r="ED12" i="134"/>
  <c r="ED50" i="134"/>
  <c r="ED51" i="134"/>
  <c r="EC370" i="136"/>
  <c r="EC351" i="136"/>
  <c r="EC13" i="134"/>
  <c r="EG72" i="12"/>
  <c r="EG36" i="12"/>
  <c r="DW351" i="136"/>
  <c r="DW12" i="134"/>
  <c r="DW20" i="134"/>
  <c r="DW50" i="134"/>
  <c r="CJ49" i="134"/>
  <c r="DC362" i="136"/>
  <c r="DC363" i="136" s="1"/>
  <c r="CY9" i="136"/>
  <c r="CZ9" i="136" s="1"/>
  <c r="DA9" i="136" s="1"/>
  <c r="DB9" i="136" s="1"/>
  <c r="CT9" i="136"/>
  <c r="CU9" i="136" s="1"/>
  <c r="CV9" i="136" s="1"/>
  <c r="CS79" i="134"/>
  <c r="ED49" i="134" l="1"/>
  <c r="ED125" i="11"/>
  <c r="ED93" i="134"/>
  <c r="ED120" i="12"/>
  <c r="ED122" i="12" s="1"/>
  <c r="ED65" i="134"/>
  <c r="ED168" i="11"/>
  <c r="ED55" i="134"/>
  <c r="ED56" i="134"/>
  <c r="ED69" i="134"/>
  <c r="EC50" i="134"/>
  <c r="EC12" i="134"/>
  <c r="EC20" i="134"/>
  <c r="EC69" i="134" s="1"/>
  <c r="EC51" i="134"/>
  <c r="DW49" i="134"/>
  <c r="DW168" i="11"/>
  <c r="DW55" i="134"/>
  <c r="DW125" i="11"/>
  <c r="DW134" i="11" s="1"/>
  <c r="DW33" i="11" s="1"/>
  <c r="DW120" i="12"/>
  <c r="DW122" i="12" s="1"/>
  <c r="DW93" i="134"/>
  <c r="CS94" i="134"/>
  <c r="CS99" i="134" s="1"/>
  <c r="E135" i="12"/>
  <c r="G135" i="12"/>
  <c r="I135" i="12"/>
  <c r="K135" i="12"/>
  <c r="CS135" i="12"/>
  <c r="CM135" i="12"/>
  <c r="CG135" i="12"/>
  <c r="CA135" i="12"/>
  <c r="BU135" i="12"/>
  <c r="BO135" i="12"/>
  <c r="BI135" i="12"/>
  <c r="BC135" i="12"/>
  <c r="AW135" i="12"/>
  <c r="AK135" i="12"/>
  <c r="AE135" i="12"/>
  <c r="Y135" i="12"/>
  <c r="S135" i="12"/>
  <c r="M135" i="12"/>
  <c r="CS134" i="12"/>
  <c r="CM134" i="12"/>
  <c r="CG134" i="12"/>
  <c r="CA134" i="12"/>
  <c r="BU134" i="12"/>
  <c r="BO134" i="12"/>
  <c r="BI134" i="12"/>
  <c r="BC134" i="12"/>
  <c r="AQ134" i="12"/>
  <c r="AK134" i="12"/>
  <c r="AE134" i="12"/>
  <c r="Y134" i="12"/>
  <c r="S134" i="12"/>
  <c r="M134" i="12"/>
  <c r="ED133" i="11" l="1"/>
  <c r="ED32" i="11" s="1"/>
  <c r="ED131" i="11"/>
  <c r="EC55" i="134"/>
  <c r="EC168" i="11"/>
  <c r="EC56" i="134"/>
  <c r="EC120" i="12"/>
  <c r="EC122" i="12" s="1"/>
  <c r="EC49" i="134"/>
  <c r="EC93" i="134"/>
  <c r="EC125" i="11"/>
  <c r="EC65" i="134"/>
  <c r="DW185" i="11"/>
  <c r="CW94" i="134"/>
  <c r="DB77" i="12"/>
  <c r="DA77" i="12"/>
  <c r="CZ77" i="12"/>
  <c r="CY77" i="12"/>
  <c r="CV77" i="12"/>
  <c r="CU77" i="12"/>
  <c r="CT77" i="12"/>
  <c r="CS77" i="12"/>
  <c r="CY72" i="12"/>
  <c r="CS72" i="12"/>
  <c r="ED14" i="11" l="1"/>
  <c r="ED105" i="11"/>
  <c r="ED184" i="11"/>
  <c r="ED98" i="11"/>
  <c r="EC133" i="11"/>
  <c r="EC32" i="11" s="1"/>
  <c r="EC131" i="11"/>
  <c r="ED175" i="11" l="1"/>
  <c r="ED97" i="11"/>
  <c r="ED99" i="11" s="1"/>
  <c r="ED100" i="11" s="1"/>
  <c r="EC105" i="11"/>
  <c r="EC14" i="11"/>
  <c r="ED23" i="12"/>
  <c r="EC184" i="11"/>
  <c r="EC98" i="11"/>
  <c r="DU87" i="12"/>
  <c r="DO87" i="12"/>
  <c r="DI87" i="12"/>
  <c r="ED22" i="12" l="1"/>
  <c r="EC175" i="11"/>
  <c r="ED111" i="11"/>
  <c r="EC97" i="11"/>
  <c r="EC99" i="11" s="1"/>
  <c r="EC100" i="11" s="1"/>
  <c r="DF90" i="12"/>
  <c r="DG90" i="12" l="1"/>
  <c r="DK89" i="12" l="1"/>
  <c r="DH90" i="12"/>
  <c r="DI90" i="12" l="1"/>
  <c r="DK90" i="12"/>
  <c r="DL89" i="12"/>
  <c r="DM89" i="12" l="1"/>
  <c r="DL90" i="12"/>
  <c r="DN89" i="12" l="1"/>
  <c r="DM90" i="12"/>
  <c r="DN90" i="12" l="1"/>
  <c r="DQ89" i="12"/>
  <c r="DO89" i="12"/>
  <c r="DO90" i="12" l="1"/>
  <c r="DQ90" i="12"/>
  <c r="DR89" i="12"/>
  <c r="DS89" i="12" l="1"/>
  <c r="DR90" i="12"/>
  <c r="DT89" i="12" l="1"/>
  <c r="DW89" i="12" s="1"/>
  <c r="DS90" i="12"/>
  <c r="DW90" i="12" l="1"/>
  <c r="DX89" i="12"/>
  <c r="DT90" i="12"/>
  <c r="DU89" i="12"/>
  <c r="DU90" i="12" s="1"/>
  <c r="DY89" i="12" l="1"/>
  <c r="DX90" i="12"/>
  <c r="DY90" i="12" l="1"/>
  <c r="DZ89" i="12"/>
  <c r="EC89" i="12" s="1"/>
  <c r="EC90" i="12" l="1"/>
  <c r="ED89" i="12"/>
  <c r="DZ90" i="12"/>
  <c r="EA89" i="12"/>
  <c r="EA90" i="12" s="1"/>
  <c r="DT31" i="134"/>
  <c r="DS31" i="134"/>
  <c r="DR31" i="134"/>
  <c r="DQ31" i="134"/>
  <c r="DT30" i="134"/>
  <c r="DS30" i="134"/>
  <c r="DR30" i="134"/>
  <c r="DQ30" i="134"/>
  <c r="DN31" i="134"/>
  <c r="DM31" i="134"/>
  <c r="DL31" i="134"/>
  <c r="DN30" i="134"/>
  <c r="DM30" i="134"/>
  <c r="DL30" i="134"/>
  <c r="DU89" i="134"/>
  <c r="DO89" i="134"/>
  <c r="DU88" i="134"/>
  <c r="DO88" i="134"/>
  <c r="DA75" i="134"/>
  <c r="DB75" i="134" s="1"/>
  <c r="ED90" i="12" l="1"/>
  <c r="EE89" i="12"/>
  <c r="DM11" i="12"/>
  <c r="DS11" i="12"/>
  <c r="DN11" i="12"/>
  <c r="DT11" i="12"/>
  <c r="DL11" i="12"/>
  <c r="DR11" i="12"/>
  <c r="DI30" i="134"/>
  <c r="DI88" i="134" s="1"/>
  <c r="DO30" i="134"/>
  <c r="DO31" i="134"/>
  <c r="DU30" i="134"/>
  <c r="DU31" i="134"/>
  <c r="DQ11" i="12"/>
  <c r="DK11" i="12"/>
  <c r="DI31" i="134"/>
  <c r="DI89" i="134" s="1"/>
  <c r="CT87" i="134"/>
  <c r="CW28" i="134"/>
  <c r="DB89" i="134"/>
  <c r="DA89" i="134"/>
  <c r="CZ89" i="134"/>
  <c r="CY89" i="134"/>
  <c r="DB88" i="134"/>
  <c r="DA88" i="134"/>
  <c r="CZ88" i="134"/>
  <c r="CY88" i="134"/>
  <c r="CV89" i="134"/>
  <c r="CU89" i="134"/>
  <c r="CT89" i="134"/>
  <c r="CV88" i="134"/>
  <c r="CU88" i="134"/>
  <c r="CT88" i="134"/>
  <c r="EF89" i="12" l="1"/>
  <c r="EG89" i="12" s="1"/>
  <c r="EE90" i="12"/>
  <c r="DG73" i="134"/>
  <c r="DO11" i="12"/>
  <c r="DU11" i="12"/>
  <c r="CT33" i="134"/>
  <c r="CZ96" i="134"/>
  <c r="CZ97" i="134" s="1"/>
  <c r="CZ33" i="134"/>
  <c r="CT96" i="134"/>
  <c r="CT97" i="134" s="1"/>
  <c r="CZ90" i="134"/>
  <c r="CT90" i="134"/>
  <c r="CS89" i="134"/>
  <c r="CS88" i="134"/>
  <c r="DB96" i="134"/>
  <c r="DB97" i="134" s="1"/>
  <c r="DA33" i="134"/>
  <c r="CW87" i="134"/>
  <c r="CV87" i="134"/>
  <c r="CV33" i="134" s="1"/>
  <c r="CU87" i="134"/>
  <c r="CU96" i="134" s="1"/>
  <c r="CU97" i="134" s="1"/>
  <c r="DC86" i="134"/>
  <c r="CW86" i="134"/>
  <c r="CW84" i="134"/>
  <c r="DC83" i="134"/>
  <c r="CW83" i="134"/>
  <c r="DC82" i="134"/>
  <c r="CW82" i="134"/>
  <c r="DC81" i="134"/>
  <c r="CW81" i="134"/>
  <c r="DC80" i="134"/>
  <c r="CW80" i="134"/>
  <c r="DC78" i="134"/>
  <c r="DB78" i="134"/>
  <c r="CW78" i="134"/>
  <c r="CU78" i="134"/>
  <c r="CW77" i="134"/>
  <c r="DC40" i="134"/>
  <c r="DB40" i="134"/>
  <c r="CW40" i="134"/>
  <c r="CV40" i="134"/>
  <c r="EG90" i="12" l="1"/>
  <c r="EF90" i="12"/>
  <c r="DI73" i="134"/>
  <c r="CU93" i="134"/>
  <c r="CU99" i="134" s="1"/>
  <c r="CU33" i="134"/>
  <c r="DB93" i="134"/>
  <c r="DB99" i="134" s="1"/>
  <c r="DB207" i="11" s="1"/>
  <c r="DB33" i="134"/>
  <c r="CV90" i="134"/>
  <c r="CV96" i="134"/>
  <c r="CV97" i="134" s="1"/>
  <c r="DA90" i="134"/>
  <c r="DA96" i="134"/>
  <c r="DA97" i="134" s="1"/>
  <c r="DB90" i="134"/>
  <c r="CU90" i="134"/>
  <c r="CS87" i="134"/>
  <c r="CS33" i="134" s="1"/>
  <c r="CY87" i="134"/>
  <c r="CY33" i="134" s="1"/>
  <c r="CW93" i="134" l="1"/>
  <c r="DC93" i="134"/>
  <c r="CS90" i="134"/>
  <c r="CS96" i="134"/>
  <c r="CY90" i="134"/>
  <c r="CY96" i="134"/>
  <c r="DC96" i="134" l="1"/>
  <c r="CY97" i="134"/>
  <c r="CW96" i="134"/>
  <c r="CS97" i="134"/>
  <c r="CW97" i="134" s="1"/>
  <c r="DC207" i="11" l="1"/>
  <c r="CQ150" i="11" l="1"/>
  <c r="CW150" i="11"/>
  <c r="DC150" i="11"/>
  <c r="G147" i="11"/>
  <c r="I147" i="11"/>
  <c r="K147" i="11"/>
  <c r="CM147" i="11"/>
  <c r="CG147" i="11"/>
  <c r="CA147" i="11"/>
  <c r="BU147" i="11"/>
  <c r="BO147" i="11"/>
  <c r="BC147" i="11"/>
  <c r="AW147" i="11"/>
  <c r="AS147" i="11"/>
  <c r="AR147" i="11"/>
  <c r="AQ147" i="11"/>
  <c r="AM147" i="11"/>
  <c r="AL147" i="11"/>
  <c r="AK147" i="11"/>
  <c r="AE147" i="11"/>
  <c r="Y147" i="11"/>
  <c r="S147" i="11"/>
  <c r="M147" i="11"/>
  <c r="CY147" i="11"/>
  <c r="CS147" i="11"/>
  <c r="CY21" i="134"/>
  <c r="CS21" i="134"/>
  <c r="CY98" i="134" l="1"/>
  <c r="CS98" i="134"/>
  <c r="DB38" i="138"/>
  <c r="DA38" i="138"/>
  <c r="CZ38" i="138"/>
  <c r="CY38" i="138"/>
  <c r="DA37" i="138"/>
  <c r="CZ37" i="138"/>
  <c r="CY37" i="138"/>
  <c r="DB36" i="138"/>
  <c r="DA36" i="138"/>
  <c r="CZ36" i="138"/>
  <c r="CY36" i="138"/>
  <c r="DB35" i="138"/>
  <c r="DA35" i="138"/>
  <c r="CZ35" i="138"/>
  <c r="CY35" i="138"/>
  <c r="DH38" i="138"/>
  <c r="DG38" i="138"/>
  <c r="DF38" i="138"/>
  <c r="DE38" i="138"/>
  <c r="DH37" i="138"/>
  <c r="DG37" i="138"/>
  <c r="DF37" i="138"/>
  <c r="DE37" i="138"/>
  <c r="DH36" i="138"/>
  <c r="DG36" i="138"/>
  <c r="DF36" i="138"/>
  <c r="DE36" i="138"/>
  <c r="DT15" i="138"/>
  <c r="DS15" i="138"/>
  <c r="DR15" i="138"/>
  <c r="DQ15" i="138"/>
  <c r="DT14" i="138"/>
  <c r="DT54" i="138" s="1"/>
  <c r="FE54" i="138" s="1"/>
  <c r="DS14" i="138"/>
  <c r="DS54" i="138" s="1"/>
  <c r="FD54" i="138" s="1"/>
  <c r="DR14" i="138"/>
  <c r="DR54" i="138" s="1"/>
  <c r="FC54" i="138" s="1"/>
  <c r="DQ14" i="138"/>
  <c r="DQ54" i="138" s="1"/>
  <c r="FB54" i="138" s="1"/>
  <c r="DT12" i="138"/>
  <c r="DS12" i="138"/>
  <c r="DR12" i="138"/>
  <c r="DQ12" i="138"/>
  <c r="DT11" i="138"/>
  <c r="DS11" i="138"/>
  <c r="DR11" i="138"/>
  <c r="DQ11" i="138"/>
  <c r="DN15" i="138"/>
  <c r="DM15" i="138"/>
  <c r="DL15" i="138"/>
  <c r="DK15" i="138"/>
  <c r="DN14" i="138"/>
  <c r="DN54" i="138" s="1"/>
  <c r="DM14" i="138"/>
  <c r="DM54" i="138" s="1"/>
  <c r="DL14" i="138"/>
  <c r="DL54" i="138" s="1"/>
  <c r="DK14" i="138"/>
  <c r="DK54" i="138" s="1"/>
  <c r="DN12" i="138"/>
  <c r="DM12" i="138"/>
  <c r="DL12" i="138"/>
  <c r="DK12" i="138"/>
  <c r="DN11" i="138"/>
  <c r="DM11" i="138"/>
  <c r="DL11" i="138"/>
  <c r="DK11" i="138"/>
  <c r="DH15" i="138"/>
  <c r="DG15" i="138"/>
  <c r="DF15" i="138"/>
  <c r="DE15" i="138"/>
  <c r="DH14" i="138"/>
  <c r="DH54" i="138" s="1"/>
  <c r="DG14" i="138"/>
  <c r="DF14" i="138"/>
  <c r="DF54" i="138" s="1"/>
  <c r="DE14" i="138"/>
  <c r="DE54" i="138" s="1"/>
  <c r="DH12" i="138"/>
  <c r="DG12" i="138"/>
  <c r="DF12" i="138"/>
  <c r="DE12" i="138"/>
  <c r="CU16" i="138"/>
  <c r="CT16" i="138"/>
  <c r="CS16" i="138"/>
  <c r="CW15" i="138"/>
  <c r="CV15" i="138"/>
  <c r="CU15" i="138"/>
  <c r="CT15" i="138"/>
  <c r="CS15" i="138"/>
  <c r="CV14" i="138"/>
  <c r="CU14" i="138"/>
  <c r="CT14" i="138"/>
  <c r="CS14" i="138"/>
  <c r="CW12" i="138"/>
  <c r="CV12" i="138"/>
  <c r="CU12" i="138"/>
  <c r="CT12" i="138"/>
  <c r="CS12" i="138"/>
  <c r="CW11" i="138"/>
  <c r="CV11" i="138"/>
  <c r="CU11" i="138"/>
  <c r="CT11" i="138"/>
  <c r="CS11" i="138"/>
  <c r="DC16" i="138"/>
  <c r="DA16" i="138"/>
  <c r="CZ16" i="138"/>
  <c r="DB15" i="138"/>
  <c r="DA15" i="138"/>
  <c r="CZ15" i="138"/>
  <c r="DB14" i="138"/>
  <c r="DA14" i="138"/>
  <c r="CZ14" i="138"/>
  <c r="DC12" i="138"/>
  <c r="DB12" i="138"/>
  <c r="DA12" i="138"/>
  <c r="CZ12" i="138"/>
  <c r="DC11" i="138"/>
  <c r="DB11" i="138"/>
  <c r="DA11" i="138"/>
  <c r="CZ11" i="138"/>
  <c r="CY16" i="138"/>
  <c r="CY15" i="138"/>
  <c r="CY14" i="138"/>
  <c r="CY12" i="138"/>
  <c r="CY11" i="138"/>
  <c r="DN8" i="138"/>
  <c r="DT8" i="138" s="1"/>
  <c r="DZ8" i="138" s="1"/>
  <c r="EF8" i="138" s="1"/>
  <c r="DM8" i="138"/>
  <c r="DS8" i="138" s="1"/>
  <c r="DY8" i="138" s="1"/>
  <c r="EE8" i="138" s="1"/>
  <c r="DL8" i="138"/>
  <c r="DR8" i="138" s="1"/>
  <c r="DX8" i="138" s="1"/>
  <c r="ED8" i="138" s="1"/>
  <c r="DK8" i="138"/>
  <c r="DQ8" i="138" s="1"/>
  <c r="DW8" i="138" s="1"/>
  <c r="EC8" i="138" s="1"/>
  <c r="S8" i="138"/>
  <c r="Y8" i="138" s="1"/>
  <c r="N8" i="138"/>
  <c r="O8" i="138" s="1"/>
  <c r="P8" i="138" s="1"/>
  <c r="S7" i="138"/>
  <c r="Y7" i="138" s="1"/>
  <c r="AE7" i="138" s="1"/>
  <c r="AK7" i="138" s="1"/>
  <c r="AQ7" i="138" s="1"/>
  <c r="AW7" i="138" s="1"/>
  <c r="BC7" i="138" s="1"/>
  <c r="BI7" i="138" s="1"/>
  <c r="BO7" i="138" s="1"/>
  <c r="BU7" i="138" s="1"/>
  <c r="CA7" i="138" s="1"/>
  <c r="CG7" i="138" s="1"/>
  <c r="CM7" i="138" s="1"/>
  <c r="CS7" i="138" s="1"/>
  <c r="CY7" i="138" s="1"/>
  <c r="DE7" i="138" s="1"/>
  <c r="DK7" i="138" s="1"/>
  <c r="DQ7" i="138" s="1"/>
  <c r="DW7" i="138" s="1"/>
  <c r="EC7" i="138" s="1"/>
  <c r="Q7" i="138"/>
  <c r="W7" i="138" s="1"/>
  <c r="AC7" i="138" s="1"/>
  <c r="AI7" i="138" s="1"/>
  <c r="AO7" i="138" s="1"/>
  <c r="AU7" i="138" s="1"/>
  <c r="BA7" i="138" s="1"/>
  <c r="BG7" i="138" s="1"/>
  <c r="BM7" i="138" s="1"/>
  <c r="BS7" i="138" s="1"/>
  <c r="BY7" i="138" s="1"/>
  <c r="CE7" i="138" s="1"/>
  <c r="CK7" i="138" s="1"/>
  <c r="CQ7" i="138" s="1"/>
  <c r="CW7" i="138" s="1"/>
  <c r="DC7" i="138" s="1"/>
  <c r="DI7" i="138" s="1"/>
  <c r="DO7" i="138" s="1"/>
  <c r="DU7" i="138" s="1"/>
  <c r="EA7" i="138" s="1"/>
  <c r="EG7" i="138" s="1"/>
  <c r="K7" i="138"/>
  <c r="E78" i="12"/>
  <c r="G78" i="12"/>
  <c r="I78" i="12"/>
  <c r="K78" i="12"/>
  <c r="BD44" i="12"/>
  <c r="AX44" i="12"/>
  <c r="AY44" i="12" s="1"/>
  <c r="AR44" i="12"/>
  <c r="AL44" i="12"/>
  <c r="AM44" i="12" s="1"/>
  <c r="DU53" i="12"/>
  <c r="DU52" i="12"/>
  <c r="DU51" i="12"/>
  <c r="DU50" i="12"/>
  <c r="DO53" i="12"/>
  <c r="DO52" i="12"/>
  <c r="DO51" i="12"/>
  <c r="DO50" i="12"/>
  <c r="DT47" i="12"/>
  <c r="DS47" i="12"/>
  <c r="DR47" i="12"/>
  <c r="DQ47" i="12"/>
  <c r="DU42" i="12"/>
  <c r="DU35" i="12"/>
  <c r="DU34" i="12"/>
  <c r="DT31" i="12"/>
  <c r="DS31" i="12"/>
  <c r="DR31" i="12"/>
  <c r="DQ31" i="12"/>
  <c r="DN47" i="12"/>
  <c r="DM47" i="12"/>
  <c r="DL47" i="12"/>
  <c r="DK47" i="12"/>
  <c r="DO42" i="12"/>
  <c r="DO35" i="12"/>
  <c r="DO34" i="12"/>
  <c r="DN31" i="12"/>
  <c r="DM31" i="12"/>
  <c r="DL31" i="12"/>
  <c r="DK31" i="12"/>
  <c r="DU28" i="12"/>
  <c r="DU19" i="12"/>
  <c r="DU18" i="12"/>
  <c r="DU17" i="12"/>
  <c r="DO28" i="12"/>
  <c r="DO19" i="12"/>
  <c r="DO18" i="12"/>
  <c r="DO17" i="12"/>
  <c r="DT34" i="11"/>
  <c r="DU34" i="11" s="1"/>
  <c r="DS34" i="11"/>
  <c r="DR34" i="11"/>
  <c r="DQ34" i="11"/>
  <c r="DN34" i="11"/>
  <c r="DO34" i="11" s="1"/>
  <c r="DM34" i="11"/>
  <c r="DL34" i="11"/>
  <c r="DK34" i="11"/>
  <c r="DB59" i="135"/>
  <c r="DA59" i="135"/>
  <c r="CZ59" i="135"/>
  <c r="CY59" i="135"/>
  <c r="CV59" i="135"/>
  <c r="CU59" i="135"/>
  <c r="CT59" i="135"/>
  <c r="CS59" i="135"/>
  <c r="CP59" i="135"/>
  <c r="CO59" i="135"/>
  <c r="CN59" i="135"/>
  <c r="CM59" i="135"/>
  <c r="DB116" i="11"/>
  <c r="DA116" i="11"/>
  <c r="CZ116" i="11"/>
  <c r="CY116" i="11"/>
  <c r="CV116" i="11"/>
  <c r="CU116" i="11"/>
  <c r="CT116" i="11"/>
  <c r="CS116" i="11"/>
  <c r="CP116" i="11"/>
  <c r="CO116" i="11"/>
  <c r="CN116" i="11"/>
  <c r="CM116" i="11"/>
  <c r="CJ116" i="11"/>
  <c r="CI116" i="11"/>
  <c r="CH116" i="11"/>
  <c r="CG116" i="11"/>
  <c r="CD116" i="11"/>
  <c r="CC116" i="11"/>
  <c r="CB116" i="11"/>
  <c r="CA116" i="11"/>
  <c r="BX116" i="11"/>
  <c r="BW116" i="11"/>
  <c r="BV116" i="11"/>
  <c r="BU116" i="11"/>
  <c r="BR116" i="11"/>
  <c r="BQ116" i="11"/>
  <c r="BP116" i="11"/>
  <c r="BO116" i="11"/>
  <c r="BL116" i="11"/>
  <c r="BK116" i="11"/>
  <c r="BJ116" i="11"/>
  <c r="BI116" i="11"/>
  <c r="BF116" i="11"/>
  <c r="BE116" i="11"/>
  <c r="BD116" i="11"/>
  <c r="BC116" i="11"/>
  <c r="AZ116" i="11"/>
  <c r="AY116" i="11"/>
  <c r="AX116" i="11"/>
  <c r="AW116" i="11"/>
  <c r="AT116" i="11"/>
  <c r="AS116" i="11"/>
  <c r="AR116" i="11"/>
  <c r="AQ116" i="11"/>
  <c r="AN116" i="11"/>
  <c r="AM116" i="11"/>
  <c r="AL116" i="11"/>
  <c r="AK116" i="11"/>
  <c r="AH116" i="11"/>
  <c r="AG116" i="11"/>
  <c r="AF116" i="11"/>
  <c r="AE116" i="11"/>
  <c r="AB116" i="11"/>
  <c r="AA116" i="11"/>
  <c r="Z116" i="11"/>
  <c r="Y116" i="11"/>
  <c r="V116" i="11"/>
  <c r="U116" i="11"/>
  <c r="T116" i="11"/>
  <c r="S116" i="11"/>
  <c r="DB115" i="11"/>
  <c r="DA115" i="11"/>
  <c r="CZ115" i="11"/>
  <c r="CY115" i="11"/>
  <c r="CV115" i="11"/>
  <c r="CU115" i="11"/>
  <c r="CT115" i="11"/>
  <c r="CS115" i="11"/>
  <c r="CP115" i="11"/>
  <c r="CO115" i="11"/>
  <c r="CN115" i="11"/>
  <c r="CM115" i="11"/>
  <c r="CJ115" i="11"/>
  <c r="CI115" i="11"/>
  <c r="CH115" i="11"/>
  <c r="CG115" i="11"/>
  <c r="CD115" i="11"/>
  <c r="CC115" i="11"/>
  <c r="CB115" i="11"/>
  <c r="CA115" i="11"/>
  <c r="BX115" i="11"/>
  <c r="BW115" i="11"/>
  <c r="BV115" i="11"/>
  <c r="BU115" i="11"/>
  <c r="BR115" i="11"/>
  <c r="BQ115" i="11"/>
  <c r="BP115" i="11"/>
  <c r="BO115" i="11"/>
  <c r="BL115" i="11"/>
  <c r="BK115" i="11"/>
  <c r="BJ115" i="11"/>
  <c r="BI115" i="11"/>
  <c r="BE115" i="11"/>
  <c r="BD115" i="11"/>
  <c r="BC115" i="11"/>
  <c r="AZ115" i="11"/>
  <c r="AY115" i="11"/>
  <c r="AX115" i="11"/>
  <c r="AW115" i="11"/>
  <c r="AT115" i="11"/>
  <c r="AQ115" i="11"/>
  <c r="AN115" i="11"/>
  <c r="AM115" i="11"/>
  <c r="AH115" i="11"/>
  <c r="AG115" i="11"/>
  <c r="AF115" i="11"/>
  <c r="AE115" i="11"/>
  <c r="AB115" i="11"/>
  <c r="AA115" i="11"/>
  <c r="Z115" i="11"/>
  <c r="Y115" i="11"/>
  <c r="V115" i="11"/>
  <c r="U115" i="11"/>
  <c r="T115" i="11"/>
  <c r="S115" i="11"/>
  <c r="DB114" i="11"/>
  <c r="DA114" i="11"/>
  <c r="CZ114" i="11"/>
  <c r="CY114" i="11"/>
  <c r="CV114" i="11"/>
  <c r="CU114" i="11"/>
  <c r="CT114" i="11"/>
  <c r="CS114" i="11"/>
  <c r="CP114" i="11"/>
  <c r="CO114" i="11"/>
  <c r="CN114" i="11"/>
  <c r="CM114" i="11"/>
  <c r="CJ114" i="11"/>
  <c r="CI114" i="11"/>
  <c r="CH114" i="11"/>
  <c r="CG114" i="11"/>
  <c r="CD114" i="11"/>
  <c r="CC114" i="11"/>
  <c r="CB114" i="11"/>
  <c r="CA114" i="11"/>
  <c r="BX114" i="11"/>
  <c r="BW114" i="11"/>
  <c r="BV114" i="11"/>
  <c r="BU114" i="11"/>
  <c r="BR114" i="11"/>
  <c r="BQ114" i="11"/>
  <c r="BP114" i="11"/>
  <c r="BO114" i="11"/>
  <c r="BL114" i="11"/>
  <c r="BK114" i="11"/>
  <c r="BJ114" i="11"/>
  <c r="BI114" i="11"/>
  <c r="BE114" i="11"/>
  <c r="BD114" i="11"/>
  <c r="BC114" i="11"/>
  <c r="AZ114" i="11"/>
  <c r="AY114" i="11"/>
  <c r="AX114" i="11"/>
  <c r="AW114" i="11"/>
  <c r="AT114" i="11"/>
  <c r="AQ114" i="11"/>
  <c r="AN114" i="11"/>
  <c r="AM114" i="11"/>
  <c r="AH114" i="11"/>
  <c r="AG114" i="11"/>
  <c r="AF114" i="11"/>
  <c r="AE114" i="11"/>
  <c r="AB114" i="11"/>
  <c r="AA114" i="11"/>
  <c r="Z114" i="11"/>
  <c r="Y114" i="11"/>
  <c r="V114" i="11"/>
  <c r="U114" i="11"/>
  <c r="T114" i="11"/>
  <c r="S114" i="11"/>
  <c r="P116" i="11"/>
  <c r="O116" i="11"/>
  <c r="N116" i="11"/>
  <c r="M116" i="11"/>
  <c r="P115" i="11"/>
  <c r="O115" i="11"/>
  <c r="N115" i="11"/>
  <c r="M115" i="11"/>
  <c r="P114" i="11"/>
  <c r="O114" i="11"/>
  <c r="N114" i="11"/>
  <c r="M114" i="11"/>
  <c r="E116" i="11"/>
  <c r="E115" i="11"/>
  <c r="E114" i="11"/>
  <c r="G116" i="11"/>
  <c r="G115" i="11"/>
  <c r="G114" i="11"/>
  <c r="I116" i="11"/>
  <c r="I115" i="11"/>
  <c r="I114" i="11"/>
  <c r="K116" i="11"/>
  <c r="K115" i="11"/>
  <c r="K114" i="11"/>
  <c r="E61" i="11"/>
  <c r="G61" i="11"/>
  <c r="I61" i="11"/>
  <c r="K61" i="11"/>
  <c r="CV61" i="11"/>
  <c r="CV62" i="11" s="1"/>
  <c r="CU61" i="11"/>
  <c r="CU62" i="11" s="1"/>
  <c r="CT61" i="11"/>
  <c r="CT62" i="11" s="1"/>
  <c r="CS61" i="11"/>
  <c r="CS62" i="11" s="1"/>
  <c r="CP61" i="11"/>
  <c r="CO61" i="11"/>
  <c r="CN61" i="11"/>
  <c r="CM61" i="11"/>
  <c r="CJ61" i="11"/>
  <c r="CI61" i="11"/>
  <c r="CH61" i="11"/>
  <c r="CG61" i="11"/>
  <c r="CD61" i="11"/>
  <c r="CC61" i="11"/>
  <c r="CB61" i="11"/>
  <c r="CA61" i="11"/>
  <c r="BX61" i="11"/>
  <c r="BW61" i="11"/>
  <c r="BV61" i="11"/>
  <c r="BU61" i="11"/>
  <c r="BR61" i="11"/>
  <c r="BQ61" i="11"/>
  <c r="BP61" i="11"/>
  <c r="BO61" i="11"/>
  <c r="BL61" i="11"/>
  <c r="BK61" i="11"/>
  <c r="BJ61" i="11"/>
  <c r="BI61" i="11"/>
  <c r="BF61" i="11"/>
  <c r="BE61" i="11"/>
  <c r="BD61" i="11"/>
  <c r="BC61" i="11"/>
  <c r="AZ61" i="11"/>
  <c r="AY61" i="11"/>
  <c r="AX61" i="11"/>
  <c r="AW61" i="11"/>
  <c r="AT61" i="11"/>
  <c r="AT62" i="11" s="1"/>
  <c r="AS61" i="11"/>
  <c r="AR61" i="11"/>
  <c r="AQ61" i="11"/>
  <c r="AQ62" i="11" s="1"/>
  <c r="AN61" i="11"/>
  <c r="AN62" i="11" s="1"/>
  <c r="AM61" i="11"/>
  <c r="AM62" i="11" s="1"/>
  <c r="AL61" i="11"/>
  <c r="AK61" i="11"/>
  <c r="AH61" i="11"/>
  <c r="AH62" i="11" s="1"/>
  <c r="AG61" i="11"/>
  <c r="AG62" i="11" s="1"/>
  <c r="AF61" i="11"/>
  <c r="AF62" i="11" s="1"/>
  <c r="AE61" i="11"/>
  <c r="AE62" i="11" s="1"/>
  <c r="AB61" i="11"/>
  <c r="AB62" i="11" s="1"/>
  <c r="AA61" i="11"/>
  <c r="AA62" i="11" s="1"/>
  <c r="Z61" i="11"/>
  <c r="Z62" i="11" s="1"/>
  <c r="Y61" i="11"/>
  <c r="Y62" i="11" s="1"/>
  <c r="V61" i="11"/>
  <c r="V62" i="11" s="1"/>
  <c r="U61" i="11"/>
  <c r="U62" i="11" s="1"/>
  <c r="T61" i="11"/>
  <c r="T62" i="11" s="1"/>
  <c r="S61" i="11"/>
  <c r="S62" i="11" s="1"/>
  <c r="P61" i="11"/>
  <c r="P62" i="11" s="1"/>
  <c r="O61" i="11"/>
  <c r="O62" i="11" s="1"/>
  <c r="N61" i="11"/>
  <c r="N62" i="11" s="1"/>
  <c r="M61" i="11"/>
  <c r="M62" i="11" s="1"/>
  <c r="DI35" i="11"/>
  <c r="DK12" i="11"/>
  <c r="DL12" i="11" s="1"/>
  <c r="DM12" i="11" s="1"/>
  <c r="DN12" i="11" s="1"/>
  <c r="DO12" i="11" s="1"/>
  <c r="DI52" i="11"/>
  <c r="DU115" i="12"/>
  <c r="DO115" i="12"/>
  <c r="DU159" i="11"/>
  <c r="DU158" i="11"/>
  <c r="DO159" i="11"/>
  <c r="DO158" i="11"/>
  <c r="DU150" i="11"/>
  <c r="DU149" i="11"/>
  <c r="DO150" i="11"/>
  <c r="DO149" i="11"/>
  <c r="DI25" i="11"/>
  <c r="DI50" i="12"/>
  <c r="DI42" i="12"/>
  <c r="DI35" i="12"/>
  <c r="DI34" i="12"/>
  <c r="DI28" i="12"/>
  <c r="DI19" i="12"/>
  <c r="DI18" i="12"/>
  <c r="DI17" i="12"/>
  <c r="DI50" i="11"/>
  <c r="DB135" i="11"/>
  <c r="DO128" i="12"/>
  <c r="DI22" i="11"/>
  <c r="DU135" i="11"/>
  <c r="DO135" i="11"/>
  <c r="E135" i="11"/>
  <c r="G135" i="11"/>
  <c r="I135" i="11"/>
  <c r="K135" i="11"/>
  <c r="CJ135" i="11"/>
  <c r="CI135" i="11"/>
  <c r="CH135" i="11"/>
  <c r="CG135" i="11"/>
  <c r="CD135" i="11"/>
  <c r="CC135" i="11"/>
  <c r="CB135" i="11"/>
  <c r="CA135" i="11"/>
  <c r="BX135" i="11"/>
  <c r="BW135" i="11"/>
  <c r="BV135" i="11"/>
  <c r="BU135" i="11"/>
  <c r="BR135" i="11"/>
  <c r="BQ135" i="11"/>
  <c r="BP135" i="11"/>
  <c r="BO135" i="11"/>
  <c r="BL135" i="11"/>
  <c r="BK135" i="11"/>
  <c r="BJ135" i="11"/>
  <c r="BI135" i="11"/>
  <c r="BF135" i="11"/>
  <c r="BE135" i="11"/>
  <c r="BD135" i="11"/>
  <c r="BC135" i="11"/>
  <c r="AZ135" i="11"/>
  <c r="AY135" i="11"/>
  <c r="AX135" i="11"/>
  <c r="AW135" i="11"/>
  <c r="AT135" i="11"/>
  <c r="AS135" i="11"/>
  <c r="AR135" i="11"/>
  <c r="AN135" i="11"/>
  <c r="AM135" i="11"/>
  <c r="AH135" i="11"/>
  <c r="AG135" i="11"/>
  <c r="AF135" i="11"/>
  <c r="AE135" i="11"/>
  <c r="AB135" i="11"/>
  <c r="AA135" i="11"/>
  <c r="Z135" i="11"/>
  <c r="Y135" i="11"/>
  <c r="V135" i="11"/>
  <c r="U135" i="11"/>
  <c r="T135" i="11"/>
  <c r="S135" i="11"/>
  <c r="P135" i="11"/>
  <c r="O135" i="11"/>
  <c r="N135" i="11"/>
  <c r="M135" i="11"/>
  <c r="DA135" i="11"/>
  <c r="CZ135" i="11"/>
  <c r="CY135" i="11"/>
  <c r="CV135" i="11"/>
  <c r="CU135" i="11"/>
  <c r="CT135" i="11"/>
  <c r="CS135" i="11"/>
  <c r="DB134" i="11"/>
  <c r="DC134" i="11" s="1"/>
  <c r="DB133" i="11"/>
  <c r="DB132" i="11"/>
  <c r="DB131" i="11"/>
  <c r="DB130" i="11"/>
  <c r="DB125" i="11"/>
  <c r="DA125" i="11"/>
  <c r="CZ125" i="11"/>
  <c r="CY125" i="11"/>
  <c r="CV125" i="11"/>
  <c r="CU125" i="11"/>
  <c r="CT125" i="11"/>
  <c r="CS125" i="11"/>
  <c r="DB119" i="11"/>
  <c r="DA119" i="11"/>
  <c r="CZ119" i="11"/>
  <c r="CY119" i="11"/>
  <c r="CV119" i="11"/>
  <c r="CU119" i="11"/>
  <c r="CT119" i="11"/>
  <c r="CS119" i="11"/>
  <c r="P141" i="12"/>
  <c r="O141" i="12"/>
  <c r="N141" i="12"/>
  <c r="M141" i="12"/>
  <c r="P140" i="12"/>
  <c r="O140" i="12"/>
  <c r="N140" i="12"/>
  <c r="M140" i="12"/>
  <c r="P139" i="12"/>
  <c r="O139" i="12"/>
  <c r="N139" i="12"/>
  <c r="M139" i="12"/>
  <c r="V141" i="12"/>
  <c r="U141" i="12"/>
  <c r="T141" i="12"/>
  <c r="S141" i="12"/>
  <c r="V140" i="12"/>
  <c r="U140" i="12"/>
  <c r="T140" i="12"/>
  <c r="S140" i="12"/>
  <c r="V139" i="12"/>
  <c r="U139" i="12"/>
  <c r="T139" i="12"/>
  <c r="S139" i="12"/>
  <c r="AB141" i="12"/>
  <c r="AA141" i="12"/>
  <c r="Z141" i="12"/>
  <c r="Y141" i="12"/>
  <c r="AB140" i="12"/>
  <c r="AA140" i="12"/>
  <c r="Z140" i="12"/>
  <c r="Y140" i="12"/>
  <c r="AB139" i="12"/>
  <c r="AA139" i="12"/>
  <c r="Z139" i="12"/>
  <c r="Y139" i="12"/>
  <c r="AH141" i="12"/>
  <c r="AG141" i="12"/>
  <c r="AF141" i="12"/>
  <c r="AE141" i="12"/>
  <c r="AH140" i="12"/>
  <c r="AG140" i="12"/>
  <c r="AF140" i="12"/>
  <c r="AE140" i="12"/>
  <c r="AH139" i="12"/>
  <c r="AG139" i="12"/>
  <c r="AF139" i="12"/>
  <c r="AE139" i="12"/>
  <c r="AN141" i="12"/>
  <c r="AM141" i="12"/>
  <c r="AL141" i="12"/>
  <c r="AK141" i="12"/>
  <c r="AN140" i="12"/>
  <c r="AM140" i="12"/>
  <c r="AL140" i="12"/>
  <c r="AK140" i="12"/>
  <c r="AN139" i="12"/>
  <c r="AM139" i="12"/>
  <c r="AL139" i="12"/>
  <c r="AK139" i="12"/>
  <c r="AT141" i="12"/>
  <c r="AS141" i="12"/>
  <c r="AR141" i="12"/>
  <c r="AQ141" i="12"/>
  <c r="AT140" i="12"/>
  <c r="AS140" i="12"/>
  <c r="AR140" i="12"/>
  <c r="AQ140" i="12"/>
  <c r="AT139" i="12"/>
  <c r="AS139" i="12"/>
  <c r="AR139" i="12"/>
  <c r="AQ139" i="12"/>
  <c r="AZ141" i="12"/>
  <c r="AY141" i="12"/>
  <c r="AX141" i="12"/>
  <c r="AW141" i="12"/>
  <c r="AZ140" i="12"/>
  <c r="AY140" i="12"/>
  <c r="AX140" i="12"/>
  <c r="AW140" i="12"/>
  <c r="AZ139" i="12"/>
  <c r="AY139" i="12"/>
  <c r="AX139" i="12"/>
  <c r="AW139" i="12"/>
  <c r="BF141" i="12"/>
  <c r="BE141" i="12"/>
  <c r="BD141" i="12"/>
  <c r="BC141" i="12"/>
  <c r="BF140" i="12"/>
  <c r="BE140" i="12"/>
  <c r="BD140" i="12"/>
  <c r="BC140" i="12"/>
  <c r="BF139" i="12"/>
  <c r="BE139" i="12"/>
  <c r="BD139" i="12"/>
  <c r="BC139" i="12"/>
  <c r="BL141" i="12"/>
  <c r="BK141" i="12"/>
  <c r="BJ141" i="12"/>
  <c r="BI141" i="12"/>
  <c r="BL140" i="12"/>
  <c r="BK140" i="12"/>
  <c r="BJ140" i="12"/>
  <c r="BI140" i="12"/>
  <c r="BL139" i="12"/>
  <c r="BK139" i="12"/>
  <c r="BJ139" i="12"/>
  <c r="BI139" i="12"/>
  <c r="BR141" i="12"/>
  <c r="BQ141" i="12"/>
  <c r="BP141" i="12"/>
  <c r="BO141" i="12"/>
  <c r="BR140" i="12"/>
  <c r="BQ140" i="12"/>
  <c r="BP140" i="12"/>
  <c r="BO140" i="12"/>
  <c r="BR139" i="12"/>
  <c r="BQ139" i="12"/>
  <c r="BP139" i="12"/>
  <c r="BO139" i="12"/>
  <c r="DB140" i="12"/>
  <c r="DA140" i="12"/>
  <c r="CZ140" i="12"/>
  <c r="DB139" i="12"/>
  <c r="DA139" i="12"/>
  <c r="DA78" i="12" s="1"/>
  <c r="CZ139" i="12"/>
  <c r="CZ78" i="12" s="1"/>
  <c r="CV141" i="12"/>
  <c r="CU141" i="12"/>
  <c r="CT141" i="12"/>
  <c r="CS141" i="12"/>
  <c r="CV140" i="12"/>
  <c r="CU140" i="12"/>
  <c r="CT140" i="12"/>
  <c r="CS140" i="12"/>
  <c r="CV139" i="12"/>
  <c r="CV78" i="12" s="1"/>
  <c r="CU139" i="12"/>
  <c r="CU78" i="12" s="1"/>
  <c r="CT139" i="12"/>
  <c r="CT78" i="12" s="1"/>
  <c r="CS139" i="12"/>
  <c r="CS78" i="12" s="1"/>
  <c r="CP141" i="12"/>
  <c r="CO141" i="12"/>
  <c r="CN141" i="12"/>
  <c r="CM141" i="12"/>
  <c r="CP140" i="12"/>
  <c r="CO140" i="12"/>
  <c r="CN140" i="12"/>
  <c r="CM140" i="12"/>
  <c r="CP139" i="12"/>
  <c r="CO139" i="12"/>
  <c r="CN139" i="12"/>
  <c r="CM139" i="12"/>
  <c r="CJ141" i="12"/>
  <c r="CI141" i="12"/>
  <c r="CH141" i="12"/>
  <c r="CG141" i="12"/>
  <c r="CJ140" i="12"/>
  <c r="CI140" i="12"/>
  <c r="CH140" i="12"/>
  <c r="CG140" i="12"/>
  <c r="CJ139" i="12"/>
  <c r="CI139" i="12"/>
  <c r="CH139" i="12"/>
  <c r="CG139" i="12"/>
  <c r="CD141" i="12"/>
  <c r="CC141" i="12"/>
  <c r="CB141" i="12"/>
  <c r="CA141" i="12"/>
  <c r="CD140" i="12"/>
  <c r="CC140" i="12"/>
  <c r="CB140" i="12"/>
  <c r="CA140" i="12"/>
  <c r="CD139" i="12"/>
  <c r="CC139" i="12"/>
  <c r="CB139" i="12"/>
  <c r="CA139" i="12"/>
  <c r="BX141" i="12"/>
  <c r="BW141" i="12"/>
  <c r="BV141" i="12"/>
  <c r="BU141" i="12"/>
  <c r="BX140" i="12"/>
  <c r="BW140" i="12"/>
  <c r="BV140" i="12"/>
  <c r="BU140" i="12"/>
  <c r="BX139" i="12"/>
  <c r="BW139" i="12"/>
  <c r="BV139" i="12"/>
  <c r="BU139" i="12"/>
  <c r="BY138" i="12"/>
  <c r="CE138" i="12"/>
  <c r="CK138" i="12"/>
  <c r="CT101" i="12"/>
  <c r="CQ138" i="12"/>
  <c r="CW138" i="12"/>
  <c r="DC138" i="12"/>
  <c r="DC208" i="11" s="1"/>
  <c r="DC209" i="11" s="1"/>
  <c r="DC210" i="11" s="1"/>
  <c r="DC211" i="11" s="1"/>
  <c r="DU25" i="134"/>
  <c r="DO25" i="134"/>
  <c r="DB69" i="135"/>
  <c r="DB71" i="135" s="1"/>
  <c r="DA69" i="135"/>
  <c r="DA71" i="135" s="1"/>
  <c r="CZ69" i="135"/>
  <c r="CZ71" i="135" s="1"/>
  <c r="CY69" i="135"/>
  <c r="CY71" i="135" s="1"/>
  <c r="DB72" i="135"/>
  <c r="DA72" i="135"/>
  <c r="CZ72" i="135"/>
  <c r="CY72" i="135"/>
  <c r="CV72" i="135"/>
  <c r="CU72" i="135"/>
  <c r="CT72" i="135"/>
  <c r="CS72" i="135"/>
  <c r="DB67" i="135"/>
  <c r="DA67" i="135"/>
  <c r="CZ67" i="135"/>
  <c r="CY67" i="135"/>
  <c r="CV67" i="135"/>
  <c r="CU67" i="135"/>
  <c r="CT67" i="135"/>
  <c r="CS67" i="135"/>
  <c r="V138" i="12" l="1"/>
  <c r="V169" i="11" s="1"/>
  <c r="BR138" i="12"/>
  <c r="BR169" i="11" s="1"/>
  <c r="BI138" i="12"/>
  <c r="BI208" i="11" s="1"/>
  <c r="BC138" i="12"/>
  <c r="BC169" i="11" s="1"/>
  <c r="Y138" i="12"/>
  <c r="Y169" i="11" s="1"/>
  <c r="BE138" i="12"/>
  <c r="BE169" i="11" s="1"/>
  <c r="AZ138" i="12"/>
  <c r="AZ169" i="11" s="1"/>
  <c r="AN138" i="12"/>
  <c r="AN208" i="11" s="1"/>
  <c r="P138" i="12"/>
  <c r="P208" i="11" s="1"/>
  <c r="BJ138" i="12"/>
  <c r="BJ169" i="11" s="1"/>
  <c r="AK138" i="12"/>
  <c r="AK169" i="11" s="1"/>
  <c r="AA138" i="12"/>
  <c r="AA208" i="11" s="1"/>
  <c r="O138" i="12"/>
  <c r="O169" i="11" s="1"/>
  <c r="CC138" i="12"/>
  <c r="CC169" i="11" s="1"/>
  <c r="U138" i="12"/>
  <c r="U169" i="11" s="1"/>
  <c r="Z138" i="12"/>
  <c r="Z208" i="11" s="1"/>
  <c r="T138" i="12"/>
  <c r="T169" i="11" s="1"/>
  <c r="CV138" i="12"/>
  <c r="CV169" i="11" s="1"/>
  <c r="AH138" i="12"/>
  <c r="AH208" i="11" s="1"/>
  <c r="CI138" i="12"/>
  <c r="CI169" i="11" s="1"/>
  <c r="AL138" i="12"/>
  <c r="AL169" i="11" s="1"/>
  <c r="S138" i="12"/>
  <c r="S169" i="11" s="1"/>
  <c r="BP138" i="12"/>
  <c r="BP169" i="11" s="1"/>
  <c r="BQ138" i="12"/>
  <c r="BQ169" i="11" s="1"/>
  <c r="BD138" i="12"/>
  <c r="BD208" i="11" s="1"/>
  <c r="AE138" i="12"/>
  <c r="AE169" i="11" s="1"/>
  <c r="CP138" i="12"/>
  <c r="CP208" i="11" s="1"/>
  <c r="CU138" i="12"/>
  <c r="CU169" i="11" s="1"/>
  <c r="BO138" i="12"/>
  <c r="BO169" i="11" s="1"/>
  <c r="CA138" i="12"/>
  <c r="CA169" i="11" s="1"/>
  <c r="AT138" i="12"/>
  <c r="AT169" i="11" s="1"/>
  <c r="AF138" i="12"/>
  <c r="AF208" i="11" s="1"/>
  <c r="BL138" i="12"/>
  <c r="BL169" i="11" s="1"/>
  <c r="AM138" i="12"/>
  <c r="AM169" i="11" s="1"/>
  <c r="AQ138" i="12"/>
  <c r="AQ169" i="11" s="1"/>
  <c r="CD138" i="12"/>
  <c r="CD208" i="11" s="1"/>
  <c r="BF138" i="12"/>
  <c r="BF169" i="11" s="1"/>
  <c r="AS138" i="12"/>
  <c r="AS169" i="11" s="1"/>
  <c r="AB138" i="12"/>
  <c r="AB208" i="11" s="1"/>
  <c r="CB138" i="12"/>
  <c r="CB208" i="11" s="1"/>
  <c r="CB209" i="11" s="1"/>
  <c r="CB210" i="11" s="1"/>
  <c r="CB211" i="11" s="1"/>
  <c r="CM138" i="12"/>
  <c r="CM169" i="11" s="1"/>
  <c r="BK138" i="12"/>
  <c r="BK169" i="11" s="1"/>
  <c r="AG138" i="12"/>
  <c r="AG208" i="11" s="1"/>
  <c r="AW138" i="12"/>
  <c r="AW208" i="11" s="1"/>
  <c r="CN138" i="12"/>
  <c r="CN169" i="11" s="1"/>
  <c r="CJ138" i="12"/>
  <c r="CJ169" i="11" s="1"/>
  <c r="CO138" i="12"/>
  <c r="CO169" i="11" s="1"/>
  <c r="AY138" i="12"/>
  <c r="AY208" i="11" s="1"/>
  <c r="N138" i="12"/>
  <c r="N169" i="11" s="1"/>
  <c r="BX138" i="12"/>
  <c r="AX138" i="12"/>
  <c r="AX169" i="11" s="1"/>
  <c r="M138" i="12"/>
  <c r="M169" i="11" s="1"/>
  <c r="CH138" i="12"/>
  <c r="CH169" i="11" s="1"/>
  <c r="AR138" i="12"/>
  <c r="AR169" i="11" s="1"/>
  <c r="CG138" i="12"/>
  <c r="CG208" i="11" s="1"/>
  <c r="CG209" i="11" s="1"/>
  <c r="CG210" i="11" s="1"/>
  <c r="CG211" i="11" s="1"/>
  <c r="EZ54" i="138"/>
  <c r="CT54" i="138"/>
  <c r="EU54" i="138"/>
  <c r="EY54" i="138"/>
  <c r="DL61" i="138"/>
  <c r="EY61" i="138" s="1"/>
  <c r="DR61" i="138"/>
  <c r="FC61" i="138" s="1"/>
  <c r="DX61" i="138"/>
  <c r="CY54" i="138"/>
  <c r="DE61" i="138" s="1"/>
  <c r="ET61" i="138" s="1"/>
  <c r="CU54" i="138"/>
  <c r="DA54" i="138"/>
  <c r="DG54" i="138"/>
  <c r="DB54" i="138"/>
  <c r="DH61" i="138" s="1"/>
  <c r="DS61" i="138"/>
  <c r="FD61" i="138" s="1"/>
  <c r="DY61" i="138"/>
  <c r="CV54" i="138"/>
  <c r="FA54" i="138"/>
  <c r="DN61" i="138"/>
  <c r="FA61" i="138" s="1"/>
  <c r="DT61" i="138"/>
  <c r="FE61" i="138" s="1"/>
  <c r="DZ61" i="138"/>
  <c r="CZ54" i="138"/>
  <c r="CS54" i="138"/>
  <c r="ET54" i="138"/>
  <c r="EX54" i="138"/>
  <c r="DK61" i="138"/>
  <c r="EX61" i="138" s="1"/>
  <c r="DQ61" i="138"/>
  <c r="FB61" i="138" s="1"/>
  <c r="DW61" i="138"/>
  <c r="CW169" i="11"/>
  <c r="CW208" i="11"/>
  <c r="CE169" i="11"/>
  <c r="CE208" i="11"/>
  <c r="BI169" i="11"/>
  <c r="V208" i="11"/>
  <c r="CQ169" i="11"/>
  <c r="CQ208" i="11"/>
  <c r="CK169" i="11"/>
  <c r="CK208" i="11"/>
  <c r="BY169" i="11"/>
  <c r="BY208" i="11"/>
  <c r="CP169" i="11"/>
  <c r="BR208" i="11"/>
  <c r="DK47" i="11"/>
  <c r="DG219" i="11"/>
  <c r="DK20" i="11"/>
  <c r="DG225" i="11"/>
  <c r="DF112" i="11"/>
  <c r="DY22" i="138"/>
  <c r="DW20" i="138"/>
  <c r="DW23" i="138"/>
  <c r="DX20" i="138"/>
  <c r="DX23" i="138"/>
  <c r="DX19" i="138"/>
  <c r="DZ22" i="138"/>
  <c r="EC30" i="138" s="1"/>
  <c r="EG30" i="138" s="1"/>
  <c r="DY20" i="138"/>
  <c r="DY28" i="138" s="1"/>
  <c r="DY23" i="138"/>
  <c r="DZ19" i="138"/>
  <c r="EC27" i="138" s="1"/>
  <c r="EG27" i="138" s="1"/>
  <c r="DZ20" i="138"/>
  <c r="EC28" i="138" s="1"/>
  <c r="EG28" i="138" s="1"/>
  <c r="DZ23" i="138"/>
  <c r="EC31" i="138" s="1"/>
  <c r="EG31" i="138" s="1"/>
  <c r="DX22" i="138"/>
  <c r="DY19" i="138"/>
  <c r="DW19" i="138"/>
  <c r="DW22" i="138"/>
  <c r="CZ73" i="135"/>
  <c r="DB73" i="135"/>
  <c r="DF111" i="11"/>
  <c r="DF100" i="11"/>
  <c r="CZ138" i="12"/>
  <c r="AW62" i="11"/>
  <c r="AY62" i="11"/>
  <c r="BC62" i="11"/>
  <c r="BE62" i="11"/>
  <c r="BI62" i="11"/>
  <c r="BK62" i="11"/>
  <c r="BO62" i="11"/>
  <c r="BQ62" i="11"/>
  <c r="BU62" i="11"/>
  <c r="BW62" i="11"/>
  <c r="CA62" i="11"/>
  <c r="CC62" i="11"/>
  <c r="CG62" i="11"/>
  <c r="CI62" i="11"/>
  <c r="CM62" i="11"/>
  <c r="CO62" i="11"/>
  <c r="AX62" i="11"/>
  <c r="AZ62" i="11"/>
  <c r="BD62" i="11"/>
  <c r="BJ62" i="11"/>
  <c r="BL62" i="11"/>
  <c r="BP62" i="11"/>
  <c r="BR62" i="11"/>
  <c r="BV62" i="11"/>
  <c r="BX62" i="11"/>
  <c r="CB62" i="11"/>
  <c r="CD62" i="11"/>
  <c r="CH62" i="11"/>
  <c r="CJ62" i="11"/>
  <c r="CN62" i="11"/>
  <c r="CP62" i="11"/>
  <c r="DB138" i="12"/>
  <c r="DE100" i="11"/>
  <c r="DA73" i="135"/>
  <c r="CS138" i="12"/>
  <c r="AF78" i="12"/>
  <c r="BU78" i="12"/>
  <c r="CI78" i="12"/>
  <c r="CT138" i="12"/>
  <c r="DA138" i="12"/>
  <c r="T78" i="12"/>
  <c r="AW78" i="12"/>
  <c r="BW78" i="12"/>
  <c r="CG78" i="12"/>
  <c r="CY78" i="12"/>
  <c r="CY169" i="11"/>
  <c r="EY14" i="138"/>
  <c r="EZ11" i="138"/>
  <c r="EY12" i="138"/>
  <c r="EY15" i="138"/>
  <c r="FA14" i="138"/>
  <c r="EX12" i="138"/>
  <c r="EZ12" i="138"/>
  <c r="EZ15" i="138"/>
  <c r="EY11" i="138"/>
  <c r="FA11" i="138"/>
  <c r="FA12" i="138"/>
  <c r="FA15" i="138"/>
  <c r="EZ14" i="138"/>
  <c r="EX15" i="138"/>
  <c r="EX11" i="138"/>
  <c r="EX14" i="138"/>
  <c r="DB78" i="12"/>
  <c r="DI47" i="12"/>
  <c r="DU47" i="12"/>
  <c r="M78" i="12"/>
  <c r="O78" i="12"/>
  <c r="Y78" i="12"/>
  <c r="AA78" i="12"/>
  <c r="AK78" i="12"/>
  <c r="AM78" i="12"/>
  <c r="AQ78" i="12"/>
  <c r="AS78" i="12"/>
  <c r="AZ78" i="12"/>
  <c r="BD78" i="12"/>
  <c r="BF78" i="12"/>
  <c r="BJ78" i="12"/>
  <c r="BL78" i="12"/>
  <c r="BP78" i="12"/>
  <c r="CB78" i="12"/>
  <c r="CN78" i="12"/>
  <c r="DC169" i="11"/>
  <c r="N78" i="12"/>
  <c r="S78" i="12"/>
  <c r="U78" i="12"/>
  <c r="Z78" i="12"/>
  <c r="AE78" i="12"/>
  <c r="AG78" i="12"/>
  <c r="AL78" i="12"/>
  <c r="AN78" i="12"/>
  <c r="AR78" i="12"/>
  <c r="AT78" i="12"/>
  <c r="AY78" i="12"/>
  <c r="BC78" i="12"/>
  <c r="BE78" i="12"/>
  <c r="BI78" i="12"/>
  <c r="BK78" i="12"/>
  <c r="BO78" i="12"/>
  <c r="BQ78" i="12"/>
  <c r="BV78" i="12"/>
  <c r="CA78" i="12"/>
  <c r="CC78" i="12"/>
  <c r="CH78" i="12"/>
  <c r="CM78" i="12"/>
  <c r="CO78" i="12"/>
  <c r="DF20" i="138"/>
  <c r="EU20" i="138" s="1"/>
  <c r="DG20" i="138"/>
  <c r="DH20" i="138"/>
  <c r="EW20" i="138" s="1"/>
  <c r="DE20" i="138"/>
  <c r="CU23" i="138"/>
  <c r="EN23" i="138" s="1"/>
  <c r="EV12" i="138"/>
  <c r="DA42" i="138"/>
  <c r="EW12" i="138"/>
  <c r="CY45" i="138"/>
  <c r="EP12" i="138"/>
  <c r="ET14" i="138"/>
  <c r="CY43" i="138"/>
  <c r="CZ45" i="138"/>
  <c r="EU15" i="138"/>
  <c r="CZ42" i="138"/>
  <c r="DA44" i="138"/>
  <c r="EW15" i="138"/>
  <c r="DB42" i="138"/>
  <c r="CT24" i="138"/>
  <c r="EM24" i="138" s="1"/>
  <c r="EU14" i="138"/>
  <c r="CZ43" i="138"/>
  <c r="DA45" i="138"/>
  <c r="CT19" i="138"/>
  <c r="EM19" i="138" s="1"/>
  <c r="DB45" i="138"/>
  <c r="CS23" i="138"/>
  <c r="EW14" i="138"/>
  <c r="DB43" i="138"/>
  <c r="EU12" i="138"/>
  <c r="CZ44" i="138"/>
  <c r="EV15" i="138"/>
  <c r="EP15" i="138"/>
  <c r="EV14" i="138"/>
  <c r="DA43" i="138"/>
  <c r="ET12" i="138"/>
  <c r="ET15" i="138"/>
  <c r="CY42" i="138"/>
  <c r="CY44" i="138"/>
  <c r="CW72" i="135"/>
  <c r="DC72" i="135"/>
  <c r="CY73" i="135"/>
  <c r="CW19" i="138"/>
  <c r="CW20" i="138"/>
  <c r="CW23" i="138"/>
  <c r="DF43" i="138"/>
  <c r="DG44" i="138"/>
  <c r="EN11" i="138"/>
  <c r="CU19" i="138"/>
  <c r="EN19" i="138" s="1"/>
  <c r="EL14" i="138"/>
  <c r="CS22" i="138"/>
  <c r="EO11" i="138"/>
  <c r="CV19" i="138"/>
  <c r="EO19" i="138" s="1"/>
  <c r="EM14" i="138"/>
  <c r="CT22" i="138"/>
  <c r="EM22" i="138" s="1"/>
  <c r="EL11" i="138"/>
  <c r="CS19" i="138"/>
  <c r="EL12" i="138"/>
  <c r="CS20" i="138"/>
  <c r="EO14" i="138"/>
  <c r="CV22" i="138"/>
  <c r="EO22" i="138" s="1"/>
  <c r="EO12" i="138"/>
  <c r="CV20" i="138"/>
  <c r="EO20" i="138" s="1"/>
  <c r="EM12" i="138"/>
  <c r="CT20" i="138"/>
  <c r="EM20" i="138" s="1"/>
  <c r="EO15" i="138"/>
  <c r="CV23" i="138"/>
  <c r="EO23" i="138" s="1"/>
  <c r="EN14" i="138"/>
  <c r="CU22" i="138"/>
  <c r="EN22" i="138" s="1"/>
  <c r="EN12" i="138"/>
  <c r="CU20" i="138"/>
  <c r="EN20" i="138" s="1"/>
  <c r="EM15" i="138"/>
  <c r="CT23" i="138"/>
  <c r="EM23" i="138" s="1"/>
  <c r="EL16" i="138"/>
  <c r="CS24" i="138"/>
  <c r="EN16" i="138"/>
  <c r="CU24" i="138"/>
  <c r="EN24" i="138" s="1"/>
  <c r="DE44" i="138"/>
  <c r="DC19" i="138"/>
  <c r="CY22" i="138"/>
  <c r="DH43" i="138"/>
  <c r="T8" i="138"/>
  <c r="U8" i="138" s="1"/>
  <c r="V8" i="138" s="1"/>
  <c r="CS148" i="11"/>
  <c r="CY148" i="11"/>
  <c r="CY112" i="11"/>
  <c r="CV111" i="11"/>
  <c r="DB111" i="11"/>
  <c r="CV112" i="11"/>
  <c r="DB128" i="11"/>
  <c r="DL128" i="11" s="1"/>
  <c r="DM128" i="11" s="1"/>
  <c r="DN128" i="11" s="1"/>
  <c r="DQ128" i="11" s="1"/>
  <c r="DR128" i="11" s="1"/>
  <c r="DS128" i="11" s="1"/>
  <c r="DT128" i="11" s="1"/>
  <c r="DX128" i="11" s="1"/>
  <c r="DB112" i="11"/>
  <c r="DO47" i="12"/>
  <c r="DH45" i="138"/>
  <c r="DF45" i="138"/>
  <c r="EM11" i="138"/>
  <c r="CY19" i="138"/>
  <c r="DA19" i="138"/>
  <c r="ER11" i="138"/>
  <c r="DA20" i="138"/>
  <c r="ER12" i="138"/>
  <c r="DC20" i="138"/>
  <c r="DA22" i="138"/>
  <c r="ER14" i="138"/>
  <c r="DA23" i="138"/>
  <c r="ER15" i="138"/>
  <c r="DA24" i="138"/>
  <c r="ER16" i="138"/>
  <c r="EN15" i="138"/>
  <c r="EM16" i="138"/>
  <c r="EL15" i="138"/>
  <c r="EP11" i="138"/>
  <c r="EP14" i="138"/>
  <c r="EP16" i="138"/>
  <c r="CY20" i="138"/>
  <c r="CZ19" i="138"/>
  <c r="EQ11" i="138"/>
  <c r="DB19" i="138"/>
  <c r="ES11" i="138"/>
  <c r="CZ20" i="138"/>
  <c r="EQ12" i="138"/>
  <c r="DB20" i="138"/>
  <c r="ES12" i="138"/>
  <c r="CZ22" i="138"/>
  <c r="EQ14" i="138"/>
  <c r="DB22" i="138"/>
  <c r="ES14" i="138"/>
  <c r="CZ23" i="138"/>
  <c r="EQ15" i="138"/>
  <c r="DB23" i="138"/>
  <c r="ES15" i="138"/>
  <c r="CZ24" i="138"/>
  <c r="EQ16" i="138"/>
  <c r="DE43" i="138"/>
  <c r="DG43" i="138"/>
  <c r="DF44" i="138"/>
  <c r="DE45" i="138"/>
  <c r="DG45" i="138"/>
  <c r="DE22" i="138"/>
  <c r="ET22" i="138" s="1"/>
  <c r="DG22" i="138"/>
  <c r="EV22" i="138" s="1"/>
  <c r="DF23" i="138"/>
  <c r="EU23" i="138" s="1"/>
  <c r="DH23" i="138"/>
  <c r="EW23" i="138" s="1"/>
  <c r="DK20" i="138"/>
  <c r="EX20" i="138" s="1"/>
  <c r="DM20" i="138"/>
  <c r="EZ20" i="138" s="1"/>
  <c r="DL22" i="138"/>
  <c r="EY22" i="138" s="1"/>
  <c r="DN22" i="138"/>
  <c r="FA22" i="138" s="1"/>
  <c r="DK23" i="138"/>
  <c r="EX23" i="138" s="1"/>
  <c r="DM23" i="138"/>
  <c r="EZ23" i="138" s="1"/>
  <c r="DQ19" i="138"/>
  <c r="DS19" i="138"/>
  <c r="DR20" i="138"/>
  <c r="DT20" i="138"/>
  <c r="DQ22" i="138"/>
  <c r="DS22" i="138"/>
  <c r="DF22" i="138"/>
  <c r="DH22" i="138"/>
  <c r="DE23" i="138"/>
  <c r="ET23" i="138" s="1"/>
  <c r="DG23" i="138"/>
  <c r="DL20" i="138"/>
  <c r="EY20" i="138" s="1"/>
  <c r="DN20" i="138"/>
  <c r="FA20" i="138" s="1"/>
  <c r="DK22" i="138"/>
  <c r="EX22" i="138" s="1"/>
  <c r="DM22" i="138"/>
  <c r="EZ22" i="138" s="1"/>
  <c r="DL23" i="138"/>
  <c r="EY23" i="138" s="1"/>
  <c r="DN23" i="138"/>
  <c r="FA23" i="138" s="1"/>
  <c r="DR19" i="138"/>
  <c r="DT19" i="138"/>
  <c r="DQ20" i="138"/>
  <c r="DS20" i="138"/>
  <c r="DR22" i="138"/>
  <c r="DT22" i="138"/>
  <c r="DQ23" i="138"/>
  <c r="DS23" i="138"/>
  <c r="CY24" i="138"/>
  <c r="DR23" i="138"/>
  <c r="DT23" i="138"/>
  <c r="CY23" i="138"/>
  <c r="Z8" i="138"/>
  <c r="AA8" i="138" s="1"/>
  <c r="AB8" i="138" s="1"/>
  <c r="AE8" i="138"/>
  <c r="DK50" i="11"/>
  <c r="DL50" i="11" s="1"/>
  <c r="DK22" i="11"/>
  <c r="DL22" i="11" s="1"/>
  <c r="DM22" i="11" s="1"/>
  <c r="DN22" i="11" s="1"/>
  <c r="DK35" i="11"/>
  <c r="DU31" i="12"/>
  <c r="AN44" i="12"/>
  <c r="AO44" i="12" s="1"/>
  <c r="AZ44" i="12"/>
  <c r="BA44" i="12" s="1"/>
  <c r="BE44" i="12"/>
  <c r="AS44" i="12"/>
  <c r="DI31" i="12"/>
  <c r="DK52" i="11"/>
  <c r="DL52" i="11" s="1"/>
  <c r="DM52" i="11" s="1"/>
  <c r="DN52" i="11" s="1"/>
  <c r="DQ52" i="11" s="1"/>
  <c r="DR52" i="11" s="1"/>
  <c r="DS52" i="11" s="1"/>
  <c r="DT52" i="11" s="1"/>
  <c r="DW52" i="11" s="1"/>
  <c r="DX52" i="11" s="1"/>
  <c r="DY52" i="11" s="1"/>
  <c r="DZ52" i="11" s="1"/>
  <c r="EC52" i="11" s="1"/>
  <c r="ED52" i="11" s="1"/>
  <c r="EE52" i="11" s="1"/>
  <c r="EF52" i="11" s="1"/>
  <c r="EG52" i="11" s="1"/>
  <c r="DO31" i="12"/>
  <c r="DQ12" i="11"/>
  <c r="DR12" i="11" s="1"/>
  <c r="DS12" i="11" s="1"/>
  <c r="DT12" i="11" s="1"/>
  <c r="DW12" i="11" s="1"/>
  <c r="DX12" i="11" s="1"/>
  <c r="DY12" i="11" s="1"/>
  <c r="DZ12" i="11" s="1"/>
  <c r="EC12" i="11" s="1"/>
  <c r="ED12" i="11" s="1"/>
  <c r="EE12" i="11" s="1"/>
  <c r="EF12" i="11" s="1"/>
  <c r="EG12" i="11" s="1"/>
  <c r="EG121" i="11" s="1"/>
  <c r="DE59" i="135"/>
  <c r="DB127" i="11"/>
  <c r="DB136" i="11"/>
  <c r="DB137" i="11" s="1"/>
  <c r="DB126" i="11"/>
  <c r="DB120" i="11"/>
  <c r="DB121" i="11"/>
  <c r="DB122" i="11"/>
  <c r="DB123" i="11"/>
  <c r="DK42" i="11"/>
  <c r="DL42" i="11" s="1"/>
  <c r="DM42" i="11" s="1"/>
  <c r="DN42" i="11" s="1"/>
  <c r="DQ42" i="11" s="1"/>
  <c r="DR42" i="11" s="1"/>
  <c r="DS42" i="11" s="1"/>
  <c r="DT42" i="11" s="1"/>
  <c r="CB169" i="11" l="1"/>
  <c r="AH169" i="11"/>
  <c r="AK208" i="11"/>
  <c r="BE208" i="11"/>
  <c r="BC208" i="11"/>
  <c r="AN169" i="11"/>
  <c r="CU208" i="11"/>
  <c r="CU209" i="11" s="1"/>
  <c r="CU210" i="11" s="1"/>
  <c r="CU211" i="11" s="1"/>
  <c r="O208" i="11"/>
  <c r="Y208" i="11"/>
  <c r="T208" i="11"/>
  <c r="BL208" i="11"/>
  <c r="CC208" i="11"/>
  <c r="CC209" i="11" s="1"/>
  <c r="CC210" i="11" s="1"/>
  <c r="CC211" i="11" s="1"/>
  <c r="CV208" i="11"/>
  <c r="AB169" i="11"/>
  <c r="Z169" i="11"/>
  <c r="AS208" i="11"/>
  <c r="CJ208" i="11"/>
  <c r="P169" i="11"/>
  <c r="BD169" i="11"/>
  <c r="AA169" i="11"/>
  <c r="BP208" i="11"/>
  <c r="BP209" i="11" s="1"/>
  <c r="BP210" i="11" s="1"/>
  <c r="BP211" i="11" s="1"/>
  <c r="AZ208" i="11"/>
  <c r="AG169" i="11"/>
  <c r="CI208" i="11"/>
  <c r="CI209" i="11" s="1"/>
  <c r="CI210" i="11" s="1"/>
  <c r="CI211" i="11" s="1"/>
  <c r="AE208" i="11"/>
  <c r="BJ208" i="11"/>
  <c r="CD169" i="11"/>
  <c r="CA208" i="11"/>
  <c r="CA209" i="11" s="1"/>
  <c r="CA210" i="11" s="1"/>
  <c r="CA211" i="11" s="1"/>
  <c r="U208" i="11"/>
  <c r="CN208" i="11"/>
  <c r="CN209" i="11" s="1"/>
  <c r="CN210" i="11" s="1"/>
  <c r="CN211" i="11" s="1"/>
  <c r="S208" i="11"/>
  <c r="AT208" i="11"/>
  <c r="AX208" i="11"/>
  <c r="BQ208" i="11"/>
  <c r="BQ209" i="11" s="1"/>
  <c r="BQ210" i="11" s="1"/>
  <c r="BQ211" i="11" s="1"/>
  <c r="BO208" i="11"/>
  <c r="BO209" i="11" s="1"/>
  <c r="BO210" i="11" s="1"/>
  <c r="BO211" i="11" s="1"/>
  <c r="AL208" i="11"/>
  <c r="BX208" i="11"/>
  <c r="BK208" i="11"/>
  <c r="CO208" i="11"/>
  <c r="CO209" i="11" s="1"/>
  <c r="CO210" i="11" s="1"/>
  <c r="CO211" i="11" s="1"/>
  <c r="BX169" i="11"/>
  <c r="CH208" i="11"/>
  <c r="CH209" i="11" s="1"/>
  <c r="CH210" i="11" s="1"/>
  <c r="CH211" i="11" s="1"/>
  <c r="M208" i="11"/>
  <c r="AF169" i="11"/>
  <c r="BF208" i="11"/>
  <c r="CM208" i="11"/>
  <c r="CM209" i="11" s="1"/>
  <c r="CM210" i="11" s="1"/>
  <c r="CM211" i="11" s="1"/>
  <c r="N208" i="11"/>
  <c r="AY169" i="11"/>
  <c r="AW169" i="11"/>
  <c r="AQ208" i="11"/>
  <c r="AM208" i="11"/>
  <c r="DY128" i="11"/>
  <c r="DZ128" i="11" s="1"/>
  <c r="DX134" i="11"/>
  <c r="DX33" i="11" s="1"/>
  <c r="AR208" i="11"/>
  <c r="DI115" i="12"/>
  <c r="EA52" i="11"/>
  <c r="EA12" i="11"/>
  <c r="EA121" i="11" s="1"/>
  <c r="CG169" i="11"/>
  <c r="DZ28" i="138"/>
  <c r="EQ54" i="138"/>
  <c r="CZ61" i="138"/>
  <c r="EQ61" i="138" s="1"/>
  <c r="EM54" i="138"/>
  <c r="CT61" i="138"/>
  <c r="EM61" i="138" s="1"/>
  <c r="ER54" i="138"/>
  <c r="DA61" i="138"/>
  <c r="ER61" i="138" s="1"/>
  <c r="DF61" i="138"/>
  <c r="EU61" i="138" s="1"/>
  <c r="ES54" i="138"/>
  <c r="EW61" i="138" s="1"/>
  <c r="DB61" i="138"/>
  <c r="ES61" i="138" s="1"/>
  <c r="EL54" i="138"/>
  <c r="CS61" i="138"/>
  <c r="EL61" i="138" s="1"/>
  <c r="EV54" i="138"/>
  <c r="DG61" i="138"/>
  <c r="EV61" i="138" s="1"/>
  <c r="DM61" i="138"/>
  <c r="EZ61" i="138" s="1"/>
  <c r="EN54" i="138"/>
  <c r="CU61" i="138"/>
  <c r="EN61" i="138" s="1"/>
  <c r="EP54" i="138"/>
  <c r="CY61" i="138"/>
  <c r="EP61" i="138" s="1"/>
  <c r="EO54" i="138"/>
  <c r="CV61" i="138"/>
  <c r="EO61" i="138" s="1"/>
  <c r="CT169" i="11"/>
  <c r="CT208" i="11"/>
  <c r="CT209" i="11" s="1"/>
  <c r="CT210" i="11" s="1"/>
  <c r="CT211" i="11" s="1"/>
  <c r="CS169" i="11"/>
  <c r="CS208" i="11"/>
  <c r="CS209" i="11" s="1"/>
  <c r="CS210" i="11" s="1"/>
  <c r="CS211" i="11" s="1"/>
  <c r="CZ169" i="11"/>
  <c r="CZ208" i="11"/>
  <c r="CZ209" i="11" s="1"/>
  <c r="CZ210" i="11" s="1"/>
  <c r="CZ211" i="11" s="1"/>
  <c r="DF208" i="11"/>
  <c r="DG208" i="11"/>
  <c r="DA169" i="11"/>
  <c r="DA208" i="11"/>
  <c r="DA209" i="11" s="1"/>
  <c r="DA210" i="11" s="1"/>
  <c r="DA211" i="11" s="1"/>
  <c r="DB169" i="11"/>
  <c r="DB208" i="11"/>
  <c r="DB209" i="11" s="1"/>
  <c r="DB210" i="11" s="1"/>
  <c r="DB211" i="11" s="1"/>
  <c r="DE169" i="11"/>
  <c r="DE170" i="11" s="1"/>
  <c r="DE171" i="11" s="1"/>
  <c r="DE172" i="11" s="1"/>
  <c r="DE208" i="11"/>
  <c r="DL47" i="11"/>
  <c r="DK219" i="11"/>
  <c r="DI47" i="11"/>
  <c r="DH219" i="11"/>
  <c r="DI219" i="11" s="1"/>
  <c r="DL20" i="11"/>
  <c r="DK225" i="11"/>
  <c r="DI20" i="11"/>
  <c r="DH225" i="11"/>
  <c r="DI225" i="11" s="1"/>
  <c r="DU42" i="11"/>
  <c r="DW42" i="11"/>
  <c r="DX42" i="11" s="1"/>
  <c r="DY42" i="11" s="1"/>
  <c r="DZ42" i="11" s="1"/>
  <c r="DY31" i="138"/>
  <c r="DZ31" i="138"/>
  <c r="DY27" i="138"/>
  <c r="DX30" i="138"/>
  <c r="DZ30" i="138"/>
  <c r="DX27" i="138"/>
  <c r="DW31" i="138"/>
  <c r="DW28" i="138"/>
  <c r="DZ27" i="138"/>
  <c r="DW30" i="138"/>
  <c r="DX31" i="138"/>
  <c r="DY30" i="138"/>
  <c r="DW27" i="138"/>
  <c r="DX28" i="138"/>
  <c r="DU12" i="11"/>
  <c r="DU52" i="11"/>
  <c r="CS32" i="138"/>
  <c r="EL24" i="138"/>
  <c r="CS28" i="138"/>
  <c r="EL20" i="138"/>
  <c r="CS30" i="138"/>
  <c r="EL22" i="138"/>
  <c r="CS27" i="138"/>
  <c r="EL19" i="138"/>
  <c r="CS31" i="138"/>
  <c r="EL23" i="138"/>
  <c r="CV31" i="138"/>
  <c r="CT31" i="138"/>
  <c r="CU32" i="138"/>
  <c r="CU27" i="138"/>
  <c r="CV27" i="138"/>
  <c r="CU28" i="138"/>
  <c r="CV28" i="138"/>
  <c r="CU30" i="138"/>
  <c r="CV30" i="138"/>
  <c r="CT32" i="138"/>
  <c r="ES19" i="138"/>
  <c r="DB27" i="138"/>
  <c r="EP22" i="138"/>
  <c r="CY30" i="138"/>
  <c r="EP23" i="138"/>
  <c r="CY31" i="138"/>
  <c r="EQ22" i="138"/>
  <c r="CZ30" i="138"/>
  <c r="EP20" i="138"/>
  <c r="CY28" i="138"/>
  <c r="ER20" i="138"/>
  <c r="DA28" i="138"/>
  <c r="CT28" i="138"/>
  <c r="ES22" i="138"/>
  <c r="DB30" i="138"/>
  <c r="ER22" i="138"/>
  <c r="DA30" i="138"/>
  <c r="EQ19" i="138"/>
  <c r="CZ27" i="138"/>
  <c r="ES23" i="138"/>
  <c r="DB31" i="138"/>
  <c r="ES20" i="138"/>
  <c r="DB28" i="138"/>
  <c r="ER19" i="138"/>
  <c r="DA27" i="138"/>
  <c r="CT30" i="138"/>
  <c r="CT27" i="138"/>
  <c r="EQ23" i="138"/>
  <c r="CZ31" i="138"/>
  <c r="EQ20" i="138"/>
  <c r="CZ28" i="138"/>
  <c r="ER23" i="138"/>
  <c r="DA31" i="138"/>
  <c r="EP19" i="138"/>
  <c r="CY27" i="138"/>
  <c r="CU31" i="138"/>
  <c r="EQ24" i="138"/>
  <c r="CZ32" i="138"/>
  <c r="ER24" i="138"/>
  <c r="DA32" i="138"/>
  <c r="DE30" i="138"/>
  <c r="DR31" i="138"/>
  <c r="DK31" i="138"/>
  <c r="DS28" i="138"/>
  <c r="DM30" i="138"/>
  <c r="DQ30" i="138"/>
  <c r="DK28" i="138"/>
  <c r="DT30" i="138"/>
  <c r="DT27" i="138"/>
  <c r="DN31" i="138"/>
  <c r="DN28" i="138"/>
  <c r="DR28" i="138"/>
  <c r="DL30" i="138"/>
  <c r="DF31" i="138"/>
  <c r="DF28" i="138"/>
  <c r="DR30" i="138"/>
  <c r="DR27" i="138"/>
  <c r="DL31" i="138"/>
  <c r="DL28" i="138"/>
  <c r="DQ28" i="138"/>
  <c r="DK30" i="138"/>
  <c r="DS30" i="138"/>
  <c r="DT28" i="138"/>
  <c r="DM31" i="138"/>
  <c r="DN30" i="138"/>
  <c r="EP24" i="138"/>
  <c r="DF30" i="138"/>
  <c r="EU22" i="138"/>
  <c r="DG28" i="138"/>
  <c r="EV20" i="138"/>
  <c r="DT31" i="138"/>
  <c r="DQ31" i="138"/>
  <c r="DE31" i="138"/>
  <c r="DS27" i="138"/>
  <c r="DM28" i="138"/>
  <c r="DH31" i="138"/>
  <c r="DG30" i="138"/>
  <c r="DH28" i="138"/>
  <c r="DG31" i="138"/>
  <c r="EV23" i="138"/>
  <c r="DH30" i="138"/>
  <c r="EW22" i="138"/>
  <c r="DE28" i="138"/>
  <c r="ET20" i="138"/>
  <c r="DS31" i="138"/>
  <c r="AF8" i="138"/>
  <c r="AG8" i="138" s="1"/>
  <c r="AH8" i="138" s="1"/>
  <c r="AK8" i="138"/>
  <c r="DO52" i="11"/>
  <c r="DO42" i="11"/>
  <c r="DL35" i="11"/>
  <c r="DK37" i="12"/>
  <c r="DK15" i="11"/>
  <c r="DO22" i="11"/>
  <c r="DQ22" i="11"/>
  <c r="DR22" i="11" s="1"/>
  <c r="DS22" i="11" s="1"/>
  <c r="DT22" i="11" s="1"/>
  <c r="BF44" i="12"/>
  <c r="BG44" i="12" s="1"/>
  <c r="AT44" i="12"/>
  <c r="AU44" i="12" s="1"/>
  <c r="DM50" i="11"/>
  <c r="DI37" i="12"/>
  <c r="DI42" i="11"/>
  <c r="DX185" i="11" l="1"/>
  <c r="DX25" i="12"/>
  <c r="ED128" i="11"/>
  <c r="EC134" i="11"/>
  <c r="EC33" i="11" s="1"/>
  <c r="EC185" i="11" s="1"/>
  <c r="EA42" i="11"/>
  <c r="EC42" i="11"/>
  <c r="ED42" i="11" s="1"/>
  <c r="EE42" i="11" s="1"/>
  <c r="EF42" i="11" s="1"/>
  <c r="EG42" i="11" s="1"/>
  <c r="DM47" i="11"/>
  <c r="DL219" i="11"/>
  <c r="DM20" i="11"/>
  <c r="DL225" i="11"/>
  <c r="DU22" i="11"/>
  <c r="DW22" i="11"/>
  <c r="EA27" i="138"/>
  <c r="DW86" i="11"/>
  <c r="DW133" i="11"/>
  <c r="EA30" i="138"/>
  <c r="EA28" i="138"/>
  <c r="EA31" i="138"/>
  <c r="CW31" i="138"/>
  <c r="CW27" i="138"/>
  <c r="DE33" i="134"/>
  <c r="DE34" i="134" s="1"/>
  <c r="DE114" i="136"/>
  <c r="DE185" i="136"/>
  <c r="DE195" i="136" s="1"/>
  <c r="CW28" i="138"/>
  <c r="CW30" i="138"/>
  <c r="DC27" i="138"/>
  <c r="DC30" i="138"/>
  <c r="DC31" i="138"/>
  <c r="DC28" i="138"/>
  <c r="DU28" i="138"/>
  <c r="DO28" i="138"/>
  <c r="DO30" i="138"/>
  <c r="DO31" i="138"/>
  <c r="DI31" i="138"/>
  <c r="DU30" i="138"/>
  <c r="DU31" i="138"/>
  <c r="DI30" i="138"/>
  <c r="DI28" i="138"/>
  <c r="AL8" i="138"/>
  <c r="AM8" i="138" s="1"/>
  <c r="AN8" i="138" s="1"/>
  <c r="AQ8" i="138"/>
  <c r="DM35" i="11"/>
  <c r="DL37" i="12"/>
  <c r="DL15" i="11"/>
  <c r="DN50" i="11"/>
  <c r="DL123" i="11"/>
  <c r="DK71" i="134" l="1"/>
  <c r="EE128" i="11"/>
  <c r="EF128" i="11" s="1"/>
  <c r="ED134" i="11"/>
  <c r="ED33" i="11" s="1"/>
  <c r="DL127" i="11"/>
  <c r="DM127" i="11" s="1"/>
  <c r="DN127" i="11" s="1"/>
  <c r="DH86" i="11"/>
  <c r="DH87" i="11" s="1"/>
  <c r="DN47" i="11"/>
  <c r="DM219" i="11"/>
  <c r="DN20" i="11"/>
  <c r="DM225" i="11"/>
  <c r="DW180" i="11"/>
  <c r="DX22" i="11"/>
  <c r="DE35" i="134"/>
  <c r="DK72" i="134" s="1"/>
  <c r="DE201" i="11"/>
  <c r="DW32" i="11"/>
  <c r="DX86" i="11"/>
  <c r="DX133" i="11"/>
  <c r="DE60" i="134"/>
  <c r="DE187" i="136"/>
  <c r="DE125" i="136"/>
  <c r="DE116" i="136"/>
  <c r="AR8" i="138"/>
  <c r="AS8" i="138" s="1"/>
  <c r="AT8" i="138" s="1"/>
  <c r="AW8" i="138"/>
  <c r="DM15" i="11"/>
  <c r="DN35" i="11"/>
  <c r="DM37" i="12"/>
  <c r="DO50" i="11"/>
  <c r="DQ50" i="11"/>
  <c r="DM123" i="11"/>
  <c r="DE130" i="12" l="1"/>
  <c r="ED185" i="11"/>
  <c r="ED25" i="12"/>
  <c r="DO47" i="11"/>
  <c r="DN219" i="11"/>
  <c r="DO219" i="11" s="1"/>
  <c r="DQ47" i="11"/>
  <c r="DO20" i="11"/>
  <c r="DN225" i="11"/>
  <c r="DO225" i="11" s="1"/>
  <c r="DQ20" i="11"/>
  <c r="DY22" i="11"/>
  <c r="DX180" i="11"/>
  <c r="DX32" i="11"/>
  <c r="DY86" i="11"/>
  <c r="DW98" i="11"/>
  <c r="DW184" i="11"/>
  <c r="DF114" i="136"/>
  <c r="DF33" i="134"/>
  <c r="DF34" i="134" s="1"/>
  <c r="DF185" i="136"/>
  <c r="DF198" i="11"/>
  <c r="AX8" i="138"/>
  <c r="AY8" i="138" s="1"/>
  <c r="AZ8" i="138" s="1"/>
  <c r="BC8" i="138"/>
  <c r="DN15" i="11"/>
  <c r="DN37" i="12"/>
  <c r="DO37" i="12" s="1"/>
  <c r="DQ35" i="11"/>
  <c r="DO35" i="11"/>
  <c r="DR50" i="11"/>
  <c r="DL122" i="11"/>
  <c r="DN123" i="11"/>
  <c r="DF60" i="134" l="1"/>
  <c r="DR47" i="11"/>
  <c r="DQ219" i="11"/>
  <c r="DR20" i="11"/>
  <c r="DQ225" i="11"/>
  <c r="DZ22" i="11"/>
  <c r="EC22" i="11" s="1"/>
  <c r="DY180" i="11"/>
  <c r="DZ86" i="11"/>
  <c r="DX184" i="11"/>
  <c r="DX98" i="11"/>
  <c r="DX23" i="12"/>
  <c r="DF187" i="136"/>
  <c r="DF195" i="136"/>
  <c r="DF116" i="136"/>
  <c r="DF125" i="136"/>
  <c r="DG185" i="136"/>
  <c r="DG33" i="134"/>
  <c r="DG34" i="134" s="1"/>
  <c r="DG114" i="136"/>
  <c r="BD8" i="138"/>
  <c r="BE8" i="138" s="1"/>
  <c r="BF8" i="138" s="1"/>
  <c r="BI8" i="138"/>
  <c r="DR35" i="11"/>
  <c r="DQ37" i="12"/>
  <c r="DO15" i="11"/>
  <c r="DQ15" i="11"/>
  <c r="DS50" i="11"/>
  <c r="DM122" i="11"/>
  <c r="EC180" i="11" l="1"/>
  <c r="ED22" i="11"/>
  <c r="DG91" i="134"/>
  <c r="DG201" i="11"/>
  <c r="DS47" i="11"/>
  <c r="DR219" i="11"/>
  <c r="DS20" i="11"/>
  <c r="DR225" i="11"/>
  <c r="EA22" i="11"/>
  <c r="EA180" i="11" s="1"/>
  <c r="DZ180" i="11"/>
  <c r="DG60" i="134"/>
  <c r="DH185" i="136"/>
  <c r="DH114" i="136"/>
  <c r="DH198" i="11"/>
  <c r="DG116" i="136"/>
  <c r="DG125" i="136"/>
  <c r="DG195" i="136"/>
  <c r="DG187" i="136"/>
  <c r="BJ8" i="138"/>
  <c r="BK8" i="138" s="1"/>
  <c r="BL8" i="138" s="1"/>
  <c r="BO8" i="138"/>
  <c r="DR15" i="11"/>
  <c r="DS35" i="11"/>
  <c r="DR37" i="12"/>
  <c r="DT50" i="11"/>
  <c r="DW50" i="11" s="1"/>
  <c r="DX50" i="11" s="1"/>
  <c r="DY50" i="11" s="1"/>
  <c r="DZ50" i="11" s="1"/>
  <c r="DR123" i="11"/>
  <c r="DN122" i="11"/>
  <c r="ED180" i="11" l="1"/>
  <c r="EE22" i="11"/>
  <c r="EA50" i="11"/>
  <c r="EC50" i="11"/>
  <c r="DT47" i="11"/>
  <c r="DS219" i="11"/>
  <c r="DT20" i="11"/>
  <c r="DS225" i="11"/>
  <c r="DH116" i="136"/>
  <c r="DI116" i="136" s="1"/>
  <c r="DH125" i="136"/>
  <c r="DI125" i="136" s="1"/>
  <c r="DH195" i="136"/>
  <c r="DI195" i="136" s="1"/>
  <c r="DH187" i="136"/>
  <c r="DI187" i="136" s="1"/>
  <c r="BP8" i="138"/>
  <c r="BQ8" i="138" s="1"/>
  <c r="BR8" i="138" s="1"/>
  <c r="BU8" i="138"/>
  <c r="DT35" i="11"/>
  <c r="DW35" i="11" s="1"/>
  <c r="DS37" i="12"/>
  <c r="DS15" i="11"/>
  <c r="DU50" i="11"/>
  <c r="DS123" i="11"/>
  <c r="EE180" i="11" l="1"/>
  <c r="EF22" i="11"/>
  <c r="ED50" i="11"/>
  <c r="DT219" i="11"/>
  <c r="DU219" i="11" s="1"/>
  <c r="DU47" i="11"/>
  <c r="DW47" i="11"/>
  <c r="DW20" i="11"/>
  <c r="DT225" i="11"/>
  <c r="DU225" i="11" s="1"/>
  <c r="DU20" i="11"/>
  <c r="DW37" i="12"/>
  <c r="DX35" i="11"/>
  <c r="DW85" i="11"/>
  <c r="DW87" i="11" s="1"/>
  <c r="DW131" i="11"/>
  <c r="BV8" i="138"/>
  <c r="BW8" i="138" s="1"/>
  <c r="BX8" i="138" s="1"/>
  <c r="CA8" i="138"/>
  <c r="DT15" i="11"/>
  <c r="DU35" i="11"/>
  <c r="DT37" i="12"/>
  <c r="DU37" i="12" s="1"/>
  <c r="DT123" i="11"/>
  <c r="DW123" i="11" s="1"/>
  <c r="DR122" i="11"/>
  <c r="EG22" i="11" l="1"/>
  <c r="EG180" i="11" s="1"/>
  <c r="EF180" i="11"/>
  <c r="EE50" i="11"/>
  <c r="DX47" i="11"/>
  <c r="DW219" i="11"/>
  <c r="DX20" i="11"/>
  <c r="DW225" i="11"/>
  <c r="DY35" i="11"/>
  <c r="DX37" i="12"/>
  <c r="DU15" i="11"/>
  <c r="DW15" i="11"/>
  <c r="DW14" i="11"/>
  <c r="DW105" i="11"/>
  <c r="DX85" i="11"/>
  <c r="DX87" i="11" s="1"/>
  <c r="DX131" i="11"/>
  <c r="DX123" i="11"/>
  <c r="DW132" i="11"/>
  <c r="CB8" i="138"/>
  <c r="CC8" i="138" s="1"/>
  <c r="CD8" i="138" s="1"/>
  <c r="CG8" i="138"/>
  <c r="DS122" i="11"/>
  <c r="EF50" i="11" l="1"/>
  <c r="DY47" i="11"/>
  <c r="DX219" i="11"/>
  <c r="DY20" i="11"/>
  <c r="DX225" i="11"/>
  <c r="DW176" i="11"/>
  <c r="DX15" i="11"/>
  <c r="DZ35" i="11"/>
  <c r="EC35" i="11" s="1"/>
  <c r="EC37" i="12" s="1"/>
  <c r="DY37" i="12"/>
  <c r="DY85" i="11"/>
  <c r="DY87" i="11" s="1"/>
  <c r="DW97" i="11"/>
  <c r="DW99" i="11" s="1"/>
  <c r="DW175" i="11"/>
  <c r="DX14" i="11"/>
  <c r="DX22" i="12" s="1"/>
  <c r="DX105" i="11"/>
  <c r="DW16" i="11"/>
  <c r="DW136" i="11"/>
  <c r="DX132" i="11"/>
  <c r="DY123" i="11"/>
  <c r="CH8" i="138"/>
  <c r="CI8" i="138" s="1"/>
  <c r="CJ8" i="138" s="1"/>
  <c r="CM8" i="138"/>
  <c r="DT122" i="11"/>
  <c r="EC38" i="12" l="1"/>
  <c r="ED35" i="11"/>
  <c r="ED37" i="12" s="1"/>
  <c r="ED38" i="12" s="1"/>
  <c r="EG50" i="11"/>
  <c r="DZ47" i="11"/>
  <c r="EC47" i="11" s="1"/>
  <c r="DY219" i="11"/>
  <c r="DZ20" i="11"/>
  <c r="EC20" i="11" s="1"/>
  <c r="DY225" i="11"/>
  <c r="EA35" i="11"/>
  <c r="DZ37" i="12"/>
  <c r="EA37" i="12" s="1"/>
  <c r="DX176" i="11"/>
  <c r="DY15" i="11"/>
  <c r="DX175" i="11"/>
  <c r="DX97" i="11"/>
  <c r="DX99" i="11" s="1"/>
  <c r="DZ85" i="11"/>
  <c r="DZ87" i="11" s="1"/>
  <c r="DZ123" i="11"/>
  <c r="DY132" i="11"/>
  <c r="DY16" i="11" s="1"/>
  <c r="DY177" i="11" s="1"/>
  <c r="DW109" i="11"/>
  <c r="DW137" i="11"/>
  <c r="DX16" i="11"/>
  <c r="DX24" i="12" s="1"/>
  <c r="DX136" i="11"/>
  <c r="DW177" i="11"/>
  <c r="CN8" i="138"/>
  <c r="CO8" i="138" s="1"/>
  <c r="CP8" i="138" s="1"/>
  <c r="CS8" i="138"/>
  <c r="ED47" i="11" l="1"/>
  <c r="EC219" i="11"/>
  <c r="DZ132" i="11"/>
  <c r="DZ16" i="11" s="1"/>
  <c r="EC123" i="11"/>
  <c r="EC225" i="11"/>
  <c r="ED20" i="11"/>
  <c r="EE35" i="11"/>
  <c r="EE37" i="12" s="1"/>
  <c r="EE38" i="12" s="1"/>
  <c r="EA47" i="11"/>
  <c r="DZ219" i="11"/>
  <c r="EA219" i="11" s="1"/>
  <c r="EA20" i="11"/>
  <c r="DZ225" i="11"/>
  <c r="EA225" i="11" s="1"/>
  <c r="DY176" i="11"/>
  <c r="DZ15" i="11"/>
  <c r="EC15" i="11" s="1"/>
  <c r="DX177" i="11"/>
  <c r="DY24" i="12"/>
  <c r="DX137" i="11"/>
  <c r="DX109" i="11"/>
  <c r="CT8" i="138"/>
  <c r="CU8" i="138" s="1"/>
  <c r="CV8" i="138" s="1"/>
  <c r="CY8" i="138"/>
  <c r="CZ8" i="138" s="1"/>
  <c r="DA8" i="138" s="1"/>
  <c r="DB8" i="138" s="1"/>
  <c r="ED123" i="11" l="1"/>
  <c r="EC132" i="11"/>
  <c r="EC176" i="11"/>
  <c r="ED15" i="11"/>
  <c r="EA132" i="11"/>
  <c r="EF35" i="11"/>
  <c r="EF37" i="12" s="1"/>
  <c r="EF38" i="12" s="1"/>
  <c r="ED225" i="11"/>
  <c r="EE20" i="11"/>
  <c r="EE47" i="11"/>
  <c r="ED219" i="11"/>
  <c r="DZ176" i="11"/>
  <c r="EA15" i="11"/>
  <c r="EA176" i="11" s="1"/>
  <c r="DZ24" i="12"/>
  <c r="DZ177" i="11"/>
  <c r="EA16" i="11"/>
  <c r="DB58" i="135"/>
  <c r="DC57" i="135"/>
  <c r="DI58" i="135" s="1"/>
  <c r="DB53" i="135"/>
  <c r="DC51" i="135"/>
  <c r="DC50" i="135"/>
  <c r="DC49" i="135"/>
  <c r="DC48" i="135"/>
  <c r="DC47" i="135"/>
  <c r="DC46" i="135"/>
  <c r="DC43" i="135"/>
  <c r="DC41" i="135"/>
  <c r="DC40" i="135"/>
  <c r="DC37" i="135"/>
  <c r="DC36" i="135"/>
  <c r="DC35" i="135"/>
  <c r="DC34" i="135"/>
  <c r="DC33" i="135"/>
  <c r="DC29" i="135"/>
  <c r="DC25" i="135"/>
  <c r="DC24" i="135"/>
  <c r="DC22" i="135"/>
  <c r="DC21" i="135"/>
  <c r="DC20" i="135"/>
  <c r="DC19" i="135"/>
  <c r="DC18" i="135"/>
  <c r="DC17" i="135"/>
  <c r="DC16" i="135"/>
  <c r="DC15" i="135"/>
  <c r="DC14" i="135"/>
  <c r="DC13" i="135"/>
  <c r="DC12" i="135"/>
  <c r="DC11" i="135"/>
  <c r="DB90" i="12"/>
  <c r="DC90" i="12"/>
  <c r="DB154" i="11"/>
  <c r="DA154" i="11"/>
  <c r="CZ154" i="11"/>
  <c r="DA146" i="11" s="1"/>
  <c r="CY154" i="11"/>
  <c r="CZ53" i="12"/>
  <c r="DA53" i="12" s="1"/>
  <c r="CT53" i="12"/>
  <c r="CU53" i="12" s="1"/>
  <c r="CN53" i="12"/>
  <c r="CO53" i="12" s="1"/>
  <c r="CH53" i="12"/>
  <c r="CI53" i="12" s="1"/>
  <c r="CB53" i="12"/>
  <c r="CC53" i="12" s="1"/>
  <c r="BV53" i="12"/>
  <c r="BP53" i="12"/>
  <c r="BQ53" i="12" s="1"/>
  <c r="BL57" i="12"/>
  <c r="BL58" i="12" s="1"/>
  <c r="BK57" i="12"/>
  <c r="BK58" i="12" s="1"/>
  <c r="BJ57" i="12"/>
  <c r="BJ58" i="12" s="1"/>
  <c r="BI57" i="12"/>
  <c r="BI58" i="12" s="1"/>
  <c r="BF57" i="12"/>
  <c r="BF58" i="12" s="1"/>
  <c r="BE57" i="12"/>
  <c r="BE58" i="12" s="1"/>
  <c r="BD57" i="12"/>
  <c r="BD58" i="12" s="1"/>
  <c r="BC57" i="12"/>
  <c r="BC58" i="12" s="1"/>
  <c r="AZ57" i="12"/>
  <c r="AZ58" i="12" s="1"/>
  <c r="AY57" i="12"/>
  <c r="AY58" i="12" s="1"/>
  <c r="AX57" i="12"/>
  <c r="AX58" i="12" s="1"/>
  <c r="AW57" i="12"/>
  <c r="AW58" i="12" s="1"/>
  <c r="AT57" i="12"/>
  <c r="AT58" i="12" s="1"/>
  <c r="AS57" i="12"/>
  <c r="AS58" i="12" s="1"/>
  <c r="AR57" i="12"/>
  <c r="AR58" i="12" s="1"/>
  <c r="AQ57" i="12"/>
  <c r="AQ58" i="12" s="1"/>
  <c r="AN57" i="12"/>
  <c r="AN58" i="12" s="1"/>
  <c r="AM57" i="12"/>
  <c r="AM58" i="12" s="1"/>
  <c r="AL57" i="12"/>
  <c r="AL58" i="12" s="1"/>
  <c r="AK57" i="12"/>
  <c r="AK58" i="12" s="1"/>
  <c r="AH57" i="12"/>
  <c r="AH58" i="12" s="1"/>
  <c r="AG57" i="12"/>
  <c r="AG58" i="12" s="1"/>
  <c r="AF57" i="12"/>
  <c r="AF58" i="12" s="1"/>
  <c r="AE57" i="12"/>
  <c r="AE58" i="12" s="1"/>
  <c r="AB57" i="12"/>
  <c r="AB58" i="12" s="1"/>
  <c r="AA57" i="12"/>
  <c r="AA58" i="12" s="1"/>
  <c r="Z57" i="12"/>
  <c r="Z58" i="12" s="1"/>
  <c r="Y57" i="12"/>
  <c r="Y58" i="12" s="1"/>
  <c r="V57" i="12"/>
  <c r="V58" i="12" s="1"/>
  <c r="U57" i="12"/>
  <c r="U58" i="12" s="1"/>
  <c r="T57" i="12"/>
  <c r="T58" i="12" s="1"/>
  <c r="S57" i="12"/>
  <c r="S58" i="12" s="1"/>
  <c r="P57" i="12"/>
  <c r="P58" i="12" s="1"/>
  <c r="O57" i="12"/>
  <c r="O58" i="12" s="1"/>
  <c r="N57" i="12"/>
  <c r="N58" i="12" s="1"/>
  <c r="M57" i="12"/>
  <c r="M58" i="12" s="1"/>
  <c r="K57" i="12"/>
  <c r="K58" i="12" s="1"/>
  <c r="I57" i="12"/>
  <c r="I58" i="12" s="1"/>
  <c r="G57" i="12"/>
  <c r="G58" i="12" s="1"/>
  <c r="E57" i="12"/>
  <c r="E58" i="12" s="1"/>
  <c r="BJ52" i="12"/>
  <c r="BD52" i="12"/>
  <c r="AX52" i="12"/>
  <c r="AR52" i="12"/>
  <c r="AL52" i="12"/>
  <c r="AF52" i="12"/>
  <c r="Z52" i="12"/>
  <c r="T52" i="12"/>
  <c r="N52" i="12"/>
  <c r="BJ51" i="12"/>
  <c r="BD51" i="12"/>
  <c r="AX51" i="12"/>
  <c r="AR51" i="12"/>
  <c r="AL51" i="12"/>
  <c r="AF51" i="12"/>
  <c r="Z51" i="12"/>
  <c r="T51" i="12"/>
  <c r="N51" i="12"/>
  <c r="CT50" i="12"/>
  <c r="CU50" i="12" s="1"/>
  <c r="CN50" i="12"/>
  <c r="CO50" i="12" s="1"/>
  <c r="CH50" i="12"/>
  <c r="CI50" i="12" s="1"/>
  <c r="CB50" i="12"/>
  <c r="CC50" i="12" s="1"/>
  <c r="BV50" i="12"/>
  <c r="BW50" i="12" s="1"/>
  <c r="BP50" i="12"/>
  <c r="BQ50" i="12" s="1"/>
  <c r="BJ50" i="12"/>
  <c r="BK50" i="12" s="1"/>
  <c r="BD50" i="12"/>
  <c r="BE50" i="12" s="1"/>
  <c r="AX50" i="12"/>
  <c r="AY50" i="12" s="1"/>
  <c r="AR50" i="12"/>
  <c r="AS50" i="12" s="1"/>
  <c r="AL50" i="12"/>
  <c r="AM50" i="12" s="1"/>
  <c r="AF50" i="12"/>
  <c r="AG50" i="12" s="1"/>
  <c r="Z50" i="12"/>
  <c r="AA50" i="12" s="1"/>
  <c r="T50" i="12"/>
  <c r="U50" i="12" s="1"/>
  <c r="N50" i="12"/>
  <c r="O50" i="12" s="1"/>
  <c r="CZ50" i="12"/>
  <c r="DA50" i="12" s="1"/>
  <c r="N42" i="12"/>
  <c r="O42" i="12" s="1"/>
  <c r="T42" i="12"/>
  <c r="Z42" i="12"/>
  <c r="AF42" i="12"/>
  <c r="AL42" i="12"/>
  <c r="AR42" i="12"/>
  <c r="AX42" i="12"/>
  <c r="BD42" i="12"/>
  <c r="BJ42" i="12"/>
  <c r="BP42" i="12"/>
  <c r="BV42" i="12"/>
  <c r="CB42" i="12"/>
  <c r="CH42" i="12"/>
  <c r="CN42" i="12"/>
  <c r="CT42" i="12"/>
  <c r="CZ42" i="12"/>
  <c r="DC42" i="11"/>
  <c r="CW42" i="11"/>
  <c r="CQ42" i="11"/>
  <c r="CK42" i="11"/>
  <c r="CE42" i="11"/>
  <c r="BY42" i="11"/>
  <c r="BS42" i="11"/>
  <c r="BM42" i="11"/>
  <c r="BG42" i="11"/>
  <c r="BA42" i="11"/>
  <c r="AU42" i="11"/>
  <c r="AO42" i="11"/>
  <c r="AI42" i="11"/>
  <c r="AC42" i="11"/>
  <c r="W42" i="11"/>
  <c r="Q42" i="11"/>
  <c r="DB43" i="11"/>
  <c r="DA43" i="11"/>
  <c r="CZ43" i="11"/>
  <c r="CY43" i="11"/>
  <c r="CV43" i="11"/>
  <c r="CU43" i="11"/>
  <c r="CT43" i="11"/>
  <c r="CS43" i="11"/>
  <c r="CP43" i="11"/>
  <c r="CO43" i="11"/>
  <c r="CN43" i="11"/>
  <c r="CM43" i="11"/>
  <c r="CJ43" i="11"/>
  <c r="CI43" i="11"/>
  <c r="CH43" i="11"/>
  <c r="CG43" i="11"/>
  <c r="CD43" i="11"/>
  <c r="CC43" i="11"/>
  <c r="CB43" i="11"/>
  <c r="CA43" i="11"/>
  <c r="BX43" i="11"/>
  <c r="BW43" i="11"/>
  <c r="BV43" i="11"/>
  <c r="BU43" i="11"/>
  <c r="BR43" i="11"/>
  <c r="BQ43" i="11"/>
  <c r="BP43" i="11"/>
  <c r="BO43" i="11"/>
  <c r="BL43" i="11"/>
  <c r="BK43" i="11"/>
  <c r="BJ43" i="11"/>
  <c r="BI43" i="11"/>
  <c r="BE43" i="11"/>
  <c r="BD43" i="11"/>
  <c r="BC43" i="11"/>
  <c r="AZ43" i="11"/>
  <c r="AY43" i="11"/>
  <c r="AX43" i="11"/>
  <c r="AW43" i="11"/>
  <c r="AT43" i="11"/>
  <c r="AR43" i="11"/>
  <c r="AN43" i="11"/>
  <c r="AM43" i="11"/>
  <c r="AK43" i="11"/>
  <c r="AH43" i="11"/>
  <c r="AG43" i="11"/>
  <c r="AF43" i="11"/>
  <c r="AE43" i="11"/>
  <c r="AB43" i="11"/>
  <c r="AA43" i="11"/>
  <c r="Z43" i="11"/>
  <c r="Y43" i="11"/>
  <c r="V43" i="11"/>
  <c r="U43" i="11"/>
  <c r="T43" i="11"/>
  <c r="S43" i="11"/>
  <c r="P43" i="11"/>
  <c r="O43" i="11"/>
  <c r="N43" i="11"/>
  <c r="M43" i="11"/>
  <c r="K43" i="11"/>
  <c r="I43" i="11"/>
  <c r="G43" i="11"/>
  <c r="E43" i="11"/>
  <c r="DC35" i="11"/>
  <c r="CW35" i="11"/>
  <c r="CQ35" i="11"/>
  <c r="CK35" i="11"/>
  <c r="CE35" i="11"/>
  <c r="BY35" i="11"/>
  <c r="BS35" i="11"/>
  <c r="BM35" i="11"/>
  <c r="BG35" i="11"/>
  <c r="BA35" i="11"/>
  <c r="AU35" i="11"/>
  <c r="AO35" i="11"/>
  <c r="AI35" i="11"/>
  <c r="AC35" i="11"/>
  <c r="W35" i="11"/>
  <c r="Q35" i="11"/>
  <c r="DB36" i="11"/>
  <c r="DA36" i="11"/>
  <c r="CZ36" i="11"/>
  <c r="CY36" i="11"/>
  <c r="CV36" i="11"/>
  <c r="CU36" i="11"/>
  <c r="CT36" i="11"/>
  <c r="CS36" i="11"/>
  <c r="CP36" i="11"/>
  <c r="CO36" i="11"/>
  <c r="CN36" i="11"/>
  <c r="CM36" i="11"/>
  <c r="CJ36" i="11"/>
  <c r="CI36" i="11"/>
  <c r="CH36" i="11"/>
  <c r="CC36" i="11"/>
  <c r="CB36" i="11"/>
  <c r="CA36" i="11"/>
  <c r="BX36" i="11"/>
  <c r="BW36" i="11"/>
  <c r="BV36" i="11"/>
  <c r="BU36" i="11"/>
  <c r="BR36" i="11"/>
  <c r="BQ36" i="11"/>
  <c r="BP36" i="11"/>
  <c r="BO36" i="11"/>
  <c r="BL36" i="11"/>
  <c r="BK36" i="11"/>
  <c r="BJ36" i="11"/>
  <c r="BI36" i="11"/>
  <c r="BE36" i="11"/>
  <c r="BD36" i="11"/>
  <c r="BC36" i="11"/>
  <c r="AT36" i="11"/>
  <c r="AR36" i="11"/>
  <c r="AN36" i="11"/>
  <c r="AM36" i="11"/>
  <c r="AH36" i="11"/>
  <c r="AB36" i="11"/>
  <c r="AA36" i="11"/>
  <c r="Z36" i="11"/>
  <c r="Y36" i="11"/>
  <c r="V36" i="11"/>
  <c r="U36" i="11"/>
  <c r="T36" i="11"/>
  <c r="S36" i="11"/>
  <c r="P36" i="11"/>
  <c r="O36" i="11"/>
  <c r="N36" i="11"/>
  <c r="M36" i="11"/>
  <c r="K36" i="11"/>
  <c r="I36" i="11"/>
  <c r="G36" i="11"/>
  <c r="E36" i="11"/>
  <c r="DC25" i="11"/>
  <c r="CW25" i="11"/>
  <c r="CQ25" i="11"/>
  <c r="CK25" i="11"/>
  <c r="CE25" i="11"/>
  <c r="BY25" i="11"/>
  <c r="BS25" i="11"/>
  <c r="BM25" i="11"/>
  <c r="BG25" i="11"/>
  <c r="BA25" i="11"/>
  <c r="AU25" i="11"/>
  <c r="AO25" i="11"/>
  <c r="AI25" i="11"/>
  <c r="AC25" i="11"/>
  <c r="W25" i="11"/>
  <c r="Q25" i="11"/>
  <c r="K26" i="11"/>
  <c r="I26" i="11"/>
  <c r="G26" i="11"/>
  <c r="E26" i="11"/>
  <c r="P26" i="11"/>
  <c r="O26" i="11"/>
  <c r="N26" i="11"/>
  <c r="M26" i="11"/>
  <c r="V26" i="11"/>
  <c r="U26" i="11"/>
  <c r="T26" i="11"/>
  <c r="S26" i="11"/>
  <c r="AB26" i="11"/>
  <c r="Z26" i="11"/>
  <c r="Y26" i="11"/>
  <c r="AH26" i="11"/>
  <c r="EG37" i="12" l="1"/>
  <c r="EG38" i="12" s="1"/>
  <c r="EG35" i="11"/>
  <c r="ED176" i="11"/>
  <c r="EE15" i="11"/>
  <c r="EE225" i="11"/>
  <c r="EF20" i="11"/>
  <c r="EC16" i="11"/>
  <c r="EC136" i="11"/>
  <c r="EE123" i="11"/>
  <c r="ED132" i="11"/>
  <c r="EF47" i="11"/>
  <c r="EE219" i="11"/>
  <c r="CV26" i="11"/>
  <c r="EA177" i="11"/>
  <c r="EA123" i="11"/>
  <c r="DB76" i="135"/>
  <c r="DB54" i="135"/>
  <c r="DB26" i="11"/>
  <c r="DB163" i="11"/>
  <c r="CD53" i="12"/>
  <c r="CE53" i="12" s="1"/>
  <c r="CJ53" i="12"/>
  <c r="CK53" i="12" s="1"/>
  <c r="CP53" i="12"/>
  <c r="CQ53" i="12" s="1"/>
  <c r="CV53" i="12"/>
  <c r="CW53" i="12" s="1"/>
  <c r="DB53" i="12"/>
  <c r="DC53" i="12" s="1"/>
  <c r="DI53" i="12"/>
  <c r="DC53" i="135"/>
  <c r="DB62" i="135"/>
  <c r="CY151" i="11"/>
  <c r="CY152" i="11" s="1"/>
  <c r="CZ146" i="11"/>
  <c r="DB146" i="11"/>
  <c r="BW53" i="12"/>
  <c r="BX53" i="12" s="1"/>
  <c r="AG42" i="12"/>
  <c r="AH42" i="12" s="1"/>
  <c r="DB50" i="12"/>
  <c r="DC50" i="12" s="1"/>
  <c r="P50" i="12"/>
  <c r="Q50" i="12" s="1"/>
  <c r="V50" i="12"/>
  <c r="W50" i="12" s="1"/>
  <c r="AB50" i="12"/>
  <c r="AC50" i="12" s="1"/>
  <c r="AH50" i="12"/>
  <c r="AI50" i="12" s="1"/>
  <c r="AN50" i="12"/>
  <c r="AO50" i="12" s="1"/>
  <c r="AT50" i="12"/>
  <c r="AU50" i="12" s="1"/>
  <c r="AZ50" i="12"/>
  <c r="BA50" i="12" s="1"/>
  <c r="BF50" i="12"/>
  <c r="BG50" i="12" s="1"/>
  <c r="BL50" i="12"/>
  <c r="BM50" i="12" s="1"/>
  <c r="BR50" i="12"/>
  <c r="BS50" i="12" s="1"/>
  <c r="BX50" i="12"/>
  <c r="BY50" i="12" s="1"/>
  <c r="CD50" i="12"/>
  <c r="CE50" i="12" s="1"/>
  <c r="CJ50" i="12"/>
  <c r="CK50" i="12" s="1"/>
  <c r="CP50" i="12"/>
  <c r="CQ50" i="12" s="1"/>
  <c r="CV50" i="12"/>
  <c r="CW50" i="12" s="1"/>
  <c r="BR53" i="12"/>
  <c r="BS53" i="12" s="1"/>
  <c r="G56" i="12"/>
  <c r="E59" i="12"/>
  <c r="O51" i="12"/>
  <c r="U51" i="12"/>
  <c r="AA51" i="12"/>
  <c r="AG51" i="12"/>
  <c r="AM51" i="12"/>
  <c r="AS51" i="12"/>
  <c r="AY51" i="12"/>
  <c r="AZ51" i="12" s="1"/>
  <c r="BA51" i="12" s="1"/>
  <c r="BE51" i="12"/>
  <c r="BK51" i="12"/>
  <c r="O52" i="12"/>
  <c r="U52" i="12"/>
  <c r="V52" i="12" s="1"/>
  <c r="W52" i="12" s="1"/>
  <c r="AA52" i="12"/>
  <c r="AG52" i="12"/>
  <c r="AM52" i="12"/>
  <c r="AS52" i="12"/>
  <c r="AT52" i="12" s="1"/>
  <c r="AU52" i="12" s="1"/>
  <c r="AY52" i="12"/>
  <c r="BE52" i="12"/>
  <c r="BK52" i="12"/>
  <c r="P42" i="12"/>
  <c r="Q42" i="12" s="1"/>
  <c r="U42" i="12"/>
  <c r="AA42" i="12"/>
  <c r="AM42" i="12"/>
  <c r="AS42" i="12"/>
  <c r="AY42" i="12"/>
  <c r="BE42" i="12"/>
  <c r="BK42" i="12"/>
  <c r="BQ42" i="12"/>
  <c r="BW42" i="12"/>
  <c r="CC42" i="12"/>
  <c r="CI42" i="12"/>
  <c r="CO42" i="12"/>
  <c r="CU42" i="12"/>
  <c r="DA42" i="12"/>
  <c r="EC24" i="12" l="1"/>
  <c r="EG47" i="11"/>
  <c r="EF219" i="11"/>
  <c r="EG219" i="11" s="1"/>
  <c r="EE176" i="11"/>
  <c r="EF15" i="11"/>
  <c r="EC137" i="11"/>
  <c r="EC109" i="11"/>
  <c r="EG20" i="11"/>
  <c r="EF225" i="11"/>
  <c r="EG225" i="11" s="1"/>
  <c r="ED16" i="11"/>
  <c r="ED136" i="11"/>
  <c r="EF123" i="11"/>
  <c r="EF132" i="11" s="1"/>
  <c r="EE132" i="11"/>
  <c r="EE16" i="11" s="1"/>
  <c r="EC177" i="11"/>
  <c r="DB42" i="12"/>
  <c r="BR42" i="12"/>
  <c r="BS42" i="12" s="1"/>
  <c r="BF42" i="12"/>
  <c r="CV42" i="12"/>
  <c r="AZ42" i="12"/>
  <c r="BA42" i="12" s="1"/>
  <c r="DC62" i="135"/>
  <c r="DC76" i="135"/>
  <c r="BY53" i="12"/>
  <c r="DB64" i="135"/>
  <c r="AI42" i="12"/>
  <c r="AB51" i="12"/>
  <c r="BL52" i="12"/>
  <c r="BM52" i="12" s="1"/>
  <c r="AZ52" i="12"/>
  <c r="BA52" i="12" s="1"/>
  <c r="AN52" i="12"/>
  <c r="AO52" i="12" s="1"/>
  <c r="AB52" i="12"/>
  <c r="AC52" i="12" s="1"/>
  <c r="P52" i="12"/>
  <c r="Q52" i="12" s="1"/>
  <c r="BF51" i="12"/>
  <c r="AT51" i="12"/>
  <c r="AU51" i="12" s="1"/>
  <c r="AH51" i="12"/>
  <c r="V51" i="12"/>
  <c r="BF52" i="12"/>
  <c r="BG52" i="12" s="1"/>
  <c r="AH52" i="12"/>
  <c r="AI52" i="12" s="1"/>
  <c r="BL51" i="12"/>
  <c r="AN51" i="12"/>
  <c r="AO51" i="12" s="1"/>
  <c r="P51" i="12"/>
  <c r="V42" i="12"/>
  <c r="W42" i="12" s="1"/>
  <c r="AB42" i="12"/>
  <c r="AC42" i="12" s="1"/>
  <c r="AN42" i="12"/>
  <c r="AO42" i="12" s="1"/>
  <c r="AT42" i="12"/>
  <c r="AU42" i="12" s="1"/>
  <c r="BL42" i="12"/>
  <c r="BX42" i="12"/>
  <c r="CD42" i="12"/>
  <c r="CJ42" i="12"/>
  <c r="CP42" i="12"/>
  <c r="EE24" i="12" l="1"/>
  <c r="ED24" i="12"/>
  <c r="ED109" i="11"/>
  <c r="ED137" i="11"/>
  <c r="ED177" i="11"/>
  <c r="EE177" i="11"/>
  <c r="EF16" i="11"/>
  <c r="EF24" i="12" s="1"/>
  <c r="EG132" i="11"/>
  <c r="EF176" i="11"/>
  <c r="EG15" i="11"/>
  <c r="EG176" i="11" s="1"/>
  <c r="EF215" i="11"/>
  <c r="CK42" i="12"/>
  <c r="BY42" i="12"/>
  <c r="CQ42" i="12"/>
  <c r="CE42" i="12"/>
  <c r="BM42" i="12"/>
  <c r="BG42" i="12"/>
  <c r="CW42" i="12"/>
  <c r="W51" i="12"/>
  <c r="Q51" i="12"/>
  <c r="BM51" i="12"/>
  <c r="AI51" i="12"/>
  <c r="BG51" i="12"/>
  <c r="AC51" i="12"/>
  <c r="DC42" i="12"/>
  <c r="EG24" i="12" l="1"/>
  <c r="EG215" i="11"/>
  <c r="EF177" i="11"/>
  <c r="EG16" i="11"/>
  <c r="BR78" i="12"/>
  <c r="BX78" i="12"/>
  <c r="CD78" i="12"/>
  <c r="EG123" i="11" l="1"/>
  <c r="EG177" i="11"/>
  <c r="CD209" i="11"/>
  <c r="CD210" i="11" s="1"/>
  <c r="CD211" i="11" s="1"/>
  <c r="BR209" i="11"/>
  <c r="BR210" i="11" s="1"/>
  <c r="BR211" i="11" s="1"/>
  <c r="CJ78" i="12"/>
  <c r="CP78" i="12"/>
  <c r="CV209" i="11"/>
  <c r="CV210" i="11" s="1"/>
  <c r="CV211" i="11" s="1"/>
  <c r="CJ209" i="11" l="1"/>
  <c r="CJ210" i="11" s="1"/>
  <c r="CJ211" i="11" s="1"/>
  <c r="CP209" i="11" l="1"/>
  <c r="CP210" i="11" s="1"/>
  <c r="CP211" i="11" s="1"/>
  <c r="DB37" i="138"/>
  <c r="CW14" i="138" l="1"/>
  <c r="DB44" i="138"/>
  <c r="DH44" i="138"/>
  <c r="DC14" i="138"/>
  <c r="DC37" i="138"/>
  <c r="DC54" i="138" l="1"/>
  <c r="CW54" i="138"/>
  <c r="CW61" i="138" s="1"/>
  <c r="DC44" i="138"/>
  <c r="CW22" i="138"/>
  <c r="DC22" i="138"/>
  <c r="DC61" i="138" l="1"/>
  <c r="T209" i="11"/>
  <c r="T210" i="11" s="1"/>
  <c r="T211" i="11" s="1"/>
  <c r="M209" i="11" l="1"/>
  <c r="M210" i="11" s="1"/>
  <c r="M211" i="11" s="1"/>
  <c r="Z209" i="11"/>
  <c r="Z210" i="11" s="1"/>
  <c r="Z211" i="11" s="1"/>
  <c r="O209" i="11"/>
  <c r="O210" i="11" s="1"/>
  <c r="O211" i="11" s="1"/>
  <c r="AA209" i="11"/>
  <c r="AA210" i="11" s="1"/>
  <c r="AA211" i="11" s="1"/>
  <c r="N209" i="11"/>
  <c r="N210" i="11" s="1"/>
  <c r="N211" i="11" s="1"/>
  <c r="U209" i="11"/>
  <c r="U210" i="11" s="1"/>
  <c r="U211" i="11" s="1"/>
  <c r="Y209" i="11" l="1"/>
  <c r="Y210" i="11" s="1"/>
  <c r="Y211" i="11" s="1"/>
  <c r="S209" i="11"/>
  <c r="S210" i="11" s="1"/>
  <c r="S211" i="11" s="1"/>
  <c r="AM209" i="11"/>
  <c r="AM210" i="11" s="1"/>
  <c r="AM211" i="11" s="1"/>
  <c r="AN209" i="11"/>
  <c r="AN210" i="11" s="1"/>
  <c r="AN211" i="11" s="1"/>
  <c r="AF209" i="11"/>
  <c r="AF210" i="11" s="1"/>
  <c r="AF211" i="11" s="1"/>
  <c r="AG209" i="11"/>
  <c r="AG210" i="11" s="1"/>
  <c r="AG211" i="11" s="1"/>
  <c r="AL209" i="11"/>
  <c r="AL210" i="11" s="1"/>
  <c r="AL211" i="11" s="1"/>
  <c r="AE209" i="11" l="1"/>
  <c r="AE210" i="11" s="1"/>
  <c r="AE211" i="11" s="1"/>
  <c r="AK209" i="11"/>
  <c r="AK210" i="11" s="1"/>
  <c r="AK211" i="11" s="1"/>
  <c r="BC209" i="11" l="1"/>
  <c r="BC210" i="11" s="1"/>
  <c r="BC211" i="11" s="1"/>
  <c r="BF209" i="11"/>
  <c r="BF210" i="11" s="1"/>
  <c r="BF211" i="11" s="1"/>
  <c r="BD209" i="11"/>
  <c r="BD210" i="11" s="1"/>
  <c r="BD211" i="11" s="1"/>
  <c r="AW209" i="11"/>
  <c r="AW210" i="11" s="1"/>
  <c r="AW211" i="11" s="1"/>
  <c r="AY209" i="11"/>
  <c r="AY210" i="11" s="1"/>
  <c r="AY211" i="11" s="1"/>
  <c r="AQ209" i="11"/>
  <c r="AQ210" i="11" s="1"/>
  <c r="AQ211" i="11" s="1"/>
  <c r="AR209" i="11"/>
  <c r="AR210" i="11" s="1"/>
  <c r="AR211" i="11" s="1"/>
  <c r="BE209" i="11"/>
  <c r="BE210" i="11" s="1"/>
  <c r="BE211" i="11" s="1"/>
  <c r="AZ209" i="11"/>
  <c r="AZ210" i="11" s="1"/>
  <c r="AZ211" i="11" s="1"/>
  <c r="AX209" i="11"/>
  <c r="AX210" i="11" s="1"/>
  <c r="AX211" i="11" s="1"/>
  <c r="AS209" i="11" l="1"/>
  <c r="AS210" i="11" s="1"/>
  <c r="AS211" i="11" s="1"/>
  <c r="AT209" i="11"/>
  <c r="AT210" i="11" s="1"/>
  <c r="AT211" i="11" s="1"/>
  <c r="DE11" i="138" l="1"/>
  <c r="DE35" i="138"/>
  <c r="DG11" i="138"/>
  <c r="DG35" i="138"/>
  <c r="DF35" i="138"/>
  <c r="DF11" i="138"/>
  <c r="DH35" i="138"/>
  <c r="DG16" i="138"/>
  <c r="DF16" i="138"/>
  <c r="CZ39" i="138"/>
  <c r="DE19" i="138" l="1"/>
  <c r="DF19" i="138"/>
  <c r="DH19" i="138"/>
  <c r="DG19" i="138"/>
  <c r="DF42" i="138"/>
  <c r="DG42" i="138"/>
  <c r="DE42" i="138"/>
  <c r="DH42" i="138"/>
  <c r="CZ46" i="138"/>
  <c r="EW16" i="138"/>
  <c r="EU16" i="138"/>
  <c r="DF24" i="138"/>
  <c r="EV16" i="138"/>
  <c r="DG24" i="138"/>
  <c r="DE16" i="138"/>
  <c r="EW11" i="138"/>
  <c r="DN19" i="138"/>
  <c r="FA19" i="138" s="1"/>
  <c r="EU11" i="138"/>
  <c r="DL19" i="138"/>
  <c r="EY19" i="138" s="1"/>
  <c r="EV11" i="138"/>
  <c r="DM19" i="138"/>
  <c r="EZ19" i="138" s="1"/>
  <c r="ET11" i="138"/>
  <c r="DK19" i="138"/>
  <c r="EX19" i="138" s="1"/>
  <c r="DF46" i="138" l="1"/>
  <c r="BK209" i="11"/>
  <c r="BK210" i="11" s="1"/>
  <c r="BK211" i="11" s="1"/>
  <c r="BL209" i="11"/>
  <c r="BL210" i="11" s="1"/>
  <c r="BL211" i="11" s="1"/>
  <c r="DA39" i="138"/>
  <c r="DI12" i="138"/>
  <c r="DC15" i="138"/>
  <c r="DK27" i="138"/>
  <c r="EV19" i="138"/>
  <c r="DG27" i="138"/>
  <c r="DI36" i="138"/>
  <c r="EV24" i="138"/>
  <c r="DG32" i="138"/>
  <c r="DC38" i="138"/>
  <c r="ET19" i="138"/>
  <c r="DE27" i="138"/>
  <c r="DM27" i="138"/>
  <c r="DL27" i="138"/>
  <c r="DF27" i="138"/>
  <c r="EU19" i="138"/>
  <c r="DH27" i="138"/>
  <c r="EW19" i="138"/>
  <c r="DN27" i="138"/>
  <c r="DQ27" i="138"/>
  <c r="DU27" i="138" s="1"/>
  <c r="ET16" i="138"/>
  <c r="DE24" i="138"/>
  <c r="EU24" i="138"/>
  <c r="DI20" i="138" l="1"/>
  <c r="DA46" i="138"/>
  <c r="DC45" i="138"/>
  <c r="BJ209" i="11"/>
  <c r="BJ210" i="11" s="1"/>
  <c r="BJ211" i="11" s="1"/>
  <c r="BI209" i="11"/>
  <c r="BI210" i="11" s="1"/>
  <c r="BI211" i="11" s="1"/>
  <c r="DG46" i="138"/>
  <c r="ET24" i="138"/>
  <c r="DC23" i="138"/>
  <c r="DF32" i="138"/>
  <c r="DI27" i="138"/>
  <c r="DO27" i="138"/>
  <c r="DC116" i="12" l="1"/>
  <c r="DI117" i="12" s="1"/>
  <c r="DB116" i="12"/>
  <c r="DH117" i="12" s="1"/>
  <c r="DA116" i="12"/>
  <c r="DG117" i="12" s="1"/>
  <c r="CZ116" i="12"/>
  <c r="DF117" i="12" s="1"/>
  <c r="I115" i="12"/>
  <c r="I116" i="12"/>
  <c r="G115" i="12"/>
  <c r="G116" i="12"/>
  <c r="E115" i="12"/>
  <c r="E116" i="12"/>
  <c r="K115" i="12"/>
  <c r="K116" i="12"/>
  <c r="N115" i="12"/>
  <c r="M115" i="12"/>
  <c r="Q116" i="12"/>
  <c r="P116" i="12"/>
  <c r="O116" i="12"/>
  <c r="N116" i="12"/>
  <c r="M116" i="12"/>
  <c r="U115" i="12"/>
  <c r="T115" i="12"/>
  <c r="S115" i="12"/>
  <c r="W116" i="12"/>
  <c r="W117" i="12" s="1"/>
  <c r="V116" i="12"/>
  <c r="V117" i="12" s="1"/>
  <c r="U116" i="12"/>
  <c r="T116" i="12"/>
  <c r="S116" i="12"/>
  <c r="AA115" i="12"/>
  <c r="Z115" i="12"/>
  <c r="Y115" i="12"/>
  <c r="AC116" i="12"/>
  <c r="AB116" i="12"/>
  <c r="AB117" i="12" s="1"/>
  <c r="AA116" i="12"/>
  <c r="Z116" i="12"/>
  <c r="Y116" i="12"/>
  <c r="AG115" i="12"/>
  <c r="AF115" i="12"/>
  <c r="AE115" i="12"/>
  <c r="AI116" i="12"/>
  <c r="AH116" i="12"/>
  <c r="AG116" i="12"/>
  <c r="AF116" i="12"/>
  <c r="AE116" i="12"/>
  <c r="AL115" i="12"/>
  <c r="AK115" i="12"/>
  <c r="AO116" i="12"/>
  <c r="AN116" i="12"/>
  <c r="AM116" i="12"/>
  <c r="AL116" i="12"/>
  <c r="AK116" i="12"/>
  <c r="AS115" i="12"/>
  <c r="AR115" i="12"/>
  <c r="AQ115" i="12"/>
  <c r="AU116" i="12"/>
  <c r="AU117" i="12" s="1"/>
  <c r="AT116" i="12"/>
  <c r="AS116" i="12"/>
  <c r="AR116" i="12"/>
  <c r="AR117" i="12" s="1"/>
  <c r="AQ116" i="12"/>
  <c r="BA116" i="12"/>
  <c r="AZ116" i="12"/>
  <c r="AY116" i="12"/>
  <c r="AX116" i="12"/>
  <c r="AW116" i="12"/>
  <c r="BE115" i="12"/>
  <c r="BD115" i="12"/>
  <c r="BC115" i="12"/>
  <c r="BG116" i="12"/>
  <c r="BF116" i="12"/>
  <c r="BE116" i="12"/>
  <c r="BD116" i="12"/>
  <c r="BD117" i="12" s="1"/>
  <c r="BC116" i="12"/>
  <c r="BL115" i="12"/>
  <c r="BK115" i="12"/>
  <c r="BJ115" i="12"/>
  <c r="BI115" i="12"/>
  <c r="BM116" i="12"/>
  <c r="BL116" i="12"/>
  <c r="BK116" i="12"/>
  <c r="BJ116" i="12"/>
  <c r="BI116" i="12"/>
  <c r="BO115" i="12"/>
  <c r="BS116" i="12"/>
  <c r="BR116" i="12"/>
  <c r="BQ116" i="12"/>
  <c r="BP116" i="12"/>
  <c r="BO116" i="12"/>
  <c r="BU115" i="12"/>
  <c r="BY116" i="12"/>
  <c r="BX116" i="12"/>
  <c r="BW116" i="12"/>
  <c r="BV116" i="12"/>
  <c r="BU116" i="12"/>
  <c r="CA115" i="12"/>
  <c r="CE116" i="12"/>
  <c r="CD116" i="12"/>
  <c r="CC116" i="12"/>
  <c r="CB116" i="12"/>
  <c r="CA116" i="12"/>
  <c r="CG115" i="12"/>
  <c r="CK116" i="12"/>
  <c r="CJ116" i="12"/>
  <c r="CI116" i="12"/>
  <c r="CH116" i="12"/>
  <c r="CG116" i="12"/>
  <c r="CM115" i="12"/>
  <c r="CQ116" i="12"/>
  <c r="CP116" i="12"/>
  <c r="CO116" i="12"/>
  <c r="CN116" i="12"/>
  <c r="CM116" i="12"/>
  <c r="CV116" i="12"/>
  <c r="CU116" i="12"/>
  <c r="CT116" i="12"/>
  <c r="CS116" i="12"/>
  <c r="CW116" i="12"/>
  <c r="CS115" i="12"/>
  <c r="BO48" i="12"/>
  <c r="BU48" i="12"/>
  <c r="CA48" i="12"/>
  <c r="CG48" i="12"/>
  <c r="CM48" i="12"/>
  <c r="CS48" i="12"/>
  <c r="CY48" i="12"/>
  <c r="CZ47" i="12"/>
  <c r="CT47" i="12"/>
  <c r="CN47" i="12"/>
  <c r="CH47" i="12"/>
  <c r="AI117" i="12" l="1"/>
  <c r="Z117" i="12"/>
  <c r="BG117" i="12"/>
  <c r="AF117" i="12"/>
  <c r="AC117" i="12"/>
  <c r="AT117" i="12"/>
  <c r="S117" i="12"/>
  <c r="BC117" i="12"/>
  <c r="AH117" i="12"/>
  <c r="T117" i="12"/>
  <c r="BF117" i="12"/>
  <c r="U117" i="12"/>
  <c r="BV117" i="12"/>
  <c r="BR117" i="12"/>
  <c r="BE117" i="12"/>
  <c r="CT117" i="12"/>
  <c r="CU117" i="12"/>
  <c r="CV117" i="12"/>
  <c r="CH117" i="12"/>
  <c r="CD117" i="12"/>
  <c r="CI117" i="12"/>
  <c r="CE117" i="12"/>
  <c r="BO117" i="12"/>
  <c r="BS117" i="12"/>
  <c r="CS117" i="12"/>
  <c r="CY117" i="12"/>
  <c r="CJ117" i="12"/>
  <c r="CB117" i="12"/>
  <c r="BX117" i="12"/>
  <c r="BP117" i="12"/>
  <c r="CG117" i="12"/>
  <c r="CK117" i="12"/>
  <c r="CC117" i="12"/>
  <c r="BQ117" i="12"/>
  <c r="K117" i="12"/>
  <c r="CN115" i="12"/>
  <c r="CN114" i="12" s="1"/>
  <c r="CH115" i="12"/>
  <c r="CH114" i="12" s="1"/>
  <c r="CT115" i="12"/>
  <c r="CT114" i="12" s="1"/>
  <c r="Q117" i="12"/>
  <c r="CZ115" i="12"/>
  <c r="BI117" i="12"/>
  <c r="BK114" i="12"/>
  <c r="BM117" i="12"/>
  <c r="BJ114" i="12"/>
  <c r="BL114" i="12"/>
  <c r="AX117" i="12"/>
  <c r="AZ117" i="12"/>
  <c r="AQ114" i="12"/>
  <c r="AS114" i="12"/>
  <c r="AK114" i="12"/>
  <c r="AM117" i="12"/>
  <c r="AO117" i="12"/>
  <c r="CU47" i="12"/>
  <c r="CM114" i="12"/>
  <c r="CO117" i="12"/>
  <c r="CQ117" i="12"/>
  <c r="CG114" i="12"/>
  <c r="Y117" i="12"/>
  <c r="U114" i="12"/>
  <c r="S114" i="12"/>
  <c r="G117" i="12"/>
  <c r="CZ117" i="12"/>
  <c r="DB117" i="12"/>
  <c r="CW117" i="12"/>
  <c r="CN117" i="12"/>
  <c r="CP117" i="12"/>
  <c r="CA114" i="12"/>
  <c r="BU114" i="12"/>
  <c r="BW117" i="12"/>
  <c r="BY117" i="12"/>
  <c r="BO114" i="12"/>
  <c r="BJ117" i="12"/>
  <c r="BL117" i="12"/>
  <c r="AW117" i="12"/>
  <c r="AY117" i="12"/>
  <c r="BA117" i="12"/>
  <c r="AL117" i="12"/>
  <c r="AN117" i="12"/>
  <c r="AE114" i="12"/>
  <c r="AG114" i="12"/>
  <c r="AF114" i="12"/>
  <c r="Y114" i="12"/>
  <c r="M114" i="12"/>
  <c r="N114" i="12"/>
  <c r="DA117" i="12"/>
  <c r="DC117" i="12"/>
  <c r="CM117" i="12"/>
  <c r="CA117" i="12"/>
  <c r="AQ117" i="12"/>
  <c r="AS117" i="12"/>
  <c r="AE117" i="12"/>
  <c r="AG117" i="12"/>
  <c r="CS114" i="12"/>
  <c r="BI114" i="12"/>
  <c r="BC114" i="12"/>
  <c r="BE114" i="12"/>
  <c r="AA114" i="12"/>
  <c r="Z114" i="12"/>
  <c r="T114" i="12"/>
  <c r="K114" i="12"/>
  <c r="I114" i="12"/>
  <c r="BU117" i="12"/>
  <c r="BK117" i="12"/>
  <c r="AK117" i="12"/>
  <c r="AA117" i="12"/>
  <c r="I117" i="12"/>
  <c r="BD114" i="12"/>
  <c r="AR114" i="12"/>
  <c r="AL114" i="12"/>
  <c r="E114" i="12"/>
  <c r="G114" i="12"/>
  <c r="DA47" i="12"/>
  <c r="CO47" i="12"/>
  <c r="CI47" i="12"/>
  <c r="BP47" i="12"/>
  <c r="BV47" i="12"/>
  <c r="CB47" i="12"/>
  <c r="BJ43" i="12"/>
  <c r="BD43" i="12"/>
  <c r="AX43" i="12"/>
  <c r="AR43" i="12"/>
  <c r="AS43" i="12" s="1"/>
  <c r="AL43" i="12"/>
  <c r="AF43" i="12"/>
  <c r="AG43" i="12" s="1"/>
  <c r="Z43" i="12"/>
  <c r="T43" i="12"/>
  <c r="U43" i="12" s="1"/>
  <c r="N43" i="12"/>
  <c r="O43" i="12" s="1"/>
  <c r="P43" i="12" s="1"/>
  <c r="BM47" i="12"/>
  <c r="BF47" i="12"/>
  <c r="AW47" i="12"/>
  <c r="AT47" i="12"/>
  <c r="AM47" i="12"/>
  <c r="AN47" i="12" s="1"/>
  <c r="AN115" i="12" s="1"/>
  <c r="AN114" i="12" s="1"/>
  <c r="AH47" i="12"/>
  <c r="AH115" i="12" s="1"/>
  <c r="AH114" i="12" s="1"/>
  <c r="AB47" i="12"/>
  <c r="AB115" i="12" s="1"/>
  <c r="AB114" i="12" s="1"/>
  <c r="V47" i="12"/>
  <c r="V115" i="12" s="1"/>
  <c r="V114" i="12" s="1"/>
  <c r="O47" i="12"/>
  <c r="BF115" i="12" l="1"/>
  <c r="BF114" i="12" s="1"/>
  <c r="AY43" i="12"/>
  <c r="BV115" i="12"/>
  <c r="BV114" i="12" s="1"/>
  <c r="CI115" i="12"/>
  <c r="CI114" i="12" s="1"/>
  <c r="DB47" i="12"/>
  <c r="AW115" i="12"/>
  <c r="AW114" i="12" s="1"/>
  <c r="AW134" i="12"/>
  <c r="BM115" i="12"/>
  <c r="BP115" i="12"/>
  <c r="BP114" i="12" s="1"/>
  <c r="CP47" i="12"/>
  <c r="CQ47" i="12" s="1"/>
  <c r="CU115" i="12"/>
  <c r="CU114" i="12" s="1"/>
  <c r="DC35" i="138"/>
  <c r="DK36" i="138"/>
  <c r="DC36" i="138"/>
  <c r="BM114" i="12"/>
  <c r="W114" i="12"/>
  <c r="CV47" i="12"/>
  <c r="AC114" i="12"/>
  <c r="DI37" i="138"/>
  <c r="CY39" i="138"/>
  <c r="AI114" i="12"/>
  <c r="P47" i="12"/>
  <c r="P115" i="12" s="1"/>
  <c r="P114" i="12" s="1"/>
  <c r="O115" i="12"/>
  <c r="O114" i="12" s="1"/>
  <c r="W47" i="12"/>
  <c r="W115" i="12" s="1"/>
  <c r="AC47" i="12"/>
  <c r="AC115" i="12" s="1"/>
  <c r="AI47" i="12"/>
  <c r="AI115" i="12" s="1"/>
  <c r="BG47" i="12"/>
  <c r="V43" i="12"/>
  <c r="W43" i="12" s="1"/>
  <c r="AT43" i="12"/>
  <c r="AU43" i="12" s="1"/>
  <c r="CC47" i="12"/>
  <c r="CD47" i="12" s="1"/>
  <c r="CB115" i="12"/>
  <c r="CB114" i="12" s="1"/>
  <c r="BW47" i="12"/>
  <c r="CO115" i="12"/>
  <c r="AO47" i="12"/>
  <c r="AO115" i="12" s="1"/>
  <c r="AM115" i="12"/>
  <c r="AM114" i="12" s="1"/>
  <c r="AO114" i="12" s="1"/>
  <c r="AU47" i="12"/>
  <c r="AU115" i="12" s="1"/>
  <c r="AT115" i="12"/>
  <c r="AT114" i="12" s="1"/>
  <c r="AU114" i="12" s="1"/>
  <c r="AH43" i="12"/>
  <c r="AI43" i="12" s="1"/>
  <c r="DA115" i="12"/>
  <c r="CJ47" i="12"/>
  <c r="BQ47" i="12"/>
  <c r="BE43" i="12"/>
  <c r="BK43" i="12"/>
  <c r="AM43" i="12"/>
  <c r="AN43" i="12" s="1"/>
  <c r="AA43" i="12"/>
  <c r="AB43" i="12" s="1"/>
  <c r="AX47" i="12"/>
  <c r="BG114" i="12" l="1"/>
  <c r="DB115" i="12"/>
  <c r="DB114" i="12" s="1"/>
  <c r="CJ115" i="12"/>
  <c r="CJ114" i="12" s="1"/>
  <c r="BW115" i="12"/>
  <c r="BW114" i="12" s="1"/>
  <c r="CC115" i="12"/>
  <c r="CC114" i="12" s="1"/>
  <c r="BG115" i="12"/>
  <c r="CV115" i="12"/>
  <c r="CV114" i="12" s="1"/>
  <c r="BQ115" i="12"/>
  <c r="BQ114" i="12" s="1"/>
  <c r="CW47" i="12"/>
  <c r="CQ115" i="12"/>
  <c r="AZ43" i="12"/>
  <c r="DC47" i="12"/>
  <c r="CP115" i="12"/>
  <c r="CP114" i="12" s="1"/>
  <c r="CY46" i="138"/>
  <c r="DK43" i="138"/>
  <c r="DI44" i="138"/>
  <c r="DC42" i="138"/>
  <c r="DE46" i="138"/>
  <c r="DC43" i="138"/>
  <c r="DI43" i="138"/>
  <c r="DQ36" i="138"/>
  <c r="DW43" i="138" s="1"/>
  <c r="DI14" i="138"/>
  <c r="Q47" i="12"/>
  <c r="Q115" i="12" s="1"/>
  <c r="BX47" i="12"/>
  <c r="DC39" i="138"/>
  <c r="Q114" i="12"/>
  <c r="CK47" i="12"/>
  <c r="AY47" i="12"/>
  <c r="AX115" i="12"/>
  <c r="AX114" i="12" s="1"/>
  <c r="AC43" i="12"/>
  <c r="AO43" i="12"/>
  <c r="CE47" i="12"/>
  <c r="CD115" i="12"/>
  <c r="CD114" i="12" s="1"/>
  <c r="CO114" i="12"/>
  <c r="BR47" i="12"/>
  <c r="BL43" i="12"/>
  <c r="BF43" i="12"/>
  <c r="DI54" i="138" l="1"/>
  <c r="DI61" i="138" s="1"/>
  <c r="BG43" i="12"/>
  <c r="BR115" i="12"/>
  <c r="BR114" i="12" s="1"/>
  <c r="CW114" i="12"/>
  <c r="CE115" i="12"/>
  <c r="AY115" i="12"/>
  <c r="AY114" i="12" s="1"/>
  <c r="CK115" i="12"/>
  <c r="DC115" i="12"/>
  <c r="CW115" i="12"/>
  <c r="CK114" i="12"/>
  <c r="BM43" i="12"/>
  <c r="CQ114" i="12"/>
  <c r="CE114" i="12"/>
  <c r="BX115" i="12"/>
  <c r="BX114" i="12" s="1"/>
  <c r="BA43" i="12"/>
  <c r="DQ43" i="138"/>
  <c r="DI22" i="138"/>
  <c r="BY47" i="12"/>
  <c r="AZ47" i="12"/>
  <c r="BS47" i="12"/>
  <c r="BY114" i="12" l="1"/>
  <c r="BA47" i="12"/>
  <c r="BS114" i="12"/>
  <c r="BS115" i="12"/>
  <c r="BY115" i="12"/>
  <c r="DI24" i="138"/>
  <c r="DB16" i="138"/>
  <c r="DB39" i="138"/>
  <c r="AZ115" i="12"/>
  <c r="AZ114" i="12" s="1"/>
  <c r="BA114" i="12" l="1"/>
  <c r="BA115" i="12"/>
  <c r="DI46" i="138"/>
  <c r="ES16" i="138"/>
  <c r="DH24" i="138"/>
  <c r="DH46" i="138"/>
  <c r="DH32" i="138" l="1"/>
  <c r="EW24" i="138"/>
  <c r="CS96" i="12" l="1"/>
  <c r="CY96" i="12"/>
  <c r="CS94" i="12"/>
  <c r="CS93" i="12"/>
  <c r="CS92" i="12"/>
  <c r="CY94" i="12"/>
  <c r="CW90" i="12"/>
  <c r="CV90" i="12"/>
  <c r="CU90" i="12"/>
  <c r="CT90" i="12"/>
  <c r="CS90" i="12"/>
  <c r="DA90" i="12"/>
  <c r="CZ90" i="12"/>
  <c r="CY90" i="12"/>
  <c r="CT86" i="12"/>
  <c r="CU86" i="12" s="1"/>
  <c r="CV86" i="12" s="1"/>
  <c r="CW86" i="12" s="1"/>
  <c r="CW93" i="12" s="1"/>
  <c r="CT85" i="12"/>
  <c r="CT94" i="12" s="1"/>
  <c r="CT84" i="12"/>
  <c r="CU84" i="12" s="1"/>
  <c r="CS88" i="12"/>
  <c r="CT83" i="12" s="1"/>
  <c r="CT87" i="12"/>
  <c r="CU87" i="12" s="1"/>
  <c r="CV87" i="12" s="1"/>
  <c r="CW87" i="12" s="1"/>
  <c r="CZ86" i="12"/>
  <c r="CZ85" i="12"/>
  <c r="DA85" i="12" s="1"/>
  <c r="DA96" i="12" s="1"/>
  <c r="CZ84" i="12"/>
  <c r="CZ87" i="12"/>
  <c r="G146" i="11"/>
  <c r="I146" i="11"/>
  <c r="K146" i="11"/>
  <c r="M146" i="11"/>
  <c r="Q146" i="11" s="1"/>
  <c r="BY150" i="11"/>
  <c r="CE150" i="11"/>
  <c r="CK150" i="11"/>
  <c r="E154" i="11"/>
  <c r="G154" i="11"/>
  <c r="I154" i="11"/>
  <c r="K154" i="11"/>
  <c r="M154" i="11"/>
  <c r="N154" i="11"/>
  <c r="O154" i="11"/>
  <c r="S154" i="11"/>
  <c r="T154" i="11"/>
  <c r="U154" i="11"/>
  <c r="Y154" i="11"/>
  <c r="Z154" i="11"/>
  <c r="AA154" i="11"/>
  <c r="AE154" i="11"/>
  <c r="AF154" i="11"/>
  <c r="AG154" i="11"/>
  <c r="AK154" i="11"/>
  <c r="AL154" i="11"/>
  <c r="AM154" i="11"/>
  <c r="AQ154" i="11"/>
  <c r="AR154" i="11"/>
  <c r="AS154" i="11"/>
  <c r="AW154" i="11"/>
  <c r="AX154" i="11"/>
  <c r="AY154" i="11"/>
  <c r="AZ154" i="11"/>
  <c r="BC154" i="11"/>
  <c r="BD154" i="11"/>
  <c r="BE154" i="11"/>
  <c r="BF154" i="11"/>
  <c r="BI154" i="11"/>
  <c r="BJ154" i="11"/>
  <c r="BK154" i="11"/>
  <c r="BL154" i="11"/>
  <c r="BO154" i="11"/>
  <c r="BP154" i="11"/>
  <c r="BQ154" i="11"/>
  <c r="BR154" i="11"/>
  <c r="BU154" i="11"/>
  <c r="BV154" i="11"/>
  <c r="BW154" i="11"/>
  <c r="BX154" i="11"/>
  <c r="CA154" i="11"/>
  <c r="CB154" i="11"/>
  <c r="CC154" i="11"/>
  <c r="CD154" i="11"/>
  <c r="CG154" i="11"/>
  <c r="CH154" i="11"/>
  <c r="CI154" i="11"/>
  <c r="CJ154" i="11"/>
  <c r="CM154" i="11"/>
  <c r="CN154" i="11"/>
  <c r="CO154" i="11"/>
  <c r="CP154" i="11"/>
  <c r="CS154" i="11"/>
  <c r="CT154" i="11"/>
  <c r="CU154" i="11"/>
  <c r="CV154" i="11"/>
  <c r="G157" i="11"/>
  <c r="I157" i="11"/>
  <c r="K157" i="11"/>
  <c r="M157" i="11"/>
  <c r="Q157" i="11" s="1"/>
  <c r="Q159" i="11"/>
  <c r="W159" i="11"/>
  <c r="AC159" i="11"/>
  <c r="AI159" i="11"/>
  <c r="AO159" i="11"/>
  <c r="AQ159" i="11"/>
  <c r="BA159" i="11"/>
  <c r="BF159" i="11"/>
  <c r="BG159" i="11" s="1"/>
  <c r="BI159" i="11"/>
  <c r="BJ159" i="11"/>
  <c r="BK159" i="11"/>
  <c r="BO159" i="11"/>
  <c r="BU159" i="11"/>
  <c r="CA159" i="11"/>
  <c r="CG159" i="11"/>
  <c r="CM159" i="11"/>
  <c r="CS159" i="11"/>
  <c r="CY159" i="11"/>
  <c r="N162" i="11"/>
  <c r="T162" i="11"/>
  <c r="Z162" i="11"/>
  <c r="AF162" i="11"/>
  <c r="AL162" i="11"/>
  <c r="AX162" i="11"/>
  <c r="BD162" i="11"/>
  <c r="BJ162" i="11"/>
  <c r="BQ162" i="11"/>
  <c r="BV162" i="11"/>
  <c r="CB162" i="11"/>
  <c r="CH162" i="11"/>
  <c r="CN162" i="11"/>
  <c r="CT162" i="11"/>
  <c r="DA162" i="11"/>
  <c r="E163" i="11"/>
  <c r="G163" i="11"/>
  <c r="G160" i="11" s="1"/>
  <c r="I163" i="11"/>
  <c r="I160" i="11" s="1"/>
  <c r="K163" i="11"/>
  <c r="K160" i="11" s="1"/>
  <c r="M163" i="11"/>
  <c r="N157" i="11" s="1"/>
  <c r="N163" i="11"/>
  <c r="O157" i="11" s="1"/>
  <c r="O163" i="11"/>
  <c r="P157" i="11" s="1"/>
  <c r="S163" i="11"/>
  <c r="T157" i="11" s="1"/>
  <c r="T163" i="11"/>
  <c r="U157" i="11" s="1"/>
  <c r="U163" i="11"/>
  <c r="V157" i="11" s="1"/>
  <c r="Y163" i="11"/>
  <c r="Z157" i="11" s="1"/>
  <c r="Z163" i="11"/>
  <c r="AA157" i="11" s="1"/>
  <c r="CZ52" i="12"/>
  <c r="CT52" i="12"/>
  <c r="CN52" i="12"/>
  <c r="CO52" i="12" s="1"/>
  <c r="CH52" i="12"/>
  <c r="BP52" i="12"/>
  <c r="BQ52" i="12" s="1"/>
  <c r="CC52" i="12"/>
  <c r="CB52" i="12"/>
  <c r="DB162" i="11" l="1"/>
  <c r="CU162" i="11"/>
  <c r="K151" i="11"/>
  <c r="K149" i="11" s="1"/>
  <c r="G151" i="11"/>
  <c r="G149" i="11" s="1"/>
  <c r="DI51" i="12"/>
  <c r="CZ96" i="12"/>
  <c r="DB85" i="12"/>
  <c r="DI52" i="12"/>
  <c r="DA87" i="12"/>
  <c r="DB87" i="12" s="1"/>
  <c r="DC87" i="12" s="1"/>
  <c r="DA84" i="12"/>
  <c r="DA86" i="12"/>
  <c r="DB86" i="12" s="1"/>
  <c r="CT93" i="12"/>
  <c r="CU85" i="12"/>
  <c r="CV85" i="12" s="1"/>
  <c r="CW85" i="12" s="1"/>
  <c r="CW96" i="12" s="1"/>
  <c r="CZ94" i="12"/>
  <c r="CT92" i="12"/>
  <c r="CT96" i="12"/>
  <c r="CT88" i="12"/>
  <c r="CU83" i="12" s="1"/>
  <c r="CV84" i="12"/>
  <c r="AY162" i="11"/>
  <c r="AN162" i="11"/>
  <c r="AQ162" i="11" s="1"/>
  <c r="AH162" i="11"/>
  <c r="AB162" i="11"/>
  <c r="V162" i="11"/>
  <c r="P162" i="11"/>
  <c r="CO162" i="11"/>
  <c r="CI162" i="11"/>
  <c r="CC162" i="11"/>
  <c r="BW162" i="11"/>
  <c r="I158" i="11"/>
  <c r="I161" i="11"/>
  <c r="K158" i="11"/>
  <c r="K161" i="11"/>
  <c r="G158" i="11"/>
  <c r="G161" i="11"/>
  <c r="BR162" i="11"/>
  <c r="BK162" i="11"/>
  <c r="BE162" i="11"/>
  <c r="Z160" i="11"/>
  <c r="Z158" i="11" s="1"/>
  <c r="Z226" i="11" s="1"/>
  <c r="U160" i="11"/>
  <c r="U161" i="11" s="1"/>
  <c r="S160" i="11"/>
  <c r="S161" i="11" s="1"/>
  <c r="N160" i="11"/>
  <c r="N158" i="11" s="1"/>
  <c r="N226" i="11" s="1"/>
  <c r="BR52" i="12"/>
  <c r="BS52" i="12" s="1"/>
  <c r="Y160" i="11"/>
  <c r="Y161" i="11" s="1"/>
  <c r="T160" i="11"/>
  <c r="T158" i="11" s="1"/>
  <c r="T226" i="11" s="1"/>
  <c r="O160" i="11"/>
  <c r="O161" i="11" s="1"/>
  <c r="M160" i="11"/>
  <c r="M161" i="11" s="1"/>
  <c r="CV146" i="11"/>
  <c r="CT146" i="11"/>
  <c r="CO146" i="11"/>
  <c r="CJ146" i="11"/>
  <c r="CH146" i="11"/>
  <c r="CC146" i="11"/>
  <c r="BX146" i="11"/>
  <c r="BV146" i="11"/>
  <c r="BQ146" i="11"/>
  <c r="BL146" i="11"/>
  <c r="BJ146" i="11"/>
  <c r="BE146" i="11"/>
  <c r="AZ146" i="11"/>
  <c r="AX146" i="11"/>
  <c r="AS146" i="11"/>
  <c r="AN146" i="11"/>
  <c r="AL146" i="11"/>
  <c r="AK151" i="11"/>
  <c r="AK152" i="11" s="1"/>
  <c r="AG146" i="11"/>
  <c r="AB146" i="11"/>
  <c r="Z146" i="11"/>
  <c r="Y151" i="11"/>
  <c r="Y152" i="11" s="1"/>
  <c r="U146" i="11"/>
  <c r="P146" i="11"/>
  <c r="N146" i="11"/>
  <c r="CU146" i="11"/>
  <c r="CP146" i="11"/>
  <c r="CN146" i="11"/>
  <c r="CM151" i="11"/>
  <c r="CM152" i="11" s="1"/>
  <c r="CI146" i="11"/>
  <c r="CD146" i="11"/>
  <c r="CB146" i="11"/>
  <c r="BW146" i="11"/>
  <c r="BR146" i="11"/>
  <c r="BP146" i="11"/>
  <c r="BK146" i="11"/>
  <c r="BF146" i="11"/>
  <c r="BD146" i="11"/>
  <c r="AY146" i="11"/>
  <c r="AT146" i="11"/>
  <c r="AS151" i="11"/>
  <c r="AS152" i="11" s="1"/>
  <c r="AR146" i="11"/>
  <c r="AM146" i="11"/>
  <c r="AH146" i="11"/>
  <c r="AF146" i="11"/>
  <c r="AE151" i="11"/>
  <c r="AE152" i="11" s="1"/>
  <c r="AA146" i="11"/>
  <c r="V146" i="11"/>
  <c r="T146" i="11"/>
  <c r="S151" i="11"/>
  <c r="S152" i="11" s="1"/>
  <c r="O146" i="11"/>
  <c r="DA52" i="12"/>
  <c r="DB52" i="12" s="1"/>
  <c r="CU52" i="12"/>
  <c r="CV52" i="12" s="1"/>
  <c r="CP52" i="12"/>
  <c r="CQ52" i="12" s="1"/>
  <c r="CI52" i="12"/>
  <c r="AZ162" i="11" l="1"/>
  <c r="DB84" i="12"/>
  <c r="DC84" i="12" s="1"/>
  <c r="CV162" i="11"/>
  <c r="CD162" i="11"/>
  <c r="CP162" i="11"/>
  <c r="G152" i="11"/>
  <c r="DC86" i="12"/>
  <c r="K152" i="11"/>
  <c r="T161" i="11"/>
  <c r="N161" i="11"/>
  <c r="Z161" i="11"/>
  <c r="DB96" i="12"/>
  <c r="DB94" i="12"/>
  <c r="DE94" i="12" s="1"/>
  <c r="DE84" i="12" s="1"/>
  <c r="DC85" i="12"/>
  <c r="CU92" i="12"/>
  <c r="CW94" i="12"/>
  <c r="CV94" i="12"/>
  <c r="CW92" i="12"/>
  <c r="CU96" i="12"/>
  <c r="CV96" i="12"/>
  <c r="CU94" i="12"/>
  <c r="DA94" i="12"/>
  <c r="CU93" i="12"/>
  <c r="CU88" i="12"/>
  <c r="CV83" i="12" s="1"/>
  <c r="CW84" i="12"/>
  <c r="CW88" i="12" s="1"/>
  <c r="BX162" i="11"/>
  <c r="CJ162" i="11"/>
  <c r="DC52" i="12"/>
  <c r="O158" i="11"/>
  <c r="O226" i="11" s="1"/>
  <c r="AT162" i="11"/>
  <c r="BF162" i="11"/>
  <c r="BL162" i="11"/>
  <c r="BS162" i="11"/>
  <c r="M158" i="11"/>
  <c r="M226" i="11" s="1"/>
  <c r="U158" i="11"/>
  <c r="U226" i="11" s="1"/>
  <c r="CQ162" i="11"/>
  <c r="DC162" i="11"/>
  <c r="CW52" i="12"/>
  <c r="CJ52" i="12"/>
  <c r="CK52" i="12" s="1"/>
  <c r="DF94" i="12" l="1"/>
  <c r="CK162" i="11"/>
  <c r="CE162" i="11"/>
  <c r="DC83" i="12"/>
  <c r="DC92" i="12" s="1"/>
  <c r="CY83" i="12"/>
  <c r="BY162" i="11"/>
  <c r="DC94" i="12"/>
  <c r="DC96" i="12"/>
  <c r="CV93" i="12"/>
  <c r="CV92" i="12"/>
  <c r="CV88" i="12"/>
  <c r="BM162" i="11"/>
  <c r="BG162" i="11"/>
  <c r="DC93" i="12" l="1"/>
  <c r="DC88" i="12"/>
  <c r="DE83" i="12" s="1"/>
  <c r="DG94" i="12"/>
  <c r="DF84" i="12"/>
  <c r="CY92" i="12"/>
  <c r="CY93" i="12"/>
  <c r="CY88" i="12"/>
  <c r="CZ83" i="12" s="1"/>
  <c r="DI83" i="12" l="1"/>
  <c r="DG84" i="12"/>
  <c r="DH84" i="12" s="1"/>
  <c r="CZ92" i="12"/>
  <c r="CZ88" i="12"/>
  <c r="DA83" i="12" s="1"/>
  <c r="CZ93" i="12"/>
  <c r="DA92" i="12" l="1"/>
  <c r="DA93" i="12"/>
  <c r="DA88" i="12"/>
  <c r="DB83" i="12" s="1"/>
  <c r="DI84" i="12" l="1"/>
  <c r="DL94" i="12"/>
  <c r="DK84" i="12"/>
  <c r="DB93" i="12"/>
  <c r="DE93" i="12" s="1"/>
  <c r="DE86" i="12" s="1"/>
  <c r="DB88" i="12"/>
  <c r="DB92" i="12"/>
  <c r="DE92" i="12" s="1"/>
  <c r="DE85" i="12" s="1"/>
  <c r="DE96" i="12" l="1"/>
  <c r="DE88" i="12"/>
  <c r="DM94" i="12"/>
  <c r="DL84" i="12"/>
  <c r="DF92" i="12"/>
  <c r="DG92" i="12" s="1"/>
  <c r="DL92" i="12" s="1"/>
  <c r="DM92" i="12" s="1"/>
  <c r="DN92" i="12" s="1"/>
  <c r="DQ92" i="12" s="1"/>
  <c r="DR92" i="12" s="1"/>
  <c r="DS92" i="12" s="1"/>
  <c r="DT92" i="12" s="1"/>
  <c r="DW92" i="12" s="1"/>
  <c r="DX92" i="12" s="1"/>
  <c r="DY92" i="12" s="1"/>
  <c r="DZ92" i="12" s="1"/>
  <c r="EC92" i="12" s="1"/>
  <c r="ED92" i="12" s="1"/>
  <c r="EE92" i="12" s="1"/>
  <c r="EF92" i="12" s="1"/>
  <c r="DF93" i="12"/>
  <c r="DG93" i="12" s="1"/>
  <c r="DL93" i="12" s="1"/>
  <c r="DM93" i="12" s="1"/>
  <c r="DN93" i="12" s="1"/>
  <c r="DQ93" i="12" s="1"/>
  <c r="DR93" i="12" s="1"/>
  <c r="DS93" i="12" s="1"/>
  <c r="DT93" i="12" s="1"/>
  <c r="DW93" i="12" s="1"/>
  <c r="DX93" i="12" s="1"/>
  <c r="DY93" i="12" s="1"/>
  <c r="DZ93" i="12" s="1"/>
  <c r="EC93" i="12" s="1"/>
  <c r="ED93" i="12" s="1"/>
  <c r="EE93" i="12" s="1"/>
  <c r="EF93" i="12" s="1"/>
  <c r="DN94" i="12" l="1"/>
  <c r="DM84" i="12"/>
  <c r="DF83" i="12"/>
  <c r="DQ94" i="12" l="1"/>
  <c r="DN84" i="12"/>
  <c r="DF85" i="12"/>
  <c r="DF86" i="12"/>
  <c r="DF96" i="12" l="1"/>
  <c r="DF88" i="12"/>
  <c r="DG83" i="12" s="1"/>
  <c r="DG85" i="12" s="1"/>
  <c r="DG96" i="12" s="1"/>
  <c r="DO84" i="12"/>
  <c r="DR94" i="12"/>
  <c r="DQ84" i="12"/>
  <c r="DH85" i="12" l="1"/>
  <c r="DG86" i="12"/>
  <c r="DS94" i="12"/>
  <c r="DR84" i="12"/>
  <c r="DG88" i="12" l="1"/>
  <c r="DH83" i="12" s="1"/>
  <c r="DH92" i="12" s="1"/>
  <c r="DH86" i="12"/>
  <c r="DH94" i="12"/>
  <c r="DH96" i="12"/>
  <c r="DH88" i="12"/>
  <c r="DT94" i="12"/>
  <c r="DS84" i="12"/>
  <c r="CA52" i="12"/>
  <c r="BX52" i="12"/>
  <c r="BY52" i="12" s="1"/>
  <c r="CN51" i="12"/>
  <c r="CH51" i="12"/>
  <c r="CB51" i="12"/>
  <c r="BV51" i="12"/>
  <c r="BP51" i="12"/>
  <c r="CT51" i="12"/>
  <c r="CZ51" i="12"/>
  <c r="BP46" i="12"/>
  <c r="BP45" i="12"/>
  <c r="BQ45" i="12" s="1"/>
  <c r="BP44" i="12"/>
  <c r="BP43" i="12"/>
  <c r="BP41" i="12"/>
  <c r="BP135" i="12" s="1"/>
  <c r="BP40" i="12"/>
  <c r="BP134" i="12" s="1"/>
  <c r="BV46" i="12"/>
  <c r="BV45" i="12"/>
  <c r="BW45" i="12" s="1"/>
  <c r="BV44" i="12"/>
  <c r="BV43" i="12"/>
  <c r="BV41" i="12"/>
  <c r="BV135" i="12" s="1"/>
  <c r="BV40" i="12"/>
  <c r="BV134" i="12" s="1"/>
  <c r="CB46" i="12"/>
  <c r="CC46" i="12" s="1"/>
  <c r="CB45" i="12"/>
  <c r="CC45" i="12" s="1"/>
  <c r="CB44" i="12"/>
  <c r="CB43" i="12"/>
  <c r="CB41" i="12"/>
  <c r="CB40" i="12"/>
  <c r="CB134" i="12" s="1"/>
  <c r="CH46" i="12"/>
  <c r="CH45" i="12"/>
  <c r="CI45" i="12" s="1"/>
  <c r="CH44" i="12"/>
  <c r="CH43" i="12"/>
  <c r="CH41" i="12"/>
  <c r="CH135" i="12" s="1"/>
  <c r="CH40" i="12"/>
  <c r="CH134" i="12" s="1"/>
  <c r="CN46" i="12"/>
  <c r="CN45" i="12"/>
  <c r="CO45" i="12" s="1"/>
  <c r="CN44" i="12"/>
  <c r="CN43" i="12"/>
  <c r="CN41" i="12"/>
  <c r="CN135" i="12" s="1"/>
  <c r="CN40" i="12"/>
  <c r="CN134" i="12" s="1"/>
  <c r="CT46" i="12"/>
  <c r="CT45" i="12"/>
  <c r="CU45" i="12" s="1"/>
  <c r="CT44" i="12"/>
  <c r="CT43" i="12"/>
  <c r="CT41" i="12"/>
  <c r="CT135" i="12" s="1"/>
  <c r="CT40" i="12"/>
  <c r="CT134" i="12" s="1"/>
  <c r="CZ46" i="12"/>
  <c r="CZ45" i="12"/>
  <c r="CZ44" i="12"/>
  <c r="CZ43" i="12"/>
  <c r="CZ41" i="12"/>
  <c r="CZ135" i="12" s="1"/>
  <c r="CZ40" i="12"/>
  <c r="CZ134" i="12" s="1"/>
  <c r="BP37" i="12"/>
  <c r="BP35" i="12"/>
  <c r="BP34" i="12"/>
  <c r="BQ34" i="12" s="1"/>
  <c r="BP33" i="12"/>
  <c r="BQ33" i="12" s="1"/>
  <c r="BP32" i="12"/>
  <c r="BP31" i="12"/>
  <c r="BO36" i="12"/>
  <c r="BO38" i="12" s="1"/>
  <c r="BV37" i="12"/>
  <c r="BV35" i="12"/>
  <c r="BV34" i="12"/>
  <c r="BV33" i="12"/>
  <c r="BW33" i="12" s="1"/>
  <c r="BV32" i="12"/>
  <c r="BV31" i="12"/>
  <c r="BU36" i="12"/>
  <c r="BU38" i="12" s="1"/>
  <c r="CB37" i="12"/>
  <c r="CB35" i="12"/>
  <c r="CB159" i="11" s="1"/>
  <c r="CB34" i="12"/>
  <c r="CC34" i="12" s="1"/>
  <c r="CB33" i="12"/>
  <c r="CB32" i="12"/>
  <c r="CB31" i="12"/>
  <c r="CA36" i="12"/>
  <c r="CA38" i="12" s="1"/>
  <c r="CH37" i="12"/>
  <c r="CH35" i="12"/>
  <c r="CH159" i="11" s="1"/>
  <c r="CH34" i="12"/>
  <c r="CH33" i="12"/>
  <c r="CH32" i="12"/>
  <c r="CH31" i="12"/>
  <c r="CG36" i="12"/>
  <c r="CG38" i="12" s="1"/>
  <c r="CN37" i="12"/>
  <c r="CN35" i="12"/>
  <c r="CN159" i="11" s="1"/>
  <c r="CN34" i="12"/>
  <c r="CN33" i="12"/>
  <c r="CN32" i="12"/>
  <c r="CN31" i="12"/>
  <c r="CM36" i="12"/>
  <c r="CM38" i="12" s="1"/>
  <c r="CT37" i="12"/>
  <c r="CT35" i="12"/>
  <c r="CT34" i="12"/>
  <c r="CT33" i="12"/>
  <c r="CT32" i="12"/>
  <c r="CT31" i="12"/>
  <c r="CZ37" i="12"/>
  <c r="CZ35" i="12"/>
  <c r="CZ34" i="12"/>
  <c r="CZ33" i="12"/>
  <c r="CZ32" i="12"/>
  <c r="CZ31" i="12"/>
  <c r="CS36" i="12"/>
  <c r="CS38" i="12" s="1"/>
  <c r="CY36" i="12"/>
  <c r="BP28" i="12"/>
  <c r="BP25" i="12"/>
  <c r="BP24" i="12"/>
  <c r="BQ24" i="12" s="1"/>
  <c r="BP23" i="12"/>
  <c r="BQ23" i="12" s="1"/>
  <c r="BP22" i="12"/>
  <c r="BQ22" i="12" s="1"/>
  <c r="BP21" i="12"/>
  <c r="BQ21" i="12" s="1"/>
  <c r="BP20" i="12"/>
  <c r="BQ20" i="12" s="1"/>
  <c r="BP19" i="12"/>
  <c r="BQ19" i="12" s="1"/>
  <c r="BP18" i="12"/>
  <c r="BQ18" i="12" s="1"/>
  <c r="BP17" i="12"/>
  <c r="BQ17" i="12" s="1"/>
  <c r="BP16" i="12"/>
  <c r="BP15" i="12"/>
  <c r="BQ15" i="12" s="1"/>
  <c r="BP14" i="12"/>
  <c r="BP11" i="12"/>
  <c r="BP10" i="12"/>
  <c r="BQ10" i="12" s="1"/>
  <c r="BO12" i="12"/>
  <c r="BO27" i="12" s="1"/>
  <c r="BV28" i="12"/>
  <c r="BV25" i="12"/>
  <c r="BV24" i="12"/>
  <c r="BV23" i="12"/>
  <c r="BV22" i="12"/>
  <c r="BW22" i="12" s="1"/>
  <c r="BV21" i="12"/>
  <c r="BV20" i="12"/>
  <c r="BV19" i="12"/>
  <c r="BV18" i="12"/>
  <c r="BW18" i="12" s="1"/>
  <c r="BV17" i="12"/>
  <c r="BV16" i="12"/>
  <c r="BV15" i="12"/>
  <c r="BV14" i="12"/>
  <c r="BV11" i="12"/>
  <c r="BV10" i="12"/>
  <c r="BU12" i="12"/>
  <c r="BU27" i="12" s="1"/>
  <c r="CB28" i="12"/>
  <c r="CB25" i="12"/>
  <c r="CB24" i="12"/>
  <c r="CC24" i="12" s="1"/>
  <c r="CB23" i="12"/>
  <c r="CB22" i="12"/>
  <c r="CC22" i="12" s="1"/>
  <c r="CB21" i="12"/>
  <c r="CB20" i="12"/>
  <c r="CB19" i="12"/>
  <c r="CB18" i="12"/>
  <c r="CC18" i="12" s="1"/>
  <c r="CB17" i="12"/>
  <c r="CB16" i="12"/>
  <c r="CB15" i="12"/>
  <c r="CB14" i="12"/>
  <c r="CB11" i="12"/>
  <c r="CB10" i="12"/>
  <c r="CC10" i="12" s="1"/>
  <c r="CA12" i="12"/>
  <c r="CA27" i="12" s="1"/>
  <c r="CH28" i="12"/>
  <c r="CI28" i="12" s="1"/>
  <c r="CH25" i="12"/>
  <c r="CH24" i="12"/>
  <c r="CI24" i="12" s="1"/>
  <c r="CH23" i="12"/>
  <c r="CH22" i="12"/>
  <c r="CI22" i="12" s="1"/>
  <c r="CH21" i="12"/>
  <c r="CH20" i="12"/>
  <c r="CH19" i="12"/>
  <c r="CH18" i="12"/>
  <c r="CI18" i="12" s="1"/>
  <c r="CH17" i="12"/>
  <c r="CH16" i="12"/>
  <c r="CH15" i="12"/>
  <c r="CH14" i="12"/>
  <c r="CH11" i="12"/>
  <c r="CH10" i="12"/>
  <c r="CI10" i="12" s="1"/>
  <c r="CG12" i="12"/>
  <c r="CG27" i="12" s="1"/>
  <c r="CN28" i="12"/>
  <c r="CN25" i="12"/>
  <c r="CN24" i="12"/>
  <c r="CO24" i="12" s="1"/>
  <c r="CN23" i="12"/>
  <c r="CN22" i="12"/>
  <c r="CO22" i="12" s="1"/>
  <c r="CN21" i="12"/>
  <c r="CN20" i="12"/>
  <c r="CN19" i="12"/>
  <c r="CN18" i="12"/>
  <c r="CO18" i="12" s="1"/>
  <c r="CN17" i="12"/>
  <c r="CN16" i="12"/>
  <c r="CN15" i="12"/>
  <c r="CN14" i="12"/>
  <c r="CN11" i="12"/>
  <c r="CN10" i="12"/>
  <c r="CO10" i="12" s="1"/>
  <c r="CM12" i="12"/>
  <c r="CM27" i="12" s="1"/>
  <c r="CT28" i="12"/>
  <c r="CT25" i="12"/>
  <c r="CT24" i="12"/>
  <c r="CT23" i="12"/>
  <c r="CT22" i="12"/>
  <c r="CT21" i="12"/>
  <c r="CT20" i="12"/>
  <c r="CT19" i="12"/>
  <c r="CU19" i="12" s="1"/>
  <c r="CV19" i="12" s="1"/>
  <c r="CT18" i="12"/>
  <c r="CU18" i="12" s="1"/>
  <c r="CT17" i="12"/>
  <c r="CU17" i="12" s="1"/>
  <c r="CV17" i="12" s="1"/>
  <c r="CT16" i="12"/>
  <c r="CT15" i="12"/>
  <c r="CT14" i="12"/>
  <c r="CT11" i="12"/>
  <c r="CT10" i="12"/>
  <c r="CU10" i="12" s="1"/>
  <c r="CZ10" i="12"/>
  <c r="CS12" i="12"/>
  <c r="CS27" i="12" s="1"/>
  <c r="CS76" i="12" s="1"/>
  <c r="CS69" i="12" s="1"/>
  <c r="CZ28" i="12"/>
  <c r="CZ25" i="12"/>
  <c r="CZ24" i="12"/>
  <c r="CZ23" i="12"/>
  <c r="CZ22" i="12"/>
  <c r="CZ21" i="12"/>
  <c r="CZ20" i="12"/>
  <c r="CZ19" i="12"/>
  <c r="CZ18" i="12"/>
  <c r="CZ17" i="12"/>
  <c r="CZ16" i="12"/>
  <c r="CZ15" i="12"/>
  <c r="CZ14" i="12"/>
  <c r="CY12" i="12"/>
  <c r="CY27" i="12" s="1"/>
  <c r="CZ11" i="12"/>
  <c r="DA11" i="12" s="1"/>
  <c r="DH93" i="12" l="1"/>
  <c r="DI86" i="12"/>
  <c r="DI93" i="12" s="1"/>
  <c r="DT84" i="12"/>
  <c r="DU84" i="12" s="1"/>
  <c r="DW94" i="12"/>
  <c r="DI85" i="12"/>
  <c r="CT26" i="12"/>
  <c r="BV26" i="12"/>
  <c r="CY29" i="12"/>
  <c r="CY76" i="12"/>
  <c r="CT123" i="12"/>
  <c r="CO16" i="12"/>
  <c r="CP16" i="12" s="1"/>
  <c r="CN123" i="12"/>
  <c r="CO20" i="12"/>
  <c r="CP20" i="12" s="1"/>
  <c r="CN26" i="12"/>
  <c r="CI16" i="12"/>
  <c r="CH123" i="12"/>
  <c r="CI20" i="12"/>
  <c r="CJ20" i="12" s="1"/>
  <c r="CH26" i="12"/>
  <c r="CC16" i="12"/>
  <c r="CD16" i="12" s="1"/>
  <c r="CB123" i="12"/>
  <c r="CC20" i="12"/>
  <c r="CB26" i="12"/>
  <c r="BQ16" i="12"/>
  <c r="CZ147" i="11"/>
  <c r="CZ148" i="11" s="1"/>
  <c r="CZ72" i="12"/>
  <c r="CT147" i="11"/>
  <c r="CT148" i="11" s="1"/>
  <c r="CT72" i="12"/>
  <c r="BV147" i="11"/>
  <c r="BQ31" i="12"/>
  <c r="CU43" i="12"/>
  <c r="CO43" i="12"/>
  <c r="CP43" i="12" s="1"/>
  <c r="CI43" i="12"/>
  <c r="BW43" i="12"/>
  <c r="BQ43" i="12"/>
  <c r="BR43" i="12" s="1"/>
  <c r="CZ123" i="12"/>
  <c r="CZ26" i="12"/>
  <c r="DA10" i="12"/>
  <c r="DA12" i="12" s="1"/>
  <c r="CM29" i="12"/>
  <c r="CM76" i="12"/>
  <c r="CG29" i="12"/>
  <c r="CG76" i="12"/>
  <c r="CA29" i="12"/>
  <c r="CA76" i="12"/>
  <c r="BU29" i="12"/>
  <c r="BU76" i="12"/>
  <c r="BO29" i="12"/>
  <c r="BO76" i="12"/>
  <c r="BW31" i="12"/>
  <c r="CC41" i="12"/>
  <c r="CC135" i="12" s="1"/>
  <c r="CB135" i="12"/>
  <c r="DI88" i="12"/>
  <c r="CZ21" i="134"/>
  <c r="CT21" i="134"/>
  <c r="CO14" i="12"/>
  <c r="CP14" i="12" s="1"/>
  <c r="CI14" i="12"/>
  <c r="CJ14" i="12" s="1"/>
  <c r="CC14" i="12"/>
  <c r="CD14" i="12" s="1"/>
  <c r="BW14" i="12"/>
  <c r="BX14" i="12" s="1"/>
  <c r="BQ14" i="12"/>
  <c r="CI32" i="12"/>
  <c r="CJ32" i="12" s="1"/>
  <c r="CH147" i="11"/>
  <c r="CO32" i="12"/>
  <c r="CP32" i="12" s="1"/>
  <c r="CN147" i="11"/>
  <c r="CC32" i="12"/>
  <c r="CD32" i="12" s="1"/>
  <c r="CB147" i="11"/>
  <c r="BQ32" i="12"/>
  <c r="BR32" i="12" s="1"/>
  <c r="BP147" i="11"/>
  <c r="CZ12" i="12"/>
  <c r="CZ27" i="12" s="1"/>
  <c r="DA14" i="12"/>
  <c r="DA16" i="12"/>
  <c r="DA18" i="12"/>
  <c r="DB18" i="12" s="1"/>
  <c r="DC18" i="12" s="1"/>
  <c r="DA20" i="12"/>
  <c r="DA22" i="12"/>
  <c r="DB22" i="12" s="1"/>
  <c r="DC22" i="12" s="1"/>
  <c r="DA24" i="12"/>
  <c r="DB24" i="12" s="1"/>
  <c r="DC24" i="12" s="1"/>
  <c r="DA28" i="12"/>
  <c r="DB28" i="12" s="1"/>
  <c r="DC28" i="12" s="1"/>
  <c r="CU11" i="12"/>
  <c r="CV11" i="12" s="1"/>
  <c r="CW11" i="12" s="1"/>
  <c r="CU15" i="12"/>
  <c r="CV15" i="12" s="1"/>
  <c r="CW15" i="12" s="1"/>
  <c r="CU21" i="12"/>
  <c r="CV21" i="12" s="1"/>
  <c r="CW21" i="12" s="1"/>
  <c r="CY38" i="12"/>
  <c r="DA31" i="12"/>
  <c r="DA33" i="12"/>
  <c r="DB33" i="12" s="1"/>
  <c r="DC33" i="12" s="1"/>
  <c r="CT159" i="11"/>
  <c r="DA41" i="12"/>
  <c r="DA44" i="12"/>
  <c r="DB44" i="12" s="1"/>
  <c r="DC44" i="12" s="1"/>
  <c r="DA46" i="12"/>
  <c r="DB46" i="12" s="1"/>
  <c r="DC46" i="12" s="1"/>
  <c r="DA15" i="12"/>
  <c r="DB15" i="12" s="1"/>
  <c r="DC15" i="12" s="1"/>
  <c r="DA17" i="12"/>
  <c r="DB17" i="12" s="1"/>
  <c r="DC17" i="12" s="1"/>
  <c r="DA19" i="12"/>
  <c r="DB19" i="12" s="1"/>
  <c r="DC19" i="12" s="1"/>
  <c r="DA21" i="12"/>
  <c r="DB21" i="12" s="1"/>
  <c r="DC21" i="12" s="1"/>
  <c r="DA23" i="12"/>
  <c r="DB23" i="12" s="1"/>
  <c r="DC23" i="12" s="1"/>
  <c r="DA25" i="12"/>
  <c r="DB25" i="12" s="1"/>
  <c r="DC25" i="12" s="1"/>
  <c r="CU14" i="12"/>
  <c r="CU16" i="12"/>
  <c r="CU20" i="12"/>
  <c r="CU22" i="12"/>
  <c r="CV22" i="12" s="1"/>
  <c r="CW22" i="12" s="1"/>
  <c r="CU24" i="12"/>
  <c r="CV24" i="12" s="1"/>
  <c r="CW24" i="12" s="1"/>
  <c r="DA32" i="12"/>
  <c r="DA34" i="12"/>
  <c r="DB34" i="12" s="1"/>
  <c r="DC34" i="12" s="1"/>
  <c r="DA37" i="12"/>
  <c r="DB37" i="12" s="1"/>
  <c r="DC37" i="12" s="1"/>
  <c r="CU32" i="12"/>
  <c r="BW32" i="12"/>
  <c r="BW34" i="12"/>
  <c r="BX34" i="12" s="1"/>
  <c r="BY34" i="12" s="1"/>
  <c r="DA43" i="12"/>
  <c r="DA45" i="12"/>
  <c r="DB45" i="12" s="1"/>
  <c r="DC45" i="12" s="1"/>
  <c r="DA40" i="12"/>
  <c r="DA134" i="12" s="1"/>
  <c r="CZ48" i="12"/>
  <c r="CU40" i="12"/>
  <c r="CT48" i="12"/>
  <c r="CO40" i="12"/>
  <c r="CN48" i="12"/>
  <c r="CI40" i="12"/>
  <c r="CH48" i="12"/>
  <c r="CC40" i="12"/>
  <c r="CB48" i="12"/>
  <c r="CC43" i="12"/>
  <c r="BW40" i="12"/>
  <c r="BW134" i="12" s="1"/>
  <c r="BV48" i="12"/>
  <c r="CC44" i="12"/>
  <c r="CD44" i="12" s="1"/>
  <c r="BQ40" i="12"/>
  <c r="BP48" i="12"/>
  <c r="CT36" i="12"/>
  <c r="CT38" i="12" s="1"/>
  <c r="CN36" i="12"/>
  <c r="CN38" i="12" s="1"/>
  <c r="DA35" i="12"/>
  <c r="DA159" i="11" s="1"/>
  <c r="CZ159" i="11"/>
  <c r="CH36" i="12"/>
  <c r="CH38" i="12" s="1"/>
  <c r="CD34" i="12"/>
  <c r="CE34" i="12" s="1"/>
  <c r="BQ35" i="12"/>
  <c r="BQ159" i="11" s="1"/>
  <c r="BP159" i="11"/>
  <c r="CV45" i="12"/>
  <c r="CJ45" i="12"/>
  <c r="BX45" i="12"/>
  <c r="BW35" i="12"/>
  <c r="BW159" i="11" s="1"/>
  <c r="BV159" i="11"/>
  <c r="CP45" i="12"/>
  <c r="CD45" i="12"/>
  <c r="BR45" i="12"/>
  <c r="CD52" i="12"/>
  <c r="CE52" i="12" s="1"/>
  <c r="CO51" i="12"/>
  <c r="CP51" i="12" s="1"/>
  <c r="CI51" i="12"/>
  <c r="CJ51" i="12" s="1"/>
  <c r="CC51" i="12"/>
  <c r="CD51" i="12" s="1"/>
  <c r="BW51" i="12"/>
  <c r="BX51" i="12" s="1"/>
  <c r="BQ51" i="12"/>
  <c r="BR51" i="12" s="1"/>
  <c r="CU51" i="12"/>
  <c r="DA51" i="12"/>
  <c r="BQ41" i="12"/>
  <c r="BQ135" i="12" s="1"/>
  <c r="BQ44" i="12"/>
  <c r="BR44" i="12" s="1"/>
  <c r="BQ46" i="12"/>
  <c r="BR46" i="12" s="1"/>
  <c r="BW41" i="12"/>
  <c r="BW135" i="12" s="1"/>
  <c r="BW44" i="12"/>
  <c r="BX44" i="12" s="1"/>
  <c r="BW46" i="12"/>
  <c r="BX46" i="12" s="1"/>
  <c r="CD46" i="12"/>
  <c r="CI41" i="12"/>
  <c r="CI135" i="12" s="1"/>
  <c r="CI44" i="12"/>
  <c r="CJ44" i="12" s="1"/>
  <c r="CI46" i="12"/>
  <c r="CJ46" i="12" s="1"/>
  <c r="CO41" i="12"/>
  <c r="CO135" i="12" s="1"/>
  <c r="CO44" i="12"/>
  <c r="CP44" i="12" s="1"/>
  <c r="CO46" i="12"/>
  <c r="CP46" i="12" s="1"/>
  <c r="CU41" i="12"/>
  <c r="CU44" i="12"/>
  <c r="CU46" i="12"/>
  <c r="CV46" i="12" s="1"/>
  <c r="BR33" i="12"/>
  <c r="BS33" i="12" s="1"/>
  <c r="CZ36" i="12"/>
  <c r="CZ38" i="12" s="1"/>
  <c r="CU34" i="12"/>
  <c r="CV34" i="12" s="1"/>
  <c r="CW34" i="12" s="1"/>
  <c r="CO34" i="12"/>
  <c r="CP34" i="12" s="1"/>
  <c r="CI34" i="12"/>
  <c r="CJ34" i="12" s="1"/>
  <c r="CK34" i="12" s="1"/>
  <c r="BQ37" i="12"/>
  <c r="BR37" i="12" s="1"/>
  <c r="BS37" i="12" s="1"/>
  <c r="BR34" i="12"/>
  <c r="BP36" i="12"/>
  <c r="BP38" i="12" s="1"/>
  <c r="BW37" i="12"/>
  <c r="BX37" i="12" s="1"/>
  <c r="BY37" i="12" s="1"/>
  <c r="BX33" i="12"/>
  <c r="BY33" i="12" s="1"/>
  <c r="BV36" i="12"/>
  <c r="BV38" i="12" s="1"/>
  <c r="CC37" i="12"/>
  <c r="CD37" i="12" s="1"/>
  <c r="CB36" i="12"/>
  <c r="CB38" i="12" s="1"/>
  <c r="CC31" i="12"/>
  <c r="CC33" i="12"/>
  <c r="CD33" i="12" s="1"/>
  <c r="CC35" i="12"/>
  <c r="CC159" i="11" s="1"/>
  <c r="CI37" i="12"/>
  <c r="CJ37" i="12" s="1"/>
  <c r="CI31" i="12"/>
  <c r="CI33" i="12"/>
  <c r="CI35" i="12"/>
  <c r="CO37" i="12"/>
  <c r="CP37" i="12" s="1"/>
  <c r="CO31" i="12"/>
  <c r="CO33" i="12"/>
  <c r="CP33" i="12" s="1"/>
  <c r="CO35" i="12"/>
  <c r="CU37" i="12"/>
  <c r="CV37" i="12" s="1"/>
  <c r="CU31" i="12"/>
  <c r="CU33" i="12"/>
  <c r="CV33" i="12" s="1"/>
  <c r="CU35" i="12"/>
  <c r="CU159" i="11" s="1"/>
  <c r="CH12" i="12"/>
  <c r="CH27" i="12" s="1"/>
  <c r="CB12" i="12"/>
  <c r="CB27" i="12" s="1"/>
  <c r="CT12" i="12"/>
  <c r="CT27" i="12" s="1"/>
  <c r="CT76" i="12" s="1"/>
  <c r="CT69" i="12" s="1"/>
  <c r="CP24" i="12"/>
  <c r="CQ24" i="12" s="1"/>
  <c r="CJ10" i="12"/>
  <c r="CJ24" i="12"/>
  <c r="CK24" i="12" s="1"/>
  <c r="CD18" i="12"/>
  <c r="CE18" i="12" s="1"/>
  <c r="CD22" i="12"/>
  <c r="CE22" i="12" s="1"/>
  <c r="BR17" i="12"/>
  <c r="BS17" i="12" s="1"/>
  <c r="BR21" i="12"/>
  <c r="BS21" i="12" s="1"/>
  <c r="CV18" i="12"/>
  <c r="CW18" i="12" s="1"/>
  <c r="CP18" i="12"/>
  <c r="CQ18" i="12" s="1"/>
  <c r="CP22" i="12"/>
  <c r="CQ22" i="12" s="1"/>
  <c r="CJ18" i="12"/>
  <c r="CK18" i="12" s="1"/>
  <c r="CJ22" i="12"/>
  <c r="CK22" i="12" s="1"/>
  <c r="CJ28" i="12"/>
  <c r="CK28" i="12" s="1"/>
  <c r="CD10" i="12"/>
  <c r="CE10" i="12" s="1"/>
  <c r="CD24" i="12"/>
  <c r="CE24" i="12" s="1"/>
  <c r="BW10" i="12"/>
  <c r="BX10" i="12" s="1"/>
  <c r="BY10" i="12" s="1"/>
  <c r="BW16" i="12"/>
  <c r="BX18" i="12"/>
  <c r="BW20" i="12"/>
  <c r="BX22" i="12"/>
  <c r="BW24" i="12"/>
  <c r="BX24" i="12" s="1"/>
  <c r="BY24" i="12" s="1"/>
  <c r="BR10" i="12"/>
  <c r="BS10" i="12" s="1"/>
  <c r="BR15" i="12"/>
  <c r="BS15" i="12" s="1"/>
  <c r="BR19" i="12"/>
  <c r="BS19" i="12" s="1"/>
  <c r="BR23" i="12"/>
  <c r="BS23" i="12" s="1"/>
  <c r="BQ25" i="12"/>
  <c r="BR25" i="12" s="1"/>
  <c r="BS25" i="12" s="1"/>
  <c r="BQ28" i="12"/>
  <c r="BR28" i="12" s="1"/>
  <c r="BR18" i="12"/>
  <c r="BS18" i="12" s="1"/>
  <c r="BR20" i="12"/>
  <c r="BS20" i="12" s="1"/>
  <c r="BR22" i="12"/>
  <c r="BS22" i="12" s="1"/>
  <c r="BR24" i="12"/>
  <c r="BS24" i="12" s="1"/>
  <c r="BQ11" i="12"/>
  <c r="BR11" i="12" s="1"/>
  <c r="BS11" i="12" s="1"/>
  <c r="BP12" i="12"/>
  <c r="BP27" i="12" s="1"/>
  <c r="BW28" i="12"/>
  <c r="BX28" i="12" s="1"/>
  <c r="BW15" i="12"/>
  <c r="BX15" i="12" s="1"/>
  <c r="BW17" i="12"/>
  <c r="BX17" i="12" s="1"/>
  <c r="BW19" i="12"/>
  <c r="BX19" i="12" s="1"/>
  <c r="BW21" i="12"/>
  <c r="BX21" i="12" s="1"/>
  <c r="BW23" i="12"/>
  <c r="BX23" i="12" s="1"/>
  <c r="BW25" i="12"/>
  <c r="BX25" i="12" s="1"/>
  <c r="BV12" i="12"/>
  <c r="BV27" i="12" s="1"/>
  <c r="BW11" i="12"/>
  <c r="CC28" i="12"/>
  <c r="CD28" i="12" s="1"/>
  <c r="CC15" i="12"/>
  <c r="CD15" i="12" s="1"/>
  <c r="CE15" i="12" s="1"/>
  <c r="CC17" i="12"/>
  <c r="CD17" i="12" s="1"/>
  <c r="CC19" i="12"/>
  <c r="CD19" i="12" s="1"/>
  <c r="CE19" i="12" s="1"/>
  <c r="CC21" i="12"/>
  <c r="CD21" i="12" s="1"/>
  <c r="CC23" i="12"/>
  <c r="CD23" i="12" s="1"/>
  <c r="CE23" i="12" s="1"/>
  <c r="CC25" i="12"/>
  <c r="CD25" i="12" s="1"/>
  <c r="CC11" i="12"/>
  <c r="CD11" i="12" s="1"/>
  <c r="CE11" i="12" s="1"/>
  <c r="CI15" i="12"/>
  <c r="CJ15" i="12" s="1"/>
  <c r="CI17" i="12"/>
  <c r="CI19" i="12"/>
  <c r="CI21" i="12"/>
  <c r="CI23" i="12"/>
  <c r="CJ23" i="12" s="1"/>
  <c r="CI25" i="12"/>
  <c r="CI11" i="12"/>
  <c r="CJ11" i="12" s="1"/>
  <c r="CO28" i="12"/>
  <c r="CP28" i="12" s="1"/>
  <c r="CO15" i="12"/>
  <c r="CP15" i="12" s="1"/>
  <c r="CO17" i="12"/>
  <c r="CP17" i="12" s="1"/>
  <c r="CQ17" i="12" s="1"/>
  <c r="CO19" i="12"/>
  <c r="CP19" i="12" s="1"/>
  <c r="CO21" i="12"/>
  <c r="CP21" i="12" s="1"/>
  <c r="CQ21" i="12" s="1"/>
  <c r="CO23" i="12"/>
  <c r="CP23" i="12" s="1"/>
  <c r="CO25" i="12"/>
  <c r="CP25" i="12" s="1"/>
  <c r="CQ25" i="12" s="1"/>
  <c r="CP10" i="12"/>
  <c r="CQ10" i="12" s="1"/>
  <c r="CO11" i="12"/>
  <c r="CN12" i="12"/>
  <c r="CN27" i="12" s="1"/>
  <c r="CU28" i="12"/>
  <c r="CV28" i="12" s="1"/>
  <c r="CW19" i="12"/>
  <c r="CU23" i="12"/>
  <c r="CV23" i="12" s="1"/>
  <c r="CU25" i="12"/>
  <c r="CV25" i="12" s="1"/>
  <c r="CV10" i="12"/>
  <c r="CU12" i="12" l="1"/>
  <c r="CU27" i="12" s="1"/>
  <c r="CU76" i="12" s="1"/>
  <c r="CU69" i="12" s="1"/>
  <c r="DI94" i="12"/>
  <c r="DI96" i="12"/>
  <c r="DI92" i="12"/>
  <c r="BX40" i="12"/>
  <c r="BX134" i="12" s="1"/>
  <c r="CY131" i="12"/>
  <c r="DA27" i="12"/>
  <c r="DA76" i="12" s="1"/>
  <c r="DA61" i="12" s="1"/>
  <c r="BR31" i="12"/>
  <c r="CY55" i="12"/>
  <c r="DX94" i="12"/>
  <c r="DW84" i="12"/>
  <c r="BR14" i="12"/>
  <c r="BR35" i="12"/>
  <c r="BR159" i="11" s="1"/>
  <c r="BS159" i="11" s="1"/>
  <c r="BX31" i="12"/>
  <c r="CN29" i="12"/>
  <c r="CN76" i="12"/>
  <c r="CE16" i="12"/>
  <c r="CD123" i="12"/>
  <c r="CK20" i="12"/>
  <c r="CQ20" i="12"/>
  <c r="CP26" i="12"/>
  <c r="DA29" i="12"/>
  <c r="CH29" i="12"/>
  <c r="CH76" i="12"/>
  <c r="CD31" i="12"/>
  <c r="CP147" i="11"/>
  <c r="CU72" i="12"/>
  <c r="CV20" i="12"/>
  <c r="CU26" i="12"/>
  <c r="DB31" i="12"/>
  <c r="CT98" i="134"/>
  <c r="CZ98" i="134"/>
  <c r="CC26" i="12"/>
  <c r="CI123" i="12"/>
  <c r="CO26" i="12"/>
  <c r="CY61" i="12"/>
  <c r="CY69" i="12"/>
  <c r="BV29" i="12"/>
  <c r="BV76" i="12"/>
  <c r="BP29" i="12"/>
  <c r="BP76" i="12"/>
  <c r="BR16" i="12"/>
  <c r="BX20" i="12"/>
  <c r="BW26" i="12"/>
  <c r="BX16" i="12"/>
  <c r="CD20" i="12"/>
  <c r="CJ16" i="12"/>
  <c r="CQ16" i="12"/>
  <c r="CP123" i="12"/>
  <c r="CB29" i="12"/>
  <c r="CB76" i="12"/>
  <c r="CV31" i="12"/>
  <c r="CP31" i="12"/>
  <c r="CJ31" i="12"/>
  <c r="BR147" i="11"/>
  <c r="CV41" i="12"/>
  <c r="CV135" i="12" s="1"/>
  <c r="CU135" i="12"/>
  <c r="CD41" i="12"/>
  <c r="CD135" i="12" s="1"/>
  <c r="BX43" i="12"/>
  <c r="CJ43" i="12"/>
  <c r="CV43" i="12"/>
  <c r="BR40" i="12"/>
  <c r="BR134" i="12" s="1"/>
  <c r="BQ134" i="12"/>
  <c r="CD43" i="12"/>
  <c r="CD40" i="12"/>
  <c r="CD134" i="12" s="1"/>
  <c r="CC134" i="12"/>
  <c r="CJ40" i="12"/>
  <c r="CJ134" i="12" s="1"/>
  <c r="CI134" i="12"/>
  <c r="CP40" i="12"/>
  <c r="CP134" i="12" s="1"/>
  <c r="CO134" i="12"/>
  <c r="CV40" i="12"/>
  <c r="CV134" i="12" s="1"/>
  <c r="CU134" i="12"/>
  <c r="DB43" i="12"/>
  <c r="DA72" i="12"/>
  <c r="CV16" i="12"/>
  <c r="CU123" i="12"/>
  <c r="DB41" i="12"/>
  <c r="DA135" i="12"/>
  <c r="DB10" i="12"/>
  <c r="DC10" i="12" s="1"/>
  <c r="DB20" i="12"/>
  <c r="DA26" i="12"/>
  <c r="DB16" i="12"/>
  <c r="DA123" i="12"/>
  <c r="CZ29" i="12"/>
  <c r="CZ55" i="12" s="1"/>
  <c r="CZ76" i="12"/>
  <c r="BQ147" i="11"/>
  <c r="CC147" i="11"/>
  <c r="CO147" i="11"/>
  <c r="CI147" i="11"/>
  <c r="BO55" i="12"/>
  <c r="BU55" i="12"/>
  <c r="CA55" i="12"/>
  <c r="CG55" i="12"/>
  <c r="CM55" i="12"/>
  <c r="CC123" i="12"/>
  <c r="CI26" i="12"/>
  <c r="CO123" i="12"/>
  <c r="CY68" i="12"/>
  <c r="BS26" i="12"/>
  <c r="DO83" i="12"/>
  <c r="DK83" i="12"/>
  <c r="BS14" i="12"/>
  <c r="BS21" i="134" s="1"/>
  <c r="CE14" i="12"/>
  <c r="CE21" i="134" s="1"/>
  <c r="CK14" i="12"/>
  <c r="CK32" i="12"/>
  <c r="CJ147" i="11"/>
  <c r="CE32" i="12"/>
  <c r="CD147" i="11"/>
  <c r="CV32" i="12"/>
  <c r="CU147" i="11"/>
  <c r="CU21" i="134"/>
  <c r="DA21" i="134"/>
  <c r="CQ14" i="12"/>
  <c r="BX32" i="12"/>
  <c r="BW147" i="11"/>
  <c r="DB32" i="12"/>
  <c r="DA147" i="11"/>
  <c r="CV14" i="12"/>
  <c r="DB14" i="12"/>
  <c r="DA48" i="12"/>
  <c r="DB51" i="12"/>
  <c r="DC51" i="12" s="1"/>
  <c r="DB35" i="12"/>
  <c r="DB159" i="11" s="1"/>
  <c r="DC159" i="11" s="1"/>
  <c r="DB11" i="12"/>
  <c r="DC11" i="12" s="1"/>
  <c r="CV12" i="12"/>
  <c r="DB40" i="12"/>
  <c r="CV35" i="12"/>
  <c r="CV159" i="11" s="1"/>
  <c r="CW159" i="11" s="1"/>
  <c r="BQ48" i="12"/>
  <c r="BW48" i="12"/>
  <c r="CC48" i="12"/>
  <c r="CI48" i="12"/>
  <c r="CO48" i="12"/>
  <c r="CU48" i="12"/>
  <c r="BX35" i="12"/>
  <c r="BX159" i="11" s="1"/>
  <c r="CI36" i="12"/>
  <c r="CI38" i="12" s="1"/>
  <c r="CC36" i="12"/>
  <c r="CC38" i="12" s="1"/>
  <c r="BW36" i="12"/>
  <c r="BW38" i="12" s="1"/>
  <c r="CP35" i="12"/>
  <c r="CO159" i="11"/>
  <c r="CJ35" i="12"/>
  <c r="CJ159" i="11" s="1"/>
  <c r="CI159" i="11"/>
  <c r="DA36" i="12"/>
  <c r="DA38" i="12" s="1"/>
  <c r="CE51" i="12"/>
  <c r="CQ51" i="12"/>
  <c r="CV51" i="12"/>
  <c r="BR41" i="12"/>
  <c r="BX41" i="12"/>
  <c r="CJ41" i="12"/>
  <c r="CP41" i="12"/>
  <c r="CV44" i="12"/>
  <c r="CD35" i="12"/>
  <c r="BQ36" i="12"/>
  <c r="BS34" i="12"/>
  <c r="BS32" i="12"/>
  <c r="CE33" i="12"/>
  <c r="CE37" i="12"/>
  <c r="CJ33" i="12"/>
  <c r="CK33" i="12" s="1"/>
  <c r="CK37" i="12"/>
  <c r="CQ37" i="12"/>
  <c r="CQ33" i="12"/>
  <c r="CO36" i="12"/>
  <c r="CQ34" i="12"/>
  <c r="CQ32" i="12"/>
  <c r="CW37" i="12"/>
  <c r="CW33" i="12"/>
  <c r="CU36" i="12"/>
  <c r="CU38" i="12" s="1"/>
  <c r="BW12" i="12"/>
  <c r="BW27" i="12" s="1"/>
  <c r="CW10" i="12"/>
  <c r="BS28" i="12"/>
  <c r="BQ12" i="12"/>
  <c r="BQ27" i="12" s="1"/>
  <c r="BS12" i="12"/>
  <c r="BR12" i="12"/>
  <c r="BY28" i="12"/>
  <c r="BX11" i="12"/>
  <c r="BY25" i="12"/>
  <c r="BY23" i="12"/>
  <c r="BY21" i="12"/>
  <c r="BY19" i="12"/>
  <c r="BY17" i="12"/>
  <c r="BY15" i="12"/>
  <c r="BY22" i="12"/>
  <c r="BY18" i="12"/>
  <c r="CE25" i="12"/>
  <c r="CE21" i="12"/>
  <c r="CE17" i="12"/>
  <c r="CE12" i="12"/>
  <c r="CE28" i="12"/>
  <c r="CC12" i="12"/>
  <c r="CC27" i="12" s="1"/>
  <c r="CD12" i="12"/>
  <c r="CJ21" i="12"/>
  <c r="CK21" i="12" s="1"/>
  <c r="CK23" i="12"/>
  <c r="CK15" i="12"/>
  <c r="CJ19" i="12"/>
  <c r="CK19" i="12" s="1"/>
  <c r="CJ25" i="12"/>
  <c r="CK25" i="12" s="1"/>
  <c r="CJ17" i="12"/>
  <c r="CK17" i="12" s="1"/>
  <c r="CI12" i="12"/>
  <c r="CI27" i="12" s="1"/>
  <c r="CJ12" i="12"/>
  <c r="CK11" i="12"/>
  <c r="CK10" i="12"/>
  <c r="CQ23" i="12"/>
  <c r="CQ19" i="12"/>
  <c r="CQ15" i="12"/>
  <c r="CP11" i="12"/>
  <c r="CP12" i="12" s="1"/>
  <c r="CP27" i="12" s="1"/>
  <c r="CQ28" i="12"/>
  <c r="CO12" i="12"/>
  <c r="CO27" i="12" s="1"/>
  <c r="CW25" i="12"/>
  <c r="CW23" i="12"/>
  <c r="BS31" i="12" l="1"/>
  <c r="DC31" i="12"/>
  <c r="CB55" i="12"/>
  <c r="CQ31" i="12"/>
  <c r="CQ147" i="11"/>
  <c r="DX84" i="12"/>
  <c r="DY94" i="12"/>
  <c r="BY31" i="12"/>
  <c r="BS35" i="12"/>
  <c r="BP55" i="12"/>
  <c r="BS147" i="11"/>
  <c r="DB134" i="12"/>
  <c r="DB107" i="12"/>
  <c r="CV27" i="12"/>
  <c r="CV76" i="12" s="1"/>
  <c r="CV69" i="12" s="1"/>
  <c r="CW12" i="12"/>
  <c r="CW35" i="12"/>
  <c r="DA55" i="12"/>
  <c r="CN55" i="12"/>
  <c r="CV36" i="12"/>
  <c r="CV38" i="12" s="1"/>
  <c r="CD48" i="12"/>
  <c r="CV48" i="12"/>
  <c r="BX36" i="12"/>
  <c r="BY36" i="12" s="1"/>
  <c r="BY38" i="12" s="1"/>
  <c r="BR27" i="12"/>
  <c r="BR76" i="12" s="1"/>
  <c r="BV55" i="12"/>
  <c r="DC12" i="12"/>
  <c r="CI29" i="12"/>
  <c r="CI76" i="12"/>
  <c r="CK26" i="12"/>
  <c r="CC29" i="12"/>
  <c r="CC76" i="12"/>
  <c r="BQ29" i="12"/>
  <c r="BQ76" i="12"/>
  <c r="CJ48" i="12"/>
  <c r="CJ135" i="12"/>
  <c r="BR48" i="12"/>
  <c r="BR135" i="12"/>
  <c r="DB72" i="12"/>
  <c r="DA98" i="134"/>
  <c r="CU98" i="134"/>
  <c r="CV72" i="12"/>
  <c r="CZ68" i="12"/>
  <c r="DC41" i="12"/>
  <c r="DB135" i="12"/>
  <c r="CQ123" i="12"/>
  <c r="CD26" i="12"/>
  <c r="CE20" i="12"/>
  <c r="CE26" i="12" s="1"/>
  <c r="BY16" i="12"/>
  <c r="BY20" i="12"/>
  <c r="BY26" i="12" s="1"/>
  <c r="BX26" i="12"/>
  <c r="CW20" i="12"/>
  <c r="CW26" i="12" s="1"/>
  <c r="CV26" i="12"/>
  <c r="CH55" i="12"/>
  <c r="DA68" i="12"/>
  <c r="CO29" i="12"/>
  <c r="CO76" i="12"/>
  <c r="CP29" i="12"/>
  <c r="CP76" i="12"/>
  <c r="CD27" i="12"/>
  <c r="BW29" i="12"/>
  <c r="BW76" i="12"/>
  <c r="CE31" i="12"/>
  <c r="CP48" i="12"/>
  <c r="CP135" i="12"/>
  <c r="BX48" i="12"/>
  <c r="BX135" i="12"/>
  <c r="CE147" i="11"/>
  <c r="CK147" i="11"/>
  <c r="CZ61" i="12"/>
  <c r="CZ69" i="12"/>
  <c r="DC16" i="12"/>
  <c r="DB123" i="12"/>
  <c r="DC20" i="12"/>
  <c r="DB26" i="12"/>
  <c r="CW16" i="12"/>
  <c r="CV123" i="12"/>
  <c r="DC43" i="12"/>
  <c r="CK16" i="12"/>
  <c r="CJ123" i="12"/>
  <c r="BS16" i="12"/>
  <c r="CY62" i="12"/>
  <c r="CJ26" i="12"/>
  <c r="CE123" i="12"/>
  <c r="CZ151" i="11"/>
  <c r="CZ152" i="11" s="1"/>
  <c r="CN151" i="11"/>
  <c r="CN152" i="11" s="1"/>
  <c r="DK85" i="12"/>
  <c r="DK86" i="12"/>
  <c r="CQ26" i="12"/>
  <c r="CQ21" i="134"/>
  <c r="CK21" i="134"/>
  <c r="CV21" i="134"/>
  <c r="DC32" i="12"/>
  <c r="DB147" i="11"/>
  <c r="DB148" i="11" s="1"/>
  <c r="DL148" i="11" s="1"/>
  <c r="DM148" i="11" s="1"/>
  <c r="DN148" i="11" s="1"/>
  <c r="DR148" i="11" s="1"/>
  <c r="DS148" i="11" s="1"/>
  <c r="DT148" i="11" s="1"/>
  <c r="BY32" i="12"/>
  <c r="BX147" i="11"/>
  <c r="BY147" i="11" s="1"/>
  <c r="CU148" i="11"/>
  <c r="DB21" i="134"/>
  <c r="DA148" i="11"/>
  <c r="CW32" i="12"/>
  <c r="CV147" i="11"/>
  <c r="CV148" i="11" s="1"/>
  <c r="DC14" i="12"/>
  <c r="CW14" i="12"/>
  <c r="DC40" i="12"/>
  <c r="DB48" i="12"/>
  <c r="DB12" i="12"/>
  <c r="DB27" i="12" s="1"/>
  <c r="DC35" i="12"/>
  <c r="DB36" i="12"/>
  <c r="DB38" i="12" s="1"/>
  <c r="CK35" i="12"/>
  <c r="CK159" i="11" s="1"/>
  <c r="BY35" i="12"/>
  <c r="BY159" i="11" s="1"/>
  <c r="CJ36" i="12"/>
  <c r="CJ38" i="12" s="1"/>
  <c r="CD36" i="12"/>
  <c r="CD38" i="12" s="1"/>
  <c r="CD159" i="11"/>
  <c r="CQ35" i="12"/>
  <c r="CP159" i="11"/>
  <c r="CQ159" i="11" s="1"/>
  <c r="BS51" i="12"/>
  <c r="BY51" i="12"/>
  <c r="CK51" i="12"/>
  <c r="CW51" i="12"/>
  <c r="CE35" i="12"/>
  <c r="CE159" i="11" s="1"/>
  <c r="BQ38" i="12"/>
  <c r="BQ55" i="12" s="1"/>
  <c r="BR36" i="12"/>
  <c r="BR38" i="12" s="1"/>
  <c r="CK31" i="12"/>
  <c r="CO38" i="12"/>
  <c r="CP36" i="12"/>
  <c r="CP38" i="12" s="1"/>
  <c r="CW31" i="12"/>
  <c r="CJ27" i="12"/>
  <c r="CQ11" i="12"/>
  <c r="CQ12" i="12" s="1"/>
  <c r="CQ27" i="12" s="1"/>
  <c r="BX12" i="12"/>
  <c r="BX27" i="12" s="1"/>
  <c r="BY11" i="12"/>
  <c r="BY12" i="12" s="1"/>
  <c r="BY14" i="12"/>
  <c r="BY21" i="134" s="1"/>
  <c r="CK12" i="12"/>
  <c r="CE27" i="12" l="1"/>
  <c r="CE29" i="12" s="1"/>
  <c r="BX38" i="12"/>
  <c r="BS27" i="12"/>
  <c r="BS76" i="12" s="1"/>
  <c r="BR29" i="12"/>
  <c r="DW147" i="11"/>
  <c r="DZ94" i="12"/>
  <c r="EC94" i="12" s="1"/>
  <c r="DY84" i="12"/>
  <c r="DC135" i="12"/>
  <c r="DK88" i="12"/>
  <c r="DL83" i="12" s="1"/>
  <c r="DL86" i="12" s="1"/>
  <c r="CO55" i="12"/>
  <c r="BX29" i="12"/>
  <c r="BX76" i="12"/>
  <c r="DB29" i="12"/>
  <c r="DB55" i="12" s="1"/>
  <c r="DB76" i="12"/>
  <c r="CV98" i="134"/>
  <c r="CK22" i="134"/>
  <c r="CK123" i="12"/>
  <c r="DC26" i="12"/>
  <c r="CD29" i="12"/>
  <c r="CD76" i="12"/>
  <c r="BY123" i="12"/>
  <c r="CI55" i="12"/>
  <c r="CK27" i="12"/>
  <c r="CK76" i="12" s="1"/>
  <c r="CJ29" i="12"/>
  <c r="CJ76" i="12"/>
  <c r="CP55" i="12"/>
  <c r="BW55" i="12"/>
  <c r="DB98" i="134"/>
  <c r="CW123" i="12"/>
  <c r="DC123" i="12"/>
  <c r="CZ62" i="12"/>
  <c r="CC55" i="12"/>
  <c r="BR151" i="11"/>
  <c r="BR152" i="11" s="1"/>
  <c r="DA151" i="11"/>
  <c r="DA152" i="11" s="1"/>
  <c r="DK96" i="12"/>
  <c r="DC48" i="12"/>
  <c r="DC134" i="12"/>
  <c r="CQ29" i="12"/>
  <c r="CQ76" i="12"/>
  <c r="DC147" i="11"/>
  <c r="CW147" i="11"/>
  <c r="DC27" i="12"/>
  <c r="CK36" i="12"/>
  <c r="CK38" i="12" s="1"/>
  <c r="DC36" i="12"/>
  <c r="DC38" i="12" s="1"/>
  <c r="CE36" i="12"/>
  <c r="CE38" i="12" s="1"/>
  <c r="BS36" i="12"/>
  <c r="BS38" i="12" s="1"/>
  <c r="CQ36" i="12"/>
  <c r="CQ38" i="12" s="1"/>
  <c r="BY27" i="12"/>
  <c r="CE76" i="12" l="1"/>
  <c r="DB61" i="12"/>
  <c r="ED94" i="12"/>
  <c r="EC84" i="12"/>
  <c r="DZ84" i="12"/>
  <c r="EA84" i="12" s="1"/>
  <c r="DL85" i="12"/>
  <c r="DL96" i="12" s="1"/>
  <c r="BS29" i="12"/>
  <c r="CK29" i="12"/>
  <c r="BR55" i="12"/>
  <c r="DX147" i="11"/>
  <c r="DX32" i="12" s="1"/>
  <c r="DW32" i="12"/>
  <c r="BX55" i="12"/>
  <c r="DB68" i="12"/>
  <c r="CK58" i="134"/>
  <c r="CJ55" i="12"/>
  <c r="CD55" i="12"/>
  <c r="DB151" i="11"/>
  <c r="DB152" i="11" s="1"/>
  <c r="BY29" i="12"/>
  <c r="BY76" i="12"/>
  <c r="DC29" i="12"/>
  <c r="DC55" i="12" s="1"/>
  <c r="DC76" i="12"/>
  <c r="CQ29" i="135"/>
  <c r="CQ25" i="135"/>
  <c r="CQ24" i="135"/>
  <c r="CQ22" i="135"/>
  <c r="CQ21" i="135"/>
  <c r="CQ20" i="135"/>
  <c r="CQ19" i="135"/>
  <c r="CQ18" i="135"/>
  <c r="CQ17" i="135"/>
  <c r="CQ16" i="135"/>
  <c r="CQ15" i="135"/>
  <c r="CQ14" i="135"/>
  <c r="DN7" i="135"/>
  <c r="DT7" i="135" s="1"/>
  <c r="DZ7" i="135" s="1"/>
  <c r="EF7" i="135" s="1"/>
  <c r="DM7" i="135"/>
  <c r="DS7" i="135" s="1"/>
  <c r="DY7" i="135" s="1"/>
  <c r="EE7" i="135" s="1"/>
  <c r="DL7" i="135"/>
  <c r="DR7" i="135" s="1"/>
  <c r="DX7" i="135" s="1"/>
  <c r="ED7" i="135" s="1"/>
  <c r="DK7" i="135"/>
  <c r="DQ7" i="135" s="1"/>
  <c r="DW7" i="135" s="1"/>
  <c r="EC7" i="135" s="1"/>
  <c r="S7" i="135"/>
  <c r="T7" i="135" s="1"/>
  <c r="U7" i="135" s="1"/>
  <c r="V7" i="135" s="1"/>
  <c r="N7" i="135"/>
  <c r="O7" i="135" s="1"/>
  <c r="P7" i="135" s="1"/>
  <c r="S6" i="135"/>
  <c r="Y6" i="135" s="1"/>
  <c r="AE6" i="135" s="1"/>
  <c r="AK6" i="135" s="1"/>
  <c r="AQ6" i="135" s="1"/>
  <c r="AW6" i="135" s="1"/>
  <c r="BC6" i="135" s="1"/>
  <c r="BI6" i="135" s="1"/>
  <c r="BO6" i="135" s="1"/>
  <c r="BU6" i="135" s="1"/>
  <c r="CA6" i="135" s="1"/>
  <c r="CG6" i="135" s="1"/>
  <c r="CM6" i="135" s="1"/>
  <c r="CS6" i="135" s="1"/>
  <c r="CY6" i="135" s="1"/>
  <c r="DE6" i="135" s="1"/>
  <c r="DK6" i="135" s="1"/>
  <c r="DQ6" i="135" s="1"/>
  <c r="DW6" i="135" s="1"/>
  <c r="EC6" i="135" s="1"/>
  <c r="Q6" i="135"/>
  <c r="W6" i="135" s="1"/>
  <c r="AC6" i="135" s="1"/>
  <c r="AI6" i="135" s="1"/>
  <c r="AO6" i="135" s="1"/>
  <c r="AU6" i="135" s="1"/>
  <c r="BA6" i="135" s="1"/>
  <c r="BG6" i="135" s="1"/>
  <c r="BM6" i="135" s="1"/>
  <c r="BS6" i="135" s="1"/>
  <c r="BY6" i="135" s="1"/>
  <c r="CE6" i="135" s="1"/>
  <c r="CK6" i="135" s="1"/>
  <c r="CQ6" i="135" s="1"/>
  <c r="CW6" i="135" s="1"/>
  <c r="DC6" i="135" s="1"/>
  <c r="DI6" i="135" s="1"/>
  <c r="DO6" i="135" s="1"/>
  <c r="DU6" i="135" s="1"/>
  <c r="EA6" i="135" s="1"/>
  <c r="EG6" i="135" s="1"/>
  <c r="K6" i="135"/>
  <c r="DC61" i="12" l="1"/>
  <c r="EE94" i="12"/>
  <c r="ED84" i="12"/>
  <c r="DL88" i="12"/>
  <c r="DM83" i="12" s="1"/>
  <c r="DM86" i="12" s="1"/>
  <c r="DZ147" i="11"/>
  <c r="DZ32" i="12" s="1"/>
  <c r="DY147" i="11"/>
  <c r="DW72" i="12"/>
  <c r="DW36" i="12"/>
  <c r="DX72" i="12"/>
  <c r="DX36" i="12"/>
  <c r="DX38" i="12" s="1"/>
  <c r="Y7" i="135"/>
  <c r="CV69" i="135"/>
  <c r="CU69" i="135"/>
  <c r="CT69" i="135"/>
  <c r="CS69" i="135"/>
  <c r="CV66" i="135"/>
  <c r="CU66" i="135"/>
  <c r="CT66" i="135"/>
  <c r="CS66" i="135"/>
  <c r="DA53" i="135"/>
  <c r="DA62" i="135" s="1"/>
  <c r="DB63" i="135" s="1"/>
  <c r="CZ53" i="135"/>
  <c r="CZ62" i="135" s="1"/>
  <c r="CZ64" i="135" s="1"/>
  <c r="CY53" i="135"/>
  <c r="CV53" i="135"/>
  <c r="CV54" i="135" s="1"/>
  <c r="CU53" i="135"/>
  <c r="CU54" i="135" s="1"/>
  <c r="CT53" i="135"/>
  <c r="CT54" i="135" s="1"/>
  <c r="CP53" i="135"/>
  <c r="CP54" i="135" s="1"/>
  <c r="CO53" i="135"/>
  <c r="CO54" i="135" s="1"/>
  <c r="CN53" i="135"/>
  <c r="CN54" i="135" s="1"/>
  <c r="CM53" i="135"/>
  <c r="CM54" i="135" s="1"/>
  <c r="CS53" i="135"/>
  <c r="CS54" i="135" s="1"/>
  <c r="DA58" i="135"/>
  <c r="CZ58" i="135"/>
  <c r="CY58" i="135"/>
  <c r="CV58" i="135"/>
  <c r="CU58" i="135"/>
  <c r="CT58" i="135"/>
  <c r="CS58" i="135"/>
  <c r="DF51" i="135"/>
  <c r="DF50" i="135"/>
  <c r="DF49" i="135"/>
  <c r="DF48" i="135"/>
  <c r="DF47" i="135"/>
  <c r="DF46" i="135"/>
  <c r="DF33" i="135"/>
  <c r="DF21" i="135"/>
  <c r="DF17" i="135"/>
  <c r="DF15" i="135"/>
  <c r="DF12" i="135"/>
  <c r="EF94" i="12" l="1"/>
  <c r="EF84" i="12" s="1"/>
  <c r="EE84" i="12"/>
  <c r="DM85" i="12"/>
  <c r="DM88" i="12" s="1"/>
  <c r="DN83" i="12" s="1"/>
  <c r="DN86" i="12" s="1"/>
  <c r="DO86" i="12" s="1"/>
  <c r="DO93" i="12" s="1"/>
  <c r="DW38" i="12"/>
  <c r="DY32" i="12"/>
  <c r="EA147" i="11"/>
  <c r="EA148" i="11" s="1"/>
  <c r="DZ72" i="12"/>
  <c r="DZ36" i="12"/>
  <c r="DZ38" i="12" s="1"/>
  <c r="CS71" i="135"/>
  <c r="CS73" i="135"/>
  <c r="CU71" i="135"/>
  <c r="CU73" i="135"/>
  <c r="CT71" i="135"/>
  <c r="CT73" i="135"/>
  <c r="CV71" i="135"/>
  <c r="CV73" i="135"/>
  <c r="CY76" i="135"/>
  <c r="CY54" i="135"/>
  <c r="CZ76" i="135"/>
  <c r="CZ54" i="135"/>
  <c r="DA76" i="135"/>
  <c r="DA54" i="135"/>
  <c r="DI29" i="135"/>
  <c r="Z7" i="135"/>
  <c r="AA7" i="135" s="1"/>
  <c r="AB7" i="135" s="1"/>
  <c r="AE7" i="135"/>
  <c r="CW66" i="135"/>
  <c r="DC67" i="135"/>
  <c r="DA63" i="135"/>
  <c r="DA64" i="135"/>
  <c r="CM62" i="135"/>
  <c r="CM64" i="135" s="1"/>
  <c r="CO62" i="135"/>
  <c r="CO64" i="135" s="1"/>
  <c r="CT62" i="135"/>
  <c r="CV62" i="135"/>
  <c r="CV64" i="135" s="1"/>
  <c r="CY62" i="135"/>
  <c r="CN62" i="135"/>
  <c r="CN64" i="135" s="1"/>
  <c r="CP62" i="135"/>
  <c r="CP64" i="135" s="1"/>
  <c r="CS62" i="135"/>
  <c r="CS64" i="135" s="1"/>
  <c r="CU62" i="135"/>
  <c r="DK48" i="135"/>
  <c r="DL48" i="135" s="1"/>
  <c r="DM48" i="135" s="1"/>
  <c r="DN48" i="135" s="1"/>
  <c r="DI48" i="135"/>
  <c r="DI49" i="135"/>
  <c r="DK49" i="135"/>
  <c r="DL49" i="135" s="1"/>
  <c r="DM49" i="135" s="1"/>
  <c r="DN49" i="135" s="1"/>
  <c r="DK46" i="135"/>
  <c r="DI46" i="135"/>
  <c r="DI47" i="135"/>
  <c r="DK47" i="135"/>
  <c r="DL47" i="135" s="1"/>
  <c r="DM47" i="135" s="1"/>
  <c r="DN47" i="135" s="1"/>
  <c r="DK50" i="135"/>
  <c r="DL50" i="135" s="1"/>
  <c r="DM50" i="135" s="1"/>
  <c r="DN50" i="135" s="1"/>
  <c r="DI50" i="135"/>
  <c r="DI51" i="135"/>
  <c r="DK51" i="135"/>
  <c r="DL51" i="135" s="1"/>
  <c r="DM51" i="135" s="1"/>
  <c r="DN51" i="135" s="1"/>
  <c r="DI43" i="135"/>
  <c r="DK43" i="135"/>
  <c r="DL43" i="135" s="1"/>
  <c r="DM43" i="135" s="1"/>
  <c r="DN43" i="135" s="1"/>
  <c r="DI40" i="135"/>
  <c r="DK40" i="135"/>
  <c r="DK34" i="135"/>
  <c r="DL34" i="135" s="1"/>
  <c r="DM34" i="135" s="1"/>
  <c r="DN34" i="135" s="1"/>
  <c r="DI34" i="135"/>
  <c r="DI35" i="135"/>
  <c r="DK35" i="135"/>
  <c r="DL35" i="135" s="1"/>
  <c r="DM35" i="135" s="1"/>
  <c r="DN35" i="135" s="1"/>
  <c r="DI33" i="135"/>
  <c r="DK33" i="135"/>
  <c r="DK36" i="135"/>
  <c r="DL36" i="135" s="1"/>
  <c r="DM36" i="135" s="1"/>
  <c r="DN36" i="135" s="1"/>
  <c r="DI36" i="135"/>
  <c r="DI37" i="135"/>
  <c r="DK37" i="135"/>
  <c r="DL37" i="135" s="1"/>
  <c r="DM37" i="135" s="1"/>
  <c r="DN37" i="135" s="1"/>
  <c r="DK12" i="135"/>
  <c r="DL12" i="135" s="1"/>
  <c r="DM12" i="135" s="1"/>
  <c r="DN12" i="135" s="1"/>
  <c r="DI12" i="135"/>
  <c r="DI13" i="135"/>
  <c r="DK13" i="135"/>
  <c r="DI17" i="135"/>
  <c r="DK17" i="135"/>
  <c r="DL17" i="135" s="1"/>
  <c r="DM17" i="135" s="1"/>
  <c r="DN17" i="135" s="1"/>
  <c r="DI19" i="135"/>
  <c r="DK19" i="135"/>
  <c r="DL19" i="135" s="1"/>
  <c r="DM19" i="135" s="1"/>
  <c r="DN19" i="135" s="1"/>
  <c r="DI24" i="135"/>
  <c r="DK24" i="135"/>
  <c r="DL24" i="135" s="1"/>
  <c r="DM24" i="135" s="1"/>
  <c r="DN24" i="135" s="1"/>
  <c r="DI21" i="135"/>
  <c r="DK21" i="135"/>
  <c r="DL21" i="135" s="1"/>
  <c r="DM21" i="135" s="1"/>
  <c r="DN21" i="135" s="1"/>
  <c r="EG84" i="12" l="1"/>
  <c r="DM96" i="12"/>
  <c r="DN85" i="12"/>
  <c r="DN96" i="12" s="1"/>
  <c r="DY36" i="12"/>
  <c r="DY72" i="12"/>
  <c r="EA32" i="12"/>
  <c r="DI14" i="135"/>
  <c r="DK14" i="135"/>
  <c r="DL14" i="135" s="1"/>
  <c r="DM14" i="135" s="1"/>
  <c r="DN14" i="135" s="1"/>
  <c r="DO14" i="135" s="1"/>
  <c r="DK29" i="135"/>
  <c r="DL29" i="135" s="1"/>
  <c r="DM29" i="135" s="1"/>
  <c r="DN29" i="135" s="1"/>
  <c r="DQ29" i="135" s="1"/>
  <c r="DR29" i="135" s="1"/>
  <c r="DS29" i="135" s="1"/>
  <c r="DT29" i="135" s="1"/>
  <c r="DE53" i="135"/>
  <c r="DE76" i="135" s="1"/>
  <c r="AF7" i="135"/>
  <c r="AG7" i="135" s="1"/>
  <c r="AH7" i="135" s="1"/>
  <c r="AK7" i="135"/>
  <c r="CU63" i="135"/>
  <c r="CU64" i="135"/>
  <c r="CY63" i="135"/>
  <c r="CY64" i="135"/>
  <c r="CT63" i="135"/>
  <c r="CT64" i="135"/>
  <c r="DL46" i="135"/>
  <c r="CZ63" i="135"/>
  <c r="DF11" i="135"/>
  <c r="CS63" i="135"/>
  <c r="CV63" i="135"/>
  <c r="DL40" i="135"/>
  <c r="DL33" i="135"/>
  <c r="DL13" i="135"/>
  <c r="DQ51" i="135"/>
  <c r="DR51" i="135" s="1"/>
  <c r="DS51" i="135" s="1"/>
  <c r="DT51" i="135" s="1"/>
  <c r="DO51" i="135"/>
  <c r="DQ47" i="135"/>
  <c r="DR47" i="135" s="1"/>
  <c r="DS47" i="135" s="1"/>
  <c r="DT47" i="135" s="1"/>
  <c r="DO47" i="135"/>
  <c r="DQ49" i="135"/>
  <c r="DR49" i="135" s="1"/>
  <c r="DS49" i="135" s="1"/>
  <c r="DT49" i="135" s="1"/>
  <c r="DO49" i="135"/>
  <c r="DO50" i="135"/>
  <c r="DQ50" i="135"/>
  <c r="DR50" i="135" s="1"/>
  <c r="DS50" i="135" s="1"/>
  <c r="DT50" i="135" s="1"/>
  <c r="DO48" i="135"/>
  <c r="DQ48" i="135"/>
  <c r="DR48" i="135" s="1"/>
  <c r="DS48" i="135" s="1"/>
  <c r="DT48" i="135" s="1"/>
  <c r="DQ43" i="135"/>
  <c r="DR43" i="135" s="1"/>
  <c r="DS43" i="135" s="1"/>
  <c r="DT43" i="135" s="1"/>
  <c r="DO43" i="135"/>
  <c r="DK41" i="135"/>
  <c r="DL41" i="135" s="1"/>
  <c r="DM41" i="135" s="1"/>
  <c r="DN41" i="135" s="1"/>
  <c r="DI41" i="135"/>
  <c r="DQ37" i="135"/>
  <c r="DR37" i="135" s="1"/>
  <c r="DS37" i="135" s="1"/>
  <c r="DT37" i="135" s="1"/>
  <c r="DO37" i="135"/>
  <c r="DQ35" i="135"/>
  <c r="DR35" i="135" s="1"/>
  <c r="DS35" i="135" s="1"/>
  <c r="DT35" i="135" s="1"/>
  <c r="DO35" i="135"/>
  <c r="DO36" i="135"/>
  <c r="DQ36" i="135"/>
  <c r="DR36" i="135" s="1"/>
  <c r="DS36" i="135" s="1"/>
  <c r="DT36" i="135" s="1"/>
  <c r="DO34" i="135"/>
  <c r="DQ34" i="135"/>
  <c r="DR34" i="135" s="1"/>
  <c r="DS34" i="135" s="1"/>
  <c r="DT34" i="135" s="1"/>
  <c r="DK25" i="135"/>
  <c r="DL25" i="135" s="1"/>
  <c r="DI25" i="135"/>
  <c r="DK20" i="135"/>
  <c r="DL20" i="135" s="1"/>
  <c r="DM20" i="135" s="1"/>
  <c r="DN20" i="135" s="1"/>
  <c r="DI20" i="135"/>
  <c r="DK16" i="135"/>
  <c r="DL16" i="135" s="1"/>
  <c r="DM16" i="135" s="1"/>
  <c r="DN16" i="135" s="1"/>
  <c r="DQ16" i="135" s="1"/>
  <c r="DI16" i="135"/>
  <c r="DQ17" i="135"/>
  <c r="DR17" i="135" s="1"/>
  <c r="DS17" i="135" s="1"/>
  <c r="DT17" i="135" s="1"/>
  <c r="DO17" i="135"/>
  <c r="DK22" i="135"/>
  <c r="DL22" i="135" s="1"/>
  <c r="DM22" i="135" s="1"/>
  <c r="DN22" i="135" s="1"/>
  <c r="DI22" i="135"/>
  <c r="DQ21" i="135"/>
  <c r="DR21" i="135" s="1"/>
  <c r="DS21" i="135" s="1"/>
  <c r="DT21" i="135" s="1"/>
  <c r="DO21" i="135"/>
  <c r="DQ24" i="135"/>
  <c r="DR24" i="135" s="1"/>
  <c r="DS24" i="135" s="1"/>
  <c r="DT24" i="135" s="1"/>
  <c r="DO24" i="135"/>
  <c r="DQ19" i="135"/>
  <c r="DR19" i="135" s="1"/>
  <c r="DS19" i="135" s="1"/>
  <c r="DT19" i="135" s="1"/>
  <c r="DO19" i="135"/>
  <c r="DK18" i="135"/>
  <c r="DL18" i="135" s="1"/>
  <c r="DM18" i="135" s="1"/>
  <c r="DN18" i="135" s="1"/>
  <c r="DI18" i="135"/>
  <c r="DO12" i="135"/>
  <c r="DQ12" i="135"/>
  <c r="DR12" i="135" s="1"/>
  <c r="DS12" i="135" s="1"/>
  <c r="DT12" i="135" s="1"/>
  <c r="DN88" i="12" l="1"/>
  <c r="DF53" i="135"/>
  <c r="DF66" i="135"/>
  <c r="DI66" i="135" s="1"/>
  <c r="DO85" i="12"/>
  <c r="DO94" i="12" s="1"/>
  <c r="EA72" i="12"/>
  <c r="DY38" i="12"/>
  <c r="EA36" i="12"/>
  <c r="EA38" i="12" s="1"/>
  <c r="DK15" i="135"/>
  <c r="DL15" i="135" s="1"/>
  <c r="DM15" i="135" s="1"/>
  <c r="DN15" i="135" s="1"/>
  <c r="DI15" i="135"/>
  <c r="DU50" i="135"/>
  <c r="DW50" i="135"/>
  <c r="DX50" i="135" s="1"/>
  <c r="DY50" i="135" s="1"/>
  <c r="DZ50" i="135" s="1"/>
  <c r="DU37" i="135"/>
  <c r="DW37" i="135"/>
  <c r="DX37" i="135" s="1"/>
  <c r="DY37" i="135" s="1"/>
  <c r="DZ37" i="135" s="1"/>
  <c r="DU17" i="135"/>
  <c r="DW17" i="135"/>
  <c r="DX17" i="135" s="1"/>
  <c r="DY17" i="135" s="1"/>
  <c r="DZ17" i="135" s="1"/>
  <c r="DU49" i="135"/>
  <c r="DW49" i="135"/>
  <c r="DX49" i="135" s="1"/>
  <c r="DY49" i="135" s="1"/>
  <c r="DZ49" i="135" s="1"/>
  <c r="DU51" i="135"/>
  <c r="DW51" i="135"/>
  <c r="DX51" i="135" s="1"/>
  <c r="DY51" i="135" s="1"/>
  <c r="DZ51" i="135" s="1"/>
  <c r="DU19" i="135"/>
  <c r="DW19" i="135"/>
  <c r="DX19" i="135" s="1"/>
  <c r="DY19" i="135" s="1"/>
  <c r="DZ19" i="135" s="1"/>
  <c r="DU12" i="135"/>
  <c r="DW12" i="135"/>
  <c r="DX12" i="135" s="1"/>
  <c r="DY12" i="135" s="1"/>
  <c r="DZ12" i="135" s="1"/>
  <c r="DU36" i="135"/>
  <c r="DW36" i="135"/>
  <c r="DX36" i="135" s="1"/>
  <c r="DY36" i="135" s="1"/>
  <c r="DZ36" i="135" s="1"/>
  <c r="DU35" i="135"/>
  <c r="DW35" i="135"/>
  <c r="DX35" i="135" s="1"/>
  <c r="DY35" i="135" s="1"/>
  <c r="DZ35" i="135" s="1"/>
  <c r="DU24" i="135"/>
  <c r="DW24" i="135"/>
  <c r="DX24" i="135" s="1"/>
  <c r="DY24" i="135" s="1"/>
  <c r="DZ24" i="135" s="1"/>
  <c r="DU43" i="135"/>
  <c r="DW43" i="135"/>
  <c r="DX43" i="135" s="1"/>
  <c r="DY43" i="135" s="1"/>
  <c r="DZ43" i="135" s="1"/>
  <c r="DU47" i="135"/>
  <c r="DW47" i="135"/>
  <c r="DX47" i="135" s="1"/>
  <c r="DY47" i="135" s="1"/>
  <c r="DZ47" i="135" s="1"/>
  <c r="DU29" i="135"/>
  <c r="DW29" i="135"/>
  <c r="DX29" i="135" s="1"/>
  <c r="DY29" i="135" s="1"/>
  <c r="DZ29" i="135" s="1"/>
  <c r="DU34" i="135"/>
  <c r="DW34" i="135"/>
  <c r="DX34" i="135" s="1"/>
  <c r="DY34" i="135" s="1"/>
  <c r="DZ34" i="135" s="1"/>
  <c r="DU21" i="135"/>
  <c r="DW21" i="135"/>
  <c r="DX21" i="135" s="1"/>
  <c r="DY21" i="135" s="1"/>
  <c r="DZ21" i="135" s="1"/>
  <c r="DU48" i="135"/>
  <c r="DW48" i="135"/>
  <c r="DX48" i="135" s="1"/>
  <c r="DY48" i="135" s="1"/>
  <c r="DZ48" i="135" s="1"/>
  <c r="DQ14" i="135"/>
  <c r="DR14" i="135" s="1"/>
  <c r="DS14" i="135" s="1"/>
  <c r="DT14" i="135" s="1"/>
  <c r="DO29" i="135"/>
  <c r="DM25" i="135"/>
  <c r="DN25" i="135" s="1"/>
  <c r="DE62" i="135"/>
  <c r="DF76" i="135"/>
  <c r="AL7" i="135"/>
  <c r="AM7" i="135" s="1"/>
  <c r="AN7" i="135" s="1"/>
  <c r="AQ7" i="135"/>
  <c r="DM40" i="135"/>
  <c r="DG53" i="135"/>
  <c r="DG76" i="135" s="1"/>
  <c r="DM46" i="135"/>
  <c r="DM33" i="135"/>
  <c r="DM13" i="135"/>
  <c r="DO41" i="135"/>
  <c r="DQ41" i="135"/>
  <c r="DR41" i="135" s="1"/>
  <c r="DS41" i="135" s="1"/>
  <c r="DT41" i="135" s="1"/>
  <c r="DO18" i="135"/>
  <c r="DQ18" i="135"/>
  <c r="DR18" i="135" s="1"/>
  <c r="DS18" i="135" s="1"/>
  <c r="DT18" i="135" s="1"/>
  <c r="DO22" i="135"/>
  <c r="DQ22" i="135"/>
  <c r="DR22" i="135" s="1"/>
  <c r="DS22" i="135" s="1"/>
  <c r="DT22" i="135" s="1"/>
  <c r="DO16" i="135"/>
  <c r="DR16" i="135"/>
  <c r="DS16" i="135" s="1"/>
  <c r="DT16" i="135" s="1"/>
  <c r="DO20" i="135"/>
  <c r="DQ20" i="135"/>
  <c r="DR20" i="135" s="1"/>
  <c r="DS20" i="135" s="1"/>
  <c r="DT20" i="135" s="1"/>
  <c r="DO96" i="12" l="1"/>
  <c r="DO88" i="12"/>
  <c r="DU83" i="12" s="1"/>
  <c r="EA43" i="135"/>
  <c r="EC43" i="135"/>
  <c r="ED43" i="135" s="1"/>
  <c r="EE43" i="135" s="1"/>
  <c r="EF43" i="135" s="1"/>
  <c r="EG43" i="135" s="1"/>
  <c r="EA34" i="135"/>
  <c r="EC34" i="135"/>
  <c r="ED34" i="135" s="1"/>
  <c r="EE34" i="135" s="1"/>
  <c r="EF34" i="135" s="1"/>
  <c r="EG34" i="135" s="1"/>
  <c r="EA37" i="135"/>
  <c r="EC37" i="135"/>
  <c r="ED37" i="135" s="1"/>
  <c r="EE37" i="135" s="1"/>
  <c r="EF37" i="135" s="1"/>
  <c r="EG37" i="135" s="1"/>
  <c r="EA35" i="135"/>
  <c r="EC35" i="135"/>
  <c r="ED35" i="135" s="1"/>
  <c r="EE35" i="135" s="1"/>
  <c r="EF35" i="135" s="1"/>
  <c r="EG35" i="135" s="1"/>
  <c r="EA51" i="135"/>
  <c r="EC51" i="135"/>
  <c r="ED51" i="135" s="1"/>
  <c r="EE51" i="135" s="1"/>
  <c r="EF51" i="135" s="1"/>
  <c r="EG51" i="135" s="1"/>
  <c r="EA50" i="135"/>
  <c r="EC50" i="135"/>
  <c r="ED50" i="135" s="1"/>
  <c r="EE50" i="135" s="1"/>
  <c r="EF50" i="135" s="1"/>
  <c r="EG50" i="135" s="1"/>
  <c r="EA12" i="135"/>
  <c r="EC12" i="135"/>
  <c r="ED12" i="135" s="1"/>
  <c r="EE12" i="135" s="1"/>
  <c r="EF12" i="135" s="1"/>
  <c r="EG12" i="135" s="1"/>
  <c r="EA24" i="135"/>
  <c r="EC24" i="135"/>
  <c r="ED24" i="135" s="1"/>
  <c r="EE24" i="135" s="1"/>
  <c r="EF24" i="135" s="1"/>
  <c r="EG24" i="135" s="1"/>
  <c r="EA48" i="135"/>
  <c r="EC48" i="135"/>
  <c r="ED48" i="135" s="1"/>
  <c r="EE48" i="135" s="1"/>
  <c r="EF48" i="135" s="1"/>
  <c r="EG48" i="135" s="1"/>
  <c r="EA36" i="135"/>
  <c r="EC36" i="135"/>
  <c r="ED36" i="135" s="1"/>
  <c r="EE36" i="135" s="1"/>
  <c r="EF36" i="135" s="1"/>
  <c r="EG36" i="135" s="1"/>
  <c r="EA21" i="135"/>
  <c r="EC21" i="135"/>
  <c r="ED21" i="135" s="1"/>
  <c r="EE21" i="135" s="1"/>
  <c r="EF21" i="135" s="1"/>
  <c r="EG21" i="135" s="1"/>
  <c r="EA17" i="135"/>
  <c r="EC17" i="135"/>
  <c r="ED17" i="135" s="1"/>
  <c r="EE17" i="135" s="1"/>
  <c r="EF17" i="135" s="1"/>
  <c r="EG17" i="135" s="1"/>
  <c r="EA19" i="135"/>
  <c r="EC19" i="135"/>
  <c r="ED19" i="135" s="1"/>
  <c r="EE19" i="135" s="1"/>
  <c r="EF19" i="135" s="1"/>
  <c r="EG19" i="135" s="1"/>
  <c r="EA29" i="135"/>
  <c r="EC29" i="135"/>
  <c r="ED29" i="135" s="1"/>
  <c r="EE29" i="135" s="1"/>
  <c r="EF29" i="135" s="1"/>
  <c r="EG29" i="135" s="1"/>
  <c r="EA47" i="135"/>
  <c r="EC47" i="135"/>
  <c r="ED47" i="135" s="1"/>
  <c r="EE47" i="135" s="1"/>
  <c r="EF47" i="135" s="1"/>
  <c r="EG47" i="135" s="1"/>
  <c r="EA49" i="135"/>
  <c r="EC49" i="135"/>
  <c r="ED49" i="135" s="1"/>
  <c r="EE49" i="135" s="1"/>
  <c r="EF49" i="135" s="1"/>
  <c r="EG49" i="135" s="1"/>
  <c r="DO92" i="12"/>
  <c r="DQ83" i="12"/>
  <c r="DQ85" i="12" s="1"/>
  <c r="DQ96" i="12" s="1"/>
  <c r="DO15" i="135"/>
  <c r="DQ15" i="135"/>
  <c r="DR15" i="135" s="1"/>
  <c r="DS15" i="135" s="1"/>
  <c r="DT15" i="135" s="1"/>
  <c r="DU41" i="135"/>
  <c r="DW41" i="135"/>
  <c r="DX41" i="135" s="1"/>
  <c r="DY41" i="135" s="1"/>
  <c r="DZ41" i="135" s="1"/>
  <c r="DU14" i="135"/>
  <c r="DW14" i="135"/>
  <c r="DX14" i="135" s="1"/>
  <c r="DY14" i="135" s="1"/>
  <c r="DZ14" i="135" s="1"/>
  <c r="DU22" i="135"/>
  <c r="DW22" i="135"/>
  <c r="DX22" i="135" s="1"/>
  <c r="DY22" i="135" s="1"/>
  <c r="DZ22" i="135" s="1"/>
  <c r="DU20" i="135"/>
  <c r="DW20" i="135"/>
  <c r="DX20" i="135" s="1"/>
  <c r="DY20" i="135" s="1"/>
  <c r="DZ20" i="135" s="1"/>
  <c r="DU16" i="135"/>
  <c r="DW16" i="135"/>
  <c r="DX16" i="135" s="1"/>
  <c r="DY16" i="135" s="1"/>
  <c r="DZ16" i="135" s="1"/>
  <c r="DU18" i="135"/>
  <c r="DW18" i="135"/>
  <c r="DX18" i="135" s="1"/>
  <c r="DY18" i="135" s="1"/>
  <c r="DZ18" i="135" s="1"/>
  <c r="DE63" i="135"/>
  <c r="DQ25" i="135"/>
  <c r="DR25" i="135" s="1"/>
  <c r="DS25" i="135" s="1"/>
  <c r="DT25" i="135" s="1"/>
  <c r="DO25" i="135"/>
  <c r="DE54" i="135"/>
  <c r="DF77" i="12"/>
  <c r="AR7" i="135"/>
  <c r="AS7" i="135" s="1"/>
  <c r="AT7" i="135" s="1"/>
  <c r="AW7" i="135"/>
  <c r="DN40" i="135"/>
  <c r="DN46" i="135"/>
  <c r="DN33" i="135"/>
  <c r="DN13" i="135"/>
  <c r="EA22" i="135" l="1"/>
  <c r="EC22" i="135"/>
  <c r="ED22" i="135" s="1"/>
  <c r="EE22" i="135" s="1"/>
  <c r="EF22" i="135" s="1"/>
  <c r="EG22" i="135" s="1"/>
  <c r="EA18" i="135"/>
  <c r="EC18" i="135"/>
  <c r="ED18" i="135" s="1"/>
  <c r="EE18" i="135" s="1"/>
  <c r="EF18" i="135" s="1"/>
  <c r="EG18" i="135" s="1"/>
  <c r="EA14" i="135"/>
  <c r="EC14" i="135"/>
  <c r="ED14" i="135" s="1"/>
  <c r="EE14" i="135" s="1"/>
  <c r="EF14" i="135" s="1"/>
  <c r="EG14" i="135" s="1"/>
  <c r="EA20" i="135"/>
  <c r="EC20" i="135"/>
  <c r="ED20" i="135" s="1"/>
  <c r="EE20" i="135" s="1"/>
  <c r="EF20" i="135" s="1"/>
  <c r="EG20" i="135" s="1"/>
  <c r="EA16" i="135"/>
  <c r="EC16" i="135"/>
  <c r="ED16" i="135" s="1"/>
  <c r="EE16" i="135" s="1"/>
  <c r="EF16" i="135" s="1"/>
  <c r="EG16" i="135" s="1"/>
  <c r="EA41" i="135"/>
  <c r="EC41" i="135"/>
  <c r="ED41" i="135" s="1"/>
  <c r="EE41" i="135" s="1"/>
  <c r="EF41" i="135" s="1"/>
  <c r="EG41" i="135" s="1"/>
  <c r="DQ86" i="12"/>
  <c r="DQ88" i="12" s="1"/>
  <c r="DR83" i="12" s="1"/>
  <c r="DR86" i="12" s="1"/>
  <c r="DW15" i="135"/>
  <c r="DX15" i="135" s="1"/>
  <c r="DY15" i="135" s="1"/>
  <c r="DZ15" i="135" s="1"/>
  <c r="DU15" i="135"/>
  <c r="DG77" i="12"/>
  <c r="DU25" i="135"/>
  <c r="DW25" i="135"/>
  <c r="DX25" i="135" s="1"/>
  <c r="DY25" i="135" s="1"/>
  <c r="DZ25" i="135" s="1"/>
  <c r="DH53" i="135"/>
  <c r="AX7" i="135"/>
  <c r="AY7" i="135" s="1"/>
  <c r="AZ7" i="135" s="1"/>
  <c r="BC7" i="135"/>
  <c r="DQ46" i="135"/>
  <c r="DO46" i="135"/>
  <c r="DO40" i="135"/>
  <c r="DQ40" i="135"/>
  <c r="DK11" i="135"/>
  <c r="DI11" i="135"/>
  <c r="DO33" i="135"/>
  <c r="DQ33" i="135"/>
  <c r="DQ13" i="135"/>
  <c r="DO13" i="135"/>
  <c r="DH76" i="135" l="1"/>
  <c r="DH62" i="135"/>
  <c r="DH54" i="135"/>
  <c r="EA15" i="135"/>
  <c r="EC15" i="135"/>
  <c r="ED15" i="135" s="1"/>
  <c r="EE15" i="135" s="1"/>
  <c r="EF15" i="135" s="1"/>
  <c r="EG15" i="135" s="1"/>
  <c r="EA25" i="135"/>
  <c r="EC25" i="135"/>
  <c r="ED25" i="135" s="1"/>
  <c r="EE25" i="135" s="1"/>
  <c r="EF25" i="135" s="1"/>
  <c r="EG25" i="135" s="1"/>
  <c r="DR85" i="12"/>
  <c r="DR96" i="12" s="1"/>
  <c r="DI53" i="135"/>
  <c r="DI24" i="134"/>
  <c r="DI77" i="12" s="1"/>
  <c r="DI78" i="12" s="1"/>
  <c r="DK66" i="135"/>
  <c r="DK53" i="135"/>
  <c r="DK76" i="135" s="1"/>
  <c r="BD7" i="135"/>
  <c r="BE7" i="135" s="1"/>
  <c r="BF7" i="135" s="1"/>
  <c r="BI7" i="135"/>
  <c r="DL11" i="135"/>
  <c r="DR40" i="135"/>
  <c r="DR46" i="135"/>
  <c r="DR33" i="135"/>
  <c r="DR13" i="135"/>
  <c r="DI76" i="135" l="1"/>
  <c r="DI62" i="135"/>
  <c r="DH64" i="135"/>
  <c r="DR88" i="12"/>
  <c r="DS83" i="12" s="1"/>
  <c r="DS85" i="12" s="1"/>
  <c r="DS96" i="12" s="1"/>
  <c r="DL66" i="135"/>
  <c r="DL53" i="135"/>
  <c r="DL76" i="135" s="1"/>
  <c r="BJ7" i="135"/>
  <c r="BK7" i="135" s="1"/>
  <c r="BL7" i="135" s="1"/>
  <c r="BO7" i="135"/>
  <c r="DS46" i="135"/>
  <c r="DS40" i="135"/>
  <c r="DM11" i="135"/>
  <c r="DS33" i="135"/>
  <c r="DS13" i="135"/>
  <c r="DI63" i="135" l="1"/>
  <c r="DS86" i="12"/>
  <c r="DS88" i="12" s="1"/>
  <c r="DT83" i="12" s="1"/>
  <c r="DT86" i="12" s="1"/>
  <c r="DU86" i="12" s="1"/>
  <c r="DU93" i="12" s="1"/>
  <c r="DK77" i="12"/>
  <c r="DL24" i="134"/>
  <c r="DL77" i="12" s="1"/>
  <c r="DM66" i="135"/>
  <c r="DM53" i="135"/>
  <c r="DM76" i="135" s="1"/>
  <c r="BP7" i="135"/>
  <c r="BQ7" i="135" s="1"/>
  <c r="BR7" i="135" s="1"/>
  <c r="BU7" i="135"/>
  <c r="DN11" i="135"/>
  <c r="DT40" i="135"/>
  <c r="DW40" i="135" s="1"/>
  <c r="DX40" i="135" s="1"/>
  <c r="DY40" i="135" s="1"/>
  <c r="DZ40" i="135" s="1"/>
  <c r="DT46" i="135"/>
  <c r="DW46" i="135" s="1"/>
  <c r="DX46" i="135" s="1"/>
  <c r="DY46" i="135" s="1"/>
  <c r="DZ46" i="135" s="1"/>
  <c r="DT33" i="135"/>
  <c r="DW33" i="135" s="1"/>
  <c r="DX33" i="135" s="1"/>
  <c r="DY33" i="135" s="1"/>
  <c r="DZ33" i="135" s="1"/>
  <c r="DT13" i="135"/>
  <c r="DW13" i="135" s="1"/>
  <c r="DX13" i="135" s="1"/>
  <c r="DY13" i="135" s="1"/>
  <c r="DZ13" i="135" s="1"/>
  <c r="DT85" i="12" l="1"/>
  <c r="DT96" i="12" s="1"/>
  <c r="EA13" i="135"/>
  <c r="EC13" i="135"/>
  <c r="ED13" i="135" s="1"/>
  <c r="EE13" i="135" s="1"/>
  <c r="EF13" i="135" s="1"/>
  <c r="EG13" i="135" s="1"/>
  <c r="EA46" i="135"/>
  <c r="EC46" i="135"/>
  <c r="ED46" i="135" s="1"/>
  <c r="EE46" i="135" s="1"/>
  <c r="EF46" i="135" s="1"/>
  <c r="EG46" i="135" s="1"/>
  <c r="EA33" i="135"/>
  <c r="EC33" i="135"/>
  <c r="ED33" i="135" s="1"/>
  <c r="EE33" i="135" s="1"/>
  <c r="EF33" i="135" s="1"/>
  <c r="EG33" i="135" s="1"/>
  <c r="EA40" i="135"/>
  <c r="EC40" i="135"/>
  <c r="ED40" i="135" s="1"/>
  <c r="EE40" i="135" s="1"/>
  <c r="EF40" i="135" s="1"/>
  <c r="EG40" i="135" s="1"/>
  <c r="DM24" i="134"/>
  <c r="DM77" i="12" s="1"/>
  <c r="DN66" i="135"/>
  <c r="DO66" i="135" s="1"/>
  <c r="DN53" i="135"/>
  <c r="DN76" i="135" s="1"/>
  <c r="BV7" i="135"/>
  <c r="BW7" i="135" s="1"/>
  <c r="BX7" i="135" s="1"/>
  <c r="CA7" i="135"/>
  <c r="DU46" i="135"/>
  <c r="DO11" i="135"/>
  <c r="DO53" i="135" s="1"/>
  <c r="DO76" i="135" s="1"/>
  <c r="DQ11" i="135"/>
  <c r="DU40" i="135"/>
  <c r="DU33" i="135"/>
  <c r="DU13" i="135"/>
  <c r="DT88" i="12" l="1"/>
  <c r="DU85" i="12"/>
  <c r="DU92" i="12"/>
  <c r="DU94" i="12"/>
  <c r="DU96" i="12"/>
  <c r="DU88" i="12"/>
  <c r="DN24" i="134"/>
  <c r="DQ66" i="135"/>
  <c r="DQ53" i="135"/>
  <c r="DQ76" i="135" s="1"/>
  <c r="CB7" i="135"/>
  <c r="CC7" i="135" s="1"/>
  <c r="CD7" i="135" s="1"/>
  <c r="CG7" i="135"/>
  <c r="DR11" i="135"/>
  <c r="DW83" i="12" l="1"/>
  <c r="EA83" i="12"/>
  <c r="DQ24" i="134"/>
  <c r="DN77" i="12"/>
  <c r="DO24" i="134"/>
  <c r="DO77" i="12" s="1"/>
  <c r="DR66" i="135"/>
  <c r="DR53" i="135"/>
  <c r="DR76" i="135" s="1"/>
  <c r="CH7" i="135"/>
  <c r="CI7" i="135" s="1"/>
  <c r="CJ7" i="135" s="1"/>
  <c r="CM7" i="135"/>
  <c r="DS11" i="135"/>
  <c r="DW86" i="12" l="1"/>
  <c r="DW85" i="12"/>
  <c r="DR24" i="134"/>
  <c r="DR77" i="12" s="1"/>
  <c r="DQ77" i="12"/>
  <c r="DS66" i="135"/>
  <c r="DS53" i="135"/>
  <c r="DS76" i="135" s="1"/>
  <c r="CN7" i="135"/>
  <c r="CO7" i="135" s="1"/>
  <c r="CP7" i="135" s="1"/>
  <c r="CS7" i="135"/>
  <c r="DT11" i="135"/>
  <c r="DW11" i="135" s="1"/>
  <c r="DW88" i="12" l="1"/>
  <c r="DX83" i="12" s="1"/>
  <c r="DX85" i="12" s="1"/>
  <c r="DX96" i="12" s="1"/>
  <c r="DX40" i="12" s="1"/>
  <c r="DX134" i="12" s="1"/>
  <c r="DW96" i="12"/>
  <c r="DW40" i="12" s="1"/>
  <c r="DW66" i="135"/>
  <c r="DW53" i="135"/>
  <c r="DX11" i="135"/>
  <c r="DS24" i="134"/>
  <c r="DT66" i="135"/>
  <c r="DU66" i="135" s="1"/>
  <c r="DT53" i="135"/>
  <c r="DT76" i="135" s="1"/>
  <c r="CT7" i="135"/>
  <c r="CU7" i="135" s="1"/>
  <c r="CV7" i="135" s="1"/>
  <c r="CY7" i="135"/>
  <c r="CZ7" i="135" s="1"/>
  <c r="DA7" i="135" s="1"/>
  <c r="DB7" i="135" s="1"/>
  <c r="DU11" i="135"/>
  <c r="DU53" i="135" s="1"/>
  <c r="DU76" i="135" s="1"/>
  <c r="DX86" i="12" l="1"/>
  <c r="DX88" i="12" s="1"/>
  <c r="DY83" i="12" s="1"/>
  <c r="DY86" i="12" s="1"/>
  <c r="DW134" i="12"/>
  <c r="DY11" i="135"/>
  <c r="DX66" i="135"/>
  <c r="DX24" i="134" s="1"/>
  <c r="DX53" i="135"/>
  <c r="DW76" i="135"/>
  <c r="DW24" i="134"/>
  <c r="DT24" i="134"/>
  <c r="DT77" i="12" s="1"/>
  <c r="DS77" i="12"/>
  <c r="CW57" i="135"/>
  <c r="DC58" i="135" s="1"/>
  <c r="CQ57" i="135"/>
  <c r="CW51" i="135"/>
  <c r="CQ51" i="135"/>
  <c r="CW50" i="135"/>
  <c r="CQ50" i="135"/>
  <c r="CW49" i="135"/>
  <c r="CQ49" i="135"/>
  <c r="CW48" i="135"/>
  <c r="CQ48" i="135"/>
  <c r="CW47" i="135"/>
  <c r="CQ47" i="135"/>
  <c r="CW46" i="135"/>
  <c r="CQ46" i="135"/>
  <c r="CW43" i="135"/>
  <c r="CQ43" i="135"/>
  <c r="CW41" i="135"/>
  <c r="CQ41" i="135"/>
  <c r="CW40" i="135"/>
  <c r="CQ40" i="135"/>
  <c r="CW37" i="135"/>
  <c r="CQ37" i="135"/>
  <c r="CW36" i="135"/>
  <c r="CQ36" i="135"/>
  <c r="CW35" i="135"/>
  <c r="CQ35" i="135"/>
  <c r="CW34" i="135"/>
  <c r="CQ34" i="135"/>
  <c r="CW33" i="135"/>
  <c r="CQ33" i="135"/>
  <c r="CW29" i="135"/>
  <c r="CW25" i="135"/>
  <c r="CW24" i="135"/>
  <c r="CW22" i="135"/>
  <c r="CW21" i="135"/>
  <c r="CW20" i="135"/>
  <c r="CW19" i="135"/>
  <c r="CW18" i="135"/>
  <c r="CW17" i="135"/>
  <c r="CW16" i="135"/>
  <c r="CW15" i="135"/>
  <c r="CW14" i="135"/>
  <c r="CW13" i="135"/>
  <c r="CQ13" i="135"/>
  <c r="CW12" i="135"/>
  <c r="CQ12" i="135"/>
  <c r="CW11" i="135"/>
  <c r="CQ11" i="135"/>
  <c r="DY85" i="12" l="1"/>
  <c r="DY96" i="12" s="1"/>
  <c r="DY40" i="12" s="1"/>
  <c r="DX76" i="135"/>
  <c r="DW77" i="12"/>
  <c r="DW72" i="11"/>
  <c r="DX77" i="12"/>
  <c r="DX72" i="11"/>
  <c r="DZ11" i="135"/>
  <c r="EC11" i="135" s="1"/>
  <c r="DY53" i="135"/>
  <c r="DY66" i="135"/>
  <c r="DU24" i="134"/>
  <c r="DU77" i="12" s="1"/>
  <c r="CQ53" i="135"/>
  <c r="CQ76" i="135" s="1"/>
  <c r="CW53" i="135"/>
  <c r="CW76" i="135" s="1"/>
  <c r="CW58" i="135"/>
  <c r="DY88" i="12" l="1"/>
  <c r="DZ83" i="12" s="1"/>
  <c r="DZ86" i="12" s="1"/>
  <c r="EA86" i="12" s="1"/>
  <c r="EA93" i="12" s="1"/>
  <c r="EC66" i="135"/>
  <c r="EC53" i="135"/>
  <c r="ED11" i="135"/>
  <c r="DZ85" i="12"/>
  <c r="DZ96" i="12" s="1"/>
  <c r="DZ40" i="12" s="1"/>
  <c r="DZ134" i="12" s="1"/>
  <c r="DY134" i="12"/>
  <c r="EA11" i="135"/>
  <c r="EA53" i="135" s="1"/>
  <c r="DZ53" i="135"/>
  <c r="DZ66" i="135"/>
  <c r="DZ24" i="134" s="1"/>
  <c r="DY24" i="134"/>
  <c r="DY76" i="135"/>
  <c r="CQ62" i="135"/>
  <c r="EE11" i="135" l="1"/>
  <c r="ED53" i="135"/>
  <c r="ED66" i="135"/>
  <c r="ED24" i="134" s="1"/>
  <c r="EC76" i="135"/>
  <c r="EC24" i="134"/>
  <c r="DZ88" i="12"/>
  <c r="EA85" i="12"/>
  <c r="EA92" i="12" s="1"/>
  <c r="EA40" i="12"/>
  <c r="EA134" i="12" s="1"/>
  <c r="DZ77" i="12"/>
  <c r="EA66" i="135"/>
  <c r="DY77" i="12"/>
  <c r="EA24" i="134"/>
  <c r="DZ76" i="135"/>
  <c r="EA76" i="135"/>
  <c r="CW62" i="135"/>
  <c r="DC63" i="135" s="1"/>
  <c r="ED72" i="11" l="1"/>
  <c r="ED77" i="12"/>
  <c r="ED76" i="135"/>
  <c r="EC72" i="11"/>
  <c r="EC77" i="12"/>
  <c r="EF11" i="135"/>
  <c r="EE66" i="135"/>
  <c r="EE53" i="135"/>
  <c r="EA96" i="12"/>
  <c r="EA94" i="12"/>
  <c r="EA88" i="12"/>
  <c r="EA77" i="12"/>
  <c r="CW63" i="135"/>
  <c r="EE76" i="135" l="1"/>
  <c r="EG11" i="135"/>
  <c r="EG53" i="135" s="1"/>
  <c r="EF66" i="135"/>
  <c r="EF24" i="134" s="1"/>
  <c r="EF53" i="135"/>
  <c r="EE24" i="134"/>
  <c r="EC83" i="12"/>
  <c r="EG83" i="12"/>
  <c r="CW18" i="134"/>
  <c r="DC18" i="134"/>
  <c r="DI18" i="134"/>
  <c r="DO18" i="134"/>
  <c r="DU18" i="134"/>
  <c r="CW19" i="134"/>
  <c r="DC19" i="134"/>
  <c r="DI19" i="134"/>
  <c r="DO19" i="134"/>
  <c r="DU19" i="134"/>
  <c r="CZ53" i="134"/>
  <c r="CY53" i="134"/>
  <c r="CZ52" i="134"/>
  <c r="CY52" i="134"/>
  <c r="CZ49" i="134"/>
  <c r="CY49" i="134"/>
  <c r="DA40" i="134"/>
  <c r="CZ40" i="134"/>
  <c r="CY40" i="134"/>
  <c r="CU40" i="134"/>
  <c r="CT40" i="134"/>
  <c r="CS40" i="134"/>
  <c r="DC31" i="134"/>
  <c r="DC89" i="134" s="1"/>
  <c r="CW31" i="134"/>
  <c r="CW89" i="134" s="1"/>
  <c r="DC30" i="134"/>
  <c r="DC88" i="134" s="1"/>
  <c r="CW30" i="134"/>
  <c r="CW88" i="134" s="1"/>
  <c r="DC28" i="134"/>
  <c r="DI26" i="134"/>
  <c r="DC26" i="134"/>
  <c r="CW26" i="134"/>
  <c r="DI25" i="134"/>
  <c r="DC25" i="134"/>
  <c r="CW25" i="134"/>
  <c r="DC24" i="134"/>
  <c r="DC77" i="12" s="1"/>
  <c r="DC78" i="12" s="1"/>
  <c r="CW24" i="134"/>
  <c r="CW77" i="12" s="1"/>
  <c r="CW78" i="12" s="1"/>
  <c r="DC23" i="134"/>
  <c r="CW23" i="134"/>
  <c r="CZ17" i="134"/>
  <c r="CZ13" i="134"/>
  <c r="CY13" i="134"/>
  <c r="DN9" i="134"/>
  <c r="DT9" i="134" s="1"/>
  <c r="DZ9" i="134" s="1"/>
  <c r="EF9" i="134" s="1"/>
  <c r="DM9" i="134"/>
  <c r="DS9" i="134" s="1"/>
  <c r="DY9" i="134" s="1"/>
  <c r="EE9" i="134" s="1"/>
  <c r="DL9" i="134"/>
  <c r="DR9" i="134" s="1"/>
  <c r="DX9" i="134" s="1"/>
  <c r="ED9" i="134" s="1"/>
  <c r="DK9" i="134"/>
  <c r="S9" i="134"/>
  <c r="T9" i="134" s="1"/>
  <c r="U9" i="134" s="1"/>
  <c r="V9" i="134" s="1"/>
  <c r="N9" i="134"/>
  <c r="O9" i="134" s="1"/>
  <c r="P9" i="134" s="1"/>
  <c r="S8" i="134"/>
  <c r="Y8" i="134" s="1"/>
  <c r="AE8" i="134" s="1"/>
  <c r="AK8" i="134" s="1"/>
  <c r="AQ8" i="134" s="1"/>
  <c r="AW8" i="134" s="1"/>
  <c r="BC8" i="134" s="1"/>
  <c r="BI8" i="134" s="1"/>
  <c r="BO8" i="134" s="1"/>
  <c r="BU8" i="134" s="1"/>
  <c r="CA8" i="134" s="1"/>
  <c r="CG8" i="134" s="1"/>
  <c r="CM8" i="134" s="1"/>
  <c r="CS8" i="134" s="1"/>
  <c r="CY8" i="134" s="1"/>
  <c r="DE8" i="134" s="1"/>
  <c r="DK8" i="134" s="1"/>
  <c r="DQ8" i="134" s="1"/>
  <c r="DW8" i="134" s="1"/>
  <c r="EC8" i="134" s="1"/>
  <c r="Q8" i="134"/>
  <c r="W8" i="134" s="1"/>
  <c r="AC8" i="134" s="1"/>
  <c r="AI8" i="134" s="1"/>
  <c r="AO8" i="134" s="1"/>
  <c r="AU8" i="134" s="1"/>
  <c r="BA8" i="134" s="1"/>
  <c r="BG8" i="134" s="1"/>
  <c r="BM8" i="134" s="1"/>
  <c r="BS8" i="134" s="1"/>
  <c r="BY8" i="134" s="1"/>
  <c r="CE8" i="134" s="1"/>
  <c r="CK8" i="134" s="1"/>
  <c r="CQ8" i="134" s="1"/>
  <c r="CW8" i="134" s="1"/>
  <c r="DC8" i="134" s="1"/>
  <c r="DI8" i="134" s="1"/>
  <c r="DO8" i="134" s="1"/>
  <c r="DU8" i="134" s="1"/>
  <c r="EA8" i="134" s="1"/>
  <c r="EG8" i="134" s="1"/>
  <c r="K8" i="134"/>
  <c r="DQ9" i="134" l="1"/>
  <c r="DW9" i="134" s="1"/>
  <c r="EC9" i="134" s="1"/>
  <c r="EG66" i="135"/>
  <c r="EE77" i="12"/>
  <c r="EG24" i="134"/>
  <c r="EF76" i="135"/>
  <c r="EF77" i="12"/>
  <c r="EG76" i="135"/>
  <c r="EC86" i="12"/>
  <c r="EC85" i="12"/>
  <c r="DC90" i="134"/>
  <c r="DF51" i="134"/>
  <c r="DE51" i="134"/>
  <c r="CY350" i="136"/>
  <c r="CY351" i="136" s="1"/>
  <c r="CZ350" i="136"/>
  <c r="CZ351" i="136" s="1"/>
  <c r="CZ54" i="134"/>
  <c r="CZ121" i="12"/>
  <c r="CZ122" i="12" s="1"/>
  <c r="CZ124" i="12" s="1"/>
  <c r="DC33" i="134"/>
  <c r="CW90" i="134"/>
  <c r="CW33" i="134"/>
  <c r="CY20" i="134"/>
  <c r="CZ20" i="134"/>
  <c r="Y9" i="134"/>
  <c r="CZ63" i="134"/>
  <c r="CY65" i="134"/>
  <c r="CS49" i="134"/>
  <c r="CW12" i="134"/>
  <c r="DB65" i="134"/>
  <c r="CT13" i="134"/>
  <c r="CV13" i="134"/>
  <c r="CY50" i="134"/>
  <c r="CY66" i="134"/>
  <c r="CS52" i="134"/>
  <c r="CU52" i="134"/>
  <c r="CW15" i="134"/>
  <c r="DB66" i="134"/>
  <c r="CZ67" i="134"/>
  <c r="CT53" i="134"/>
  <c r="CV53" i="134"/>
  <c r="DA67" i="134"/>
  <c r="CS17" i="134"/>
  <c r="CU17" i="134"/>
  <c r="DB17" i="134"/>
  <c r="CU49" i="134"/>
  <c r="CY63" i="134"/>
  <c r="CW11" i="134"/>
  <c r="CZ65" i="134"/>
  <c r="CT49" i="134"/>
  <c r="CV49" i="134"/>
  <c r="DA65" i="134"/>
  <c r="DC12" i="134"/>
  <c r="CS13" i="134"/>
  <c r="CU13" i="134"/>
  <c r="CZ50" i="134"/>
  <c r="CZ66" i="134"/>
  <c r="CT52" i="134"/>
  <c r="CV52" i="134"/>
  <c r="DA66" i="134"/>
  <c r="CY67" i="134"/>
  <c r="CS53" i="134"/>
  <c r="CU53" i="134"/>
  <c r="CW16" i="134"/>
  <c r="DB67" i="134"/>
  <c r="CT17" i="134"/>
  <c r="CV17" i="134"/>
  <c r="DA17" i="134"/>
  <c r="EG77" i="12" l="1"/>
  <c r="EC96" i="12"/>
  <c r="EC40" i="12" s="1"/>
  <c r="EC88" i="12"/>
  <c r="ED83" i="12" s="1"/>
  <c r="DH68" i="134"/>
  <c r="DG68" i="134"/>
  <c r="DF56" i="134"/>
  <c r="DE56" i="134"/>
  <c r="CW364" i="136"/>
  <c r="CW365" i="136" s="1"/>
  <c r="CS350" i="136"/>
  <c r="CS351" i="136" s="1"/>
  <c r="CZ359" i="136"/>
  <c r="CZ368" i="136" s="1"/>
  <c r="CU350" i="136"/>
  <c r="CU351" i="136" s="1"/>
  <c r="DC120" i="12"/>
  <c r="CT350" i="136"/>
  <c r="CT351" i="136" s="1"/>
  <c r="CW120" i="12"/>
  <c r="CV54" i="134"/>
  <c r="CV121" i="12"/>
  <c r="CV122" i="12" s="1"/>
  <c r="CV124" i="12" s="1"/>
  <c r="DA68" i="134"/>
  <c r="DA54" i="134"/>
  <c r="DA121" i="12"/>
  <c r="DA122" i="12" s="1"/>
  <c r="DA124" i="12" s="1"/>
  <c r="CT54" i="134"/>
  <c r="CT121" i="12"/>
  <c r="CT122" i="12" s="1"/>
  <c r="CT124" i="12" s="1"/>
  <c r="CU54" i="134"/>
  <c r="CU121" i="12"/>
  <c r="CU122" i="12" s="1"/>
  <c r="CU124" i="12" s="1"/>
  <c r="CV350" i="136"/>
  <c r="CV351" i="136" s="1"/>
  <c r="CZ68" i="134"/>
  <c r="DB68" i="134"/>
  <c r="DB54" i="134"/>
  <c r="DB121" i="12"/>
  <c r="DB122" i="12" s="1"/>
  <c r="DB124" i="12" s="1"/>
  <c r="CS54" i="134"/>
  <c r="CS121" i="12"/>
  <c r="CS122" i="12" s="1"/>
  <c r="CS124" i="12" s="1"/>
  <c r="CY68" i="134"/>
  <c r="CW362" i="136"/>
  <c r="CW363" i="136" s="1"/>
  <c r="CW17" i="134"/>
  <c r="CW25" i="136"/>
  <c r="CW63" i="134"/>
  <c r="CY22" i="134"/>
  <c r="CY359" i="136"/>
  <c r="CY368" i="136" s="1"/>
  <c r="CW99" i="134"/>
  <c r="CW125" i="11"/>
  <c r="DC125" i="11"/>
  <c r="DE112" i="11" s="1"/>
  <c r="CZ27" i="134"/>
  <c r="CW72" i="12"/>
  <c r="CY27" i="134"/>
  <c r="CZ22" i="134"/>
  <c r="CT20" i="134"/>
  <c r="CZ51" i="134"/>
  <c r="CS20" i="134"/>
  <c r="CU20" i="134"/>
  <c r="CV20" i="134"/>
  <c r="CZ55" i="134"/>
  <c r="CW119" i="11"/>
  <c r="DC66" i="134"/>
  <c r="DC17" i="134"/>
  <c r="CS50" i="134"/>
  <c r="DC65" i="134"/>
  <c r="CW13" i="134"/>
  <c r="DC67" i="134"/>
  <c r="CY51" i="134"/>
  <c r="CT50" i="134"/>
  <c r="Z9" i="134"/>
  <c r="AA9" i="134" s="1"/>
  <c r="AB9" i="134" s="1"/>
  <c r="AE9" i="134"/>
  <c r="CY55" i="134"/>
  <c r="CW53" i="134"/>
  <c r="CU50" i="134"/>
  <c r="CW52" i="134"/>
  <c r="CV50" i="134"/>
  <c r="CW49" i="134"/>
  <c r="ED86" i="12" l="1"/>
  <c r="ED85" i="12"/>
  <c r="EC134" i="12"/>
  <c r="CY73" i="11"/>
  <c r="CY78" i="135" s="1"/>
  <c r="CZ73" i="11"/>
  <c r="CZ78" i="135" s="1"/>
  <c r="CZ360" i="136"/>
  <c r="CZ369" i="136" s="1"/>
  <c r="CZ358" i="136"/>
  <c r="CU359" i="136"/>
  <c r="CU368" i="136" s="1"/>
  <c r="CZ29" i="134"/>
  <c r="CZ70" i="12" s="1"/>
  <c r="CW350" i="136"/>
  <c r="CW351" i="136" s="1"/>
  <c r="CS359" i="136"/>
  <c r="CS368" i="136" s="1"/>
  <c r="CT359" i="136"/>
  <c r="CT368" i="136" s="1"/>
  <c r="CY29" i="134"/>
  <c r="CY70" i="12" s="1"/>
  <c r="CW54" i="134"/>
  <c r="CW121" i="12"/>
  <c r="CW122" i="12" s="1"/>
  <c r="CW124" i="12" s="1"/>
  <c r="DC68" i="134"/>
  <c r="DC121" i="12"/>
  <c r="DC122" i="12" s="1"/>
  <c r="DC124" i="12" s="1"/>
  <c r="CV359" i="136"/>
  <c r="CV368" i="136" s="1"/>
  <c r="CW141" i="11"/>
  <c r="CW143" i="11"/>
  <c r="CY360" i="136"/>
  <c r="CY369" i="136" s="1"/>
  <c r="CY358" i="136"/>
  <c r="CY56" i="134"/>
  <c r="CZ56" i="134"/>
  <c r="CW148" i="11"/>
  <c r="CS27" i="134"/>
  <c r="CT27" i="134"/>
  <c r="CS22" i="134"/>
  <c r="CT22" i="134"/>
  <c r="CW20" i="134"/>
  <c r="CV27" i="134"/>
  <c r="CV22" i="134"/>
  <c r="CU27" i="134"/>
  <c r="CU22" i="134"/>
  <c r="CZ59" i="134"/>
  <c r="CY69" i="134"/>
  <c r="CT55" i="134"/>
  <c r="CZ69" i="134"/>
  <c r="CW50" i="134"/>
  <c r="CS55" i="134"/>
  <c r="CV55" i="134"/>
  <c r="CU55" i="134"/>
  <c r="CY59" i="134"/>
  <c r="AF9" i="134"/>
  <c r="AG9" i="134" s="1"/>
  <c r="AH9" i="134" s="1"/>
  <c r="AK9" i="134"/>
  <c r="ED96" i="12" l="1"/>
  <c r="ED40" i="12" s="1"/>
  <c r="ED88" i="12"/>
  <c r="EE83" i="12" s="1"/>
  <c r="CT360" i="136"/>
  <c r="CT369" i="136" s="1"/>
  <c r="DE383" i="136"/>
  <c r="CU360" i="136"/>
  <c r="CU369" i="136" s="1"/>
  <c r="CZ390" i="136"/>
  <c r="CU358" i="136"/>
  <c r="CZ377" i="136"/>
  <c r="DF370" i="136"/>
  <c r="DE370" i="136"/>
  <c r="DE379" i="136"/>
  <c r="DE378" i="136"/>
  <c r="CS360" i="136"/>
  <c r="CS369" i="136" s="1"/>
  <c r="CV358" i="136"/>
  <c r="CV360" i="136"/>
  <c r="CV369" i="136" s="1"/>
  <c r="CU70" i="134"/>
  <c r="CV70" i="134"/>
  <c r="CW27" i="134"/>
  <c r="CS70" i="134"/>
  <c r="CS29" i="134"/>
  <c r="CS70" i="12" s="1"/>
  <c r="CY390" i="136"/>
  <c r="CT70" i="134"/>
  <c r="CT29" i="134"/>
  <c r="CT70" i="12" s="1"/>
  <c r="CY377" i="136"/>
  <c r="CY114" i="136"/>
  <c r="CY125" i="136" s="1"/>
  <c r="CY185" i="136"/>
  <c r="CY187" i="136" s="1"/>
  <c r="CZ114" i="136"/>
  <c r="CZ185" i="136"/>
  <c r="CZ187" i="136" s="1"/>
  <c r="CZ188" i="136" s="1"/>
  <c r="CW359" i="136"/>
  <c r="CW368" i="136" s="1"/>
  <c r="CU29" i="134"/>
  <c r="CU70" i="12" s="1"/>
  <c r="CV29" i="134"/>
  <c r="CV70" i="12" s="1"/>
  <c r="CZ32" i="134"/>
  <c r="DI11" i="12"/>
  <c r="AL9" i="134"/>
  <c r="AM9" i="134" s="1"/>
  <c r="AN9" i="134" s="1"/>
  <c r="AQ9" i="134"/>
  <c r="CV59" i="134"/>
  <c r="CV390" i="136" s="1"/>
  <c r="CS59" i="134"/>
  <c r="CT59" i="134"/>
  <c r="CU59" i="134"/>
  <c r="CW55" i="134"/>
  <c r="EE85" i="12" l="1"/>
  <c r="EE86" i="12"/>
  <c r="ED134" i="12"/>
  <c r="DE57" i="134"/>
  <c r="CT377" i="136"/>
  <c r="CZ370" i="136"/>
  <c r="DB383" i="136"/>
  <c r="DA383" i="136"/>
  <c r="CZ376" i="136"/>
  <c r="CZ378" i="136"/>
  <c r="CZ379" i="136"/>
  <c r="CU377" i="136"/>
  <c r="CW29" i="134"/>
  <c r="CS377" i="136"/>
  <c r="CY370" i="136"/>
  <c r="CV377" i="136"/>
  <c r="CT390" i="136"/>
  <c r="CU390" i="136"/>
  <c r="CS390" i="136"/>
  <c r="CY379" i="136"/>
  <c r="CY378" i="136"/>
  <c r="CY376" i="136"/>
  <c r="CY116" i="136"/>
  <c r="CZ116" i="136"/>
  <c r="CZ117" i="136" s="1"/>
  <c r="CZ125" i="136"/>
  <c r="CZ126" i="136" s="1"/>
  <c r="CY188" i="136"/>
  <c r="CW360" i="136"/>
  <c r="CW369" i="136" s="1"/>
  <c r="CZ34" i="134"/>
  <c r="CZ71" i="12" s="1"/>
  <c r="CZ37" i="134"/>
  <c r="CZ44" i="134"/>
  <c r="CZ38" i="134"/>
  <c r="CZ45" i="134" s="1"/>
  <c r="CZ36" i="134"/>
  <c r="CT32" i="134"/>
  <c r="CV32" i="134"/>
  <c r="CU32" i="134"/>
  <c r="CS58" i="134"/>
  <c r="CT36" i="134"/>
  <c r="CV36" i="134"/>
  <c r="AW9" i="134"/>
  <c r="AR9" i="134"/>
  <c r="AS9" i="134" s="1"/>
  <c r="AT9" i="134" s="1"/>
  <c r="CW59" i="134"/>
  <c r="CW390" i="136" s="1"/>
  <c r="CU36" i="134"/>
  <c r="CS36" i="134"/>
  <c r="EE96" i="12" l="1"/>
  <c r="EE40" i="12" s="1"/>
  <c r="EE88" i="12"/>
  <c r="EF83" i="12" s="1"/>
  <c r="CZ57" i="134"/>
  <c r="CY57" i="134"/>
  <c r="CT376" i="136"/>
  <c r="CU376" i="136"/>
  <c r="CS376" i="136"/>
  <c r="CV376" i="136"/>
  <c r="CZ91" i="134"/>
  <c r="CV140" i="11"/>
  <c r="CV142" i="11" s="1"/>
  <c r="CU140" i="11"/>
  <c r="CU142" i="11" s="1"/>
  <c r="CT140" i="11"/>
  <c r="CT142" i="11" s="1"/>
  <c r="CW377" i="136"/>
  <c r="CZ128" i="136"/>
  <c r="CY117" i="136"/>
  <c r="CY126" i="136"/>
  <c r="CZ35" i="134"/>
  <c r="CZ60" i="134"/>
  <c r="CU34" i="134"/>
  <c r="CV34" i="134"/>
  <c r="CT34" i="134"/>
  <c r="CZ46" i="134"/>
  <c r="CW32" i="134"/>
  <c r="CS32" i="134"/>
  <c r="CU44" i="134"/>
  <c r="CT44" i="134"/>
  <c r="CW36" i="134"/>
  <c r="BC9" i="134"/>
  <c r="AX9" i="134"/>
  <c r="AY9" i="134" s="1"/>
  <c r="AZ9" i="134" s="1"/>
  <c r="CT38" i="134"/>
  <c r="CT45" i="134" s="1"/>
  <c r="CT37" i="134"/>
  <c r="CU37" i="134"/>
  <c r="CU38" i="134"/>
  <c r="CU45" i="134" s="1"/>
  <c r="CV38" i="134"/>
  <c r="CV37" i="134"/>
  <c r="EF85" i="12" l="1"/>
  <c r="EF86" i="12"/>
  <c r="EG86" i="12" s="1"/>
  <c r="EG93" i="12" s="1"/>
  <c r="EE134" i="12"/>
  <c r="CZ43" i="134"/>
  <c r="CW34" i="134"/>
  <c r="CT71" i="134"/>
  <c r="CU71" i="134"/>
  <c r="CS140" i="11"/>
  <c r="CS142" i="11" s="1"/>
  <c r="CW376" i="136"/>
  <c r="CV71" i="134"/>
  <c r="CY128" i="136"/>
  <c r="CS34" i="134"/>
  <c r="CZ71" i="134"/>
  <c r="CT35" i="134"/>
  <c r="CT91" i="134"/>
  <c r="CT60" i="134"/>
  <c r="CV35" i="134"/>
  <c r="CV60" i="134"/>
  <c r="CV91" i="134"/>
  <c r="CU60" i="134"/>
  <c r="CU35" i="134"/>
  <c r="CU91" i="134"/>
  <c r="CS37" i="134"/>
  <c r="CS38" i="134"/>
  <c r="CS45" i="134" s="1"/>
  <c r="CS44" i="134"/>
  <c r="CU46" i="134"/>
  <c r="CT46" i="134"/>
  <c r="CW44" i="134"/>
  <c r="CW37" i="134"/>
  <c r="CW38" i="134"/>
  <c r="CW45" i="134" s="1"/>
  <c r="DK116" i="12"/>
  <c r="BI9" i="134"/>
  <c r="BD9" i="134"/>
  <c r="BE9" i="134" s="1"/>
  <c r="BF9" i="134" s="1"/>
  <c r="EF96" i="12" l="1"/>
  <c r="EF40" i="12" s="1"/>
  <c r="EG85" i="12"/>
  <c r="EF88" i="12"/>
  <c r="CS71" i="134"/>
  <c r="CU72" i="134"/>
  <c r="CT72" i="134"/>
  <c r="CW35" i="134"/>
  <c r="CV72" i="134"/>
  <c r="CU43" i="134"/>
  <c r="CT43" i="134"/>
  <c r="CW60" i="134"/>
  <c r="CW91" i="134"/>
  <c r="CS35" i="134"/>
  <c r="CS91" i="134"/>
  <c r="CS60" i="134"/>
  <c r="CV43" i="134"/>
  <c r="CS46" i="134"/>
  <c r="CW46" i="134"/>
  <c r="DK117" i="12"/>
  <c r="DK114" i="12"/>
  <c r="DL65" i="12"/>
  <c r="DL116" i="12" s="1"/>
  <c r="CZ72" i="134"/>
  <c r="BJ9" i="134"/>
  <c r="BK9" i="134" s="1"/>
  <c r="BL9" i="134" s="1"/>
  <c r="BO9" i="134"/>
  <c r="EG92" i="12" l="1"/>
  <c r="EG94" i="12"/>
  <c r="EG96" i="12"/>
  <c r="EG88" i="12"/>
  <c r="EF134" i="12"/>
  <c r="EG40" i="12"/>
  <c r="CS72" i="134"/>
  <c r="CS43" i="134"/>
  <c r="CW43" i="134"/>
  <c r="DL117" i="12"/>
  <c r="DL114" i="12"/>
  <c r="DM65" i="12"/>
  <c r="DM116" i="12" s="1"/>
  <c r="BU9" i="134"/>
  <c r="BP9" i="134"/>
  <c r="BQ9" i="134" s="1"/>
  <c r="BR9" i="134" s="1"/>
  <c r="EG134" i="12" l="1"/>
  <c r="DM114" i="12"/>
  <c r="DM117" i="12"/>
  <c r="DN65" i="12"/>
  <c r="BV9" i="134"/>
  <c r="BW9" i="134" s="1"/>
  <c r="BX9" i="134" s="1"/>
  <c r="CA9" i="134"/>
  <c r="DN116" i="12" l="1"/>
  <c r="DN114" i="12" s="1"/>
  <c r="DO114" i="12" s="1"/>
  <c r="DO65" i="12"/>
  <c r="DO116" i="12" s="1"/>
  <c r="DO117" i="12" s="1"/>
  <c r="CB9" i="134"/>
  <c r="CC9" i="134" s="1"/>
  <c r="CD9" i="134" s="1"/>
  <c r="CG9" i="134"/>
  <c r="DN117" i="12" l="1"/>
  <c r="DQ65" i="12"/>
  <c r="DQ116" i="12" s="1"/>
  <c r="CH9" i="134"/>
  <c r="CI9" i="134" s="1"/>
  <c r="CJ9" i="134" s="1"/>
  <c r="CM9" i="134"/>
  <c r="E73" i="12"/>
  <c r="G73" i="12"/>
  <c r="K73" i="12"/>
  <c r="M73" i="12"/>
  <c r="S73" i="12"/>
  <c r="Y73" i="12"/>
  <c r="AE73" i="12"/>
  <c r="CS73" i="12"/>
  <c r="E99" i="12"/>
  <c r="BQ99" i="12"/>
  <c r="BQ100" i="12" s="1"/>
  <c r="BR99" i="12"/>
  <c r="BR100" i="12" s="1"/>
  <c r="BV99" i="12"/>
  <c r="BV100" i="12" s="1"/>
  <c r="BW99" i="12"/>
  <c r="BW100" i="12" s="1"/>
  <c r="BW105" i="12" s="1"/>
  <c r="BX99" i="12"/>
  <c r="BX100" i="12" s="1"/>
  <c r="BX105" i="12" s="1"/>
  <c r="CB99" i="12"/>
  <c r="CB100" i="12" s="1"/>
  <c r="CB105" i="12" s="1"/>
  <c r="CC99" i="12"/>
  <c r="CC100" i="12" s="1"/>
  <c r="CD99" i="12"/>
  <c r="CD100" i="12" s="1"/>
  <c r="CH99" i="12"/>
  <c r="CH100" i="12" s="1"/>
  <c r="CI99" i="12"/>
  <c r="CI100" i="12" s="1"/>
  <c r="CJ99" i="12"/>
  <c r="CJ100" i="12" s="1"/>
  <c r="CN99" i="12"/>
  <c r="CN100" i="12" s="1"/>
  <c r="CO99" i="12"/>
  <c r="CO100" i="12" s="1"/>
  <c r="CP99" i="12"/>
  <c r="CP100" i="12" s="1"/>
  <c r="CT99" i="12"/>
  <c r="CV99" i="12"/>
  <c r="CV100" i="12" s="1"/>
  <c r="CZ99" i="12"/>
  <c r="CZ100" i="12" s="1"/>
  <c r="DA99" i="12"/>
  <c r="DA100" i="12" s="1"/>
  <c r="DB99" i="12"/>
  <c r="DB100" i="12" s="1"/>
  <c r="DC99" i="12"/>
  <c r="S100" i="12"/>
  <c r="T100" i="12" s="1"/>
  <c r="E101" i="12"/>
  <c r="G99" i="12" s="1"/>
  <c r="G101" i="12"/>
  <c r="I101" i="12"/>
  <c r="K99" i="12" s="1"/>
  <c r="K101" i="12"/>
  <c r="M101" i="12"/>
  <c r="N99" i="12" s="1"/>
  <c r="N101" i="12"/>
  <c r="N103" i="12" s="1"/>
  <c r="O101" i="12"/>
  <c r="P99" i="12" s="1"/>
  <c r="Q101" i="12"/>
  <c r="S101" i="12"/>
  <c r="T99" i="12" s="1"/>
  <c r="T101" i="12"/>
  <c r="U99" i="12" s="1"/>
  <c r="U101" i="12"/>
  <c r="V99" i="12" s="1"/>
  <c r="W101" i="12"/>
  <c r="Y99" i="12" s="1"/>
  <c r="Y101" i="12"/>
  <c r="Z101" i="12"/>
  <c r="AA99" i="12" s="1"/>
  <c r="AA101" i="12"/>
  <c r="AC101" i="12"/>
  <c r="AF101" i="12"/>
  <c r="AG99" i="12" s="1"/>
  <c r="AI101" i="12"/>
  <c r="AO101" i="12"/>
  <c r="AQ99" i="12" s="1"/>
  <c r="AU99" i="12" s="1"/>
  <c r="AQ101" i="12"/>
  <c r="AQ103" i="12" s="1"/>
  <c r="AR101" i="12"/>
  <c r="AS99" i="12" s="1"/>
  <c r="AS101" i="12"/>
  <c r="AS103" i="12" s="1"/>
  <c r="AT101" i="12"/>
  <c r="AT103" i="12" s="1"/>
  <c r="AW101" i="12"/>
  <c r="AX101" i="12"/>
  <c r="AX103" i="12" s="1"/>
  <c r="AY101" i="12"/>
  <c r="AZ101" i="12"/>
  <c r="AZ103" i="12" s="1"/>
  <c r="BC101" i="12"/>
  <c r="BC103" i="12" s="1"/>
  <c r="BD101" i="12"/>
  <c r="BE99" i="12" s="1"/>
  <c r="BE101" i="12"/>
  <c r="BE103" i="12" s="1"/>
  <c r="BF101" i="12"/>
  <c r="BF103" i="12" s="1"/>
  <c r="BI101" i="12"/>
  <c r="BJ101" i="12"/>
  <c r="BJ103" i="12" s="1"/>
  <c r="BK101" i="12"/>
  <c r="BL101" i="12"/>
  <c r="BL103" i="12" s="1"/>
  <c r="BO101" i="12"/>
  <c r="BP103" i="12"/>
  <c r="BQ103" i="12"/>
  <c r="BR103" i="12"/>
  <c r="BU103" i="12"/>
  <c r="BV103" i="12"/>
  <c r="BW103" i="12"/>
  <c r="BX103" i="12"/>
  <c r="CA103" i="12"/>
  <c r="CB103" i="12"/>
  <c r="CC103" i="12"/>
  <c r="CD103" i="12"/>
  <c r="CG103" i="12"/>
  <c r="CH103" i="12"/>
  <c r="CI103" i="12"/>
  <c r="CJ103" i="12"/>
  <c r="CM103" i="12"/>
  <c r="CN103" i="12"/>
  <c r="CO103" i="12"/>
  <c r="CP103" i="12"/>
  <c r="CS103" i="12"/>
  <c r="CU103" i="12"/>
  <c r="CV103" i="12"/>
  <c r="CZ103" i="12"/>
  <c r="DA103" i="12"/>
  <c r="AO105" i="12"/>
  <c r="AR105" i="12"/>
  <c r="AS105" i="12" s="1"/>
  <c r="AT105" i="12" s="1"/>
  <c r="AU105" i="12" s="1"/>
  <c r="AX105" i="12"/>
  <c r="AY105" i="12" s="1"/>
  <c r="AZ105" i="12" s="1"/>
  <c r="BA105" i="12" s="1"/>
  <c r="BC105" i="12"/>
  <c r="BD105" i="12" s="1"/>
  <c r="BE105" i="12" s="1"/>
  <c r="BF105" i="12" s="1"/>
  <c r="BJ105" i="12"/>
  <c r="BK105" i="12" s="1"/>
  <c r="BL105" i="12" s="1"/>
  <c r="BP105" i="12"/>
  <c r="BQ105" i="12" s="1"/>
  <c r="BR105" i="12" s="1"/>
  <c r="I107" i="12"/>
  <c r="K107" i="12"/>
  <c r="M107" i="12"/>
  <c r="S107" i="12"/>
  <c r="Y107" i="12"/>
  <c r="AE107" i="12"/>
  <c r="AK107" i="12"/>
  <c r="AK106" i="12" s="1"/>
  <c r="AQ107" i="12"/>
  <c r="AQ106" i="12" s="1"/>
  <c r="AW107" i="12"/>
  <c r="AW106" i="12" s="1"/>
  <c r="BC107" i="12"/>
  <c r="BI107" i="12"/>
  <c r="BI106" i="12" s="1"/>
  <c r="BO107" i="12"/>
  <c r="BO106" i="12" s="1"/>
  <c r="BU107" i="12"/>
  <c r="BU106" i="12" s="1"/>
  <c r="CA107" i="12"/>
  <c r="CG107" i="12"/>
  <c r="CM107" i="12"/>
  <c r="CS107" i="12"/>
  <c r="AK110" i="12"/>
  <c r="AK100" i="12" s="1"/>
  <c r="AL110" i="12"/>
  <c r="AL100" i="12" s="1"/>
  <c r="AM110" i="12"/>
  <c r="AM100" i="12" s="1"/>
  <c r="AO110" i="12"/>
  <c r="AQ110" i="12"/>
  <c r="AR110" i="12"/>
  <c r="AS110" i="12"/>
  <c r="AT110" i="12"/>
  <c r="AW110" i="12"/>
  <c r="AX110" i="12"/>
  <c r="AZ110" i="12"/>
  <c r="BC110" i="12"/>
  <c r="BD110" i="12"/>
  <c r="BE110" i="12"/>
  <c r="BF110" i="12"/>
  <c r="BI110" i="12"/>
  <c r="BJ110" i="12"/>
  <c r="BK110" i="12"/>
  <c r="BL110" i="12"/>
  <c r="BM110" i="12"/>
  <c r="BO110" i="12"/>
  <c r="BP110" i="12"/>
  <c r="BQ110" i="12"/>
  <c r="BR110" i="12"/>
  <c r="BS110" i="12"/>
  <c r="BU110" i="12"/>
  <c r="BV110" i="12"/>
  <c r="BW110" i="12"/>
  <c r="BX110" i="12"/>
  <c r="BY110" i="12"/>
  <c r="CA110" i="12"/>
  <c r="CB110" i="12"/>
  <c r="CG110" i="12"/>
  <c r="CH110" i="12"/>
  <c r="CI110" i="12"/>
  <c r="CJ110" i="12"/>
  <c r="CU110" i="12"/>
  <c r="K111" i="12"/>
  <c r="Q109" i="12" s="1"/>
  <c r="Q111" i="12" s="1"/>
  <c r="AN110" i="12"/>
  <c r="AY110" i="12"/>
  <c r="BG110" i="12"/>
  <c r="CM110" i="12"/>
  <c r="CO110" i="12"/>
  <c r="CP110" i="12"/>
  <c r="E127" i="12"/>
  <c r="G127" i="12"/>
  <c r="I127" i="12"/>
  <c r="K127" i="12"/>
  <c r="M127" i="12"/>
  <c r="S127" i="12"/>
  <c r="Y127" i="12"/>
  <c r="AE127" i="12"/>
  <c r="AK127" i="12"/>
  <c r="AW127" i="12"/>
  <c r="BC127" i="12"/>
  <c r="BI127" i="12"/>
  <c r="BO127" i="12"/>
  <c r="BU127" i="12"/>
  <c r="BU128" i="12" s="1"/>
  <c r="CA127" i="12"/>
  <c r="CA128" i="12" s="1"/>
  <c r="CG127" i="12"/>
  <c r="CG128" i="12" s="1"/>
  <c r="CM127" i="12"/>
  <c r="CM128" i="12" s="1"/>
  <c r="CS127" i="12"/>
  <c r="CS128" i="12" s="1"/>
  <c r="DB127" i="12"/>
  <c r="CS131" i="12" l="1"/>
  <c r="CS130" i="12"/>
  <c r="CP105" i="12"/>
  <c r="DQ117" i="12"/>
  <c r="DQ114" i="12"/>
  <c r="S105" i="12"/>
  <c r="S106" i="12" s="1"/>
  <c r="T103" i="12"/>
  <c r="DR65" i="12"/>
  <c r="DR116" i="12" s="1"/>
  <c r="BC128" i="12"/>
  <c r="CS110" i="12"/>
  <c r="M128" i="12"/>
  <c r="K128" i="12"/>
  <c r="CN9" i="134"/>
  <c r="CO9" i="134" s="1"/>
  <c r="CP9" i="134" s="1"/>
  <c r="CS9" i="134"/>
  <c r="S128" i="12"/>
  <c r="Z103" i="12"/>
  <c r="CT100" i="12"/>
  <c r="CI105" i="12"/>
  <c r="U103" i="12"/>
  <c r="S103" i="12"/>
  <c r="AO103" i="12"/>
  <c r="M103" i="12"/>
  <c r="BA110" i="12"/>
  <c r="O103" i="12"/>
  <c r="V101" i="12"/>
  <c r="V103" i="12" s="1"/>
  <c r="G100" i="12"/>
  <c r="CT103" i="12"/>
  <c r="BD103" i="12"/>
  <c r="AR103" i="12"/>
  <c r="AC99" i="12"/>
  <c r="AC100" i="12" s="1"/>
  <c r="BY105" i="12"/>
  <c r="O99" i="12"/>
  <c r="CN110" i="12"/>
  <c r="CN105" i="12" s="1"/>
  <c r="CK110" i="12"/>
  <c r="AU110" i="12"/>
  <c r="BO103" i="12"/>
  <c r="BO128" i="12"/>
  <c r="BL99" i="12"/>
  <c r="BL100" i="12" s="1"/>
  <c r="BK103" i="12"/>
  <c r="BJ99" i="12"/>
  <c r="BJ100" i="12" s="1"/>
  <c r="BI103" i="12"/>
  <c r="BI128" i="12"/>
  <c r="AZ99" i="12"/>
  <c r="AZ100" i="12" s="1"/>
  <c r="AY103" i="12"/>
  <c r="AX99" i="12"/>
  <c r="AX100" i="12" s="1"/>
  <c r="AW103" i="12"/>
  <c r="AW128" i="12"/>
  <c r="AK99" i="12"/>
  <c r="AO99" i="12" s="1"/>
  <c r="AO100" i="12" s="1"/>
  <c r="AN100" i="12" s="1"/>
  <c r="AH101" i="12"/>
  <c r="AB99" i="12"/>
  <c r="AA103" i="12"/>
  <c r="Z99" i="12"/>
  <c r="Y103" i="12"/>
  <c r="Y128" i="12"/>
  <c r="K100" i="12"/>
  <c r="M99" i="12"/>
  <c r="Q99" i="12"/>
  <c r="Q100" i="12" s="1"/>
  <c r="U100" i="12"/>
  <c r="U105" i="12" s="1"/>
  <c r="T105" i="12"/>
  <c r="I99" i="12"/>
  <c r="I100" i="12" s="1"/>
  <c r="CO105" i="12"/>
  <c r="CJ105" i="12"/>
  <c r="CH105" i="12"/>
  <c r="BC106" i="12"/>
  <c r="Q103" i="12"/>
  <c r="W109" i="12"/>
  <c r="W111" i="12" s="1"/>
  <c r="CC110" i="12"/>
  <c r="CC105" i="12" s="1"/>
  <c r="BS105" i="12"/>
  <c r="BM105" i="12"/>
  <c r="BG105" i="12"/>
  <c r="K103" i="12"/>
  <c r="BE100" i="12"/>
  <c r="AS100" i="12"/>
  <c r="AQ100" i="12"/>
  <c r="AE99" i="12"/>
  <c r="AI99" i="12"/>
  <c r="AI100" i="12" s="1"/>
  <c r="AB101" i="12"/>
  <c r="E100" i="12"/>
  <c r="BP99" i="12"/>
  <c r="BP100" i="12" s="1"/>
  <c r="BK99" i="12"/>
  <c r="BK100" i="12" s="1"/>
  <c r="BF99" i="12"/>
  <c r="BF100" i="12" s="1"/>
  <c r="AR99" i="12"/>
  <c r="AR100" i="12" s="1"/>
  <c r="S99" i="12"/>
  <c r="W99" i="12"/>
  <c r="W100" i="12" s="1"/>
  <c r="P101" i="12"/>
  <c r="CU99" i="12"/>
  <c r="CU100" i="12" s="1"/>
  <c r="CU105" i="12" s="1"/>
  <c r="BD99" i="12"/>
  <c r="BD100" i="12" s="1"/>
  <c r="AY99" i="12"/>
  <c r="AY100" i="12" s="1"/>
  <c r="AT99" i="12"/>
  <c r="AT100" i="12" s="1"/>
  <c r="DR117" i="12" l="1"/>
  <c r="DR114" i="12"/>
  <c r="DS65" i="12"/>
  <c r="DS116" i="12" s="1"/>
  <c r="CT9" i="134"/>
  <c r="CU9" i="134" s="1"/>
  <c r="CV9" i="134" s="1"/>
  <c r="CY9" i="134"/>
  <c r="CZ9" i="134" s="1"/>
  <c r="DA9" i="134" s="1"/>
  <c r="DB9" i="134" s="1"/>
  <c r="M100" i="12"/>
  <c r="N100" i="12" s="1"/>
  <c r="Q105" i="12"/>
  <c r="CQ110" i="12"/>
  <c r="AK101" i="12"/>
  <c r="AH100" i="12"/>
  <c r="AI105" i="12"/>
  <c r="V100" i="12"/>
  <c r="V105" i="12" s="1"/>
  <c r="W105" i="12"/>
  <c r="P103" i="12"/>
  <c r="AB103" i="12"/>
  <c r="CT110" i="12"/>
  <c r="AC105" i="12"/>
  <c r="Y100" i="12"/>
  <c r="AU100" i="12"/>
  <c r="AU101" i="12" s="1"/>
  <c r="AC109" i="12"/>
  <c r="AC111" i="12" s="1"/>
  <c r="W103" i="12"/>
  <c r="DS117" i="12" l="1"/>
  <c r="DS114" i="12"/>
  <c r="M105" i="12"/>
  <c r="M106" i="12" s="1"/>
  <c r="DT65" i="12"/>
  <c r="DT116" i="12" s="1"/>
  <c r="AL99" i="12"/>
  <c r="AL101" i="12" s="1"/>
  <c r="AK128" i="12"/>
  <c r="AK103" i="12"/>
  <c r="Z100" i="12"/>
  <c r="Y105" i="12"/>
  <c r="Y106" i="12" s="1"/>
  <c r="AW99" i="12"/>
  <c r="AU103" i="12"/>
  <c r="CV110" i="12"/>
  <c r="AC103" i="12"/>
  <c r="AE109" i="12"/>
  <c r="AE111" i="12" s="1"/>
  <c r="AF109" i="12" s="1"/>
  <c r="AF111" i="12" s="1"/>
  <c r="O100" i="12"/>
  <c r="N105" i="12"/>
  <c r="CT105" i="12"/>
  <c r="AG100" i="12"/>
  <c r="AH105" i="12"/>
  <c r="DT117" i="12" l="1"/>
  <c r="DT114" i="12"/>
  <c r="DU114" i="12" s="1"/>
  <c r="CW110" i="12"/>
  <c r="CV105" i="12"/>
  <c r="DU65" i="12"/>
  <c r="AM99" i="12"/>
  <c r="AM101" i="12" s="1"/>
  <c r="AL103" i="12"/>
  <c r="AF100" i="12"/>
  <c r="AG105" i="12"/>
  <c r="AG101" i="12"/>
  <c r="CZ114" i="12"/>
  <c r="P100" i="12"/>
  <c r="P105" i="12" s="1"/>
  <c r="O105" i="12"/>
  <c r="BA99" i="12"/>
  <c r="AW100" i="12"/>
  <c r="BA100" i="12" s="1"/>
  <c r="AF103" i="12"/>
  <c r="AG109" i="12"/>
  <c r="AG111" i="12" s="1"/>
  <c r="AA100" i="12"/>
  <c r="Z105" i="12"/>
  <c r="DU116" i="12" l="1"/>
  <c r="DU117" i="12" s="1"/>
  <c r="DW65" i="12"/>
  <c r="CZ110" i="12"/>
  <c r="CZ105" i="12" s="1"/>
  <c r="AM103" i="12"/>
  <c r="AN99" i="12"/>
  <c r="AN101" i="12" s="1"/>
  <c r="AN103" i="12" s="1"/>
  <c r="BA101" i="12"/>
  <c r="AB100" i="12"/>
  <c r="AB105" i="12" s="1"/>
  <c r="AA105" i="12"/>
  <c r="AH109" i="12"/>
  <c r="AH111" i="12" s="1"/>
  <c r="AH103" i="12" s="1"/>
  <c r="AI109" i="12"/>
  <c r="AI111" i="12" s="1"/>
  <c r="DA114" i="12"/>
  <c r="DB110" i="12"/>
  <c r="AH99" i="12"/>
  <c r="AG103" i="12"/>
  <c r="AE100" i="12"/>
  <c r="AF105" i="12"/>
  <c r="DX65" i="12" l="1"/>
  <c r="DW116" i="12"/>
  <c r="DA110" i="12"/>
  <c r="DA105" i="12" s="1"/>
  <c r="DC114" i="12"/>
  <c r="AE105" i="12"/>
  <c r="AE106" i="12" s="1"/>
  <c r="AE101" i="12"/>
  <c r="DB103" i="12"/>
  <c r="DB128" i="12"/>
  <c r="AK109" i="12"/>
  <c r="AI103" i="12"/>
  <c r="BC99" i="12"/>
  <c r="BC100" i="12" s="1"/>
  <c r="BG100" i="12" s="1"/>
  <c r="BG99" i="12"/>
  <c r="BA103" i="12"/>
  <c r="DW114" i="12" l="1"/>
  <c r="DW117" i="12"/>
  <c r="DX116" i="12"/>
  <c r="DY65" i="12"/>
  <c r="DC110" i="12"/>
  <c r="AO109" i="12"/>
  <c r="AO111" i="12" s="1"/>
  <c r="AQ109" i="12" s="1"/>
  <c r="AK111" i="12"/>
  <c r="AL109" i="12" s="1"/>
  <c r="AL111" i="12" s="1"/>
  <c r="AM109" i="12" s="1"/>
  <c r="AM111" i="12" s="1"/>
  <c r="AN109" i="12" s="1"/>
  <c r="AN111" i="12" s="1"/>
  <c r="BG101" i="12"/>
  <c r="AF99" i="12"/>
  <c r="AE128" i="12"/>
  <c r="AE103" i="12"/>
  <c r="DX117" i="12" l="1"/>
  <c r="DX114" i="12"/>
  <c r="DX110" i="12" s="1"/>
  <c r="DX100" i="12" s="1"/>
  <c r="DW110" i="12"/>
  <c r="DW100" i="12" s="1"/>
  <c r="DY116" i="12"/>
  <c r="DZ65" i="12"/>
  <c r="BI99" i="12"/>
  <c r="BI100" i="12" s="1"/>
  <c r="BM100" i="12" s="1"/>
  <c r="BM99" i="12"/>
  <c r="BG103" i="12"/>
  <c r="AQ111" i="12"/>
  <c r="AR109" i="12" s="1"/>
  <c r="AR111" i="12" s="1"/>
  <c r="AS109" i="12" s="1"/>
  <c r="AS111" i="12" s="1"/>
  <c r="AT109" i="12" s="1"/>
  <c r="AT111" i="12" s="1"/>
  <c r="AU109" i="12"/>
  <c r="AU111" i="12" s="1"/>
  <c r="EA65" i="12" l="1"/>
  <c r="EC65" i="12" s="1"/>
  <c r="DZ116" i="12"/>
  <c r="DY117" i="12"/>
  <c r="DY114" i="12"/>
  <c r="BM101" i="12"/>
  <c r="BO99" i="12" s="1"/>
  <c r="BO100" i="12" s="1"/>
  <c r="BS100" i="12" s="1"/>
  <c r="AW109" i="12"/>
  <c r="AW111" i="12" s="1"/>
  <c r="AX109" i="12" s="1"/>
  <c r="AX111" i="12" s="1"/>
  <c r="AY109" i="12" s="1"/>
  <c r="AY111" i="12" s="1"/>
  <c r="AZ109" i="12" s="1"/>
  <c r="AZ111" i="12" s="1"/>
  <c r="BA109" i="12"/>
  <c r="BA111" i="12" s="1"/>
  <c r="ED65" i="12" l="1"/>
  <c r="EC116" i="12"/>
  <c r="EA116" i="12"/>
  <c r="EA117" i="12" s="1"/>
  <c r="DY110" i="12"/>
  <c r="DY100" i="12" s="1"/>
  <c r="DZ114" i="12"/>
  <c r="DZ110" i="12" s="1"/>
  <c r="DZ100" i="12" s="1"/>
  <c r="DZ117" i="12"/>
  <c r="BS99" i="12"/>
  <c r="BS101" i="12" s="1"/>
  <c r="BM103" i="12"/>
  <c r="BC109" i="12"/>
  <c r="BC111" i="12" s="1"/>
  <c r="BD109" i="12" s="1"/>
  <c r="BD111" i="12" s="1"/>
  <c r="BE109" i="12" s="1"/>
  <c r="BE111" i="12" s="1"/>
  <c r="BF109" i="12" s="1"/>
  <c r="BF111" i="12" s="1"/>
  <c r="BG109" i="12"/>
  <c r="BG111" i="12" s="1"/>
  <c r="EC114" i="12" l="1"/>
  <c r="EC117" i="12"/>
  <c r="EE65" i="12"/>
  <c r="ED116" i="12"/>
  <c r="EA114" i="12"/>
  <c r="EA110" i="12" s="1"/>
  <c r="BI109" i="12"/>
  <c r="BI111" i="12" s="1"/>
  <c r="BJ109" i="12" s="1"/>
  <c r="BJ111" i="12" s="1"/>
  <c r="BK109" i="12" s="1"/>
  <c r="BK111" i="12" s="1"/>
  <c r="BL109" i="12" s="1"/>
  <c r="BL111" i="12" s="1"/>
  <c r="BM109" i="12"/>
  <c r="BM111" i="12" s="1"/>
  <c r="BU99" i="12"/>
  <c r="BU100" i="12" s="1"/>
  <c r="BY100" i="12" s="1"/>
  <c r="BY99" i="12"/>
  <c r="BS103" i="12"/>
  <c r="ED114" i="12" l="1"/>
  <c r="ED110" i="12" s="1"/>
  <c r="ED100" i="12" s="1"/>
  <c r="ED117" i="12"/>
  <c r="EE116" i="12"/>
  <c r="EF65" i="12"/>
  <c r="EC110" i="12"/>
  <c r="EC100" i="12" s="1"/>
  <c r="BY101" i="12"/>
  <c r="CA99" i="12" s="1"/>
  <c r="CA100" i="12" s="1"/>
  <c r="BO109" i="12"/>
  <c r="BO111" i="12" s="1"/>
  <c r="BP109" i="12" s="1"/>
  <c r="BP111" i="12" s="1"/>
  <c r="BQ109" i="12" s="1"/>
  <c r="BQ111" i="12" s="1"/>
  <c r="BR109" i="12" s="1"/>
  <c r="BR111" i="12" s="1"/>
  <c r="BS109" i="12"/>
  <c r="BS111" i="12" s="1"/>
  <c r="EE114" i="12" l="1"/>
  <c r="EE117" i="12"/>
  <c r="EF116" i="12"/>
  <c r="EG65" i="12"/>
  <c r="EG116" i="12" s="1"/>
  <c r="EG117" i="12" s="1"/>
  <c r="CE99" i="12"/>
  <c r="BY103" i="12"/>
  <c r="BU109" i="12"/>
  <c r="BU111" i="12" s="1"/>
  <c r="BV109" i="12" s="1"/>
  <c r="BV111" i="12" s="1"/>
  <c r="BW109" i="12" s="1"/>
  <c r="BW111" i="12" s="1"/>
  <c r="BX109" i="12" s="1"/>
  <c r="BX111" i="12" s="1"/>
  <c r="BY109" i="12"/>
  <c r="BY111" i="12" s="1"/>
  <c r="CE100" i="12"/>
  <c r="CA105" i="12"/>
  <c r="CE101" i="12" l="1"/>
  <c r="CE103" i="12" s="1"/>
  <c r="EF117" i="12"/>
  <c r="EF114" i="12"/>
  <c r="EF110" i="12" s="1"/>
  <c r="EF100" i="12" s="1"/>
  <c r="EE110" i="12"/>
  <c r="EE100" i="12" s="1"/>
  <c r="CA106" i="12"/>
  <c r="CA109" i="12"/>
  <c r="CA111" i="12" s="1"/>
  <c r="CB109" i="12" s="1"/>
  <c r="CB111" i="12" s="1"/>
  <c r="CC109" i="12" s="1"/>
  <c r="CC111" i="12" s="1"/>
  <c r="CD109" i="12" s="1"/>
  <c r="CE109" i="12"/>
  <c r="EG114" i="12" l="1"/>
  <c r="EG110" i="12" s="1"/>
  <c r="CK99" i="12"/>
  <c r="CG99" i="12"/>
  <c r="CG100" i="12" s="1"/>
  <c r="CG105" i="12" s="1"/>
  <c r="CK105" i="12" s="1"/>
  <c r="CG106" i="12" l="1"/>
  <c r="CK100" i="12"/>
  <c r="CK101" i="12" s="1"/>
  <c r="CM99" i="12" l="1"/>
  <c r="CM100" i="12" s="1"/>
  <c r="CQ99" i="12"/>
  <c r="CK103" i="12"/>
  <c r="CQ100" i="12" l="1"/>
  <c r="CQ101" i="12" s="1"/>
  <c r="CM105" i="12"/>
  <c r="CQ105" i="12" l="1"/>
  <c r="CM106" i="12"/>
  <c r="CS99" i="12"/>
  <c r="CS100" i="12" s="1"/>
  <c r="CW99" i="12"/>
  <c r="CQ103" i="12"/>
  <c r="CS105" i="12" l="1"/>
  <c r="CW100" i="12"/>
  <c r="CW101" i="12" s="1"/>
  <c r="CY99" i="12" s="1"/>
  <c r="CY100" i="12" s="1"/>
  <c r="CY105" i="12" s="1"/>
  <c r="CY106" i="12" s="1"/>
  <c r="CW103" i="12" l="1"/>
  <c r="CW105" i="12"/>
  <c r="CS106" i="12"/>
  <c r="DC100" i="12" l="1"/>
  <c r="P44" i="12"/>
  <c r="P46" i="12"/>
  <c r="Q46" i="12" s="1"/>
  <c r="P45" i="12"/>
  <c r="Q45" i="12" s="1"/>
  <c r="P36" i="12"/>
  <c r="Q36" i="12" s="1"/>
  <c r="P33" i="12"/>
  <c r="Q33" i="12" s="1"/>
  <c r="P35" i="12"/>
  <c r="Q35" i="12" s="1"/>
  <c r="P34" i="12"/>
  <c r="Q34" i="12" s="1"/>
  <c r="P19" i="12"/>
  <c r="Q19" i="12" s="1"/>
  <c r="P20" i="12"/>
  <c r="Q20" i="12" s="1"/>
  <c r="P18" i="12"/>
  <c r="Q18" i="12" s="1"/>
  <c r="P17" i="12"/>
  <c r="Q17" i="12" s="1"/>
  <c r="V46" i="12"/>
  <c r="W46" i="12" s="1"/>
  <c r="V45" i="12"/>
  <c r="W45" i="12" s="1"/>
  <c r="V44" i="12"/>
  <c r="W44" i="12" s="1"/>
  <c r="V36" i="12"/>
  <c r="W36" i="12" s="1"/>
  <c r="V33" i="12"/>
  <c r="W33" i="12" s="1"/>
  <c r="V19" i="12"/>
  <c r="W19" i="12" s="1"/>
  <c r="V20" i="12"/>
  <c r="W20" i="12" s="1"/>
  <c r="V18" i="12"/>
  <c r="W18" i="12" s="1"/>
  <c r="V17" i="12"/>
  <c r="W17" i="12" s="1"/>
  <c r="AB46" i="12"/>
  <c r="AC46" i="12" s="1"/>
  <c r="AB45" i="12"/>
  <c r="AC45" i="12" s="1"/>
  <c r="AB44" i="12"/>
  <c r="AC44" i="12" s="1"/>
  <c r="AB36" i="12"/>
  <c r="AC36" i="12" s="1"/>
  <c r="AB33" i="12"/>
  <c r="AC33" i="12" s="1"/>
  <c r="AB19" i="12"/>
  <c r="AC19" i="12" s="1"/>
  <c r="AB20" i="12"/>
  <c r="AC20" i="12" s="1"/>
  <c r="AB18" i="12"/>
  <c r="AC18" i="12" s="1"/>
  <c r="AB17" i="12"/>
  <c r="AC17" i="12" s="1"/>
  <c r="Y38" i="12" l="1"/>
  <c r="Y61" i="12"/>
  <c r="Y64" i="12" s="1"/>
  <c r="S38" i="12"/>
  <c r="S61" i="12"/>
  <c r="S64" i="12" s="1"/>
  <c r="M38" i="12"/>
  <c r="M61" i="12"/>
  <c r="M64" i="12" s="1"/>
  <c r="AE76" i="12"/>
  <c r="AH46" i="12"/>
  <c r="AI46" i="12" s="1"/>
  <c r="AH45" i="12"/>
  <c r="AI45" i="12" s="1"/>
  <c r="AH44" i="12"/>
  <c r="AI44" i="12" s="1"/>
  <c r="AH36" i="12"/>
  <c r="AI36" i="12" s="1"/>
  <c r="AH33" i="12"/>
  <c r="AI33" i="12" s="1"/>
  <c r="AH35" i="12"/>
  <c r="AI35" i="12" s="1"/>
  <c r="AH19" i="12"/>
  <c r="AI19" i="12" s="1"/>
  <c r="AH20" i="12"/>
  <c r="AI20" i="12" s="1"/>
  <c r="AH18" i="12"/>
  <c r="AI18" i="12" s="1"/>
  <c r="AH17" i="12"/>
  <c r="AI17" i="12" s="1"/>
  <c r="AK76" i="12"/>
  <c r="AN46" i="12"/>
  <c r="AO46" i="12" s="1"/>
  <c r="AN45" i="12"/>
  <c r="AO45" i="12" s="1"/>
  <c r="AN36" i="12"/>
  <c r="AO36" i="12" s="1"/>
  <c r="AN33" i="12"/>
  <c r="AO33" i="12" s="1"/>
  <c r="AN32" i="12"/>
  <c r="AN147" i="11" s="1"/>
  <c r="AO147" i="11" s="1"/>
  <c r="AN19" i="12"/>
  <c r="AO19" i="12" s="1"/>
  <c r="AN18" i="12"/>
  <c r="AO18" i="12" s="1"/>
  <c r="AN17" i="12"/>
  <c r="AO17" i="12" s="1"/>
  <c r="AQ76" i="12"/>
  <c r="AT36" i="12"/>
  <c r="AU36" i="12" s="1"/>
  <c r="AT33" i="12"/>
  <c r="AU33" i="12" s="1"/>
  <c r="AT32" i="12"/>
  <c r="AT147" i="11" s="1"/>
  <c r="AU147" i="11" s="1"/>
  <c r="AT19" i="12"/>
  <c r="AU19" i="12" s="1"/>
  <c r="AT20" i="12"/>
  <c r="AU20" i="12" s="1"/>
  <c r="AT18" i="12"/>
  <c r="AU18" i="12" s="1"/>
  <c r="AT17" i="12"/>
  <c r="AU17" i="12" s="1"/>
  <c r="AW76" i="12"/>
  <c r="BA46" i="12"/>
  <c r="BA45" i="12"/>
  <c r="AZ36" i="12"/>
  <c r="BA36" i="12" s="1"/>
  <c r="AZ33" i="12"/>
  <c r="BA33" i="12" s="1"/>
  <c r="AZ19" i="12"/>
  <c r="BA19" i="12" s="1"/>
  <c r="AZ18" i="12"/>
  <c r="BA18" i="12" s="1"/>
  <c r="AZ17" i="12"/>
  <c r="BA17" i="12" s="1"/>
  <c r="BC76" i="12"/>
  <c r="BG45" i="12"/>
  <c r="BG18" i="12"/>
  <c r="BG17" i="12"/>
  <c r="BM46" i="12"/>
  <c r="BM45" i="12"/>
  <c r="BM44" i="12"/>
  <c r="BM33" i="12"/>
  <c r="BL35" i="12"/>
  <c r="BL19" i="12"/>
  <c r="BM19" i="12" s="1"/>
  <c r="BL20" i="12"/>
  <c r="BM20" i="12" s="1"/>
  <c r="BL18" i="12"/>
  <c r="BM18" i="12" s="1"/>
  <c r="BL17" i="12"/>
  <c r="BM17" i="12" s="1"/>
  <c r="BS46" i="12"/>
  <c r="BS45" i="12"/>
  <c r="BS44" i="12"/>
  <c r="BS43" i="12"/>
  <c r="CE46" i="12"/>
  <c r="CE45" i="12"/>
  <c r="CK46" i="12"/>
  <c r="CK45" i="12"/>
  <c r="CK43" i="12"/>
  <c r="CQ43" i="12"/>
  <c r="CW17" i="12"/>
  <c r="CW45" i="12"/>
  <c r="CW44" i="12"/>
  <c r="CW43" i="12"/>
  <c r="E188" i="11"/>
  <c r="E187" i="11"/>
  <c r="E186" i="11"/>
  <c r="E185" i="11"/>
  <c r="E184" i="11"/>
  <c r="E181" i="11"/>
  <c r="E180" i="11"/>
  <c r="E179" i="11"/>
  <c r="E178" i="11"/>
  <c r="E177" i="11"/>
  <c r="E176" i="11"/>
  <c r="E175" i="11"/>
  <c r="E174" i="11"/>
  <c r="G188" i="11"/>
  <c r="G187" i="11"/>
  <c r="G186" i="11"/>
  <c r="G185" i="11"/>
  <c r="G184" i="11"/>
  <c r="G181" i="11"/>
  <c r="G180" i="11"/>
  <c r="G179" i="11"/>
  <c r="G178" i="11"/>
  <c r="G177" i="11"/>
  <c r="G176" i="11"/>
  <c r="G175" i="11"/>
  <c r="G174" i="11"/>
  <c r="I188" i="11"/>
  <c r="I187" i="11"/>
  <c r="I186" i="11"/>
  <c r="I185" i="11"/>
  <c r="I184" i="11"/>
  <c r="I181" i="11"/>
  <c r="I180" i="11"/>
  <c r="I179" i="11"/>
  <c r="I178" i="11"/>
  <c r="I177" i="11"/>
  <c r="I176" i="11"/>
  <c r="I175" i="11"/>
  <c r="I174" i="11"/>
  <c r="K188" i="11"/>
  <c r="K187" i="11"/>
  <c r="K186" i="11"/>
  <c r="K185" i="11"/>
  <c r="K184" i="11"/>
  <c r="K181" i="11"/>
  <c r="K180" i="11"/>
  <c r="K179" i="11"/>
  <c r="K178" i="11"/>
  <c r="K177" i="11"/>
  <c r="K176" i="11"/>
  <c r="K175" i="11"/>
  <c r="K174" i="11"/>
  <c r="P188" i="11"/>
  <c r="O188" i="11"/>
  <c r="N188" i="11"/>
  <c r="M188" i="11"/>
  <c r="P187" i="11"/>
  <c r="O187" i="11"/>
  <c r="N187" i="11"/>
  <c r="M187" i="11"/>
  <c r="P186" i="11"/>
  <c r="O186" i="11"/>
  <c r="N186" i="11"/>
  <c r="M186" i="11"/>
  <c r="P185" i="11"/>
  <c r="O185" i="11"/>
  <c r="N185" i="11"/>
  <c r="M185" i="11"/>
  <c r="P184" i="11"/>
  <c r="O184" i="11"/>
  <c r="N184" i="11"/>
  <c r="M184" i="11"/>
  <c r="P181" i="11"/>
  <c r="O181" i="11"/>
  <c r="N181" i="11"/>
  <c r="M181" i="11"/>
  <c r="P180" i="11"/>
  <c r="O180" i="11"/>
  <c r="N180" i="11"/>
  <c r="M180" i="11"/>
  <c r="P179" i="11"/>
  <c r="O179" i="11"/>
  <c r="N179" i="11"/>
  <c r="M179" i="11"/>
  <c r="P178" i="11"/>
  <c r="O178" i="11"/>
  <c r="N178" i="11"/>
  <c r="M178" i="11"/>
  <c r="P177" i="11"/>
  <c r="O177" i="11"/>
  <c r="N177" i="11"/>
  <c r="M177" i="11"/>
  <c r="P176" i="11"/>
  <c r="O176" i="11"/>
  <c r="N176" i="11"/>
  <c r="M176" i="11"/>
  <c r="P175" i="11"/>
  <c r="O175" i="11"/>
  <c r="N175" i="11"/>
  <c r="M175" i="11"/>
  <c r="P174" i="11"/>
  <c r="O174" i="11"/>
  <c r="N174" i="11"/>
  <c r="M174" i="11"/>
  <c r="V188" i="11"/>
  <c r="U188" i="11"/>
  <c r="T188" i="11"/>
  <c r="S188" i="11"/>
  <c r="V187" i="11"/>
  <c r="U187" i="11"/>
  <c r="T187" i="11"/>
  <c r="S187" i="11"/>
  <c r="V186" i="11"/>
  <c r="U186" i="11"/>
  <c r="T186" i="11"/>
  <c r="S186" i="11"/>
  <c r="V185" i="11"/>
  <c r="U185" i="11"/>
  <c r="T185" i="11"/>
  <c r="S185" i="11"/>
  <c r="V184" i="11"/>
  <c r="U184" i="11"/>
  <c r="T184" i="11"/>
  <c r="S184" i="11"/>
  <c r="V181" i="11"/>
  <c r="U181" i="11"/>
  <c r="T181" i="11"/>
  <c r="S181" i="11"/>
  <c r="V180" i="11"/>
  <c r="U180" i="11"/>
  <c r="T180" i="11"/>
  <c r="S180" i="11"/>
  <c r="V179" i="11"/>
  <c r="U179" i="11"/>
  <c r="T179" i="11"/>
  <c r="S179" i="11"/>
  <c r="V178" i="11"/>
  <c r="U178" i="11"/>
  <c r="T178" i="11"/>
  <c r="S178" i="11"/>
  <c r="V177" i="11"/>
  <c r="U177" i="11"/>
  <c r="T177" i="11"/>
  <c r="S177" i="11"/>
  <c r="V176" i="11"/>
  <c r="U176" i="11"/>
  <c r="T176" i="11"/>
  <c r="S176" i="11"/>
  <c r="V175" i="11"/>
  <c r="U175" i="11"/>
  <c r="T175" i="11"/>
  <c r="S175" i="11"/>
  <c r="V174" i="11"/>
  <c r="U174" i="11"/>
  <c r="T174" i="11"/>
  <c r="S174" i="11"/>
  <c r="AB188" i="11"/>
  <c r="AA188" i="11"/>
  <c r="Z188" i="11"/>
  <c r="Y188" i="11"/>
  <c r="AB187" i="11"/>
  <c r="AA187" i="11"/>
  <c r="Z187" i="11"/>
  <c r="Y187" i="11"/>
  <c r="AB186" i="11"/>
  <c r="AA186" i="11"/>
  <c r="Z186" i="11"/>
  <c r="Y186" i="11"/>
  <c r="AB185" i="11"/>
  <c r="AA185" i="11"/>
  <c r="Z185" i="11"/>
  <c r="Y185" i="11"/>
  <c r="AB184" i="11"/>
  <c r="AA184" i="11"/>
  <c r="Z184" i="11"/>
  <c r="Y184" i="11"/>
  <c r="AB181" i="11"/>
  <c r="Z181" i="11"/>
  <c r="Y181" i="11"/>
  <c r="AB180" i="11"/>
  <c r="AA180" i="11"/>
  <c r="Z180" i="11"/>
  <c r="Y180" i="11"/>
  <c r="AB179" i="11"/>
  <c r="AA179" i="11"/>
  <c r="Z179" i="11"/>
  <c r="Y179" i="11"/>
  <c r="AB178" i="11"/>
  <c r="AA178" i="11"/>
  <c r="Z178" i="11"/>
  <c r="Y178" i="11"/>
  <c r="AB177" i="11"/>
  <c r="AA177" i="11"/>
  <c r="Z177" i="11"/>
  <c r="Y177" i="11"/>
  <c r="AB176" i="11"/>
  <c r="AA176" i="11"/>
  <c r="Z176" i="11"/>
  <c r="Y176" i="11"/>
  <c r="AB175" i="11"/>
  <c r="AA175" i="11"/>
  <c r="Z175" i="11"/>
  <c r="Y175" i="11"/>
  <c r="AB174" i="11"/>
  <c r="AA174" i="11"/>
  <c r="Z174" i="11"/>
  <c r="Y174" i="11"/>
  <c r="AH188" i="11"/>
  <c r="AG188" i="11"/>
  <c r="AF188" i="11"/>
  <c r="AE188" i="11"/>
  <c r="AH187" i="11"/>
  <c r="AG187" i="11"/>
  <c r="AF187" i="11"/>
  <c r="AE187" i="11"/>
  <c r="AH186" i="11"/>
  <c r="AG186" i="11"/>
  <c r="AF186" i="11"/>
  <c r="AE186" i="11"/>
  <c r="AH185" i="11"/>
  <c r="AG185" i="11"/>
  <c r="AF185" i="11"/>
  <c r="AE185" i="11"/>
  <c r="AH184" i="11"/>
  <c r="AG184" i="11"/>
  <c r="AF184" i="11"/>
  <c r="AE184" i="11"/>
  <c r="AH181" i="11"/>
  <c r="AH180" i="11"/>
  <c r="AG180" i="11"/>
  <c r="AF180" i="11"/>
  <c r="AE180" i="11"/>
  <c r="AH179" i="11"/>
  <c r="AG179" i="11"/>
  <c r="AF179" i="11"/>
  <c r="AE179" i="11"/>
  <c r="AH178" i="11"/>
  <c r="AG178" i="11"/>
  <c r="AF178" i="11"/>
  <c r="AE178" i="11"/>
  <c r="AH177" i="11"/>
  <c r="AG177" i="11"/>
  <c r="AF177" i="11"/>
  <c r="AE177" i="11"/>
  <c r="AH176" i="11"/>
  <c r="AG176" i="11"/>
  <c r="AF176" i="11"/>
  <c r="AE176" i="11"/>
  <c r="AH175" i="11"/>
  <c r="AG175" i="11"/>
  <c r="AF175" i="11"/>
  <c r="AE175" i="11"/>
  <c r="AH174" i="11"/>
  <c r="AG174" i="11"/>
  <c r="AF174" i="11"/>
  <c r="AE174" i="11"/>
  <c r="AN188" i="11"/>
  <c r="AM188" i="11"/>
  <c r="AL188" i="11"/>
  <c r="AK188" i="11"/>
  <c r="AN187" i="11"/>
  <c r="AM187" i="11"/>
  <c r="AK187" i="11"/>
  <c r="AN186" i="11"/>
  <c r="AM186" i="11"/>
  <c r="AN185" i="11"/>
  <c r="AM185" i="11"/>
  <c r="AL185" i="11"/>
  <c r="AK185" i="11"/>
  <c r="AN184" i="11"/>
  <c r="AM184" i="11"/>
  <c r="AL184" i="11"/>
  <c r="AK184" i="11"/>
  <c r="AN180" i="11"/>
  <c r="AM180" i="11"/>
  <c r="AL180" i="11"/>
  <c r="AK180" i="11"/>
  <c r="AN179" i="11"/>
  <c r="AM179" i="11"/>
  <c r="AN178" i="11"/>
  <c r="AM178" i="11"/>
  <c r="AL178" i="11"/>
  <c r="AK178" i="11"/>
  <c r="AN177" i="11"/>
  <c r="AM177" i="11"/>
  <c r="AL177" i="11"/>
  <c r="AK177" i="11"/>
  <c r="AN176" i="11"/>
  <c r="AM176" i="11"/>
  <c r="AK176" i="11"/>
  <c r="AN175" i="11"/>
  <c r="AM175" i="11"/>
  <c r="AL175" i="11"/>
  <c r="AK175" i="11"/>
  <c r="AN174" i="11"/>
  <c r="AM174" i="11"/>
  <c r="AL174" i="11"/>
  <c r="AK174" i="11"/>
  <c r="AT188" i="11"/>
  <c r="AS188" i="11"/>
  <c r="AR188" i="11"/>
  <c r="AQ188" i="11"/>
  <c r="AT187" i="11"/>
  <c r="AR187" i="11"/>
  <c r="AT186" i="11"/>
  <c r="AS186" i="11"/>
  <c r="AR186" i="11"/>
  <c r="AT185" i="11"/>
  <c r="AS185" i="11"/>
  <c r="AR185" i="11"/>
  <c r="AQ185" i="11"/>
  <c r="AT184" i="11"/>
  <c r="AS184" i="11"/>
  <c r="AR184" i="11"/>
  <c r="AQ184" i="11"/>
  <c r="AT180" i="11"/>
  <c r="AS180" i="11"/>
  <c r="AR180" i="11"/>
  <c r="AQ180" i="11"/>
  <c r="AT179" i="11"/>
  <c r="AR179" i="11"/>
  <c r="AT178" i="11"/>
  <c r="AS178" i="11"/>
  <c r="AR178" i="11"/>
  <c r="AQ178" i="11"/>
  <c r="AT177" i="11"/>
  <c r="AS177" i="11"/>
  <c r="AR177" i="11"/>
  <c r="AQ177" i="11"/>
  <c r="AT176" i="11"/>
  <c r="AR176" i="11"/>
  <c r="AT175" i="11"/>
  <c r="AS175" i="11"/>
  <c r="AR175" i="11"/>
  <c r="AQ175" i="11"/>
  <c r="AT174" i="11"/>
  <c r="AS174" i="11"/>
  <c r="AR174" i="11"/>
  <c r="AQ174" i="11"/>
  <c r="AZ188" i="11"/>
  <c r="AY188" i="11"/>
  <c r="AX188" i="11"/>
  <c r="AW188" i="11"/>
  <c r="AZ187" i="11"/>
  <c r="AY187" i="11"/>
  <c r="AX187" i="11"/>
  <c r="AW187" i="11"/>
  <c r="AZ186" i="11"/>
  <c r="AY186" i="11"/>
  <c r="AX186" i="11"/>
  <c r="AW186" i="11"/>
  <c r="AZ185" i="11"/>
  <c r="AY185" i="11"/>
  <c r="AX185" i="11"/>
  <c r="AW185" i="11"/>
  <c r="AZ184" i="11"/>
  <c r="AY184" i="11"/>
  <c r="AX184" i="11"/>
  <c r="AW184" i="11"/>
  <c r="AZ180" i="11"/>
  <c r="AY180" i="11"/>
  <c r="AX180" i="11"/>
  <c r="AW180" i="11"/>
  <c r="AZ179" i="11"/>
  <c r="AX179" i="11"/>
  <c r="AW179" i="11"/>
  <c r="AZ178" i="11"/>
  <c r="AY178" i="11"/>
  <c r="AX178" i="11"/>
  <c r="AW178" i="11"/>
  <c r="AZ177" i="11"/>
  <c r="AY177" i="11"/>
  <c r="AX177" i="11"/>
  <c r="AW177" i="11"/>
  <c r="AZ176" i="11"/>
  <c r="AY176" i="11"/>
  <c r="AX176" i="11"/>
  <c r="AW176" i="11"/>
  <c r="AZ175" i="11"/>
  <c r="AY175" i="11"/>
  <c r="AX175" i="11"/>
  <c r="AW175" i="11"/>
  <c r="AZ174" i="11"/>
  <c r="AY174" i="11"/>
  <c r="AX174" i="11"/>
  <c r="AW174" i="11"/>
  <c r="BF188" i="11"/>
  <c r="BE188" i="11"/>
  <c r="BD188" i="11"/>
  <c r="BC188" i="11"/>
  <c r="BE187" i="11"/>
  <c r="BD187" i="11"/>
  <c r="BC187" i="11"/>
  <c r="BF186" i="11"/>
  <c r="BE186" i="11"/>
  <c r="BD186" i="11"/>
  <c r="BC186" i="11"/>
  <c r="BF185" i="11"/>
  <c r="BE185" i="11"/>
  <c r="BD185" i="11"/>
  <c r="BC185" i="11"/>
  <c r="BF184" i="11"/>
  <c r="BE184" i="11"/>
  <c r="BD184" i="11"/>
  <c r="BC184" i="11"/>
  <c r="BF180" i="11"/>
  <c r="BE180" i="11"/>
  <c r="BD180" i="11"/>
  <c r="BC180" i="11"/>
  <c r="BE179" i="11"/>
  <c r="BD179" i="11"/>
  <c r="BC179" i="11"/>
  <c r="BF178" i="11"/>
  <c r="BE178" i="11"/>
  <c r="BD178" i="11"/>
  <c r="BC178" i="11"/>
  <c r="BF177" i="11"/>
  <c r="BE177" i="11"/>
  <c r="BD177" i="11"/>
  <c r="BC177" i="11"/>
  <c r="BF176" i="11"/>
  <c r="BE176" i="11"/>
  <c r="BD176" i="11"/>
  <c r="BC176" i="11"/>
  <c r="BF175" i="11"/>
  <c r="BE175" i="11"/>
  <c r="BD175" i="11"/>
  <c r="BC175" i="11"/>
  <c r="BF174" i="11"/>
  <c r="BE174" i="11"/>
  <c r="BD174" i="11"/>
  <c r="BC174" i="11"/>
  <c r="BL188" i="11"/>
  <c r="BK188" i="11"/>
  <c r="BJ188" i="11"/>
  <c r="BI188" i="11"/>
  <c r="BL187" i="11"/>
  <c r="BK187" i="11"/>
  <c r="BJ187" i="11"/>
  <c r="BI187" i="11"/>
  <c r="BL186" i="11"/>
  <c r="BK186" i="11"/>
  <c r="BJ186" i="11"/>
  <c r="BI186" i="11"/>
  <c r="BL185" i="11"/>
  <c r="BK185" i="11"/>
  <c r="BJ185" i="11"/>
  <c r="BI185" i="11"/>
  <c r="BL184" i="11"/>
  <c r="BK184" i="11"/>
  <c r="BJ184" i="11"/>
  <c r="BI184" i="11"/>
  <c r="BL180" i="11"/>
  <c r="BK180" i="11"/>
  <c r="BJ180" i="11"/>
  <c r="BL179" i="11"/>
  <c r="BK179" i="11"/>
  <c r="BJ179" i="11"/>
  <c r="BI179" i="11"/>
  <c r="BL178" i="11"/>
  <c r="BK178" i="11"/>
  <c r="BJ178" i="11"/>
  <c r="BI178" i="11"/>
  <c r="BL177" i="11"/>
  <c r="BK177" i="11"/>
  <c r="BJ177" i="11"/>
  <c r="BI177" i="11"/>
  <c r="BL176" i="11"/>
  <c r="BK176" i="11"/>
  <c r="BJ176" i="11"/>
  <c r="BI176" i="11"/>
  <c r="BL175" i="11"/>
  <c r="BK175" i="11"/>
  <c r="BJ175" i="11"/>
  <c r="BI175" i="11"/>
  <c r="BL174" i="11"/>
  <c r="BK174" i="11"/>
  <c r="BJ174" i="11"/>
  <c r="BI174" i="11"/>
  <c r="BR188" i="11"/>
  <c r="BQ188" i="11"/>
  <c r="BP188" i="11"/>
  <c r="BO188" i="11"/>
  <c r="BR187" i="11"/>
  <c r="BQ187" i="11"/>
  <c r="BP187" i="11"/>
  <c r="BO187" i="11"/>
  <c r="BR186" i="11"/>
  <c r="BQ186" i="11"/>
  <c r="BP186" i="11"/>
  <c r="BO186" i="11"/>
  <c r="BR185" i="11"/>
  <c r="BQ185" i="11"/>
  <c r="BP185" i="11"/>
  <c r="BO185" i="11"/>
  <c r="BR184" i="11"/>
  <c r="BQ184" i="11"/>
  <c r="BP184" i="11"/>
  <c r="BO184" i="11"/>
  <c r="BR180" i="11"/>
  <c r="BQ180" i="11"/>
  <c r="BP180" i="11"/>
  <c r="BO180" i="11"/>
  <c r="BR179" i="11"/>
  <c r="BQ179" i="11"/>
  <c r="BP179" i="11"/>
  <c r="BO179" i="11"/>
  <c r="BR178" i="11"/>
  <c r="BQ178" i="11"/>
  <c r="BP178" i="11"/>
  <c r="BO178" i="11"/>
  <c r="BR177" i="11"/>
  <c r="BQ177" i="11"/>
  <c r="BP177" i="11"/>
  <c r="BO177" i="11"/>
  <c r="BR176" i="11"/>
  <c r="BQ176" i="11"/>
  <c r="BP176" i="11"/>
  <c r="BO176" i="11"/>
  <c r="BR175" i="11"/>
  <c r="BQ175" i="11"/>
  <c r="BP175" i="11"/>
  <c r="BO175" i="11"/>
  <c r="BR174" i="11"/>
  <c r="BQ174" i="11"/>
  <c r="BP174" i="11"/>
  <c r="BO174" i="11"/>
  <c r="BX188" i="11"/>
  <c r="BW188" i="11"/>
  <c r="BV188" i="11"/>
  <c r="BU188" i="11"/>
  <c r="BX187" i="11"/>
  <c r="BW187" i="11"/>
  <c r="BV187" i="11"/>
  <c r="BU187" i="11"/>
  <c r="BX186" i="11"/>
  <c r="BW186" i="11"/>
  <c r="BV186" i="11"/>
  <c r="BU186" i="11"/>
  <c r="BX185" i="11"/>
  <c r="BW185" i="11"/>
  <c r="BV185" i="11"/>
  <c r="BU185" i="11"/>
  <c r="BX184" i="11"/>
  <c r="BW184" i="11"/>
  <c r="BV184" i="11"/>
  <c r="BU184" i="11"/>
  <c r="BX180" i="11"/>
  <c r="BW180" i="11"/>
  <c r="BV180" i="11"/>
  <c r="BU180" i="11"/>
  <c r="BX179" i="11"/>
  <c r="BW179" i="11"/>
  <c r="BV179" i="11"/>
  <c r="BU179" i="11"/>
  <c r="BX178" i="11"/>
  <c r="BW178" i="11"/>
  <c r="BV178" i="11"/>
  <c r="BU178" i="11"/>
  <c r="BX177" i="11"/>
  <c r="BW177" i="11"/>
  <c r="BV177" i="11"/>
  <c r="BU177" i="11"/>
  <c r="BX176" i="11"/>
  <c r="BW176" i="11"/>
  <c r="BV176" i="11"/>
  <c r="BU176" i="11"/>
  <c r="BX175" i="11"/>
  <c r="BW175" i="11"/>
  <c r="BV175" i="11"/>
  <c r="BU175" i="11"/>
  <c r="BX174" i="11"/>
  <c r="BW174" i="11"/>
  <c r="BV174" i="11"/>
  <c r="BU174" i="11"/>
  <c r="CD188" i="11"/>
  <c r="CC188" i="11"/>
  <c r="CB188" i="11"/>
  <c r="CA188" i="11"/>
  <c r="CD187" i="11"/>
  <c r="CC187" i="11"/>
  <c r="CB187" i="11"/>
  <c r="CA187" i="11"/>
  <c r="CD186" i="11"/>
  <c r="CC186" i="11"/>
  <c r="CB186" i="11"/>
  <c r="CA186" i="11"/>
  <c r="CD185" i="11"/>
  <c r="CC185" i="11"/>
  <c r="CB185" i="11"/>
  <c r="CA185" i="11"/>
  <c r="CD184" i="11"/>
  <c r="CC184" i="11"/>
  <c r="CB184" i="11"/>
  <c r="CA184" i="11"/>
  <c r="CD180" i="11"/>
  <c r="CC180" i="11"/>
  <c r="CB180" i="11"/>
  <c r="CA180" i="11"/>
  <c r="CD179" i="11"/>
  <c r="CC179" i="11"/>
  <c r="CB179" i="11"/>
  <c r="CA179" i="11"/>
  <c r="CD178" i="11"/>
  <c r="CC178" i="11"/>
  <c r="CB178" i="11"/>
  <c r="CA178" i="11"/>
  <c r="CD177" i="11"/>
  <c r="CC177" i="11"/>
  <c r="CB177" i="11"/>
  <c r="CA177" i="11"/>
  <c r="CD176" i="11"/>
  <c r="CC176" i="11"/>
  <c r="CB176" i="11"/>
  <c r="CA176" i="11"/>
  <c r="CD175" i="11"/>
  <c r="CC175" i="11"/>
  <c r="CB175" i="11"/>
  <c r="CA175" i="11"/>
  <c r="CD174" i="11"/>
  <c r="CC174" i="11"/>
  <c r="CB174" i="11"/>
  <c r="CA174" i="11"/>
  <c r="CJ188" i="11"/>
  <c r="CI188" i="11"/>
  <c r="CH188" i="11"/>
  <c r="CG188" i="11"/>
  <c r="CJ187" i="11"/>
  <c r="CI187" i="11"/>
  <c r="CH187" i="11"/>
  <c r="CG187" i="11"/>
  <c r="CJ186" i="11"/>
  <c r="CI186" i="11"/>
  <c r="CH186" i="11"/>
  <c r="CG186" i="11"/>
  <c r="CJ185" i="11"/>
  <c r="CI185" i="11"/>
  <c r="CH185" i="11"/>
  <c r="CG185" i="11"/>
  <c r="CJ184" i="11"/>
  <c r="CI184" i="11"/>
  <c r="CH184" i="11"/>
  <c r="CG184" i="11"/>
  <c r="CJ180" i="11"/>
  <c r="CI180" i="11"/>
  <c r="CH180" i="11"/>
  <c r="CG180" i="11"/>
  <c r="CJ179" i="11"/>
  <c r="CI179" i="11"/>
  <c r="CH179" i="11"/>
  <c r="CG179" i="11"/>
  <c r="CJ178" i="11"/>
  <c r="CI178" i="11"/>
  <c r="CH178" i="11"/>
  <c r="CG178" i="11"/>
  <c r="CJ177" i="11"/>
  <c r="CI177" i="11"/>
  <c r="CH177" i="11"/>
  <c r="CG177" i="11"/>
  <c r="CJ176" i="11"/>
  <c r="CI176" i="11"/>
  <c r="CH176" i="11"/>
  <c r="CG176" i="11"/>
  <c r="CJ175" i="11"/>
  <c r="CI175" i="11"/>
  <c r="CH175" i="11"/>
  <c r="CG175" i="11"/>
  <c r="CJ174" i="11"/>
  <c r="CI174" i="11"/>
  <c r="CH174" i="11"/>
  <c r="CG174" i="11"/>
  <c r="CP188" i="11"/>
  <c r="CO188" i="11"/>
  <c r="CN188" i="11"/>
  <c r="CM188" i="11"/>
  <c r="CP187" i="11"/>
  <c r="CO187" i="11"/>
  <c r="CN187" i="11"/>
  <c r="CM187" i="11"/>
  <c r="CP186" i="11"/>
  <c r="CO186" i="11"/>
  <c r="CN186" i="11"/>
  <c r="CM186" i="11"/>
  <c r="CP185" i="11"/>
  <c r="CO185" i="11"/>
  <c r="CN185" i="11"/>
  <c r="CM185" i="11"/>
  <c r="CP184" i="11"/>
  <c r="CO184" i="11"/>
  <c r="CN184" i="11"/>
  <c r="CM184" i="11"/>
  <c r="CP180" i="11"/>
  <c r="CO180" i="11"/>
  <c r="CN180" i="11"/>
  <c r="CM180" i="11"/>
  <c r="CP179" i="11"/>
  <c r="CO179" i="11"/>
  <c r="CN179" i="11"/>
  <c r="CM179" i="11"/>
  <c r="CP178" i="11"/>
  <c r="CO178" i="11"/>
  <c r="CN178" i="11"/>
  <c r="CM178" i="11"/>
  <c r="CP177" i="11"/>
  <c r="CO177" i="11"/>
  <c r="CN177" i="11"/>
  <c r="CM177" i="11"/>
  <c r="CP176" i="11"/>
  <c r="CO176" i="11"/>
  <c r="CN176" i="11"/>
  <c r="CM176" i="11"/>
  <c r="CP175" i="11"/>
  <c r="CO175" i="11"/>
  <c r="CN175" i="11"/>
  <c r="CM175" i="11"/>
  <c r="CP174" i="11"/>
  <c r="CO174" i="11"/>
  <c r="CN174" i="11"/>
  <c r="CM174" i="11"/>
  <c r="CV188" i="11"/>
  <c r="CU188" i="11"/>
  <c r="CT188" i="11"/>
  <c r="CS188" i="11"/>
  <c r="CV187" i="11"/>
  <c r="CU187" i="11"/>
  <c r="CT187" i="11"/>
  <c r="CS187" i="11"/>
  <c r="CV186" i="11"/>
  <c r="CU186" i="11"/>
  <c r="CT186" i="11"/>
  <c r="CS186" i="11"/>
  <c r="CV185" i="11"/>
  <c r="CU185" i="11"/>
  <c r="CT185" i="11"/>
  <c r="CS185" i="11"/>
  <c r="CV184" i="11"/>
  <c r="CU184" i="11"/>
  <c r="CT184" i="11"/>
  <c r="CS184" i="11"/>
  <c r="CV180" i="11"/>
  <c r="CU180" i="11"/>
  <c r="CT180" i="11"/>
  <c r="CS180" i="11"/>
  <c r="CV179" i="11"/>
  <c r="CU179" i="11"/>
  <c r="CT179" i="11"/>
  <c r="CS179" i="11"/>
  <c r="CV178" i="11"/>
  <c r="CU178" i="11"/>
  <c r="CT178" i="11"/>
  <c r="CS178" i="11"/>
  <c r="CV177" i="11"/>
  <c r="CU177" i="11"/>
  <c r="CT177" i="11"/>
  <c r="CS177" i="11"/>
  <c r="CV176" i="11"/>
  <c r="CU176" i="11"/>
  <c r="CT176" i="11"/>
  <c r="CS176" i="11"/>
  <c r="CV175" i="11"/>
  <c r="CU175" i="11"/>
  <c r="CT175" i="11"/>
  <c r="CS175" i="11"/>
  <c r="CV174" i="11"/>
  <c r="CU174" i="11"/>
  <c r="CT174" i="11"/>
  <c r="CS174" i="11"/>
  <c r="DA188" i="11"/>
  <c r="CZ188" i="11"/>
  <c r="DA186" i="11"/>
  <c r="CZ186" i="11"/>
  <c r="DA185" i="11"/>
  <c r="CZ185" i="11"/>
  <c r="DA184" i="11"/>
  <c r="CZ184" i="11"/>
  <c r="CY188" i="11"/>
  <c r="CY186" i="11"/>
  <c r="CY185" i="11"/>
  <c r="CY184" i="11"/>
  <c r="DA180" i="11"/>
  <c r="CZ180" i="11"/>
  <c r="DA179" i="11"/>
  <c r="CZ179" i="11"/>
  <c r="DA178" i="11"/>
  <c r="CZ178" i="11"/>
  <c r="DA177" i="11"/>
  <c r="CZ177" i="11"/>
  <c r="DA176" i="11"/>
  <c r="CZ176" i="11"/>
  <c r="DA175" i="11"/>
  <c r="DA174" i="11"/>
  <c r="CZ174" i="11"/>
  <c r="CY180" i="11"/>
  <c r="CY179" i="11"/>
  <c r="CY178" i="11"/>
  <c r="CY177" i="11"/>
  <c r="CY176" i="11"/>
  <c r="CY175" i="11"/>
  <c r="CY174" i="11"/>
  <c r="AZ189" i="11" l="1"/>
  <c r="AB189" i="11"/>
  <c r="CW27" i="12"/>
  <c r="CW76" i="12" s="1"/>
  <c r="CW70" i="12" s="1"/>
  <c r="AX189" i="11"/>
  <c r="Z182" i="11"/>
  <c r="O182" i="11"/>
  <c r="CT189" i="11"/>
  <c r="CN189" i="11"/>
  <c r="CH189" i="11"/>
  <c r="CB189" i="11"/>
  <c r="BP189" i="11"/>
  <c r="AF189" i="11"/>
  <c r="CZ189" i="11"/>
  <c r="CV189" i="11"/>
  <c r="CP189" i="11"/>
  <c r="CJ189" i="11"/>
  <c r="CD189" i="11"/>
  <c r="BR189" i="11"/>
  <c r="AH189" i="11"/>
  <c r="M182" i="11"/>
  <c r="M189" i="11"/>
  <c r="Z189" i="11"/>
  <c r="S48" i="12"/>
  <c r="S55" i="12" s="1"/>
  <c r="M48" i="12"/>
  <c r="M55" i="12" s="1"/>
  <c r="Y48" i="12"/>
  <c r="Y55" i="12" s="1"/>
  <c r="DA189" i="11"/>
  <c r="BD189" i="11"/>
  <c r="BM35" i="12"/>
  <c r="BL159" i="11"/>
  <c r="BM159" i="11" s="1"/>
  <c r="CM61" i="12"/>
  <c r="CE43" i="12"/>
  <c r="BC61" i="12"/>
  <c r="AW38" i="12"/>
  <c r="AW61" i="12"/>
  <c r="AE38" i="12"/>
  <c r="AE61" i="12"/>
  <c r="AE64" i="12" s="1"/>
  <c r="CG61" i="12"/>
  <c r="CA61" i="12"/>
  <c r="BU61" i="12"/>
  <c r="BO61" i="12"/>
  <c r="AU32" i="12"/>
  <c r="AQ38" i="12"/>
  <c r="AQ61" i="12"/>
  <c r="AQ64" i="12" s="1"/>
  <c r="AO32" i="12"/>
  <c r="AK38" i="12"/>
  <c r="AK61" i="12"/>
  <c r="AK64" i="12" s="1"/>
  <c r="O189" i="11"/>
  <c r="AH182" i="11"/>
  <c r="AB182" i="11"/>
  <c r="AB191" i="11" s="1"/>
  <c r="CY189" i="11"/>
  <c r="I189" i="11"/>
  <c r="G189" i="11"/>
  <c r="E189" i="11"/>
  <c r="AW189" i="11"/>
  <c r="AG189" i="11"/>
  <c r="AY189" i="11"/>
  <c r="AE189" i="11"/>
  <c r="AN189" i="11"/>
  <c r="N189" i="11"/>
  <c r="P189" i="11"/>
  <c r="K182" i="11"/>
  <c r="CS189" i="11"/>
  <c r="CU189" i="11"/>
  <c r="CM189" i="11"/>
  <c r="CO189" i="11"/>
  <c r="CG189" i="11"/>
  <c r="CI189" i="11"/>
  <c r="CA189" i="11"/>
  <c r="CC189" i="11"/>
  <c r="S182" i="11"/>
  <c r="U182" i="11"/>
  <c r="BU189" i="11"/>
  <c r="BW189" i="11"/>
  <c r="BV189" i="11"/>
  <c r="BX189" i="11"/>
  <c r="BO189" i="11"/>
  <c r="BQ189" i="11"/>
  <c r="BI189" i="11"/>
  <c r="BK189" i="11"/>
  <c r="BJ189" i="11"/>
  <c r="BL189" i="11"/>
  <c r="BC189" i="11"/>
  <c r="BE189" i="11"/>
  <c r="AR189" i="11"/>
  <c r="AT189" i="11"/>
  <c r="AM189" i="11"/>
  <c r="Y182" i="11"/>
  <c r="Y189" i="11"/>
  <c r="AA189" i="11"/>
  <c r="T182" i="11"/>
  <c r="V182" i="11"/>
  <c r="T189" i="11"/>
  <c r="V189" i="11"/>
  <c r="S189" i="11"/>
  <c r="U189" i="11"/>
  <c r="N182" i="11"/>
  <c r="P182" i="11"/>
  <c r="K189" i="11"/>
  <c r="I182" i="11"/>
  <c r="G182" i="11"/>
  <c r="G191" i="11" s="1"/>
  <c r="E182" i="11"/>
  <c r="CW108" i="11"/>
  <c r="CW104" i="11"/>
  <c r="K91" i="11"/>
  <c r="I91" i="11"/>
  <c r="G91" i="11"/>
  <c r="E91" i="11"/>
  <c r="M91" i="11"/>
  <c r="S91" i="11"/>
  <c r="Y91" i="11"/>
  <c r="AE91" i="11"/>
  <c r="AK91" i="11"/>
  <c r="AQ91" i="11"/>
  <c r="AW91" i="11"/>
  <c r="BC91" i="11"/>
  <c r="BI91" i="11"/>
  <c r="BO91" i="11"/>
  <c r="BU91" i="11"/>
  <c r="CA91" i="11"/>
  <c r="CG91" i="11"/>
  <c r="CM91" i="11"/>
  <c r="G62" i="11"/>
  <c r="CZ74" i="11"/>
  <c r="CY74" i="11"/>
  <c r="CW69" i="12" l="1"/>
  <c r="BU64" i="12"/>
  <c r="CA64" i="12"/>
  <c r="CG64" i="12"/>
  <c r="AW64" i="12"/>
  <c r="BC64" i="12"/>
  <c r="BO64" i="12"/>
  <c r="CM64" i="12"/>
  <c r="CY77" i="135"/>
  <c r="DA77" i="135"/>
  <c r="CZ77" i="135"/>
  <c r="Z191" i="11"/>
  <c r="O191" i="11"/>
  <c r="M191" i="11"/>
  <c r="AH191" i="11"/>
  <c r="CY63" i="11"/>
  <c r="CY79" i="135"/>
  <c r="CZ63" i="11"/>
  <c r="CZ79" i="135"/>
  <c r="DA63" i="11"/>
  <c r="AE48" i="12"/>
  <c r="AE55" i="12" s="1"/>
  <c r="P191" i="11"/>
  <c r="N191" i="11"/>
  <c r="CD110" i="12"/>
  <c r="CE110" i="12"/>
  <c r="CE111" i="12" s="1"/>
  <c r="CK109" i="12" s="1"/>
  <c r="CK111" i="12" s="1"/>
  <c r="CQ109" i="12" s="1"/>
  <c r="CQ111" i="12" s="1"/>
  <c r="CW109" i="12" s="1"/>
  <c r="CW111" i="12" s="1"/>
  <c r="E191" i="11"/>
  <c r="I191" i="11"/>
  <c r="K191" i="11"/>
  <c r="T191" i="11"/>
  <c r="S191" i="11"/>
  <c r="V191" i="11"/>
  <c r="Y191" i="11"/>
  <c r="U191" i="11"/>
  <c r="E62" i="11"/>
  <c r="I62" i="11"/>
  <c r="K62" i="11"/>
  <c r="CS63" i="11" l="1"/>
  <c r="CU63" i="11"/>
  <c r="CT63" i="11"/>
  <c r="CV63" i="11"/>
  <c r="DC109" i="12"/>
  <c r="DC111" i="12" s="1"/>
  <c r="DI109" i="12" s="1"/>
  <c r="DI111" i="12" s="1"/>
  <c r="CD105" i="12"/>
  <c r="CE105" i="12" s="1"/>
  <c r="CD111" i="12"/>
  <c r="CG109" i="12" s="1"/>
  <c r="CG111" i="12" s="1"/>
  <c r="CH109" i="12" s="1"/>
  <c r="CH111" i="12" s="1"/>
  <c r="CI109" i="12" s="1"/>
  <c r="CI111" i="12" s="1"/>
  <c r="CJ109" i="12" s="1"/>
  <c r="CJ111" i="12" s="1"/>
  <c r="CM109" i="12" s="1"/>
  <c r="CM111" i="12" s="1"/>
  <c r="CN109" i="12" s="1"/>
  <c r="CN111" i="12" s="1"/>
  <c r="CO109" i="12" s="1"/>
  <c r="CO111" i="12" s="1"/>
  <c r="CP109" i="12" s="1"/>
  <c r="CP111" i="12" s="1"/>
  <c r="CS109" i="12" s="1"/>
  <c r="CS111" i="12" s="1"/>
  <c r="CT109" i="12" s="1"/>
  <c r="CT111" i="12" s="1"/>
  <c r="CU109" i="12" s="1"/>
  <c r="CU111" i="12" s="1"/>
  <c r="CV109" i="12" s="1"/>
  <c r="CV111" i="12" s="1"/>
  <c r="CY109" i="12" l="1"/>
  <c r="CY111" i="12" s="1"/>
  <c r="CZ109" i="12" s="1"/>
  <c r="CZ111" i="12" s="1"/>
  <c r="DA109" i="12" s="1"/>
  <c r="DA111" i="12" s="1"/>
  <c r="DB109" i="12" s="1"/>
  <c r="DB111" i="12" s="1"/>
  <c r="DE109" i="12" s="1"/>
  <c r="DE111" i="12" s="1"/>
  <c r="DF109" i="12" s="1"/>
  <c r="DF111" i="12" s="1"/>
  <c r="DG109" i="12" s="1"/>
  <c r="DG111" i="12" s="1"/>
  <c r="DH109" i="12" s="1"/>
  <c r="DH111" i="12" s="1"/>
  <c r="DA17" i="11"/>
  <c r="CY17" i="11"/>
  <c r="DC52" i="11"/>
  <c r="CZ79" i="11" l="1"/>
  <c r="CZ80" i="11"/>
  <c r="CY78" i="11"/>
  <c r="CY81" i="11"/>
  <c r="DA78" i="11"/>
  <c r="DA81" i="11"/>
  <c r="CY80" i="11"/>
  <c r="CY79" i="11"/>
  <c r="DA80" i="11"/>
  <c r="DA79" i="11"/>
  <c r="CY45" i="11"/>
  <c r="DA45" i="11"/>
  <c r="CZ45" i="11"/>
  <c r="E55" i="11"/>
  <c r="G55" i="11"/>
  <c r="I55" i="11"/>
  <c r="K55" i="11"/>
  <c r="E45" i="11"/>
  <c r="K17" i="11"/>
  <c r="I17" i="11"/>
  <c r="G17" i="11"/>
  <c r="E17" i="11"/>
  <c r="E28" i="11" s="1"/>
  <c r="P55" i="11"/>
  <c r="O55" i="11"/>
  <c r="O221" i="11" s="1"/>
  <c r="N55" i="11"/>
  <c r="N221" i="11" s="1"/>
  <c r="M55" i="11"/>
  <c r="M221" i="11" s="1"/>
  <c r="P17" i="11"/>
  <c r="O17" i="11"/>
  <c r="N17" i="11"/>
  <c r="M17" i="11"/>
  <c r="Q54" i="11"/>
  <c r="Q53" i="11"/>
  <c r="Q52" i="11"/>
  <c r="Q51" i="11"/>
  <c r="Q50" i="11"/>
  <c r="Q47" i="11"/>
  <c r="Q41" i="11"/>
  <c r="Q188" i="11" s="1"/>
  <c r="Q40" i="11"/>
  <c r="Q187" i="11" s="1"/>
  <c r="Q39" i="11"/>
  <c r="Q34" i="11"/>
  <c r="Q33" i="11"/>
  <c r="Q185" i="11" s="1"/>
  <c r="Q32" i="11"/>
  <c r="Q184" i="11" s="1"/>
  <c r="Q31" i="11"/>
  <c r="Q24" i="11"/>
  <c r="Q22" i="11"/>
  <c r="Q180" i="11" s="1"/>
  <c r="Q21" i="11"/>
  <c r="Q179" i="11" s="1"/>
  <c r="Q20" i="11"/>
  <c r="Q19" i="11"/>
  <c r="Q16" i="11"/>
  <c r="Q177" i="11" s="1"/>
  <c r="Q15" i="11"/>
  <c r="Q176" i="11" s="1"/>
  <c r="Q14" i="11"/>
  <c r="Q175" i="11" s="1"/>
  <c r="Q13" i="11"/>
  <c r="Q174" i="11" s="1"/>
  <c r="Q12" i="11"/>
  <c r="Q11" i="11"/>
  <c r="V55" i="11"/>
  <c r="U55" i="11"/>
  <c r="U221" i="11" s="1"/>
  <c r="T55" i="11"/>
  <c r="T221" i="11" s="1"/>
  <c r="S55" i="11"/>
  <c r="S221" i="11" s="1"/>
  <c r="S227" i="11" s="1"/>
  <c r="V17" i="11"/>
  <c r="U17" i="11"/>
  <c r="T17" i="11"/>
  <c r="S17" i="11"/>
  <c r="W54" i="11"/>
  <c r="W53" i="11"/>
  <c r="W52" i="11"/>
  <c r="W51" i="11"/>
  <c r="W50" i="11"/>
  <c r="W47" i="11"/>
  <c r="W41" i="11"/>
  <c r="W188" i="11" s="1"/>
  <c r="W40" i="11"/>
  <c r="W187" i="11" s="1"/>
  <c r="W39" i="11"/>
  <c r="W34" i="11"/>
  <c r="W33" i="11"/>
  <c r="W185" i="11" s="1"/>
  <c r="W32" i="11"/>
  <c r="W184" i="11" s="1"/>
  <c r="W31" i="11"/>
  <c r="W24" i="11"/>
  <c r="W22" i="11"/>
  <c r="W180" i="11" s="1"/>
  <c r="W21" i="11"/>
  <c r="W179" i="11" s="1"/>
  <c r="W20" i="11"/>
  <c r="W19" i="11"/>
  <c r="W16" i="11"/>
  <c r="W177" i="11" s="1"/>
  <c r="W15" i="11"/>
  <c r="W176" i="11" s="1"/>
  <c r="W14" i="11"/>
  <c r="W175" i="11" s="1"/>
  <c r="W13" i="11"/>
  <c r="W174" i="11" s="1"/>
  <c r="W12" i="11"/>
  <c r="W11" i="11"/>
  <c r="AB55" i="11"/>
  <c r="AA55" i="11"/>
  <c r="AA221" i="11" s="1"/>
  <c r="AA227" i="11" s="1"/>
  <c r="AA230" i="11" s="1"/>
  <c r="Z55" i="11"/>
  <c r="Z221" i="11" s="1"/>
  <c r="Y55" i="11"/>
  <c r="Y221" i="11" s="1"/>
  <c r="Y227" i="11" s="1"/>
  <c r="AB17" i="11"/>
  <c r="AA17" i="11"/>
  <c r="Z17" i="11"/>
  <c r="Y17" i="11"/>
  <c r="AC54" i="11"/>
  <c r="AC53" i="11"/>
  <c r="AC52" i="11"/>
  <c r="AC51" i="11"/>
  <c r="AC50" i="11"/>
  <c r="AC47" i="11"/>
  <c r="AC41" i="11"/>
  <c r="AC188" i="11" s="1"/>
  <c r="AC40" i="11"/>
  <c r="AC187" i="11" s="1"/>
  <c r="AC39" i="11"/>
  <c r="AC34" i="11"/>
  <c r="AC33" i="11"/>
  <c r="AC185" i="11" s="1"/>
  <c r="AC32" i="11"/>
  <c r="AC184" i="11" s="1"/>
  <c r="AC31" i="11"/>
  <c r="AC24" i="11"/>
  <c r="AC22" i="11"/>
  <c r="AC180" i="11" s="1"/>
  <c r="AC21" i="11"/>
  <c r="AC179" i="11" s="1"/>
  <c r="AC20" i="11"/>
  <c r="AC19" i="11"/>
  <c r="AC16" i="11"/>
  <c r="AC177" i="11" s="1"/>
  <c r="AC15" i="11"/>
  <c r="AC176" i="11" s="1"/>
  <c r="AC14" i="11"/>
  <c r="AC175" i="11" s="1"/>
  <c r="AC13" i="11"/>
  <c r="AC174" i="11" s="1"/>
  <c r="AC12" i="11"/>
  <c r="AC11" i="11"/>
  <c r="AH55" i="11"/>
  <c r="AG55" i="11"/>
  <c r="AG221" i="11" s="1"/>
  <c r="AF55" i="11"/>
  <c r="AF221" i="11" s="1"/>
  <c r="AE55" i="11"/>
  <c r="AE221" i="11" s="1"/>
  <c r="AH17" i="11"/>
  <c r="AG17" i="11"/>
  <c r="AF17" i="11"/>
  <c r="AE17" i="11"/>
  <c r="AI54" i="11"/>
  <c r="AI53" i="11"/>
  <c r="AI52" i="11"/>
  <c r="AI51" i="11"/>
  <c r="AI50" i="11"/>
  <c r="AI47" i="11"/>
  <c r="AI41" i="11"/>
  <c r="AI188" i="11" s="1"/>
  <c r="AI40" i="11"/>
  <c r="AI187" i="11" s="1"/>
  <c r="AI39" i="11"/>
  <c r="AI34" i="11"/>
  <c r="AI33" i="11"/>
  <c r="AI185" i="11" s="1"/>
  <c r="AI32" i="11"/>
  <c r="AI184" i="11" s="1"/>
  <c r="AI31" i="11"/>
  <c r="AI24" i="11"/>
  <c r="AI22" i="11"/>
  <c r="AI180" i="11" s="1"/>
  <c r="AI21" i="11"/>
  <c r="AI179" i="11" s="1"/>
  <c r="AI20" i="11"/>
  <c r="AI19" i="11"/>
  <c r="AI16" i="11"/>
  <c r="AI177" i="11" s="1"/>
  <c r="AI15" i="11"/>
  <c r="AI176" i="11" s="1"/>
  <c r="AI14" i="11"/>
  <c r="AI175" i="11" s="1"/>
  <c r="AI13" i="11"/>
  <c r="AI174" i="11" s="1"/>
  <c r="AI12" i="11"/>
  <c r="AI11" i="11"/>
  <c r="AM55" i="11"/>
  <c r="AM221" i="11" s="1"/>
  <c r="AK55" i="11"/>
  <c r="AK221" i="11" s="1"/>
  <c r="AN17" i="11"/>
  <c r="AM17" i="11"/>
  <c r="AO53" i="11"/>
  <c r="AO52" i="11"/>
  <c r="AO51" i="11"/>
  <c r="AO50" i="11"/>
  <c r="AO47" i="11"/>
  <c r="AO41" i="11"/>
  <c r="AO188" i="11" s="1"/>
  <c r="AO40" i="11"/>
  <c r="AO187" i="11" s="1"/>
  <c r="AO39" i="11"/>
  <c r="AO34" i="11"/>
  <c r="AO33" i="11"/>
  <c r="AO185" i="11" s="1"/>
  <c r="AO32" i="11"/>
  <c r="AO184" i="11" s="1"/>
  <c r="AO31" i="11"/>
  <c r="AO22" i="11"/>
  <c r="AO180" i="11" s="1"/>
  <c r="AO21" i="11"/>
  <c r="AO179" i="11" s="1"/>
  <c r="AO20" i="11"/>
  <c r="AO19" i="11"/>
  <c r="AO16" i="11"/>
  <c r="AO177" i="11" s="1"/>
  <c r="AO15" i="11"/>
  <c r="AO176" i="11" s="1"/>
  <c r="AO14" i="11"/>
  <c r="AO175" i="11" s="1"/>
  <c r="AO13" i="11"/>
  <c r="AO174" i="11" s="1"/>
  <c r="AO12" i="11"/>
  <c r="AO11" i="11"/>
  <c r="AN54" i="11"/>
  <c r="AN55" i="11" s="1"/>
  <c r="AN26" i="11"/>
  <c r="AT55" i="11"/>
  <c r="AR80" i="11"/>
  <c r="AT17" i="11"/>
  <c r="AU54" i="11"/>
  <c r="AU53" i="11"/>
  <c r="AU52" i="11"/>
  <c r="AU51" i="11"/>
  <c r="AU50" i="11"/>
  <c r="AU47" i="11"/>
  <c r="AU41" i="11"/>
  <c r="AU188" i="11" s="1"/>
  <c r="AU40" i="11"/>
  <c r="AU187" i="11" s="1"/>
  <c r="AU39" i="11"/>
  <c r="AU34" i="11"/>
  <c r="AU33" i="11"/>
  <c r="AU185" i="11" s="1"/>
  <c r="AU32" i="11"/>
  <c r="AU184" i="11" s="1"/>
  <c r="AU31" i="11"/>
  <c r="AU22" i="11"/>
  <c r="AU180" i="11" s="1"/>
  <c r="AU21" i="11"/>
  <c r="AU179" i="11" s="1"/>
  <c r="AU20" i="11"/>
  <c r="AU19" i="11"/>
  <c r="AU16" i="11"/>
  <c r="AU177" i="11" s="1"/>
  <c r="AU15" i="11"/>
  <c r="AU176" i="11" s="1"/>
  <c r="AU14" i="11"/>
  <c r="AU175" i="11" s="1"/>
  <c r="AU13" i="11"/>
  <c r="AU174" i="11" s="1"/>
  <c r="AU12" i="11"/>
  <c r="AU11" i="11"/>
  <c r="AZ55" i="11"/>
  <c r="AZ17" i="11"/>
  <c r="AY17" i="11"/>
  <c r="AX17" i="11"/>
  <c r="AW17" i="11"/>
  <c r="BA54" i="11"/>
  <c r="BA53" i="11"/>
  <c r="BA52" i="11"/>
  <c r="BA51" i="11"/>
  <c r="BA50" i="11"/>
  <c r="BA47" i="11"/>
  <c r="BA41" i="11"/>
  <c r="BA188" i="11" s="1"/>
  <c r="BA40" i="11"/>
  <c r="BA187" i="11" s="1"/>
  <c r="BA39" i="11"/>
  <c r="BA34" i="11"/>
  <c r="BA33" i="11"/>
  <c r="BA185" i="11" s="1"/>
  <c r="BA32" i="11"/>
  <c r="BA31" i="11"/>
  <c r="BA22" i="11"/>
  <c r="BA180" i="11" s="1"/>
  <c r="BA21" i="11"/>
  <c r="BA179" i="11" s="1"/>
  <c r="BA20" i="11"/>
  <c r="BA19" i="11"/>
  <c r="BA16" i="11"/>
  <c r="BA177" i="11" s="1"/>
  <c r="BA15" i="11"/>
  <c r="BA176" i="11" s="1"/>
  <c r="BA14" i="11"/>
  <c r="BA13" i="11"/>
  <c r="BA12" i="11"/>
  <c r="BA11" i="11"/>
  <c r="BF55" i="11"/>
  <c r="BE55" i="11"/>
  <c r="BC55" i="11"/>
  <c r="BE17" i="11"/>
  <c r="BD17" i="11"/>
  <c r="BC17" i="11"/>
  <c r="BG54" i="11"/>
  <c r="BG53" i="11"/>
  <c r="BG52" i="11"/>
  <c r="BG51" i="11"/>
  <c r="BG50" i="11"/>
  <c r="BG47" i="11"/>
  <c r="BG41" i="11"/>
  <c r="BG188" i="11" s="1"/>
  <c r="BG39" i="11"/>
  <c r="BG34" i="11"/>
  <c r="BG33" i="11"/>
  <c r="BG185" i="11" s="1"/>
  <c r="BG32" i="11"/>
  <c r="BG31" i="11"/>
  <c r="BG22" i="11"/>
  <c r="BG180" i="11" s="1"/>
  <c r="BG19" i="11"/>
  <c r="BG16" i="11"/>
  <c r="BG177" i="11" s="1"/>
  <c r="BG15" i="11"/>
  <c r="BG176" i="11" s="1"/>
  <c r="BG14" i="11"/>
  <c r="BG13" i="11"/>
  <c r="BG11" i="11"/>
  <c r="BL55" i="11"/>
  <c r="BL221" i="11" s="1"/>
  <c r="BJ55" i="11"/>
  <c r="BI55" i="11"/>
  <c r="BL17" i="11"/>
  <c r="BK17" i="11"/>
  <c r="BJ17" i="11"/>
  <c r="BI17" i="11"/>
  <c r="BM54" i="11"/>
  <c r="BM53" i="11"/>
  <c r="BM52" i="11"/>
  <c r="BM51" i="11"/>
  <c r="BM50" i="11"/>
  <c r="BM47" i="11"/>
  <c r="BM41" i="11"/>
  <c r="BM188" i="11" s="1"/>
  <c r="BM40" i="11"/>
  <c r="BM187" i="11" s="1"/>
  <c r="BM39" i="11"/>
  <c r="BM34" i="11"/>
  <c r="BM33" i="11"/>
  <c r="BM185" i="11" s="1"/>
  <c r="BM32" i="11"/>
  <c r="BM31" i="11"/>
  <c r="BM22" i="11"/>
  <c r="BM180" i="11" s="1"/>
  <c r="BM21" i="11"/>
  <c r="BM179" i="11" s="1"/>
  <c r="BM20" i="11"/>
  <c r="BM19" i="11"/>
  <c r="BM16" i="11"/>
  <c r="BM177" i="11" s="1"/>
  <c r="BM15" i="11"/>
  <c r="BM176" i="11" s="1"/>
  <c r="BM14" i="11"/>
  <c r="BM13" i="11"/>
  <c r="BM12" i="11"/>
  <c r="BM11" i="11"/>
  <c r="BR55" i="11"/>
  <c r="BR221" i="11" s="1"/>
  <c r="BQ55" i="11"/>
  <c r="BP55" i="11"/>
  <c r="BO55" i="11"/>
  <c r="BR17" i="11"/>
  <c r="BQ17" i="11"/>
  <c r="BP17" i="11"/>
  <c r="BO17" i="11"/>
  <c r="BS54" i="11"/>
  <c r="BS53" i="11"/>
  <c r="BS52" i="11"/>
  <c r="BS51" i="11"/>
  <c r="BS50" i="11"/>
  <c r="BS47" i="11"/>
  <c r="BS41" i="11"/>
  <c r="BS188" i="11" s="1"/>
  <c r="BS40" i="11"/>
  <c r="BS187" i="11" s="1"/>
  <c r="BS39" i="11"/>
  <c r="BS34" i="11"/>
  <c r="BS33" i="11"/>
  <c r="BS185" i="11" s="1"/>
  <c r="BS32" i="11"/>
  <c r="BS31" i="11"/>
  <c r="BS22" i="11"/>
  <c r="BS180" i="11" s="1"/>
  <c r="BS21" i="11"/>
  <c r="BS179" i="11" s="1"/>
  <c r="BS20" i="11"/>
  <c r="BS19" i="11"/>
  <c r="BS16" i="11"/>
  <c r="BS177" i="11" s="1"/>
  <c r="BS15" i="11"/>
  <c r="BS176" i="11" s="1"/>
  <c r="BS14" i="11"/>
  <c r="BS13" i="11"/>
  <c r="BS12" i="11"/>
  <c r="BS11" i="11"/>
  <c r="BX55" i="11"/>
  <c r="BX221" i="11" s="1"/>
  <c r="BW55" i="11"/>
  <c r="BV55" i="11"/>
  <c r="BU55" i="11"/>
  <c r="BX17" i="11"/>
  <c r="BW17" i="11"/>
  <c r="BV17" i="11"/>
  <c r="BU17" i="11"/>
  <c r="BY54" i="11"/>
  <c r="BY53" i="11"/>
  <c r="BY52" i="11"/>
  <c r="BY51" i="11"/>
  <c r="BY50" i="11"/>
  <c r="BY47" i="11"/>
  <c r="BY41" i="11"/>
  <c r="BY188" i="11" s="1"/>
  <c r="BY40" i="11"/>
  <c r="BY187" i="11" s="1"/>
  <c r="BY39" i="11"/>
  <c r="BY34" i="11"/>
  <c r="BY33" i="11"/>
  <c r="BY185" i="11" s="1"/>
  <c r="BY32" i="11"/>
  <c r="BY31" i="11"/>
  <c r="BY22" i="11"/>
  <c r="BY180" i="11" s="1"/>
  <c r="BY21" i="11"/>
  <c r="BY179" i="11" s="1"/>
  <c r="BY20" i="11"/>
  <c r="BY19" i="11"/>
  <c r="BY16" i="11"/>
  <c r="BY177" i="11" s="1"/>
  <c r="BY15" i="11"/>
  <c r="BY176" i="11" s="1"/>
  <c r="BY14" i="11"/>
  <c r="BY13" i="11"/>
  <c r="BY12" i="11"/>
  <c r="BY11" i="11"/>
  <c r="CD55" i="11"/>
  <c r="CD221" i="11" s="1"/>
  <c r="CC55" i="11"/>
  <c r="CB55" i="11"/>
  <c r="CA55" i="11"/>
  <c r="CD17" i="11"/>
  <c r="CC17" i="11"/>
  <c r="CB17" i="11"/>
  <c r="CA17" i="11"/>
  <c r="CE54" i="11"/>
  <c r="CE53" i="11"/>
  <c r="CE52" i="11"/>
  <c r="CE51" i="11"/>
  <c r="CE50" i="11"/>
  <c r="CE47" i="11"/>
  <c r="CE41" i="11"/>
  <c r="CE188" i="11" s="1"/>
  <c r="CE40" i="11"/>
  <c r="CE187" i="11" s="1"/>
  <c r="CE39" i="11"/>
  <c r="CE34" i="11"/>
  <c r="CE33" i="11"/>
  <c r="CE185" i="11" s="1"/>
  <c r="CE32" i="11"/>
  <c r="CE31" i="11"/>
  <c r="CE22" i="11"/>
  <c r="CE180" i="11" s="1"/>
  <c r="CE21" i="11"/>
  <c r="CE179" i="11" s="1"/>
  <c r="CE20" i="11"/>
  <c r="CE19" i="11"/>
  <c r="CE16" i="11"/>
  <c r="CE177" i="11" s="1"/>
  <c r="CE15" i="11"/>
  <c r="CE176" i="11" s="1"/>
  <c r="CE14" i="11"/>
  <c r="CE13" i="11"/>
  <c r="CE12" i="11"/>
  <c r="CE11" i="11"/>
  <c r="CI55" i="11"/>
  <c r="CH55" i="11"/>
  <c r="CG55" i="11"/>
  <c r="CJ17" i="11"/>
  <c r="CI17" i="11"/>
  <c r="CH17" i="11"/>
  <c r="CG17" i="11"/>
  <c r="CK53" i="11"/>
  <c r="CK52" i="11"/>
  <c r="CK51" i="11"/>
  <c r="CK50" i="11"/>
  <c r="CK47" i="11"/>
  <c r="CK41" i="11"/>
  <c r="CK188" i="11" s="1"/>
  <c r="CK40" i="11"/>
  <c r="CK187" i="11" s="1"/>
  <c r="CK39" i="11"/>
  <c r="CK34" i="11"/>
  <c r="CK33" i="11"/>
  <c r="CK185" i="11" s="1"/>
  <c r="CK32" i="11"/>
  <c r="CK31" i="11"/>
  <c r="CK22" i="11"/>
  <c r="CK180" i="11" s="1"/>
  <c r="CK21" i="11"/>
  <c r="CK179" i="11" s="1"/>
  <c r="CK20" i="11"/>
  <c r="CK19" i="11"/>
  <c r="CK16" i="11"/>
  <c r="CK177" i="11" s="1"/>
  <c r="CK15" i="11"/>
  <c r="CK176" i="11" s="1"/>
  <c r="CK14" i="11"/>
  <c r="CK13" i="11"/>
  <c r="CK12" i="11"/>
  <c r="CK11" i="11"/>
  <c r="CP55" i="11"/>
  <c r="CP221" i="11" s="1"/>
  <c r="CO55" i="11"/>
  <c r="CO221" i="11" s="1"/>
  <c r="CN55" i="11"/>
  <c r="CN221" i="11" s="1"/>
  <c r="CM55" i="11"/>
  <c r="CM221" i="11" s="1"/>
  <c r="CP17" i="11"/>
  <c r="CO17" i="11"/>
  <c r="CN17" i="11"/>
  <c r="CM17" i="11"/>
  <c r="CQ54" i="11"/>
  <c r="CQ53" i="11"/>
  <c r="CQ52" i="11"/>
  <c r="CQ51" i="11"/>
  <c r="CQ50" i="11"/>
  <c r="CQ47" i="11"/>
  <c r="CQ41" i="11"/>
  <c r="CQ188" i="11" s="1"/>
  <c r="CQ40" i="11"/>
  <c r="CQ187" i="11" s="1"/>
  <c r="CQ39" i="11"/>
  <c r="CQ34" i="11"/>
  <c r="CQ33" i="11"/>
  <c r="CQ185" i="11" s="1"/>
  <c r="CQ32" i="11"/>
  <c r="CQ31" i="11"/>
  <c r="CQ22" i="11"/>
  <c r="CQ180" i="11" s="1"/>
  <c r="CQ21" i="11"/>
  <c r="CQ179" i="11" s="1"/>
  <c r="CQ20" i="11"/>
  <c r="CQ19" i="11"/>
  <c r="CQ16" i="11"/>
  <c r="CQ177" i="11" s="1"/>
  <c r="CQ15" i="11"/>
  <c r="CQ176" i="11" s="1"/>
  <c r="CQ14" i="11"/>
  <c r="CQ13" i="11"/>
  <c r="CQ12" i="11"/>
  <c r="CQ11" i="11"/>
  <c r="CW54" i="11"/>
  <c r="CW53" i="11"/>
  <c r="CW52" i="11"/>
  <c r="CW51" i="11"/>
  <c r="CW50" i="11"/>
  <c r="CW47" i="11"/>
  <c r="CW41" i="11"/>
  <c r="CW40" i="11"/>
  <c r="CW187" i="11" s="1"/>
  <c r="CW39" i="11"/>
  <c r="CW34" i="11"/>
  <c r="CW33" i="11"/>
  <c r="CW32" i="11"/>
  <c r="CW31" i="11"/>
  <c r="CW22" i="11"/>
  <c r="CW180" i="11" s="1"/>
  <c r="CW21" i="11"/>
  <c r="CW179" i="11" s="1"/>
  <c r="CW20" i="11"/>
  <c r="CW19" i="11"/>
  <c r="CW16" i="11"/>
  <c r="CW177" i="11" s="1"/>
  <c r="CW15" i="11"/>
  <c r="CW176" i="11" s="1"/>
  <c r="CW14" i="11"/>
  <c r="CW13" i="11"/>
  <c r="CW12" i="11"/>
  <c r="CV55" i="11"/>
  <c r="CU55" i="11"/>
  <c r="CU221" i="11" s="1"/>
  <c r="CT55" i="11"/>
  <c r="CT221" i="11" s="1"/>
  <c r="CV17" i="11"/>
  <c r="CU17" i="11"/>
  <c r="CT17" i="11"/>
  <c r="DC12" i="11"/>
  <c r="BI221" i="11" l="1"/>
  <c r="CO228" i="11"/>
  <c r="CO231" i="11" s="1"/>
  <c r="CO68" i="11" s="1"/>
  <c r="CO227" i="11"/>
  <c r="CO230" i="11" s="1"/>
  <c r="BO221" i="11"/>
  <c r="BJ221" i="11"/>
  <c r="BC221" i="11"/>
  <c r="AT75" i="11"/>
  <c r="AT221" i="11"/>
  <c r="CH221" i="11"/>
  <c r="AZ221" i="11"/>
  <c r="AE228" i="11"/>
  <c r="AE227" i="11"/>
  <c r="S230" i="11"/>
  <c r="CT227" i="11"/>
  <c r="CT230" i="11" s="1"/>
  <c r="CT228" i="11"/>
  <c r="CT231" i="11" s="1"/>
  <c r="CT68" i="11" s="1"/>
  <c r="CA221" i="11"/>
  <c r="BV221" i="11"/>
  <c r="BQ221" i="11"/>
  <c r="BF221" i="11"/>
  <c r="BG221" i="11" s="1"/>
  <c r="AN75" i="11"/>
  <c r="AN221" i="11"/>
  <c r="AF227" i="11"/>
  <c r="AF230" i="11" s="1"/>
  <c r="AF228" i="11"/>
  <c r="AF231" i="11" s="1"/>
  <c r="AF68" i="11" s="1"/>
  <c r="Z227" i="11"/>
  <c r="Z230" i="11" s="1"/>
  <c r="Z228" i="11"/>
  <c r="Z231" i="11" s="1"/>
  <c r="Z68" i="11" s="1"/>
  <c r="T227" i="11"/>
  <c r="T230" i="11" s="1"/>
  <c r="T228" i="11"/>
  <c r="T231" i="11" s="1"/>
  <c r="T68" i="11" s="1"/>
  <c r="N227" i="11"/>
  <c r="N230" i="11" s="1"/>
  <c r="N228" i="11"/>
  <c r="N231" i="11" s="1"/>
  <c r="N68" i="11" s="1"/>
  <c r="CI221" i="11"/>
  <c r="BP221" i="11"/>
  <c r="BE221" i="11"/>
  <c r="M227" i="11"/>
  <c r="M228" i="11"/>
  <c r="CU227" i="11"/>
  <c r="CU230" i="11" s="1"/>
  <c r="CU228" i="11"/>
  <c r="CU231" i="11" s="1"/>
  <c r="CU68" i="11" s="1"/>
  <c r="CB221" i="11"/>
  <c r="BW221" i="11"/>
  <c r="BS221" i="11"/>
  <c r="BR227" i="11"/>
  <c r="BR228" i="11"/>
  <c r="AG227" i="11"/>
  <c r="AG230" i="11" s="1"/>
  <c r="AG228" i="11"/>
  <c r="AG231" i="11" s="1"/>
  <c r="AG68" i="11" s="1"/>
  <c r="U227" i="11"/>
  <c r="U230" i="11" s="1"/>
  <c r="U228" i="11"/>
  <c r="U231" i="11" s="1"/>
  <c r="U68" i="11" s="1"/>
  <c r="O227" i="11"/>
  <c r="O230" i="11" s="1"/>
  <c r="O228" i="11"/>
  <c r="O231" i="11" s="1"/>
  <c r="O68" i="11" s="1"/>
  <c r="CE221" i="11"/>
  <c r="CD228" i="11"/>
  <c r="CD227" i="11"/>
  <c r="CM227" i="11"/>
  <c r="CM228" i="11"/>
  <c r="CN227" i="11"/>
  <c r="CN230" i="11" s="1"/>
  <c r="CN228" i="11"/>
  <c r="CN231" i="11" s="1"/>
  <c r="CN68" i="11" s="1"/>
  <c r="CQ221" i="11"/>
  <c r="CP227" i="11"/>
  <c r="CP228" i="11"/>
  <c r="BU221" i="11"/>
  <c r="BM221" i="11"/>
  <c r="BL227" i="11"/>
  <c r="BL228" i="11"/>
  <c r="Y230" i="11"/>
  <c r="CV75" i="11"/>
  <c r="CV221" i="11"/>
  <c r="CG221" i="11"/>
  <c r="CC221" i="11"/>
  <c r="BY221" i="11"/>
  <c r="BX227" i="11"/>
  <c r="BX228" i="11"/>
  <c r="AM228" i="11"/>
  <c r="AM231" i="11" s="1"/>
  <c r="AM68" i="11" s="1"/>
  <c r="AM227" i="11"/>
  <c r="AM230" i="11" s="1"/>
  <c r="AH75" i="11"/>
  <c r="AH221" i="11"/>
  <c r="AB75" i="11"/>
  <c r="AB221" i="11"/>
  <c r="V75" i="11"/>
  <c r="V221" i="11"/>
  <c r="P75" i="11"/>
  <c r="P221" i="11"/>
  <c r="CU202" i="11"/>
  <c r="CT75" i="11"/>
  <c r="CV202" i="11"/>
  <c r="CU75" i="11"/>
  <c r="CW174" i="11"/>
  <c r="CW178" i="11"/>
  <c r="CW64" i="135"/>
  <c r="CQ175" i="11"/>
  <c r="CQ184" i="11"/>
  <c r="CK174" i="11"/>
  <c r="CE175" i="11"/>
  <c r="CE184" i="11"/>
  <c r="BY174" i="11"/>
  <c r="BX75" i="11"/>
  <c r="BS175" i="11"/>
  <c r="BS184" i="11"/>
  <c r="BM174" i="11"/>
  <c r="BG175" i="11"/>
  <c r="BG184" i="11"/>
  <c r="BA175" i="11"/>
  <c r="BA184" i="11"/>
  <c r="CW184" i="11"/>
  <c r="CQ174" i="11"/>
  <c r="CP75" i="11"/>
  <c r="CK175" i="11"/>
  <c r="CK184" i="11"/>
  <c r="CE174" i="11"/>
  <c r="CD75" i="11"/>
  <c r="BY175" i="11"/>
  <c r="BY184" i="11"/>
  <c r="BS174" i="11"/>
  <c r="BR75" i="11"/>
  <c r="BM175" i="11"/>
  <c r="BM184" i="11"/>
  <c r="BL75" i="11"/>
  <c r="BG174" i="11"/>
  <c r="BA174" i="11"/>
  <c r="CW185" i="11"/>
  <c r="CW175" i="11"/>
  <c r="CY111" i="11"/>
  <c r="CW112" i="11"/>
  <c r="CW111" i="11"/>
  <c r="CW61" i="11"/>
  <c r="CW59" i="135"/>
  <c r="CW54" i="135"/>
  <c r="CW116" i="11"/>
  <c r="CK115" i="11"/>
  <c r="CK114" i="11"/>
  <c r="CK61" i="11"/>
  <c r="CK116" i="11"/>
  <c r="BY115" i="11"/>
  <c r="BY114" i="11"/>
  <c r="BY61" i="11"/>
  <c r="BY116" i="11"/>
  <c r="BM57" i="12"/>
  <c r="BM58" i="12" s="1"/>
  <c r="BM115" i="11"/>
  <c r="BM114" i="11"/>
  <c r="BM61" i="11"/>
  <c r="BM116" i="11"/>
  <c r="BG57" i="12"/>
  <c r="BG58" i="12" s="1"/>
  <c r="AU114" i="11"/>
  <c r="AU115" i="11"/>
  <c r="AU61" i="11"/>
  <c r="AU62" i="11" s="1"/>
  <c r="AU116" i="11"/>
  <c r="AO115" i="11"/>
  <c r="AO114" i="11"/>
  <c r="AO61" i="11"/>
  <c r="AO62" i="11" s="1"/>
  <c r="AO116" i="11"/>
  <c r="AI57" i="12"/>
  <c r="AI58" i="12" s="1"/>
  <c r="AI114" i="11"/>
  <c r="AI115" i="11"/>
  <c r="AC115" i="11"/>
  <c r="AC114" i="11"/>
  <c r="W57" i="12"/>
  <c r="W58" i="12" s="1"/>
  <c r="W114" i="11"/>
  <c r="W115" i="11"/>
  <c r="Q57" i="12"/>
  <c r="Q58" i="12" s="1"/>
  <c r="Q115" i="11"/>
  <c r="Q114" i="11"/>
  <c r="CW69" i="135"/>
  <c r="CQ114" i="11"/>
  <c r="CQ115" i="11"/>
  <c r="CQ61" i="11"/>
  <c r="CQ62" i="11" s="1"/>
  <c r="CQ59" i="135"/>
  <c r="CQ54" i="135"/>
  <c r="CQ116" i="11"/>
  <c r="CE114" i="11"/>
  <c r="CE115" i="11"/>
  <c r="CE61" i="11"/>
  <c r="CE116" i="11"/>
  <c r="BS114" i="11"/>
  <c r="BS115" i="11"/>
  <c r="BS61" i="11"/>
  <c r="BS116" i="11"/>
  <c r="BG61" i="11"/>
  <c r="BG116" i="11"/>
  <c r="BA115" i="11"/>
  <c r="BA114" i="11"/>
  <c r="BA61" i="11"/>
  <c r="BA116" i="11"/>
  <c r="BA43" i="11"/>
  <c r="AI61" i="11"/>
  <c r="AI62" i="11" s="1"/>
  <c r="AI116" i="11"/>
  <c r="AC61" i="11"/>
  <c r="AC62" i="11" s="1"/>
  <c r="AC116" i="11"/>
  <c r="W61" i="11"/>
  <c r="W62" i="11" s="1"/>
  <c r="W116" i="11"/>
  <c r="Q61" i="11"/>
  <c r="Q62" i="11" s="1"/>
  <c r="Q116" i="11"/>
  <c r="Q43" i="11"/>
  <c r="CK43" i="11"/>
  <c r="AC43" i="11"/>
  <c r="AU36" i="11"/>
  <c r="AU80" i="11" s="1"/>
  <c r="CQ36" i="11"/>
  <c r="AC36" i="11"/>
  <c r="Q36" i="11"/>
  <c r="Q80" i="11" s="1"/>
  <c r="CQ64" i="135"/>
  <c r="CQ43" i="11"/>
  <c r="BY186" i="11"/>
  <c r="BY135" i="11"/>
  <c r="BS186" i="11"/>
  <c r="BS135" i="11"/>
  <c r="BM186" i="11"/>
  <c r="BM135" i="11"/>
  <c r="AU57" i="12"/>
  <c r="AU58" i="12" s="1"/>
  <c r="AU43" i="11"/>
  <c r="CE186" i="11"/>
  <c r="CE135" i="11"/>
  <c r="AO186" i="11"/>
  <c r="AO189" i="11" s="1"/>
  <c r="AO135" i="11"/>
  <c r="AI186" i="11"/>
  <c r="AI189" i="11" s="1"/>
  <c r="AI135" i="11"/>
  <c r="W186" i="11"/>
  <c r="W189" i="11" s="1"/>
  <c r="W135" i="11"/>
  <c r="CW186" i="11"/>
  <c r="CW135" i="11"/>
  <c r="CQ186" i="11"/>
  <c r="CQ135" i="11"/>
  <c r="CK186" i="11"/>
  <c r="CK135" i="11"/>
  <c r="CE43" i="11"/>
  <c r="BY36" i="11"/>
  <c r="BY43" i="11"/>
  <c r="BS36" i="11"/>
  <c r="BS43" i="11"/>
  <c r="BM43" i="11"/>
  <c r="BG186" i="11"/>
  <c r="BG135" i="11"/>
  <c r="BA57" i="12"/>
  <c r="BA58" i="12" s="1"/>
  <c r="BA186" i="11"/>
  <c r="BA135" i="11"/>
  <c r="AT181" i="11"/>
  <c r="AT182" i="11" s="1"/>
  <c r="AT191" i="11" s="1"/>
  <c r="AT26" i="11"/>
  <c r="AT28" i="11" s="1"/>
  <c r="AU186" i="11"/>
  <c r="AU189" i="11" s="1"/>
  <c r="AU135" i="11"/>
  <c r="AO57" i="12"/>
  <c r="AO58" i="12" s="1"/>
  <c r="AO36" i="11"/>
  <c r="AO43" i="11"/>
  <c r="AI36" i="11"/>
  <c r="AI80" i="11" s="1"/>
  <c r="AI43" i="11"/>
  <c r="AC57" i="12"/>
  <c r="AC58" i="12" s="1"/>
  <c r="AC26" i="11"/>
  <c r="AC186" i="11"/>
  <c r="AC189" i="11" s="1"/>
  <c r="AC135" i="11"/>
  <c r="W36" i="11"/>
  <c r="W79" i="11" s="1"/>
  <c r="W43" i="11"/>
  <c r="Q26" i="11"/>
  <c r="Q186" i="11"/>
  <c r="Q189" i="11" s="1"/>
  <c r="Q135" i="11"/>
  <c r="CW188" i="11"/>
  <c r="CW43" i="11"/>
  <c r="BM36" i="11"/>
  <c r="AI26" i="11"/>
  <c r="W26" i="11"/>
  <c r="CW36" i="11"/>
  <c r="CK36" i="11"/>
  <c r="CQ178" i="11"/>
  <c r="BY178" i="11"/>
  <c r="BM178" i="11"/>
  <c r="BA178" i="11"/>
  <c r="CK178" i="11"/>
  <c r="CE178" i="11"/>
  <c r="BS178" i="11"/>
  <c r="BG178" i="11"/>
  <c r="AU178" i="11"/>
  <c r="AT154" i="11"/>
  <c r="AT151" i="11" s="1"/>
  <c r="AT152" i="11" s="1"/>
  <c r="AI178" i="11"/>
  <c r="AK146" i="11"/>
  <c r="AH154" i="11"/>
  <c r="AI181" i="11"/>
  <c r="AK157" i="11"/>
  <c r="AO157" i="11" s="1"/>
  <c r="AH163" i="11"/>
  <c r="AC178" i="11"/>
  <c r="AE146" i="11"/>
  <c r="AB154" i="11"/>
  <c r="AC181" i="11"/>
  <c r="AE157" i="11"/>
  <c r="AI157" i="11" s="1"/>
  <c r="AB163" i="11"/>
  <c r="AO178" i="11"/>
  <c r="AN154" i="11"/>
  <c r="W178" i="11"/>
  <c r="Y146" i="11"/>
  <c r="V154" i="11"/>
  <c r="W181" i="11"/>
  <c r="Y157" i="11"/>
  <c r="V163" i="11"/>
  <c r="Q178" i="11"/>
  <c r="S146" i="11"/>
  <c r="P154" i="11"/>
  <c r="Q181" i="11"/>
  <c r="S157" i="11"/>
  <c r="P163" i="11"/>
  <c r="AN181" i="11"/>
  <c r="AN182" i="11" s="1"/>
  <c r="AN191" i="11" s="1"/>
  <c r="CW55" i="11"/>
  <c r="BC45" i="11"/>
  <c r="BE45" i="11"/>
  <c r="CT81" i="11"/>
  <c r="CT78" i="11"/>
  <c r="CV81" i="11"/>
  <c r="CV78" i="11"/>
  <c r="CU45" i="11"/>
  <c r="CU80" i="11"/>
  <c r="CU79" i="11"/>
  <c r="CN81" i="11"/>
  <c r="CN78" i="11"/>
  <c r="CP81" i="11"/>
  <c r="CP78" i="11"/>
  <c r="CN80" i="11"/>
  <c r="CN79" i="11"/>
  <c r="CP45" i="11"/>
  <c r="CP80" i="11"/>
  <c r="CP79" i="11"/>
  <c r="CN75" i="11"/>
  <c r="CH78" i="11"/>
  <c r="CH81" i="11"/>
  <c r="CJ78" i="11"/>
  <c r="CJ81" i="11"/>
  <c r="CI79" i="11"/>
  <c r="CI80" i="11"/>
  <c r="CI75" i="11"/>
  <c r="CB81" i="11"/>
  <c r="CB78" i="11"/>
  <c r="CB45" i="11"/>
  <c r="CB79" i="11"/>
  <c r="CB80" i="11"/>
  <c r="CA75" i="11"/>
  <c r="CC75" i="11"/>
  <c r="BV81" i="11"/>
  <c r="BV78" i="11"/>
  <c r="BX81" i="11"/>
  <c r="BX78" i="11"/>
  <c r="BV45" i="11"/>
  <c r="BV80" i="11"/>
  <c r="BV79" i="11"/>
  <c r="BX45" i="11"/>
  <c r="BX80" i="11"/>
  <c r="BX79" i="11"/>
  <c r="BV75" i="11"/>
  <c r="BO81" i="11"/>
  <c r="BO78" i="11"/>
  <c r="BQ81" i="11"/>
  <c r="BQ78" i="11"/>
  <c r="BO80" i="11"/>
  <c r="BO79" i="11"/>
  <c r="BQ80" i="11"/>
  <c r="BQ79" i="11"/>
  <c r="BO45" i="11"/>
  <c r="BQ45" i="11"/>
  <c r="BO75" i="11"/>
  <c r="BQ75" i="11"/>
  <c r="BJ81" i="11"/>
  <c r="BJ78" i="11"/>
  <c r="BL81" i="11"/>
  <c r="BL78" i="11"/>
  <c r="BJ80" i="11"/>
  <c r="BJ79" i="11"/>
  <c r="BL80" i="11"/>
  <c r="BL79" i="11"/>
  <c r="BJ45" i="11"/>
  <c r="BL45" i="11"/>
  <c r="BJ75" i="11"/>
  <c r="BC81" i="11"/>
  <c r="BC78" i="11"/>
  <c r="BE81" i="11"/>
  <c r="BE78" i="11"/>
  <c r="BD80" i="11"/>
  <c r="BD79" i="11"/>
  <c r="BE75" i="11"/>
  <c r="AN81" i="11"/>
  <c r="AN78" i="11"/>
  <c r="AN80" i="11"/>
  <c r="AN79" i="11"/>
  <c r="Y81" i="11"/>
  <c r="Y78" i="11"/>
  <c r="AA81" i="11"/>
  <c r="AA78" i="11"/>
  <c r="Y28" i="11"/>
  <c r="Z80" i="11"/>
  <c r="Z79" i="11"/>
  <c r="AB80" i="11"/>
  <c r="AB79" i="11"/>
  <c r="Z75" i="11"/>
  <c r="T81" i="11"/>
  <c r="T78" i="11"/>
  <c r="V81" i="11"/>
  <c r="V78" i="11"/>
  <c r="T80" i="11"/>
  <c r="T79" i="11"/>
  <c r="V45" i="11"/>
  <c r="V57" i="11" s="1"/>
  <c r="V80" i="11"/>
  <c r="V79" i="11"/>
  <c r="T45" i="11"/>
  <c r="T57" i="11" s="1"/>
  <c r="T75" i="11"/>
  <c r="N81" i="11"/>
  <c r="N78" i="11"/>
  <c r="P81" i="11"/>
  <c r="P78" i="11"/>
  <c r="N28" i="11"/>
  <c r="P28" i="11"/>
  <c r="N80" i="11"/>
  <c r="N79" i="11"/>
  <c r="P80" i="11"/>
  <c r="P79" i="11"/>
  <c r="N45" i="11"/>
  <c r="N57" i="11" s="1"/>
  <c r="P45" i="11"/>
  <c r="P57" i="11" s="1"/>
  <c r="N75" i="11"/>
  <c r="G28" i="11"/>
  <c r="G81" i="11"/>
  <c r="G78" i="11"/>
  <c r="K28" i="11"/>
  <c r="K81" i="11"/>
  <c r="K78" i="11"/>
  <c r="G45" i="11"/>
  <c r="G57" i="11" s="1"/>
  <c r="G79" i="11"/>
  <c r="G80" i="11"/>
  <c r="K45" i="11"/>
  <c r="K57" i="11" s="1"/>
  <c r="K79" i="11"/>
  <c r="K80" i="11"/>
  <c r="I75" i="11"/>
  <c r="E75" i="11"/>
  <c r="CU81" i="11"/>
  <c r="CU78" i="11"/>
  <c r="CT45" i="11"/>
  <c r="CT80" i="11"/>
  <c r="CT79" i="11"/>
  <c r="CV45" i="11"/>
  <c r="CV80" i="11"/>
  <c r="CV79" i="11"/>
  <c r="CM81" i="11"/>
  <c r="CM78" i="11"/>
  <c r="CO81" i="11"/>
  <c r="CO78" i="11"/>
  <c r="CM80" i="11"/>
  <c r="CM79" i="11"/>
  <c r="CO80" i="11"/>
  <c r="CO79" i="11"/>
  <c r="CM75" i="11"/>
  <c r="CO75" i="11"/>
  <c r="CI81" i="11"/>
  <c r="CI78" i="11"/>
  <c r="CH80" i="11"/>
  <c r="CH79" i="11"/>
  <c r="CJ80" i="11"/>
  <c r="CJ79" i="11"/>
  <c r="CH75" i="11"/>
  <c r="CA78" i="11"/>
  <c r="CA81" i="11"/>
  <c r="CC78" i="11"/>
  <c r="CC81" i="11"/>
  <c r="CA80" i="11"/>
  <c r="CA79" i="11"/>
  <c r="CC80" i="11"/>
  <c r="CC79" i="11"/>
  <c r="CB75" i="11"/>
  <c r="BU81" i="11"/>
  <c r="BU78" i="11"/>
  <c r="BW81" i="11"/>
  <c r="BW78" i="11"/>
  <c r="BU80" i="11"/>
  <c r="BU79" i="11"/>
  <c r="BW80" i="11"/>
  <c r="BW79" i="11"/>
  <c r="BU75" i="11"/>
  <c r="BW75" i="11"/>
  <c r="BP81" i="11"/>
  <c r="BP78" i="11"/>
  <c r="BR81" i="11"/>
  <c r="BR78" i="11"/>
  <c r="BP45" i="11"/>
  <c r="BP80" i="11"/>
  <c r="BP79" i="11"/>
  <c r="BR45" i="11"/>
  <c r="BR80" i="11"/>
  <c r="BR79" i="11"/>
  <c r="BP75" i="11"/>
  <c r="BI81" i="11"/>
  <c r="BI78" i="11"/>
  <c r="BK81" i="11"/>
  <c r="BK78" i="11"/>
  <c r="BI45" i="11"/>
  <c r="BI80" i="11"/>
  <c r="BI79" i="11"/>
  <c r="BK45" i="11"/>
  <c r="BK80" i="11"/>
  <c r="BK79" i="11"/>
  <c r="BI75" i="11"/>
  <c r="BD81" i="11"/>
  <c r="BD78" i="11"/>
  <c r="BC79" i="11"/>
  <c r="BC80" i="11"/>
  <c r="BE79" i="11"/>
  <c r="BE80" i="11"/>
  <c r="BC75" i="11"/>
  <c r="AT81" i="11"/>
  <c r="AT78" i="11"/>
  <c r="AT80" i="11"/>
  <c r="AT79" i="11"/>
  <c r="AT45" i="11"/>
  <c r="AT57" i="11" s="1"/>
  <c r="AN28" i="11"/>
  <c r="AM81" i="11"/>
  <c r="AM78" i="11"/>
  <c r="AM45" i="11"/>
  <c r="AM57" i="11" s="1"/>
  <c r="AM80" i="11"/>
  <c r="AM79" i="11"/>
  <c r="AM75" i="11"/>
  <c r="AI55" i="11"/>
  <c r="AH81" i="11"/>
  <c r="AH78" i="11"/>
  <c r="AH79" i="11"/>
  <c r="AH80" i="11"/>
  <c r="AH45" i="11"/>
  <c r="AH57" i="11" s="1"/>
  <c r="Z81" i="11"/>
  <c r="Z78" i="11"/>
  <c r="AB81" i="11"/>
  <c r="AB78" i="11"/>
  <c r="Y45" i="11"/>
  <c r="Y57" i="11" s="1"/>
  <c r="Y80" i="11"/>
  <c r="Y79" i="11"/>
  <c r="AA80" i="11"/>
  <c r="AA79" i="11"/>
  <c r="AA45" i="11"/>
  <c r="AA57" i="11" s="1"/>
  <c r="Y75" i="11"/>
  <c r="AA75" i="11"/>
  <c r="S28" i="11"/>
  <c r="S81" i="11"/>
  <c r="S78" i="11"/>
  <c r="U81" i="11"/>
  <c r="U78" i="11"/>
  <c r="U28" i="11"/>
  <c r="S80" i="11"/>
  <c r="S79" i="11"/>
  <c r="U80" i="11"/>
  <c r="U79" i="11"/>
  <c r="S75" i="11"/>
  <c r="U75" i="11"/>
  <c r="Q55" i="11"/>
  <c r="M81" i="11"/>
  <c r="M78" i="11"/>
  <c r="O81" i="11"/>
  <c r="O78" i="11"/>
  <c r="M80" i="11"/>
  <c r="M79" i="11"/>
  <c r="O80" i="11"/>
  <c r="O79" i="11"/>
  <c r="M75" i="11"/>
  <c r="O75" i="11"/>
  <c r="E81" i="11"/>
  <c r="E78" i="11"/>
  <c r="I81" i="11"/>
  <c r="I78" i="11"/>
  <c r="I28" i="11"/>
  <c r="E79" i="11"/>
  <c r="E80" i="11"/>
  <c r="I79" i="11"/>
  <c r="I80" i="11"/>
  <c r="I45" i="11"/>
  <c r="I57" i="11" s="1"/>
  <c r="K75" i="11"/>
  <c r="G75" i="11"/>
  <c r="CE17" i="11"/>
  <c r="BS17" i="11"/>
  <c r="BS55" i="11"/>
  <c r="BG55" i="11"/>
  <c r="BA55" i="11"/>
  <c r="AO17" i="11"/>
  <c r="Q17" i="11"/>
  <c r="AC55" i="11"/>
  <c r="W17" i="11"/>
  <c r="CQ17" i="11"/>
  <c r="CE55" i="11"/>
  <c r="BY17" i="11"/>
  <c r="BY55" i="11"/>
  <c r="BM17" i="11"/>
  <c r="BM55" i="11"/>
  <c r="BA17" i="11"/>
  <c r="AU55" i="11"/>
  <c r="AI17" i="11"/>
  <c r="AC17" i="11"/>
  <c r="CN45" i="11"/>
  <c r="BU45" i="11"/>
  <c r="BW45" i="11"/>
  <c r="AU24" i="11"/>
  <c r="AT163" i="11" s="1"/>
  <c r="AT160" i="11" s="1"/>
  <c r="AT161" i="11" s="1"/>
  <c r="CQ55" i="11"/>
  <c r="CA45" i="11"/>
  <c r="CC45" i="11"/>
  <c r="AU17" i="11"/>
  <c r="BD45" i="11"/>
  <c r="AR45" i="11"/>
  <c r="AO24" i="11"/>
  <c r="AN163" i="11" s="1"/>
  <c r="AN45" i="11"/>
  <c r="AN57" i="11" s="1"/>
  <c r="AH28" i="11"/>
  <c r="Z28" i="11"/>
  <c r="AB28" i="11"/>
  <c r="Z45" i="11"/>
  <c r="Z57" i="11" s="1"/>
  <c r="AB45" i="11"/>
  <c r="AB57" i="11" s="1"/>
  <c r="W55" i="11"/>
  <c r="T28" i="11"/>
  <c r="V28" i="11"/>
  <c r="S45" i="11"/>
  <c r="S57" i="11" s="1"/>
  <c r="U45" i="11"/>
  <c r="U57" i="11" s="1"/>
  <c r="M28" i="11"/>
  <c r="O28" i="11"/>
  <c r="M45" i="11"/>
  <c r="M57" i="11" s="1"/>
  <c r="O45" i="11"/>
  <c r="O57" i="11" s="1"/>
  <c r="AO54" i="11"/>
  <c r="AO55" i="11" s="1"/>
  <c r="E57" i="11"/>
  <c r="E58" i="11" s="1"/>
  <c r="CK17" i="11"/>
  <c r="CI45" i="11"/>
  <c r="CH45" i="11"/>
  <c r="CJ45" i="11"/>
  <c r="CM45" i="11"/>
  <c r="CO45" i="11"/>
  <c r="DI12" i="11"/>
  <c r="AB58" i="11" l="1"/>
  <c r="BM62" i="11"/>
  <c r="AO221" i="11"/>
  <c r="AN228" i="11"/>
  <c r="AN227" i="11"/>
  <c r="BM227" i="11"/>
  <c r="BL230" i="11"/>
  <c r="CG228" i="11"/>
  <c r="CG227" i="11"/>
  <c r="CM231" i="11"/>
  <c r="CM68" i="11" s="1"/>
  <c r="BW228" i="11"/>
  <c r="BW227" i="11"/>
  <c r="BE227" i="11"/>
  <c r="BE230" i="11" s="1"/>
  <c r="BE228" i="11"/>
  <c r="BE231" i="11" s="1"/>
  <c r="BE68" i="11" s="1"/>
  <c r="CH227" i="11"/>
  <c r="CH230" i="11" s="1"/>
  <c r="CH228" i="11"/>
  <c r="CH231" i="11" s="1"/>
  <c r="CH68" i="11" s="1"/>
  <c r="BO227" i="11"/>
  <c r="BO228" i="11"/>
  <c r="Q221" i="11"/>
  <c r="P227" i="11"/>
  <c r="BU228" i="11"/>
  <c r="BU227" i="11"/>
  <c r="CM230" i="11"/>
  <c r="M231" i="11"/>
  <c r="M68" i="11" s="1"/>
  <c r="BA221" i="11"/>
  <c r="AZ228" i="11"/>
  <c r="AZ227" i="11"/>
  <c r="CW221" i="11"/>
  <c r="CV227" i="11"/>
  <c r="CV228" i="11"/>
  <c r="CE227" i="11"/>
  <c r="CD230" i="11"/>
  <c r="CB227" i="11"/>
  <c r="CB230" i="11" s="1"/>
  <c r="CB228" i="11"/>
  <c r="CB231" i="11" s="1"/>
  <c r="CB68" i="11" s="1"/>
  <c r="BP228" i="11"/>
  <c r="BP231" i="11" s="1"/>
  <c r="BP68" i="11" s="1"/>
  <c r="BP227" i="11"/>
  <c r="BP230" i="11" s="1"/>
  <c r="BQ228" i="11"/>
  <c r="BQ231" i="11" s="1"/>
  <c r="BQ68" i="11" s="1"/>
  <c r="BQ227" i="11"/>
  <c r="BQ230" i="11" s="1"/>
  <c r="W221" i="11"/>
  <c r="V227" i="11"/>
  <c r="BY228" i="11"/>
  <c r="CQ228" i="11"/>
  <c r="CP231" i="11"/>
  <c r="CP68" i="11" s="1"/>
  <c r="CE228" i="11"/>
  <c r="CD231" i="11"/>
  <c r="CD68" i="11" s="1"/>
  <c r="CC227" i="11"/>
  <c r="CC230" i="11" s="1"/>
  <c r="CC228" i="11"/>
  <c r="CC231" i="11" s="1"/>
  <c r="CC68" i="11" s="1"/>
  <c r="BJ227" i="11"/>
  <c r="BJ230" i="11" s="1"/>
  <c r="BJ228" i="11"/>
  <c r="BJ231" i="11" s="1"/>
  <c r="BJ68" i="11" s="1"/>
  <c r="AI221" i="11"/>
  <c r="AH227" i="11"/>
  <c r="AH228" i="11"/>
  <c r="M230" i="11"/>
  <c r="BY227" i="11"/>
  <c r="CQ227" i="11"/>
  <c r="CP230" i="11"/>
  <c r="CI228" i="11"/>
  <c r="CI231" i="11" s="1"/>
  <c r="CI68" i="11" s="1"/>
  <c r="CI227" i="11"/>
  <c r="CI230" i="11" s="1"/>
  <c r="BV227" i="11"/>
  <c r="BV228" i="11"/>
  <c r="AE230" i="11"/>
  <c r="BC227" i="11"/>
  <c r="BC228" i="11"/>
  <c r="BI228" i="11"/>
  <c r="BI227" i="11"/>
  <c r="BM228" i="11"/>
  <c r="BL231" i="11"/>
  <c r="BL68" i="11" s="1"/>
  <c r="BS227" i="11"/>
  <c r="BR230" i="11"/>
  <c r="CA227" i="11"/>
  <c r="CA228" i="11"/>
  <c r="AU221" i="11"/>
  <c r="AT227" i="11"/>
  <c r="AT228" i="11"/>
  <c r="AC221" i="11"/>
  <c r="AB227" i="11"/>
  <c r="BR231" i="11"/>
  <c r="BR68" i="11" s="1"/>
  <c r="BS228" i="11"/>
  <c r="AE231" i="11"/>
  <c r="AE68" i="11" s="1"/>
  <c r="BA62" i="11"/>
  <c r="BS62" i="11"/>
  <c r="CE62" i="11"/>
  <c r="BY62" i="11"/>
  <c r="CK62" i="11"/>
  <c r="BA189" i="11"/>
  <c r="BM189" i="11"/>
  <c r="CK189" i="11"/>
  <c r="CQ189" i="11"/>
  <c r="CE189" i="11"/>
  <c r="BS189" i="11"/>
  <c r="BY189" i="11"/>
  <c r="CW202" i="11"/>
  <c r="CW75" i="11"/>
  <c r="CM57" i="11"/>
  <c r="CH57" i="11"/>
  <c r="CC57" i="11"/>
  <c r="BW57" i="11"/>
  <c r="CN57" i="11"/>
  <c r="BI57" i="11"/>
  <c r="BR57" i="11"/>
  <c r="CT57" i="11"/>
  <c r="BJ57" i="11"/>
  <c r="BO57" i="11"/>
  <c r="BX57" i="11"/>
  <c r="CB57" i="11"/>
  <c r="BE57" i="11"/>
  <c r="CQ77" i="135"/>
  <c r="CO57" i="11"/>
  <c r="CI57" i="11"/>
  <c r="CA57" i="11"/>
  <c r="BU57" i="11"/>
  <c r="BP57" i="11"/>
  <c r="CV57" i="11"/>
  <c r="BL57" i="11"/>
  <c r="BQ57" i="11"/>
  <c r="BV57" i="11"/>
  <c r="CP57" i="11"/>
  <c r="CU57" i="11"/>
  <c r="BC57" i="11"/>
  <c r="CK79" i="11"/>
  <c r="BM80" i="11"/>
  <c r="BS79" i="11"/>
  <c r="BY80" i="11"/>
  <c r="P58" i="11"/>
  <c r="Z58" i="11"/>
  <c r="Q28" i="11"/>
  <c r="O58" i="11"/>
  <c r="N58" i="11"/>
  <c r="CW189" i="11"/>
  <c r="AI182" i="11"/>
  <c r="AI191" i="11" s="1"/>
  <c r="AC182" i="11"/>
  <c r="AC191" i="11" s="1"/>
  <c r="AO26" i="11"/>
  <c r="AO28" i="11" s="1"/>
  <c r="AU26" i="11"/>
  <c r="AU28" i="11" s="1"/>
  <c r="Q182" i="11"/>
  <c r="Q191" i="11" s="1"/>
  <c r="W182" i="11"/>
  <c r="W191" i="11" s="1"/>
  <c r="AO163" i="11"/>
  <c r="AN160" i="11"/>
  <c r="AN161" i="11" s="1"/>
  <c r="Q163" i="11"/>
  <c r="Q160" i="11" s="1"/>
  <c r="P160" i="11"/>
  <c r="P161" i="11" s="1"/>
  <c r="W146" i="11"/>
  <c r="S149" i="11"/>
  <c r="V160" i="11"/>
  <c r="V161" i="11" s="1"/>
  <c r="W163" i="11"/>
  <c r="W160" i="11" s="1"/>
  <c r="W161" i="11" s="1"/>
  <c r="AC146" i="11"/>
  <c r="Y149" i="11"/>
  <c r="AO154" i="11"/>
  <c r="AC154" i="11"/>
  <c r="AH160" i="11"/>
  <c r="AH161" i="11" s="1"/>
  <c r="AI163" i="11"/>
  <c r="AI160" i="11" s="1"/>
  <c r="AI161" i="11" s="1"/>
  <c r="AO146" i="11"/>
  <c r="AK149" i="11"/>
  <c r="W157" i="11"/>
  <c r="S158" i="11"/>
  <c r="S226" i="11" s="1"/>
  <c r="S228" i="11" s="1"/>
  <c r="Q154" i="11"/>
  <c r="AC157" i="11"/>
  <c r="Y158" i="11"/>
  <c r="Y226" i="11" s="1"/>
  <c r="Y228" i="11" s="1"/>
  <c r="W154" i="11"/>
  <c r="AC163" i="11"/>
  <c r="AC160" i="11" s="1"/>
  <c r="AC161" i="11" s="1"/>
  <c r="AB160" i="11"/>
  <c r="AB161" i="11" s="1"/>
  <c r="AI146" i="11"/>
  <c r="AE149" i="11"/>
  <c r="AI154" i="11"/>
  <c r="T58" i="11"/>
  <c r="AU181" i="11"/>
  <c r="AU182" i="11" s="1"/>
  <c r="AU191" i="11" s="1"/>
  <c r="AO181" i="11"/>
  <c r="AO182" i="11" s="1"/>
  <c r="AO191" i="11" s="1"/>
  <c r="AN58" i="11"/>
  <c r="CQ45" i="11"/>
  <c r="BS45" i="11"/>
  <c r="M58" i="11"/>
  <c r="S58" i="11"/>
  <c r="K58" i="11"/>
  <c r="V58" i="11"/>
  <c r="G58" i="11"/>
  <c r="CK45" i="11"/>
  <c r="CE75" i="11"/>
  <c r="AC45" i="11"/>
  <c r="AC57" i="11" s="1"/>
  <c r="I58" i="11"/>
  <c r="U58" i="11"/>
  <c r="AH58" i="11"/>
  <c r="BY45" i="11"/>
  <c r="Q45" i="11"/>
  <c r="Q57" i="11" s="1"/>
  <c r="AO45" i="11"/>
  <c r="AO57" i="11" s="1"/>
  <c r="AC80" i="11"/>
  <c r="Y58" i="11"/>
  <c r="CK81" i="11"/>
  <c r="CK78" i="11"/>
  <c r="AU81" i="11"/>
  <c r="AU78" i="11"/>
  <c r="AC28" i="11"/>
  <c r="AC81" i="11"/>
  <c r="AC78" i="11"/>
  <c r="BM81" i="11"/>
  <c r="BM78" i="11"/>
  <c r="BY81" i="11"/>
  <c r="BY78" i="11"/>
  <c r="CQ81" i="11"/>
  <c r="CQ78" i="11"/>
  <c r="W81" i="11"/>
  <c r="W78" i="11"/>
  <c r="AI45" i="11"/>
  <c r="AI57" i="11" s="1"/>
  <c r="W28" i="11"/>
  <c r="AI28" i="11"/>
  <c r="AI81" i="11"/>
  <c r="AI78" i="11"/>
  <c r="AC79" i="11"/>
  <c r="AI79" i="11"/>
  <c r="AU79" i="11"/>
  <c r="BM79" i="11"/>
  <c r="BY79" i="11"/>
  <c r="CQ79" i="11"/>
  <c r="Q79" i="11"/>
  <c r="W80" i="11"/>
  <c r="AO80" i="11"/>
  <c r="AO81" i="11"/>
  <c r="AO78" i="11"/>
  <c r="BS80" i="11"/>
  <c r="BS81" i="11"/>
  <c r="BS78" i="11"/>
  <c r="CK80" i="11"/>
  <c r="CQ80" i="11"/>
  <c r="Q81" i="11"/>
  <c r="Q78" i="11"/>
  <c r="AO79" i="11"/>
  <c r="AU75" i="11"/>
  <c r="BY75" i="11"/>
  <c r="AI75" i="11"/>
  <c r="AO75" i="11"/>
  <c r="BS75" i="11"/>
  <c r="Q75" i="11"/>
  <c r="BM75" i="11"/>
  <c r="AC75" i="11"/>
  <c r="W75" i="11"/>
  <c r="CQ75" i="11"/>
  <c r="W45" i="11"/>
  <c r="W57" i="11" s="1"/>
  <c r="BM45" i="11"/>
  <c r="AU45" i="11"/>
  <c r="AU57" i="11" s="1"/>
  <c r="AT58" i="11"/>
  <c r="AI227" i="11" l="1"/>
  <c r="CW227" i="11"/>
  <c r="CV230" i="11"/>
  <c r="CG231" i="11"/>
  <c r="CG68" i="11" s="1"/>
  <c r="CA231" i="11"/>
  <c r="CA68" i="11" s="1"/>
  <c r="BC231" i="11"/>
  <c r="BC68" i="11" s="1"/>
  <c r="BO230" i="11"/>
  <c r="AU227" i="11"/>
  <c r="AT230" i="11"/>
  <c r="CG230" i="11"/>
  <c r="BA228" i="11"/>
  <c r="AZ231" i="11"/>
  <c r="AZ68" i="11" s="1"/>
  <c r="Q227" i="11"/>
  <c r="AO227" i="11"/>
  <c r="AN230" i="11"/>
  <c r="AU228" i="11"/>
  <c r="AT231" i="11"/>
  <c r="AT68" i="11" s="1"/>
  <c r="BI230" i="11"/>
  <c r="CW228" i="11"/>
  <c r="CV231" i="11"/>
  <c r="CV68" i="11" s="1"/>
  <c r="BC230" i="11"/>
  <c r="BA227" i="11"/>
  <c r="AZ230" i="11"/>
  <c r="AC227" i="11"/>
  <c r="AO228" i="11"/>
  <c r="AN231" i="11"/>
  <c r="AN68" i="11" s="1"/>
  <c r="AI228" i="11"/>
  <c r="BI231" i="11"/>
  <c r="BI68" i="11" s="1"/>
  <c r="CA230" i="11"/>
  <c r="W227" i="11"/>
  <c r="BO231" i="11"/>
  <c r="BO68" i="11" s="1"/>
  <c r="S231" i="11"/>
  <c r="S68" i="11" s="1"/>
  <c r="Y231" i="11"/>
  <c r="Y68" i="11" s="1"/>
  <c r="Q58" i="11"/>
  <c r="CQ57" i="11"/>
  <c r="BM57" i="11"/>
  <c r="BY57" i="11"/>
  <c r="BS57" i="11"/>
  <c r="V158" i="11"/>
  <c r="V226" i="11" s="1"/>
  <c r="P158" i="11"/>
  <c r="P226" i="11" s="1"/>
  <c r="AC158" i="11"/>
  <c r="AI158" i="11"/>
  <c r="AQ146" i="11"/>
  <c r="AU146" i="11"/>
  <c r="W158" i="11"/>
  <c r="Q158" i="11"/>
  <c r="Q161" i="11"/>
  <c r="AQ157" i="11"/>
  <c r="AU157" i="11"/>
  <c r="AO160" i="11"/>
  <c r="AO161" i="11" s="1"/>
  <c r="AC58" i="11"/>
  <c r="AO58" i="11"/>
  <c r="W58" i="11"/>
  <c r="AI58" i="11"/>
  <c r="AU58" i="11"/>
  <c r="Q226" i="11" l="1"/>
  <c r="P228" i="11"/>
  <c r="W226" i="11"/>
  <c r="V228" i="11"/>
  <c r="AO158" i="11"/>
  <c r="W228" i="11" l="1"/>
  <c r="Q228" i="11"/>
  <c r="P78" i="12"/>
  <c r="V78" i="12"/>
  <c r="AB78" i="12"/>
  <c r="AB209" i="11"/>
  <c r="AB210" i="11" s="1"/>
  <c r="AH78" i="12"/>
  <c r="AB211" i="11" l="1"/>
  <c r="AB230" i="11"/>
  <c r="AH209" i="11"/>
  <c r="AH210" i="11" s="1"/>
  <c r="V209" i="11"/>
  <c r="V210" i="11" s="1"/>
  <c r="P209" i="11"/>
  <c r="P210" i="11" s="1"/>
  <c r="AC78" i="12"/>
  <c r="W78" i="12"/>
  <c r="AI78" i="12"/>
  <c r="Q78" i="12"/>
  <c r="AH211" i="11" l="1"/>
  <c r="AH230" i="11"/>
  <c r="AH231" i="11"/>
  <c r="AH68" i="11" s="1"/>
  <c r="P211" i="11"/>
  <c r="P230" i="11"/>
  <c r="P231" i="11"/>
  <c r="P68" i="11" s="1"/>
  <c r="V211" i="11"/>
  <c r="V230" i="11"/>
  <c r="V231" i="11"/>
  <c r="V68" i="11" s="1"/>
  <c r="AO78" i="12"/>
  <c r="AU78" i="12"/>
  <c r="BG78" i="12"/>
  <c r="BM78" i="12"/>
  <c r="BS78" i="12"/>
  <c r="CE78" i="12"/>
  <c r="CK78" i="12"/>
  <c r="DC53" i="11" l="1"/>
  <c r="DC50" i="11"/>
  <c r="DB188" i="11"/>
  <c r="DC20" i="11"/>
  <c r="DC39" i="11" l="1"/>
  <c r="DC40" i="11"/>
  <c r="DC187" i="11" s="1"/>
  <c r="DC22" i="11"/>
  <c r="DC180" i="11" s="1"/>
  <c r="DB180" i="11"/>
  <c r="DC15" i="11"/>
  <c r="DC176" i="11" s="1"/>
  <c r="DB176" i="11"/>
  <c r="DC21" i="11"/>
  <c r="DC179" i="11" s="1"/>
  <c r="DB179" i="11"/>
  <c r="DC47" i="11"/>
  <c r="DC41" i="11"/>
  <c r="DC188" i="11" s="1"/>
  <c r="DC31" i="11"/>
  <c r="DC64" i="135" l="1"/>
  <c r="DC61" i="11"/>
  <c r="DC59" i="135"/>
  <c r="DC54" i="135"/>
  <c r="DC116" i="11"/>
  <c r="DC43" i="11"/>
  <c r="DE64" i="135" l="1"/>
  <c r="DI15" i="138" l="1"/>
  <c r="DI38" i="138"/>
  <c r="DO105" i="12"/>
  <c r="DO100" i="12" s="1"/>
  <c r="DK107" i="12"/>
  <c r="DK40" i="12" s="1"/>
  <c r="DK134" i="12" s="1"/>
  <c r="DL107" i="12"/>
  <c r="DL40" i="12" s="1"/>
  <c r="DL134" i="12" s="1"/>
  <c r="DM107" i="12"/>
  <c r="DM40" i="12" s="1"/>
  <c r="DM134" i="12" s="1"/>
  <c r="DN107" i="12"/>
  <c r="DN40" i="12" s="1"/>
  <c r="DN134" i="12" s="1"/>
  <c r="DO110" i="12"/>
  <c r="DK110" i="12"/>
  <c r="DK100" i="12" s="1"/>
  <c r="DL110" i="12"/>
  <c r="DL100" i="12" s="1"/>
  <c r="DM110" i="12"/>
  <c r="DM100" i="12" s="1"/>
  <c r="DN110" i="12"/>
  <c r="DN100" i="12" s="1"/>
  <c r="DT86" i="11"/>
  <c r="DN86" i="11"/>
  <c r="DU128" i="12"/>
  <c r="DT110" i="12"/>
  <c r="DT100" i="12" s="1"/>
  <c r="DU110" i="12"/>
  <c r="DS110" i="12"/>
  <c r="DS100" i="12" s="1"/>
  <c r="DR110" i="12"/>
  <c r="DR100" i="12" s="1"/>
  <c r="DQ110" i="12"/>
  <c r="DQ100" i="12" s="1"/>
  <c r="DT107" i="12"/>
  <c r="DT40" i="12" s="1"/>
  <c r="DT134" i="12" s="1"/>
  <c r="DS107" i="12"/>
  <c r="DS40" i="12" s="1"/>
  <c r="DS134" i="12" s="1"/>
  <c r="DR107" i="12"/>
  <c r="DR40" i="12" s="1"/>
  <c r="DR134" i="12" s="1"/>
  <c r="DQ107" i="12"/>
  <c r="DQ40" i="12" s="1"/>
  <c r="DQ134" i="12" s="1"/>
  <c r="DU105" i="12"/>
  <c r="DU100" i="12" s="1"/>
  <c r="DI45" i="138" l="1"/>
  <c r="DI23" i="138"/>
  <c r="DU40" i="12"/>
  <c r="DU134" i="12" s="1"/>
  <c r="DO40" i="12"/>
  <c r="DO134" i="12" s="1"/>
  <c r="DU107" i="12"/>
  <c r="DU106" i="12" s="1"/>
  <c r="DO107" i="12"/>
  <c r="DO106" i="12" s="1"/>
  <c r="DN8" i="12" l="1"/>
  <c r="DT8" i="12" s="1"/>
  <c r="DZ8" i="12" s="1"/>
  <c r="EF8" i="12" s="1"/>
  <c r="DM8" i="12"/>
  <c r="DS8" i="12" s="1"/>
  <c r="DY8" i="12" s="1"/>
  <c r="EE8" i="12" s="1"/>
  <c r="DL8" i="12"/>
  <c r="DR8" i="12" s="1"/>
  <c r="DX8" i="12" s="1"/>
  <c r="ED8" i="12" s="1"/>
  <c r="DK8" i="12"/>
  <c r="DQ8" i="12" s="1"/>
  <c r="DW8" i="12" s="1"/>
  <c r="EC8" i="12" s="1"/>
  <c r="S8" i="12"/>
  <c r="T8" i="12" s="1"/>
  <c r="U8" i="12" s="1"/>
  <c r="V8" i="12" s="1"/>
  <c r="N8" i="12"/>
  <c r="O8" i="12" s="1"/>
  <c r="P8" i="12" s="1"/>
  <c r="S7" i="12"/>
  <c r="Y7" i="12" s="1"/>
  <c r="AE7" i="12" s="1"/>
  <c r="AK7" i="12" s="1"/>
  <c r="AQ7" i="12" s="1"/>
  <c r="AW7" i="12" s="1"/>
  <c r="BC7" i="12" s="1"/>
  <c r="BI7" i="12" s="1"/>
  <c r="BO7" i="12" s="1"/>
  <c r="BU7" i="12" s="1"/>
  <c r="CA7" i="12" s="1"/>
  <c r="CG7" i="12" s="1"/>
  <c r="CM7" i="12" s="1"/>
  <c r="CS7" i="12" s="1"/>
  <c r="CY7" i="12" s="1"/>
  <c r="DE7" i="12" s="1"/>
  <c r="DK7" i="12" s="1"/>
  <c r="DQ7" i="12" s="1"/>
  <c r="DW7" i="12" s="1"/>
  <c r="EC7" i="12" s="1"/>
  <c r="Q7" i="12"/>
  <c r="W7" i="12" s="1"/>
  <c r="AC7" i="12" s="1"/>
  <c r="AI7" i="12" s="1"/>
  <c r="AO7" i="12" s="1"/>
  <c r="AU7" i="12" s="1"/>
  <c r="BA7" i="12" s="1"/>
  <c r="BG7" i="12" s="1"/>
  <c r="BM7" i="12" s="1"/>
  <c r="BS7" i="12" s="1"/>
  <c r="BY7" i="12" s="1"/>
  <c r="CE7" i="12" s="1"/>
  <c r="CK7" i="12" s="1"/>
  <c r="CQ7" i="12" s="1"/>
  <c r="CW7" i="12" s="1"/>
  <c r="DC7" i="12" s="1"/>
  <c r="DI7" i="12" s="1"/>
  <c r="DO7" i="12" s="1"/>
  <c r="DU7" i="12" s="1"/>
  <c r="EA7" i="12" s="1"/>
  <c r="EG7" i="12" s="1"/>
  <c r="K7" i="12"/>
  <c r="DN8" i="11"/>
  <c r="DT8" i="11" s="1"/>
  <c r="DZ8" i="11" s="1"/>
  <c r="EF8" i="11" s="1"/>
  <c r="DM8" i="11"/>
  <c r="DS8" i="11" s="1"/>
  <c r="DY8" i="11" s="1"/>
  <c r="EE8" i="11" s="1"/>
  <c r="DL8" i="11"/>
  <c r="DR8" i="11" s="1"/>
  <c r="DX8" i="11" s="1"/>
  <c r="ED8" i="11" s="1"/>
  <c r="DK8" i="11"/>
  <c r="DQ8" i="11" s="1"/>
  <c r="DW8" i="11" s="1"/>
  <c r="EC8" i="11" s="1"/>
  <c r="S8" i="11"/>
  <c r="Y8" i="11" s="1"/>
  <c r="Z8" i="11" s="1"/>
  <c r="AA8" i="11" s="1"/>
  <c r="AB8" i="11" s="1"/>
  <c r="N8" i="11"/>
  <c r="O8" i="11" s="1"/>
  <c r="P8" i="11" s="1"/>
  <c r="S7" i="11"/>
  <c r="Y7" i="11" s="1"/>
  <c r="AE7" i="11" s="1"/>
  <c r="AK7" i="11" s="1"/>
  <c r="AQ7" i="11" s="1"/>
  <c r="AW7" i="11" s="1"/>
  <c r="BC7" i="11" s="1"/>
  <c r="BI7" i="11" s="1"/>
  <c r="BO7" i="11" s="1"/>
  <c r="BU7" i="11" s="1"/>
  <c r="CA7" i="11" s="1"/>
  <c r="CG7" i="11" s="1"/>
  <c r="CM7" i="11" s="1"/>
  <c r="CS7" i="11" s="1"/>
  <c r="CY7" i="11" s="1"/>
  <c r="DE7" i="11" s="1"/>
  <c r="DK7" i="11" s="1"/>
  <c r="DQ7" i="11" s="1"/>
  <c r="DW7" i="11" s="1"/>
  <c r="EC7" i="11" s="1"/>
  <c r="Q7" i="11"/>
  <c r="W7" i="11" s="1"/>
  <c r="AC7" i="11" s="1"/>
  <c r="AI7" i="11" s="1"/>
  <c r="AO7" i="11" s="1"/>
  <c r="AU7" i="11" s="1"/>
  <c r="BA7" i="11" s="1"/>
  <c r="BG7" i="11" s="1"/>
  <c r="BM7" i="11" s="1"/>
  <c r="BS7" i="11" s="1"/>
  <c r="BY7" i="11" s="1"/>
  <c r="CE7" i="11" s="1"/>
  <c r="CK7" i="11" s="1"/>
  <c r="CQ7" i="11" s="1"/>
  <c r="CW7" i="11" s="1"/>
  <c r="DC7" i="11" s="1"/>
  <c r="DI7" i="11" s="1"/>
  <c r="DO7" i="11" s="1"/>
  <c r="DU7" i="11" s="1"/>
  <c r="EA7" i="11" s="1"/>
  <c r="EG7" i="11" s="1"/>
  <c r="K7" i="11"/>
  <c r="CW11" i="11"/>
  <c r="CW62" i="11" s="1"/>
  <c r="AK12" i="11"/>
  <c r="AK62" i="11" s="1"/>
  <c r="AR12" i="11"/>
  <c r="AR62" i="11" s="1"/>
  <c r="P96" i="11"/>
  <c r="V96" i="11"/>
  <c r="AB96" i="11"/>
  <c r="AH130" i="11"/>
  <c r="AN96" i="11"/>
  <c r="BM96" i="11"/>
  <c r="BS96" i="11"/>
  <c r="BY96" i="11"/>
  <c r="CK96" i="11"/>
  <c r="P97" i="11"/>
  <c r="V97" i="11"/>
  <c r="BS97" i="11"/>
  <c r="CE97" i="11"/>
  <c r="CQ131" i="11"/>
  <c r="CZ14" i="11"/>
  <c r="AL15" i="11"/>
  <c r="AL176" i="11" s="1"/>
  <c r="AQ15" i="11"/>
  <c r="AS15" i="11"/>
  <c r="AS176" i="11" s="1"/>
  <c r="V132" i="11"/>
  <c r="CK132" i="11"/>
  <c r="CS17" i="11"/>
  <c r="AK20" i="11"/>
  <c r="AK225" i="11" s="1"/>
  <c r="AS20" i="11"/>
  <c r="AS225" i="11" s="1"/>
  <c r="AY20" i="11"/>
  <c r="AY225" i="11" s="1"/>
  <c r="BF20" i="11"/>
  <c r="BF225" i="11" s="1"/>
  <c r="BG225" i="11" s="1"/>
  <c r="AK21" i="11"/>
  <c r="AQ21" i="11"/>
  <c r="AQ179" i="11" s="1"/>
  <c r="AS21" i="11"/>
  <c r="AS179" i="11" s="1"/>
  <c r="AY21" i="11"/>
  <c r="AY179" i="11" s="1"/>
  <c r="BF21" i="11"/>
  <c r="BI22" i="11"/>
  <c r="AA24" i="11"/>
  <c r="CV163" i="11"/>
  <c r="CV160" i="11" s="1"/>
  <c r="CV161" i="11" s="1"/>
  <c r="AE36" i="11"/>
  <c r="AW36" i="11"/>
  <c r="BF36" i="11"/>
  <c r="P98" i="11"/>
  <c r="V98" i="11"/>
  <c r="AB98" i="11"/>
  <c r="AN98" i="11"/>
  <c r="AT98" i="11"/>
  <c r="BA98" i="11"/>
  <c r="BG98" i="11"/>
  <c r="BM98" i="11"/>
  <c r="BS98" i="11"/>
  <c r="BY98" i="11"/>
  <c r="CE98" i="11"/>
  <c r="CK98" i="11"/>
  <c r="CQ133" i="11"/>
  <c r="CQ134" i="11"/>
  <c r="AK34" i="11"/>
  <c r="AK135" i="11" s="1"/>
  <c r="AQ34" i="11"/>
  <c r="AQ135" i="11" s="1"/>
  <c r="AL40" i="11"/>
  <c r="AQ40" i="11"/>
  <c r="AS40" i="11"/>
  <c r="BF40" i="11"/>
  <c r="BF215" i="11" s="1"/>
  <c r="AL55" i="11"/>
  <c r="AL221" i="11" s="1"/>
  <c r="AW55" i="11"/>
  <c r="BK51" i="11"/>
  <c r="BK53" i="11"/>
  <c r="CJ54" i="11"/>
  <c r="K202" i="11"/>
  <c r="CS55" i="11"/>
  <c r="CS221" i="11" s="1"/>
  <c r="E96" i="11"/>
  <c r="G96" i="11"/>
  <c r="I96" i="11"/>
  <c r="K96" i="11"/>
  <c r="M96" i="11"/>
  <c r="N96" i="11"/>
  <c r="O96" i="11"/>
  <c r="Q96" i="11"/>
  <c r="S96" i="11"/>
  <c r="T96" i="11"/>
  <c r="U96" i="11"/>
  <c r="W96" i="11"/>
  <c r="Y96" i="11"/>
  <c r="Z96" i="11"/>
  <c r="AA96" i="11"/>
  <c r="AC96" i="11"/>
  <c r="AE96" i="11"/>
  <c r="AF96" i="11"/>
  <c r="AG96" i="11"/>
  <c r="AI96" i="11"/>
  <c r="AK96" i="11"/>
  <c r="AL96" i="11"/>
  <c r="AM96" i="11"/>
  <c r="AO96" i="11"/>
  <c r="AQ96" i="11"/>
  <c r="AR96" i="11"/>
  <c r="AS96" i="11"/>
  <c r="AT96" i="11"/>
  <c r="AU96" i="11"/>
  <c r="AW96" i="11"/>
  <c r="AX96" i="11"/>
  <c r="AY96" i="11"/>
  <c r="AZ96" i="11"/>
  <c r="BC96" i="11"/>
  <c r="BD96" i="11"/>
  <c r="BE96" i="11"/>
  <c r="BF96" i="11"/>
  <c r="BG96" i="11"/>
  <c r="BI96" i="11"/>
  <c r="BJ96" i="11"/>
  <c r="BK96" i="11"/>
  <c r="BL96" i="11"/>
  <c r="BO96" i="11"/>
  <c r="BP96" i="11"/>
  <c r="BQ96" i="11"/>
  <c r="BR96" i="11"/>
  <c r="BU96" i="11"/>
  <c r="BV96" i="11"/>
  <c r="BW96" i="11"/>
  <c r="BX96" i="11"/>
  <c r="CA96" i="11"/>
  <c r="CB96" i="11"/>
  <c r="CC96" i="11"/>
  <c r="CD96" i="11"/>
  <c r="CG96" i="11"/>
  <c r="CH96" i="11"/>
  <c r="CI96" i="11"/>
  <c r="CJ96" i="11"/>
  <c r="CM96" i="11"/>
  <c r="CN96" i="11"/>
  <c r="CO96" i="11"/>
  <c r="CP96" i="11"/>
  <c r="CQ96" i="11"/>
  <c r="CS96" i="11"/>
  <c r="CT96" i="11"/>
  <c r="CU96" i="11"/>
  <c r="CV96" i="11"/>
  <c r="CY96" i="11"/>
  <c r="CZ96" i="11"/>
  <c r="DA96" i="11"/>
  <c r="E97" i="11"/>
  <c r="G97" i="11"/>
  <c r="I97" i="11"/>
  <c r="K97" i="11"/>
  <c r="M97" i="11"/>
  <c r="N97" i="11"/>
  <c r="O97" i="11"/>
  <c r="Q97" i="11"/>
  <c r="S97" i="11"/>
  <c r="T97" i="11"/>
  <c r="U97" i="11"/>
  <c r="W97" i="11"/>
  <c r="Y97" i="11"/>
  <c r="Z97" i="11"/>
  <c r="AA97" i="11"/>
  <c r="AB97" i="11"/>
  <c r="AC97" i="11"/>
  <c r="AE97" i="11"/>
  <c r="AF97" i="11"/>
  <c r="AG97" i="11"/>
  <c r="AI97" i="11"/>
  <c r="AK97" i="11"/>
  <c r="AL97" i="11"/>
  <c r="AM97" i="11"/>
  <c r="AN97" i="11"/>
  <c r="AO97" i="11"/>
  <c r="AQ97" i="11"/>
  <c r="AR97" i="11"/>
  <c r="AS97" i="11"/>
  <c r="AT97" i="11"/>
  <c r="AU97" i="11"/>
  <c r="AW97" i="11"/>
  <c r="AX97" i="11"/>
  <c r="AY97" i="11"/>
  <c r="AZ97" i="11"/>
  <c r="BC97" i="11"/>
  <c r="BD97" i="11"/>
  <c r="BE97" i="11"/>
  <c r="BF97" i="11"/>
  <c r="BI97" i="11"/>
  <c r="BJ97" i="11"/>
  <c r="BK97" i="11"/>
  <c r="BL97" i="11"/>
  <c r="BM97" i="11"/>
  <c r="BO97" i="11"/>
  <c r="BP97" i="11"/>
  <c r="BQ97" i="11"/>
  <c r="BR97" i="11"/>
  <c r="BU97" i="11"/>
  <c r="BV97" i="11"/>
  <c r="BW97" i="11"/>
  <c r="BX97" i="11"/>
  <c r="BY97" i="11"/>
  <c r="CA97" i="11"/>
  <c r="CB97" i="11"/>
  <c r="CC97" i="11"/>
  <c r="CD97" i="11"/>
  <c r="CG97" i="11"/>
  <c r="CH97" i="11"/>
  <c r="CI97" i="11"/>
  <c r="CJ97" i="11"/>
  <c r="CM97" i="11"/>
  <c r="CN97" i="11"/>
  <c r="CO97" i="11"/>
  <c r="CP97" i="11"/>
  <c r="CQ97" i="11"/>
  <c r="CS97" i="11"/>
  <c r="CT97" i="11"/>
  <c r="CU97" i="11"/>
  <c r="CV97" i="11"/>
  <c r="CY97" i="11"/>
  <c r="DA97" i="11"/>
  <c r="E98" i="11"/>
  <c r="G98" i="11"/>
  <c r="I98" i="11"/>
  <c r="K98" i="11"/>
  <c r="M98" i="11"/>
  <c r="N98" i="11"/>
  <c r="O98" i="11"/>
  <c r="Q98" i="11"/>
  <c r="S98" i="11"/>
  <c r="T98" i="11"/>
  <c r="U98" i="11"/>
  <c r="W98" i="11"/>
  <c r="Y98" i="11"/>
  <c r="Z98" i="11"/>
  <c r="AA98" i="11"/>
  <c r="AC98" i="11"/>
  <c r="AE98" i="11"/>
  <c r="AF98" i="11"/>
  <c r="AG98" i="11"/>
  <c r="AI98" i="11"/>
  <c r="AK98" i="11"/>
  <c r="AL98" i="11"/>
  <c r="AM98" i="11"/>
  <c r="AO98" i="11"/>
  <c r="AQ98" i="11"/>
  <c r="AR98" i="11"/>
  <c r="AS98" i="11"/>
  <c r="AU98" i="11"/>
  <c r="AW98" i="11"/>
  <c r="AX98" i="11"/>
  <c r="AY98" i="11"/>
  <c r="AZ98" i="11"/>
  <c r="BC98" i="11"/>
  <c r="BD98" i="11"/>
  <c r="BE98" i="11"/>
  <c r="BF98" i="11"/>
  <c r="BI98" i="11"/>
  <c r="BJ98" i="11"/>
  <c r="BK98" i="11"/>
  <c r="BL98" i="11"/>
  <c r="BO98" i="11"/>
  <c r="BP98" i="11"/>
  <c r="BQ98" i="11"/>
  <c r="BR98" i="11"/>
  <c r="BU98" i="11"/>
  <c r="BV98" i="11"/>
  <c r="BW98" i="11"/>
  <c r="BX98" i="11"/>
  <c r="CA98" i="11"/>
  <c r="CB98" i="11"/>
  <c r="CC98" i="11"/>
  <c r="CD98" i="11"/>
  <c r="CG98" i="11"/>
  <c r="CH98" i="11"/>
  <c r="CI98" i="11"/>
  <c r="CJ98" i="11"/>
  <c r="CM98" i="11"/>
  <c r="CN98" i="11"/>
  <c r="CO98" i="11"/>
  <c r="CP98" i="11"/>
  <c r="CQ98" i="11"/>
  <c r="CS98" i="11"/>
  <c r="CT98" i="11"/>
  <c r="CU98" i="11"/>
  <c r="CV98" i="11"/>
  <c r="CY98" i="11"/>
  <c r="CZ98" i="11"/>
  <c r="DA98" i="11"/>
  <c r="DB84" i="11"/>
  <c r="G202" i="11"/>
  <c r="I202" i="11"/>
  <c r="E126" i="11"/>
  <c r="E85" i="11" s="1"/>
  <c r="I112" i="11"/>
  <c r="K112" i="11"/>
  <c r="M126" i="11"/>
  <c r="M85" i="11" s="1"/>
  <c r="N126" i="11"/>
  <c r="N85" i="11" s="1"/>
  <c r="O127" i="11"/>
  <c r="O86" i="11" s="1"/>
  <c r="W112" i="11"/>
  <c r="E130" i="11"/>
  <c r="G130" i="11"/>
  <c r="I130" i="11"/>
  <c r="K130" i="11"/>
  <c r="M130" i="11"/>
  <c r="N130" i="11"/>
  <c r="O130" i="11"/>
  <c r="P130" i="11"/>
  <c r="Q130" i="11"/>
  <c r="S130" i="11"/>
  <c r="T130" i="11"/>
  <c r="U130" i="11"/>
  <c r="V130" i="11"/>
  <c r="W130" i="11"/>
  <c r="Y130" i="11"/>
  <c r="Z130" i="11"/>
  <c r="AA130" i="11"/>
  <c r="AB130" i="11"/>
  <c r="AC130" i="11"/>
  <c r="AE130" i="11"/>
  <c r="AF130" i="11"/>
  <c r="AG130" i="11"/>
  <c r="AI130" i="11"/>
  <c r="AK130" i="11"/>
  <c r="AL130" i="11"/>
  <c r="AM130" i="11"/>
  <c r="AO130" i="11"/>
  <c r="AQ130" i="11"/>
  <c r="AR130" i="11"/>
  <c r="AS130" i="11"/>
  <c r="AU130" i="11"/>
  <c r="AW130" i="11"/>
  <c r="AX130" i="11"/>
  <c r="AY130" i="11"/>
  <c r="AZ130" i="11"/>
  <c r="BC130" i="11"/>
  <c r="BD130" i="11"/>
  <c r="BE130" i="11"/>
  <c r="BF130" i="11"/>
  <c r="BI130" i="11"/>
  <c r="BJ130" i="11"/>
  <c r="BK130" i="11"/>
  <c r="BL130" i="11"/>
  <c r="BO130" i="11"/>
  <c r="BP130" i="11"/>
  <c r="BQ130" i="11"/>
  <c r="BR130" i="11"/>
  <c r="BU130" i="11"/>
  <c r="BV130" i="11"/>
  <c r="BW130" i="11"/>
  <c r="BX130" i="11"/>
  <c r="CA130" i="11"/>
  <c r="CB130" i="11"/>
  <c r="CC130" i="11"/>
  <c r="CD130" i="11"/>
  <c r="CG130" i="11"/>
  <c r="CH130" i="11"/>
  <c r="CI130" i="11"/>
  <c r="CJ130" i="11"/>
  <c r="CM130" i="11"/>
  <c r="CM143" i="11" s="1"/>
  <c r="CN130" i="11"/>
  <c r="CN143" i="11" s="1"/>
  <c r="CO130" i="11"/>
  <c r="CO143" i="11" s="1"/>
  <c r="CP130" i="11"/>
  <c r="CP143" i="11" s="1"/>
  <c r="CQ130" i="11"/>
  <c r="CS130" i="11"/>
  <c r="CT130" i="11"/>
  <c r="CU130" i="11"/>
  <c r="CV130" i="11"/>
  <c r="CY130" i="11"/>
  <c r="CZ130" i="11"/>
  <c r="DA130" i="11"/>
  <c r="E131" i="11"/>
  <c r="G131" i="11"/>
  <c r="I131" i="11"/>
  <c r="K131" i="11"/>
  <c r="M131" i="11"/>
  <c r="N131" i="11"/>
  <c r="O131" i="11"/>
  <c r="P131" i="11"/>
  <c r="Q131" i="11"/>
  <c r="S131" i="11"/>
  <c r="T131" i="11"/>
  <c r="U131" i="11"/>
  <c r="V131" i="11"/>
  <c r="W131" i="11"/>
  <c r="Y131" i="11"/>
  <c r="Z131" i="11"/>
  <c r="AA131" i="11"/>
  <c r="AB131" i="11"/>
  <c r="AC131" i="11"/>
  <c r="AE131" i="11"/>
  <c r="AF131" i="11"/>
  <c r="AG131" i="11"/>
  <c r="AH131" i="11"/>
  <c r="AI131" i="11"/>
  <c r="AK131" i="11"/>
  <c r="AL131" i="11"/>
  <c r="AM131" i="11"/>
  <c r="AO131" i="11"/>
  <c r="AN131" i="11" s="1"/>
  <c r="AQ131" i="11"/>
  <c r="AR131" i="11"/>
  <c r="AS131" i="11"/>
  <c r="AU131" i="11"/>
  <c r="AT131" i="11" s="1"/>
  <c r="AW131" i="11"/>
  <c r="AX131" i="11"/>
  <c r="AY131" i="11"/>
  <c r="AZ131" i="11"/>
  <c r="BA131" i="11" s="1"/>
  <c r="BC131" i="11"/>
  <c r="BD131" i="11"/>
  <c r="BE131" i="11"/>
  <c r="BF131" i="11"/>
  <c r="BG131" i="11" s="1"/>
  <c r="BI131" i="11"/>
  <c r="BJ131" i="11"/>
  <c r="BK131" i="11"/>
  <c r="BL131" i="11"/>
  <c r="BM131" i="11" s="1"/>
  <c r="BO131" i="11"/>
  <c r="BP131" i="11"/>
  <c r="BQ131" i="11"/>
  <c r="BR131" i="11"/>
  <c r="BS131" i="11" s="1"/>
  <c r="BU131" i="11"/>
  <c r="BV131" i="11"/>
  <c r="BW131" i="11"/>
  <c r="BX131" i="11"/>
  <c r="BY131" i="11" s="1"/>
  <c r="CA131" i="11"/>
  <c r="CB131" i="11"/>
  <c r="CC131" i="11"/>
  <c r="CD131" i="11"/>
  <c r="CE131" i="11" s="1"/>
  <c r="CG131" i="11"/>
  <c r="CH131" i="11"/>
  <c r="CI131" i="11"/>
  <c r="CJ131" i="11"/>
  <c r="CK131" i="11"/>
  <c r="CM131" i="11"/>
  <c r="CN131" i="11"/>
  <c r="CO131" i="11"/>
  <c r="CP131" i="11"/>
  <c r="CS131" i="11"/>
  <c r="CT131" i="11"/>
  <c r="CU131" i="11"/>
  <c r="CV131" i="11"/>
  <c r="CW131" i="11"/>
  <c r="CY131" i="11"/>
  <c r="DA131" i="11"/>
  <c r="E132" i="11"/>
  <c r="G132" i="11"/>
  <c r="I132" i="11"/>
  <c r="K132" i="11"/>
  <c r="M132" i="11"/>
  <c r="N132" i="11"/>
  <c r="O132" i="11"/>
  <c r="Q132" i="11"/>
  <c r="S132" i="11"/>
  <c r="T132" i="11"/>
  <c r="U132" i="11"/>
  <c r="W132" i="11"/>
  <c r="Y132" i="11"/>
  <c r="Z132" i="11"/>
  <c r="AA132" i="11"/>
  <c r="AB132" i="11"/>
  <c r="AC132" i="11"/>
  <c r="AE132" i="11"/>
  <c r="AF132" i="11"/>
  <c r="AG132" i="11"/>
  <c r="AH132" i="11"/>
  <c r="AI132" i="11"/>
  <c r="AK132" i="11"/>
  <c r="AL132" i="11"/>
  <c r="AM132" i="11"/>
  <c r="AO132" i="11"/>
  <c r="AN132" i="11" s="1"/>
  <c r="AQ132" i="11"/>
  <c r="AR132" i="11"/>
  <c r="AS132" i="11"/>
  <c r="AU132" i="11"/>
  <c r="AT132" i="11" s="1"/>
  <c r="AW132" i="11"/>
  <c r="AX132" i="11"/>
  <c r="AY132" i="11"/>
  <c r="AZ132" i="11"/>
  <c r="BA132" i="11" s="1"/>
  <c r="BC132" i="11"/>
  <c r="BD132" i="11"/>
  <c r="BE132" i="11"/>
  <c r="BF132" i="11"/>
  <c r="BG132" i="11" s="1"/>
  <c r="BI132" i="11"/>
  <c r="BJ132" i="11"/>
  <c r="BK132" i="11"/>
  <c r="BL132" i="11"/>
  <c r="BM132" i="11" s="1"/>
  <c r="BO132" i="11"/>
  <c r="BP132" i="11"/>
  <c r="BQ132" i="11"/>
  <c r="BR132" i="11"/>
  <c r="BS132" i="11" s="1"/>
  <c r="BU132" i="11"/>
  <c r="BV132" i="11"/>
  <c r="BW132" i="11"/>
  <c r="BX132" i="11"/>
  <c r="BY132" i="11" s="1"/>
  <c r="CA132" i="11"/>
  <c r="CB132" i="11"/>
  <c r="CC132" i="11"/>
  <c r="CD132" i="11"/>
  <c r="CE132" i="11" s="1"/>
  <c r="CG132" i="11"/>
  <c r="CH132" i="11"/>
  <c r="CI132" i="11"/>
  <c r="CJ132" i="11"/>
  <c r="CM132" i="11"/>
  <c r="CN132" i="11"/>
  <c r="CO132" i="11"/>
  <c r="CP132" i="11"/>
  <c r="CQ132" i="11"/>
  <c r="CS132" i="11"/>
  <c r="CT132" i="11"/>
  <c r="CU132" i="11"/>
  <c r="CV132" i="11"/>
  <c r="CW132" i="11"/>
  <c r="CY132" i="11"/>
  <c r="CZ132" i="11"/>
  <c r="DA132" i="11"/>
  <c r="E133" i="11"/>
  <c r="G133" i="11"/>
  <c r="I133" i="11"/>
  <c r="K133" i="11"/>
  <c r="M133" i="11"/>
  <c r="N133" i="11"/>
  <c r="O133" i="11"/>
  <c r="Q133" i="11"/>
  <c r="S133" i="11"/>
  <c r="T133" i="11"/>
  <c r="U133" i="11"/>
  <c r="V133" i="11"/>
  <c r="W133" i="11"/>
  <c r="Y133" i="11"/>
  <c r="Z133" i="11"/>
  <c r="AA133" i="11"/>
  <c r="AC133" i="11"/>
  <c r="AE133" i="11"/>
  <c r="AF133" i="11"/>
  <c r="AG133" i="11"/>
  <c r="AH133" i="11"/>
  <c r="AI133" i="11"/>
  <c r="AK133" i="11"/>
  <c r="AL133" i="11"/>
  <c r="AM133" i="11"/>
  <c r="AO133" i="11"/>
  <c r="AN133" i="11" s="1"/>
  <c r="AQ133" i="11"/>
  <c r="AR133" i="11"/>
  <c r="AS133" i="11"/>
  <c r="AU133" i="11"/>
  <c r="AT133" i="11" s="1"/>
  <c r="AW133" i="11"/>
  <c r="AX133" i="11"/>
  <c r="AY133" i="11"/>
  <c r="AZ133" i="11"/>
  <c r="BA133" i="11" s="1"/>
  <c r="BC133" i="11"/>
  <c r="BD133" i="11"/>
  <c r="BE133" i="11"/>
  <c r="BF133" i="11"/>
  <c r="BG133" i="11" s="1"/>
  <c r="BI133" i="11"/>
  <c r="BJ133" i="11"/>
  <c r="BK133" i="11"/>
  <c r="BL133" i="11"/>
  <c r="BM133" i="11" s="1"/>
  <c r="BO133" i="11"/>
  <c r="BP133" i="11"/>
  <c r="BQ133" i="11"/>
  <c r="BR133" i="11"/>
  <c r="BS133" i="11" s="1"/>
  <c r="BU133" i="11"/>
  <c r="BV133" i="11"/>
  <c r="BW133" i="11"/>
  <c r="BX133" i="11"/>
  <c r="BY133" i="11" s="1"/>
  <c r="CA133" i="11"/>
  <c r="CB133" i="11"/>
  <c r="CC133" i="11"/>
  <c r="CD133" i="11"/>
  <c r="CE133" i="11" s="1"/>
  <c r="CG133" i="11"/>
  <c r="CH133" i="11"/>
  <c r="CI133" i="11"/>
  <c r="CJ133" i="11"/>
  <c r="CK133" i="11"/>
  <c r="CM133" i="11"/>
  <c r="CN133" i="11"/>
  <c r="CO133" i="11"/>
  <c r="CP133" i="11"/>
  <c r="CS133" i="11"/>
  <c r="CT133" i="11"/>
  <c r="CU133" i="11"/>
  <c r="CV133" i="11"/>
  <c r="CY133" i="11"/>
  <c r="CZ133" i="11"/>
  <c r="DA133" i="11"/>
  <c r="E134" i="11"/>
  <c r="G134" i="11"/>
  <c r="I134" i="11"/>
  <c r="K134" i="11"/>
  <c r="M134" i="11"/>
  <c r="N134" i="11"/>
  <c r="O134" i="11"/>
  <c r="P134" i="11"/>
  <c r="Q134" i="11"/>
  <c r="S134" i="11"/>
  <c r="T134" i="11"/>
  <c r="U134" i="11"/>
  <c r="V134" i="11"/>
  <c r="W134" i="11"/>
  <c r="Y134" i="11"/>
  <c r="Z134" i="11"/>
  <c r="AA134" i="11"/>
  <c r="AB134" i="11"/>
  <c r="AC134" i="11"/>
  <c r="AE134" i="11"/>
  <c r="AF134" i="11"/>
  <c r="AG134" i="11"/>
  <c r="AH134" i="11"/>
  <c r="AI134" i="11"/>
  <c r="AK134" i="11"/>
  <c r="AL134" i="11"/>
  <c r="AM134" i="11"/>
  <c r="AO134" i="11"/>
  <c r="AN134" i="11" s="1"/>
  <c r="AQ134" i="11"/>
  <c r="AR134" i="11"/>
  <c r="AS134" i="11"/>
  <c r="AU134" i="11"/>
  <c r="AT134" i="11" s="1"/>
  <c r="AW134" i="11"/>
  <c r="AX134" i="11"/>
  <c r="AY134" i="11"/>
  <c r="AZ134" i="11"/>
  <c r="BA134" i="11" s="1"/>
  <c r="BC134" i="11"/>
  <c r="BD134" i="11"/>
  <c r="BE134" i="11"/>
  <c r="BF134" i="11"/>
  <c r="BG134" i="11" s="1"/>
  <c r="BI134" i="11"/>
  <c r="BJ134" i="11"/>
  <c r="BK134" i="11"/>
  <c r="BL134" i="11"/>
  <c r="BM134" i="11" s="1"/>
  <c r="BO134" i="11"/>
  <c r="BP134" i="11"/>
  <c r="BQ134" i="11"/>
  <c r="BR134" i="11"/>
  <c r="BS134" i="11" s="1"/>
  <c r="BU134" i="11"/>
  <c r="BV134" i="11"/>
  <c r="BW134" i="11"/>
  <c r="BX134" i="11"/>
  <c r="BY134" i="11" s="1"/>
  <c r="CA134" i="11"/>
  <c r="CB134" i="11"/>
  <c r="CC134" i="11"/>
  <c r="CD134" i="11"/>
  <c r="CE134" i="11" s="1"/>
  <c r="CG134" i="11"/>
  <c r="CH134" i="11"/>
  <c r="CI134" i="11"/>
  <c r="CJ134" i="11"/>
  <c r="CM134" i="11"/>
  <c r="CN134" i="11"/>
  <c r="CO134" i="11"/>
  <c r="CP134" i="11"/>
  <c r="CS134" i="11"/>
  <c r="CT134" i="11"/>
  <c r="CU134" i="11"/>
  <c r="CV134" i="11"/>
  <c r="CW134" i="11" s="1"/>
  <c r="CY134" i="11"/>
  <c r="CZ134" i="11"/>
  <c r="DA134" i="11"/>
  <c r="CM135" i="11"/>
  <c r="CN135" i="11"/>
  <c r="CO135" i="11"/>
  <c r="CP135" i="11"/>
  <c r="BG215" i="11" l="1"/>
  <c r="BF227" i="11"/>
  <c r="BF228" i="11"/>
  <c r="AK227" i="11"/>
  <c r="AK228" i="11"/>
  <c r="CS227" i="11"/>
  <c r="CS228" i="11"/>
  <c r="AS187" i="11"/>
  <c r="AS189" i="11" s="1"/>
  <c r="AS215" i="11"/>
  <c r="AQ187" i="11"/>
  <c r="AQ215" i="11"/>
  <c r="AL187" i="11"/>
  <c r="AL215" i="11"/>
  <c r="AW221" i="11"/>
  <c r="CP26" i="11"/>
  <c r="CP28" i="11" s="1"/>
  <c r="CJ26" i="11"/>
  <c r="CJ28" i="11" s="1"/>
  <c r="CD26" i="11"/>
  <c r="CD28" i="11" s="1"/>
  <c r="BX26" i="11"/>
  <c r="BX28" i="11" s="1"/>
  <c r="BR26" i="11"/>
  <c r="BR28" i="11" s="1"/>
  <c r="BL26" i="11"/>
  <c r="BL28" i="11" s="1"/>
  <c r="BF163" i="11"/>
  <c r="BF160" i="11" s="1"/>
  <c r="BF161" i="11" s="1"/>
  <c r="AZ26" i="11"/>
  <c r="AZ28" i="11" s="1"/>
  <c r="CT202" i="11"/>
  <c r="CS75" i="11"/>
  <c r="CS202" i="11"/>
  <c r="CW70" i="135"/>
  <c r="CW71" i="135" s="1"/>
  <c r="CW73" i="135" s="1"/>
  <c r="CZ97" i="11"/>
  <c r="CZ99" i="11" s="1"/>
  <c r="CZ100" i="11" s="1"/>
  <c r="CZ112" i="11"/>
  <c r="DA111" i="11"/>
  <c r="DA112" i="11"/>
  <c r="CZ111" i="11"/>
  <c r="AF126" i="11"/>
  <c r="AF85" i="11" s="1"/>
  <c r="AA126" i="11"/>
  <c r="AA85" i="11" s="1"/>
  <c r="Y126" i="11"/>
  <c r="Y85" i="11" s="1"/>
  <c r="S127" i="11"/>
  <c r="S86" i="11" s="1"/>
  <c r="AE126" i="11"/>
  <c r="AE85" i="11" s="1"/>
  <c r="Q128" i="11"/>
  <c r="Q112" i="11"/>
  <c r="G127" i="11"/>
  <c r="G86" i="11" s="1"/>
  <c r="G112" i="11"/>
  <c r="CZ131" i="11"/>
  <c r="CZ136" i="11" s="1"/>
  <c r="AK115" i="11"/>
  <c r="AK114" i="11"/>
  <c r="AR115" i="11"/>
  <c r="AR114" i="11"/>
  <c r="DC69" i="135"/>
  <c r="CW115" i="11"/>
  <c r="CW114" i="11"/>
  <c r="CU136" i="11"/>
  <c r="CS136" i="11"/>
  <c r="CP136" i="11"/>
  <c r="CN136" i="11"/>
  <c r="CJ136" i="11"/>
  <c r="CH136" i="11"/>
  <c r="CE130" i="11"/>
  <c r="CE136" i="11" s="1"/>
  <c r="CD136" i="11"/>
  <c r="CB136" i="11"/>
  <c r="BX136" i="11"/>
  <c r="BV136" i="11"/>
  <c r="BS130" i="11"/>
  <c r="BS136" i="11" s="1"/>
  <c r="BR136" i="11"/>
  <c r="BP136" i="11"/>
  <c r="BM130" i="11"/>
  <c r="BM136" i="11" s="1"/>
  <c r="BL136" i="11"/>
  <c r="BJ136" i="11"/>
  <c r="BF136" i="11"/>
  <c r="BD136" i="11"/>
  <c r="BA130" i="11"/>
  <c r="BA136" i="11" s="1"/>
  <c r="AZ136" i="11"/>
  <c r="AX136" i="11"/>
  <c r="AU136" i="11"/>
  <c r="AR136" i="11"/>
  <c r="AO136" i="11"/>
  <c r="AI136" i="11"/>
  <c r="AF136" i="11"/>
  <c r="AC136" i="11"/>
  <c r="AA136" i="11"/>
  <c r="Y136" i="11"/>
  <c r="V136" i="11"/>
  <c r="T136" i="11"/>
  <c r="Q136" i="11"/>
  <c r="O136" i="11"/>
  <c r="M136" i="11"/>
  <c r="I136" i="11"/>
  <c r="E136" i="11"/>
  <c r="BF43" i="11"/>
  <c r="AL43" i="11"/>
  <c r="CZ163" i="11"/>
  <c r="CZ160" i="11" s="1"/>
  <c r="CZ161" i="11" s="1"/>
  <c r="CZ26" i="11"/>
  <c r="CT163" i="11"/>
  <c r="CT160" i="11" s="1"/>
  <c r="CT161" i="11" s="1"/>
  <c r="CT26" i="11"/>
  <c r="CT28" i="11" s="1"/>
  <c r="CN163" i="11"/>
  <c r="CN160" i="11" s="1"/>
  <c r="CN161" i="11" s="1"/>
  <c r="CN26" i="11"/>
  <c r="CN28" i="11" s="1"/>
  <c r="CH163" i="11"/>
  <c r="CH160" i="11" s="1"/>
  <c r="CH161" i="11" s="1"/>
  <c r="CH26" i="11"/>
  <c r="CH28" i="11" s="1"/>
  <c r="CB163" i="11"/>
  <c r="CB160" i="11" s="1"/>
  <c r="CB161" i="11" s="1"/>
  <c r="CB26" i="11"/>
  <c r="CB28" i="11" s="1"/>
  <c r="BV163" i="11"/>
  <c r="BV160" i="11" s="1"/>
  <c r="BV161" i="11" s="1"/>
  <c r="BV26" i="11"/>
  <c r="BV28" i="11" s="1"/>
  <c r="BP163" i="11"/>
  <c r="BP160" i="11" s="1"/>
  <c r="BP161" i="11" s="1"/>
  <c r="BP26" i="11"/>
  <c r="BP28" i="11" s="1"/>
  <c r="BJ163" i="11"/>
  <c r="BJ160" i="11" s="1"/>
  <c r="BJ161" i="11" s="1"/>
  <c r="BJ26" i="11"/>
  <c r="BJ28" i="11" s="1"/>
  <c r="BD163" i="11"/>
  <c r="BD160" i="11" s="1"/>
  <c r="BD161" i="11" s="1"/>
  <c r="BD26" i="11"/>
  <c r="BD28" i="11" s="1"/>
  <c r="AX163" i="11"/>
  <c r="AX160" i="11" s="1"/>
  <c r="AX161" i="11" s="1"/>
  <c r="AX26" i="11"/>
  <c r="AX28" i="11" s="1"/>
  <c r="AG163" i="11"/>
  <c r="AG160" i="11" s="1"/>
  <c r="AG161" i="11" s="1"/>
  <c r="AG26" i="11"/>
  <c r="AG28" i="11" s="1"/>
  <c r="AE163" i="11"/>
  <c r="AE160" i="11" s="1"/>
  <c r="AE161" i="11" s="1"/>
  <c r="AE26" i="11"/>
  <c r="AE28" i="11" s="1"/>
  <c r="AE195" i="11" s="1"/>
  <c r="BI180" i="11"/>
  <c r="BI26" i="11"/>
  <c r="BI28" i="11" s="1"/>
  <c r="AS26" i="11"/>
  <c r="CV136" i="11"/>
  <c r="CT136" i="11"/>
  <c r="CQ136" i="11"/>
  <c r="CO136" i="11"/>
  <c r="CM136" i="11"/>
  <c r="CI136" i="11"/>
  <c r="CG136" i="11"/>
  <c r="CC136" i="11"/>
  <c r="CA136" i="11"/>
  <c r="BW136" i="11"/>
  <c r="BU136" i="11"/>
  <c r="BQ136" i="11"/>
  <c r="BO136" i="11"/>
  <c r="BK136" i="11"/>
  <c r="BI136" i="11"/>
  <c r="BE136" i="11"/>
  <c r="BC136" i="11"/>
  <c r="AY136" i="11"/>
  <c r="AW136" i="11"/>
  <c r="AS136" i="11"/>
  <c r="AQ136" i="11"/>
  <c r="AM136" i="11"/>
  <c r="AK136" i="11"/>
  <c r="AG136" i="11"/>
  <c r="AE136" i="11"/>
  <c r="Z136" i="11"/>
  <c r="W136" i="11"/>
  <c r="U136" i="11"/>
  <c r="S136" i="11"/>
  <c r="N136" i="11"/>
  <c r="K136" i="11"/>
  <c r="G136" i="11"/>
  <c r="AS43" i="11"/>
  <c r="DA163" i="11"/>
  <c r="DB157" i="11" s="1"/>
  <c r="DA26" i="11"/>
  <c r="DA28" i="11" s="1"/>
  <c r="CY163" i="11"/>
  <c r="CZ157" i="11" s="1"/>
  <c r="CY26" i="11"/>
  <c r="CY28" i="11" s="1"/>
  <c r="CU163" i="11"/>
  <c r="CV157" i="11" s="1"/>
  <c r="CV158" i="11" s="1"/>
  <c r="CU26" i="11"/>
  <c r="CU28" i="11" s="1"/>
  <c r="CS163" i="11"/>
  <c r="CT157" i="11" s="1"/>
  <c r="CS26" i="11"/>
  <c r="CS28" i="11" s="1"/>
  <c r="CO163" i="11"/>
  <c r="CP157" i="11" s="1"/>
  <c r="CO26" i="11"/>
  <c r="CO28" i="11" s="1"/>
  <c r="CM163" i="11"/>
  <c r="CN157" i="11" s="1"/>
  <c r="CM26" i="11"/>
  <c r="CM28" i="11" s="1"/>
  <c r="CI163" i="11"/>
  <c r="CJ157" i="11" s="1"/>
  <c r="CI26" i="11"/>
  <c r="CI28" i="11" s="1"/>
  <c r="CI195" i="11" s="1"/>
  <c r="CG163" i="11"/>
  <c r="CH157" i="11" s="1"/>
  <c r="CG26" i="11"/>
  <c r="CG28" i="11" s="1"/>
  <c r="CC163" i="11"/>
  <c r="CD157" i="11" s="1"/>
  <c r="CC26" i="11"/>
  <c r="CC28" i="11" s="1"/>
  <c r="CA163" i="11"/>
  <c r="CB157" i="11" s="1"/>
  <c r="CA26" i="11"/>
  <c r="CA28" i="11" s="1"/>
  <c r="BW163" i="11"/>
  <c r="BX157" i="11" s="1"/>
  <c r="BW26" i="11"/>
  <c r="BW28" i="11" s="1"/>
  <c r="BU163" i="11"/>
  <c r="BV157" i="11" s="1"/>
  <c r="BU26" i="11"/>
  <c r="BU28" i="11" s="1"/>
  <c r="BQ163" i="11"/>
  <c r="BR157" i="11" s="1"/>
  <c r="BQ26" i="11"/>
  <c r="BQ28" i="11" s="1"/>
  <c r="BO163" i="11"/>
  <c r="BP157" i="11" s="1"/>
  <c r="BO26" i="11"/>
  <c r="BO28" i="11" s="1"/>
  <c r="BK163" i="11"/>
  <c r="BL157" i="11" s="1"/>
  <c r="BK26" i="11"/>
  <c r="BK28" i="11" s="1"/>
  <c r="BE163" i="11"/>
  <c r="BF157" i="11" s="1"/>
  <c r="BE26" i="11"/>
  <c r="BE28" i="11" s="1"/>
  <c r="BC163" i="11"/>
  <c r="BD157" i="11" s="1"/>
  <c r="BC26" i="11"/>
  <c r="BC28" i="11" s="1"/>
  <c r="AW163" i="11"/>
  <c r="AX157" i="11" s="1"/>
  <c r="AW26" i="11"/>
  <c r="AW28" i="11" s="1"/>
  <c r="AR163" i="11"/>
  <c r="AS157" i="11" s="1"/>
  <c r="AR26" i="11"/>
  <c r="AM163" i="11"/>
  <c r="AN157" i="11" s="1"/>
  <c r="AN158" i="11" s="1"/>
  <c r="AM26" i="11"/>
  <c r="AM28" i="11" s="1"/>
  <c r="AM58" i="11" s="1"/>
  <c r="AF163" i="11"/>
  <c r="AG157" i="11" s="1"/>
  <c r="AF26" i="11"/>
  <c r="AF28" i="11" s="1"/>
  <c r="AA163" i="11"/>
  <c r="AB157" i="11" s="1"/>
  <c r="AB158" i="11" s="1"/>
  <c r="AB226" i="11" s="1"/>
  <c r="AA26" i="11"/>
  <c r="AA28" i="11" s="1"/>
  <c r="AA58" i="11" s="1"/>
  <c r="AY26" i="11"/>
  <c r="AY28" i="11" s="1"/>
  <c r="AH136" i="11"/>
  <c r="CG36" i="11"/>
  <c r="AK26" i="11"/>
  <c r="BF26" i="11"/>
  <c r="CP181" i="11"/>
  <c r="CP182" i="11" s="1"/>
  <c r="CP191" i="11" s="1"/>
  <c r="CP163" i="11"/>
  <c r="CP160" i="11" s="1"/>
  <c r="CP161" i="11" s="1"/>
  <c r="CJ181" i="11"/>
  <c r="CJ182" i="11" s="1"/>
  <c r="CJ191" i="11" s="1"/>
  <c r="CJ163" i="11"/>
  <c r="CJ160" i="11" s="1"/>
  <c r="CJ161" i="11" s="1"/>
  <c r="CD181" i="11"/>
  <c r="CD182" i="11" s="1"/>
  <c r="CD191" i="11" s="1"/>
  <c r="CD163" i="11"/>
  <c r="CD160" i="11" s="1"/>
  <c r="CD161" i="11" s="1"/>
  <c r="BX181" i="11"/>
  <c r="BX182" i="11" s="1"/>
  <c r="BX191" i="11" s="1"/>
  <c r="BX163" i="11"/>
  <c r="BX160" i="11" s="1"/>
  <c r="BX161" i="11" s="1"/>
  <c r="BR181" i="11"/>
  <c r="BR182" i="11" s="1"/>
  <c r="BR191" i="11" s="1"/>
  <c r="BR163" i="11"/>
  <c r="BR160" i="11" s="1"/>
  <c r="BR161" i="11" s="1"/>
  <c r="BL181" i="11"/>
  <c r="BL182" i="11" s="1"/>
  <c r="BL191" i="11" s="1"/>
  <c r="BL163" i="11"/>
  <c r="BL160" i="11" s="1"/>
  <c r="BL161" i="11" s="1"/>
  <c r="AZ181" i="11"/>
  <c r="AZ182" i="11" s="1"/>
  <c r="AZ191" i="11" s="1"/>
  <c r="AZ163" i="11"/>
  <c r="AZ160" i="11" s="1"/>
  <c r="AZ161" i="11" s="1"/>
  <c r="AS181" i="11"/>
  <c r="AS182" i="11" s="1"/>
  <c r="AS163" i="11"/>
  <c r="AQ181" i="11"/>
  <c r="AQ163" i="11"/>
  <c r="AL181" i="11"/>
  <c r="AL163" i="11"/>
  <c r="BI181" i="11"/>
  <c r="BI163" i="11"/>
  <c r="AY181" i="11"/>
  <c r="AY182" i="11" s="1"/>
  <c r="AY191" i="11" s="1"/>
  <c r="AY163" i="11"/>
  <c r="AK181" i="11"/>
  <c r="AK163" i="11"/>
  <c r="BG40" i="11"/>
  <c r="BG187" i="11" s="1"/>
  <c r="BF187" i="11"/>
  <c r="BF189" i="11" s="1"/>
  <c r="AQ186" i="11"/>
  <c r="CU181" i="11"/>
  <c r="CU182" i="11" s="1"/>
  <c r="CU191" i="11" s="1"/>
  <c r="CS181" i="11"/>
  <c r="CS182" i="11" s="1"/>
  <c r="CS191" i="11" s="1"/>
  <c r="CO181" i="11"/>
  <c r="CO182" i="11" s="1"/>
  <c r="CO191" i="11" s="1"/>
  <c r="CM181" i="11"/>
  <c r="CM182" i="11" s="1"/>
  <c r="CM191" i="11" s="1"/>
  <c r="CI181" i="11"/>
  <c r="CI182" i="11" s="1"/>
  <c r="CI191" i="11" s="1"/>
  <c r="CG181" i="11"/>
  <c r="CG182" i="11" s="1"/>
  <c r="CG191" i="11" s="1"/>
  <c r="CC181" i="11"/>
  <c r="CC182" i="11" s="1"/>
  <c r="CC191" i="11" s="1"/>
  <c r="CA181" i="11"/>
  <c r="CA182" i="11" s="1"/>
  <c r="CA191" i="11" s="1"/>
  <c r="BW181" i="11"/>
  <c r="BW182" i="11" s="1"/>
  <c r="BW191" i="11" s="1"/>
  <c r="BU181" i="11"/>
  <c r="BU182" i="11" s="1"/>
  <c r="BU191" i="11" s="1"/>
  <c r="BQ181" i="11"/>
  <c r="BQ182" i="11" s="1"/>
  <c r="BQ191" i="11" s="1"/>
  <c r="BO181" i="11"/>
  <c r="BO182" i="11" s="1"/>
  <c r="BO191" i="11" s="1"/>
  <c r="BK181" i="11"/>
  <c r="BK182" i="11" s="1"/>
  <c r="BK191" i="11" s="1"/>
  <c r="BE181" i="11"/>
  <c r="BE182" i="11" s="1"/>
  <c r="BE191" i="11" s="1"/>
  <c r="BC181" i="11"/>
  <c r="BC182" i="11" s="1"/>
  <c r="BC191" i="11" s="1"/>
  <c r="AW181" i="11"/>
  <c r="AW182" i="11" s="1"/>
  <c r="AW191" i="11" s="1"/>
  <c r="AR181" i="11"/>
  <c r="AR182" i="11" s="1"/>
  <c r="AR191" i="11" s="1"/>
  <c r="AM181" i="11"/>
  <c r="AM182" i="11" s="1"/>
  <c r="AM191" i="11" s="1"/>
  <c r="AF181" i="11"/>
  <c r="AF182" i="11" s="1"/>
  <c r="AF191" i="11" s="1"/>
  <c r="AA181" i="11"/>
  <c r="AA182" i="11" s="1"/>
  <c r="AA191" i="11" s="1"/>
  <c r="AL34" i="11"/>
  <c r="AL135" i="11" s="1"/>
  <c r="AL136" i="11" s="1"/>
  <c r="AK186" i="11"/>
  <c r="AK189" i="11" s="1"/>
  <c r="CW24" i="11"/>
  <c r="CV181" i="11"/>
  <c r="CV182" i="11" s="1"/>
  <c r="CV191" i="11" s="1"/>
  <c r="CY192" i="11" s="1"/>
  <c r="CT181" i="11"/>
  <c r="CT182" i="11" s="1"/>
  <c r="CT191" i="11" s="1"/>
  <c r="CN181" i="11"/>
  <c r="CN182" i="11" s="1"/>
  <c r="CN191" i="11" s="1"/>
  <c r="CH181" i="11"/>
  <c r="CH182" i="11" s="1"/>
  <c r="CH191" i="11" s="1"/>
  <c r="CB181" i="11"/>
  <c r="CB182" i="11" s="1"/>
  <c r="CB191" i="11" s="1"/>
  <c r="BV181" i="11"/>
  <c r="BV182" i="11" s="1"/>
  <c r="BV191" i="11" s="1"/>
  <c r="BP181" i="11"/>
  <c r="BP182" i="11" s="1"/>
  <c r="BP191" i="11" s="1"/>
  <c r="BJ181" i="11"/>
  <c r="BJ182" i="11" s="1"/>
  <c r="BJ191" i="11" s="1"/>
  <c r="BG24" i="11"/>
  <c r="BF181" i="11"/>
  <c r="BD181" i="11"/>
  <c r="BD182" i="11" s="1"/>
  <c r="BD191" i="11" s="1"/>
  <c r="AX181" i="11"/>
  <c r="AX182" i="11" s="1"/>
  <c r="AX191" i="11" s="1"/>
  <c r="AG181" i="11"/>
  <c r="AG182" i="11" s="1"/>
  <c r="AG191" i="11" s="1"/>
  <c r="AE181" i="11"/>
  <c r="AE182" i="11" s="1"/>
  <c r="AE191" i="11" s="1"/>
  <c r="BG21" i="11"/>
  <c r="BG179" i="11" s="1"/>
  <c r="BF179" i="11"/>
  <c r="AL21" i="11"/>
  <c r="AL179" i="11" s="1"/>
  <c r="AK179" i="11"/>
  <c r="AQ17" i="11"/>
  <c r="AQ176" i="11"/>
  <c r="DA181" i="11"/>
  <c r="DA182" i="11" s="1"/>
  <c r="DA191" i="11" s="1"/>
  <c r="CZ181" i="11"/>
  <c r="CZ17" i="11"/>
  <c r="CZ175" i="11"/>
  <c r="CY181" i="11"/>
  <c r="CY182" i="11" s="1"/>
  <c r="CY55" i="11"/>
  <c r="CY221" i="11" s="1"/>
  <c r="DA105" i="11"/>
  <c r="CS45" i="11"/>
  <c r="CS81" i="11"/>
  <c r="CS78" i="11"/>
  <c r="CS80" i="11"/>
  <c r="CS79" i="11"/>
  <c r="BF75" i="11"/>
  <c r="AR79" i="11"/>
  <c r="AW75" i="11"/>
  <c r="CJ55" i="11"/>
  <c r="CJ221" i="11" s="1"/>
  <c r="CK54" i="11"/>
  <c r="CK55" i="11" s="1"/>
  <c r="CK24" i="11"/>
  <c r="BM24" i="11"/>
  <c r="BD55" i="11"/>
  <c r="BF80" i="11"/>
  <c r="BG20" i="11"/>
  <c r="AS12" i="11"/>
  <c r="AS62" i="11" s="1"/>
  <c r="AR17" i="11"/>
  <c r="BK55" i="11"/>
  <c r="BK221" i="11" s="1"/>
  <c r="CQ24" i="11"/>
  <c r="CE24" i="11"/>
  <c r="BY24" i="11"/>
  <c r="BS24" i="11"/>
  <c r="BA24" i="11"/>
  <c r="AL20" i="11"/>
  <c r="AL225" i="11" s="1"/>
  <c r="AL12" i="11"/>
  <c r="AL62" i="11" s="1"/>
  <c r="AK17" i="11"/>
  <c r="CW45" i="11"/>
  <c r="CV28" i="11"/>
  <c r="CW17" i="11"/>
  <c r="CD202" i="11"/>
  <c r="CB202" i="11"/>
  <c r="BR202" i="11"/>
  <c r="BQ202" i="11"/>
  <c r="BJ202" i="11"/>
  <c r="BF202" i="11"/>
  <c r="AC202" i="11"/>
  <c r="BP202" i="11"/>
  <c r="CP202" i="11"/>
  <c r="CN202" i="11"/>
  <c r="CI202" i="11"/>
  <c r="CG202" i="11"/>
  <c r="O99" i="11"/>
  <c r="AF202" i="11"/>
  <c r="CV99" i="11"/>
  <c r="CV100" i="11" s="1"/>
  <c r="CM99" i="11"/>
  <c r="CC99" i="11"/>
  <c r="CC202" i="11"/>
  <c r="AG202" i="11"/>
  <c r="Q126" i="11"/>
  <c r="Q85" i="11" s="1"/>
  <c r="AF128" i="11"/>
  <c r="Q127" i="11"/>
  <c r="Q86" i="11" s="1"/>
  <c r="Y127" i="11"/>
  <c r="Y86" i="11" s="1"/>
  <c r="M128" i="11"/>
  <c r="M127" i="11"/>
  <c r="M86" i="11" s="1"/>
  <c r="Y128" i="11"/>
  <c r="S126" i="11"/>
  <c r="S85" i="11" s="1"/>
  <c r="O126" i="11"/>
  <c r="O85" i="11" s="1"/>
  <c r="AA128" i="11"/>
  <c r="O128" i="11"/>
  <c r="E128" i="11"/>
  <c r="AA127" i="11"/>
  <c r="AA86" i="11" s="1"/>
  <c r="E127" i="11"/>
  <c r="E86" i="11" s="1"/>
  <c r="U202" i="11"/>
  <c r="AM202" i="11"/>
  <c r="P133" i="11"/>
  <c r="P132" i="11"/>
  <c r="CK130" i="11"/>
  <c r="BW99" i="11"/>
  <c r="AZ99" i="11"/>
  <c r="T99" i="11"/>
  <c r="AC195" i="11"/>
  <c r="W195" i="11"/>
  <c r="K99" i="11"/>
  <c r="Y8" i="12"/>
  <c r="Z8" i="12" s="1"/>
  <c r="AA8" i="12" s="1"/>
  <c r="AB8" i="12" s="1"/>
  <c r="BI202" i="11"/>
  <c r="BG202" i="11"/>
  <c r="CI99" i="11"/>
  <c r="U99" i="11"/>
  <c r="M99" i="11"/>
  <c r="I99" i="11"/>
  <c r="CB99" i="11"/>
  <c r="BK99" i="11"/>
  <c r="AS99" i="11"/>
  <c r="BV202" i="11"/>
  <c r="Z202" i="11"/>
  <c r="U195" i="11"/>
  <c r="T8" i="11"/>
  <c r="U8" i="11" s="1"/>
  <c r="V8" i="11" s="1"/>
  <c r="CY136" i="11"/>
  <c r="CP99" i="11"/>
  <c r="AX99" i="11"/>
  <c r="AN99" i="11"/>
  <c r="AC99" i="11"/>
  <c r="AM99" i="11"/>
  <c r="AK99" i="11"/>
  <c r="AA99" i="11"/>
  <c r="Q99" i="11"/>
  <c r="W202" i="11"/>
  <c r="T195" i="11"/>
  <c r="N195" i="11"/>
  <c r="N128" i="11"/>
  <c r="AF127" i="11"/>
  <c r="AF86" i="11" s="1"/>
  <c r="N127" i="11"/>
  <c r="N86" i="11" s="1"/>
  <c r="AG126" i="11"/>
  <c r="AG85" i="11" s="1"/>
  <c r="AG127" i="11"/>
  <c r="AG86" i="11" s="1"/>
  <c r="Z126" i="11"/>
  <c r="Z85" i="11" s="1"/>
  <c r="Z128" i="11"/>
  <c r="W126" i="11"/>
  <c r="W85" i="11" s="1"/>
  <c r="W128" i="11"/>
  <c r="AG128" i="11"/>
  <c r="Z127" i="11"/>
  <c r="Z86" i="11" s="1"/>
  <c r="W127" i="11"/>
  <c r="W86" i="11" s="1"/>
  <c r="AE8" i="11"/>
  <c r="CW98" i="11"/>
  <c r="CW133" i="11"/>
  <c r="BD99" i="11"/>
  <c r="BO202" i="11"/>
  <c r="O202" i="11"/>
  <c r="CK134" i="11"/>
  <c r="AH98" i="11"/>
  <c r="CH202" i="11"/>
  <c r="Y195" i="11"/>
  <c r="BM99" i="11"/>
  <c r="T202" i="11"/>
  <c r="S195" i="11"/>
  <c r="I195" i="11"/>
  <c r="BY130" i="11"/>
  <c r="BY136" i="11" s="1"/>
  <c r="CA99" i="11"/>
  <c r="AH202" i="11"/>
  <c r="AI202" i="11"/>
  <c r="AF36" i="11"/>
  <c r="V202" i="11"/>
  <c r="Z195" i="11"/>
  <c r="CW96" i="11"/>
  <c r="BA96" i="11"/>
  <c r="AE202" i="11"/>
  <c r="BC202" i="11"/>
  <c r="AA202" i="11"/>
  <c r="CW97" i="11"/>
  <c r="BA97" i="11"/>
  <c r="BC99" i="11"/>
  <c r="CK97" i="11"/>
  <c r="CK99" i="11" s="1"/>
  <c r="CE96" i="11"/>
  <c r="CE99" i="11" s="1"/>
  <c r="AH96" i="11"/>
  <c r="CJ99" i="11"/>
  <c r="BQ99" i="11"/>
  <c r="BG97" i="11"/>
  <c r="BG99" i="11" s="1"/>
  <c r="AW99" i="11"/>
  <c r="Y202" i="11"/>
  <c r="AH97" i="11"/>
  <c r="BL99" i="11"/>
  <c r="AB133" i="11"/>
  <c r="AB136" i="11" s="1"/>
  <c r="S202" i="11"/>
  <c r="CT99" i="11"/>
  <c r="BY99" i="11"/>
  <c r="BP99" i="11"/>
  <c r="BF99" i="11"/>
  <c r="AE99" i="11"/>
  <c r="CO202" i="11"/>
  <c r="DA136" i="11"/>
  <c r="CW130" i="11"/>
  <c r="O195" i="11"/>
  <c r="CS99" i="11"/>
  <c r="CY99" i="11"/>
  <c r="CY100" i="11" s="1"/>
  <c r="CO99" i="11"/>
  <c r="BV99" i="11"/>
  <c r="AR99" i="11"/>
  <c r="Y99" i="11"/>
  <c r="CN99" i="11"/>
  <c r="CD99" i="11"/>
  <c r="BU99" i="11"/>
  <c r="BJ99" i="11"/>
  <c r="AQ99" i="11"/>
  <c r="AG99" i="11"/>
  <c r="W99" i="11"/>
  <c r="N99" i="11"/>
  <c r="CU99" i="11"/>
  <c r="BR99" i="11"/>
  <c r="BI99" i="11"/>
  <c r="AY99" i="11"/>
  <c r="AO99" i="11"/>
  <c r="V99" i="11"/>
  <c r="U126" i="11"/>
  <c r="U85" i="11" s="1"/>
  <c r="U127" i="11"/>
  <c r="U86" i="11" s="1"/>
  <c r="U128" i="11"/>
  <c r="AQ43" i="11"/>
  <c r="AE127" i="11"/>
  <c r="AE86" i="11" s="1"/>
  <c r="AE128" i="11"/>
  <c r="I127" i="11"/>
  <c r="I86" i="11" s="1"/>
  <c r="I126" i="11"/>
  <c r="I85" i="11" s="1"/>
  <c r="I128" i="11"/>
  <c r="BG130" i="11"/>
  <c r="BG136" i="11" s="1"/>
  <c r="K126" i="11"/>
  <c r="K85" i="11" s="1"/>
  <c r="K128" i="11"/>
  <c r="K127" i="11"/>
  <c r="K86" i="11" s="1"/>
  <c r="T127" i="11"/>
  <c r="T86" i="11" s="1"/>
  <c r="T128" i="11"/>
  <c r="AT130" i="11"/>
  <c r="AT136" i="11" s="1"/>
  <c r="T126" i="11"/>
  <c r="T85" i="11" s="1"/>
  <c r="BM202" i="11"/>
  <c r="AN130" i="11"/>
  <c r="AN136" i="11" s="1"/>
  <c r="S128" i="11"/>
  <c r="G128" i="11"/>
  <c r="G126" i="11"/>
  <c r="G85" i="11" s="1"/>
  <c r="AK202" i="11"/>
  <c r="AL202" i="11"/>
  <c r="M195" i="11"/>
  <c r="N202" i="11"/>
  <c r="K195" i="11"/>
  <c r="M202" i="11"/>
  <c r="Q202" i="11"/>
  <c r="G99" i="11"/>
  <c r="AI99" i="11"/>
  <c r="Z99" i="11"/>
  <c r="P99" i="11"/>
  <c r="AQ55" i="11"/>
  <c r="AQ221" i="11" s="1"/>
  <c r="DA99" i="11"/>
  <c r="DA100" i="11" s="1"/>
  <c r="CQ99" i="11"/>
  <c r="CH99" i="11"/>
  <c r="BX99" i="11"/>
  <c r="BO99" i="11"/>
  <c r="BE99" i="11"/>
  <c r="AU99" i="11"/>
  <c r="AL99" i="11"/>
  <c r="AB99" i="11"/>
  <c r="S99" i="11"/>
  <c r="E99" i="11"/>
  <c r="BS99" i="11"/>
  <c r="AF99" i="11"/>
  <c r="AX55" i="11"/>
  <c r="CG99" i="11"/>
  <c r="AT99" i="11"/>
  <c r="AQ20" i="11"/>
  <c r="AQ225" i="11" s="1"/>
  <c r="CK221" i="11" l="1"/>
  <c r="CJ228" i="11"/>
  <c r="CJ227" i="11"/>
  <c r="CS230" i="11"/>
  <c r="AX221" i="11"/>
  <c r="AL228" i="11"/>
  <c r="AL231" i="11" s="1"/>
  <c r="AL68" i="11" s="1"/>
  <c r="AL227" i="11"/>
  <c r="AL230" i="11" s="1"/>
  <c r="AK231" i="11"/>
  <c r="AK68" i="11" s="1"/>
  <c r="AW228" i="11"/>
  <c r="AW227" i="11"/>
  <c r="AQ227" i="11"/>
  <c r="AQ228" i="11"/>
  <c r="BF231" i="11"/>
  <c r="BF68" i="11" s="1"/>
  <c r="BG228" i="11"/>
  <c r="BK227" i="11"/>
  <c r="BK228" i="11"/>
  <c r="CS231" i="11"/>
  <c r="CS68" i="11" s="1"/>
  <c r="AK230" i="11"/>
  <c r="BD221" i="11"/>
  <c r="CY228" i="11"/>
  <c r="CY227" i="11"/>
  <c r="BG227" i="11"/>
  <c r="BF230" i="11"/>
  <c r="AC226" i="11"/>
  <c r="AB228" i="11"/>
  <c r="BF158" i="11"/>
  <c r="CY75" i="11"/>
  <c r="CY202" i="11"/>
  <c r="AZ195" i="11"/>
  <c r="BR58" i="11"/>
  <c r="BX58" i="11"/>
  <c r="BL58" i="11"/>
  <c r="CK26" i="11"/>
  <c r="CK28" i="11" s="1"/>
  <c r="CJ202" i="11"/>
  <c r="CS57" i="11"/>
  <c r="CS58" i="11" s="1"/>
  <c r="CZ78" i="11"/>
  <c r="BG181" i="11"/>
  <c r="BG182" i="11" s="1"/>
  <c r="CW57" i="11"/>
  <c r="BA26" i="11"/>
  <c r="BA28" i="11" s="1"/>
  <c r="BS26" i="11"/>
  <c r="BS28" i="11" s="1"/>
  <c r="BY26" i="11"/>
  <c r="BY28" i="11" s="1"/>
  <c r="CE26" i="11"/>
  <c r="CE28" i="11" s="1"/>
  <c r="CP58" i="11"/>
  <c r="BK202" i="11"/>
  <c r="BM26" i="11"/>
  <c r="BM28" i="11" s="1"/>
  <c r="CK75" i="11"/>
  <c r="CW77" i="135"/>
  <c r="CW26" i="11"/>
  <c r="CW28" i="11" s="1"/>
  <c r="BO58" i="11"/>
  <c r="BW58" i="11"/>
  <c r="CA58" i="11"/>
  <c r="CI58" i="11"/>
  <c r="CM195" i="11"/>
  <c r="BC58" i="11"/>
  <c r="BE58" i="11"/>
  <c r="BQ58" i="11"/>
  <c r="BU58" i="11"/>
  <c r="CC58" i="11"/>
  <c r="CO58" i="11"/>
  <c r="CU58" i="11"/>
  <c r="BJ58" i="11"/>
  <c r="BP58" i="11"/>
  <c r="BV58" i="11"/>
  <c r="CB58" i="11"/>
  <c r="CH58" i="11"/>
  <c r="CN58" i="11"/>
  <c r="CY195" i="11"/>
  <c r="CM58" i="11"/>
  <c r="CS160" i="11"/>
  <c r="CS161" i="11" s="1"/>
  <c r="BU195" i="11"/>
  <c r="CC195" i="11"/>
  <c r="BC195" i="11"/>
  <c r="BU160" i="11"/>
  <c r="BU161" i="11" s="1"/>
  <c r="BK157" i="11"/>
  <c r="CZ182" i="11"/>
  <c r="CZ191" i="11" s="1"/>
  <c r="AM160" i="11"/>
  <c r="AM161" i="11" s="1"/>
  <c r="BQ195" i="11"/>
  <c r="CO195" i="11"/>
  <c r="CA195" i="11"/>
  <c r="CZ81" i="11"/>
  <c r="AK182" i="11"/>
  <c r="AK191" i="11" s="1"/>
  <c r="CV58" i="11"/>
  <c r="CW63" i="11"/>
  <c r="CY57" i="11"/>
  <c r="CY58" i="11" s="1"/>
  <c r="CT58" i="11"/>
  <c r="CU195" i="11"/>
  <c r="BE160" i="11"/>
  <c r="BE161" i="11" s="1"/>
  <c r="CG160" i="11"/>
  <c r="CG161" i="11" s="1"/>
  <c r="AF157" i="11"/>
  <c r="CI157" i="11"/>
  <c r="BI182" i="11"/>
  <c r="BI191" i="11" s="1"/>
  <c r="CB195" i="11"/>
  <c r="BO195" i="11"/>
  <c r="AA160" i="11"/>
  <c r="AA161" i="11" s="1"/>
  <c r="AW160" i="11"/>
  <c r="AW161" i="11" s="1"/>
  <c r="BO160" i="11"/>
  <c r="BO161" i="11" s="1"/>
  <c r="CA160" i="11"/>
  <c r="CA161" i="11" s="1"/>
  <c r="CM160" i="11"/>
  <c r="CM161" i="11" s="1"/>
  <c r="CY160" i="11"/>
  <c r="CY161" i="11" s="1"/>
  <c r="AY157" i="11"/>
  <c r="BW157" i="11"/>
  <c r="CU157" i="11"/>
  <c r="AF160" i="11"/>
  <c r="AF161" i="11" s="1"/>
  <c r="AR160" i="11"/>
  <c r="AR161" i="11" s="1"/>
  <c r="BC160" i="11"/>
  <c r="BC161" i="11" s="1"/>
  <c r="BK160" i="11"/>
  <c r="BK161" i="11" s="1"/>
  <c r="BQ160" i="11"/>
  <c r="BQ161" i="11" s="1"/>
  <c r="BW160" i="11"/>
  <c r="BW161" i="11" s="1"/>
  <c r="CC160" i="11"/>
  <c r="CC161" i="11" s="1"/>
  <c r="CI160" i="11"/>
  <c r="CI161" i="11" s="1"/>
  <c r="CO160" i="11"/>
  <c r="CO161" i="11" s="1"/>
  <c r="CU160" i="11"/>
  <c r="CU161" i="11" s="1"/>
  <c r="DA160" i="11"/>
  <c r="DA161" i="11" s="1"/>
  <c r="AH157" i="11"/>
  <c r="AH158" i="11" s="1"/>
  <c r="BE157" i="11"/>
  <c r="BQ157" i="11"/>
  <c r="CC157" i="11"/>
  <c r="CO157" i="11"/>
  <c r="DA157" i="11"/>
  <c r="CW136" i="11"/>
  <c r="AL26" i="11"/>
  <c r="BG43" i="11"/>
  <c r="AL114" i="11"/>
  <c r="AL115" i="11"/>
  <c r="AS114" i="11"/>
  <c r="AS115" i="11"/>
  <c r="BF182" i="11"/>
  <c r="BF191" i="11" s="1"/>
  <c r="BJ195" i="11"/>
  <c r="AA195" i="11"/>
  <c r="CH195" i="11"/>
  <c r="AM195" i="11"/>
  <c r="CN195" i="11"/>
  <c r="BP195" i="11"/>
  <c r="BG26" i="11"/>
  <c r="AQ182" i="11"/>
  <c r="AL182" i="11"/>
  <c r="P136" i="11"/>
  <c r="CK136" i="11"/>
  <c r="AX36" i="11"/>
  <c r="BG36" i="11"/>
  <c r="AQ26" i="11"/>
  <c r="AQ28" i="11" s="1"/>
  <c r="CQ163" i="11"/>
  <c r="CS157" i="11" s="1"/>
  <c r="CQ26" i="11"/>
  <c r="CQ28" i="11" s="1"/>
  <c r="AG36" i="11"/>
  <c r="AL157" i="11"/>
  <c r="AK160" i="11"/>
  <c r="AK161" i="11" s="1"/>
  <c r="AZ157" i="11"/>
  <c r="AZ158" i="11" s="1"/>
  <c r="AY160" i="11"/>
  <c r="AY161" i="11" s="1"/>
  <c r="BJ157" i="11"/>
  <c r="BJ158" i="11" s="1"/>
  <c r="BI160" i="11"/>
  <c r="BI161" i="11" s="1"/>
  <c r="AE158" i="11"/>
  <c r="AG158" i="11"/>
  <c r="AM157" i="11"/>
  <c r="AL160" i="11"/>
  <c r="AL161" i="11" s="1"/>
  <c r="AR157" i="11"/>
  <c r="AQ160" i="11"/>
  <c r="AQ161" i="11" s="1"/>
  <c r="AT157" i="11"/>
  <c r="AT158" i="11" s="1"/>
  <c r="AS160" i="11"/>
  <c r="AS161" i="11" s="1"/>
  <c r="AX158" i="11"/>
  <c r="BD158" i="11"/>
  <c r="BL158" i="11"/>
  <c r="BP158" i="11"/>
  <c r="BR158" i="11"/>
  <c r="BV158" i="11"/>
  <c r="BX158" i="11"/>
  <c r="CB158" i="11"/>
  <c r="CD158" i="11"/>
  <c r="CH158" i="11"/>
  <c r="CJ158" i="11"/>
  <c r="CN158" i="11"/>
  <c r="CP158" i="11"/>
  <c r="CT158" i="11"/>
  <c r="CZ158" i="11"/>
  <c r="CW181" i="11"/>
  <c r="CW182" i="11" s="1"/>
  <c r="CW191" i="11" s="1"/>
  <c r="CW163" i="11"/>
  <c r="DC157" i="11" s="1"/>
  <c r="BA181" i="11"/>
  <c r="BA182" i="11" s="1"/>
  <c r="BA191" i="11" s="1"/>
  <c r="BS181" i="11"/>
  <c r="BS182" i="11" s="1"/>
  <c r="BS191" i="11" s="1"/>
  <c r="BY181" i="11"/>
  <c r="BY182" i="11" s="1"/>
  <c r="BY191" i="11" s="1"/>
  <c r="CE181" i="11"/>
  <c r="CE182" i="11" s="1"/>
  <c r="CE191" i="11" s="1"/>
  <c r="CK181" i="11"/>
  <c r="CK182" i="11" s="1"/>
  <c r="CK191" i="11" s="1"/>
  <c r="AS191" i="11"/>
  <c r="CQ181" i="11"/>
  <c r="CQ182" i="11" s="1"/>
  <c r="CQ191" i="11" s="1"/>
  <c r="BM181" i="11"/>
  <c r="BM182" i="11" s="1"/>
  <c r="BM191" i="11" s="1"/>
  <c r="BG189" i="11"/>
  <c r="DF176" i="11"/>
  <c r="DF180" i="11"/>
  <c r="AL186" i="11"/>
  <c r="AL189" i="11" s="1"/>
  <c r="AQ189" i="11"/>
  <c r="CZ28" i="11"/>
  <c r="BL202" i="11"/>
  <c r="CZ55" i="11"/>
  <c r="CY191" i="11"/>
  <c r="CZ192" i="11" s="1"/>
  <c r="BD202" i="11"/>
  <c r="CP195" i="11"/>
  <c r="BD195" i="11"/>
  <c r="BE202" i="11"/>
  <c r="BK57" i="11"/>
  <c r="BK58" i="11" s="1"/>
  <c r="BK75" i="11"/>
  <c r="CJ57" i="11"/>
  <c r="CJ58" i="11" s="1"/>
  <c r="CJ75" i="11"/>
  <c r="BI58" i="11"/>
  <c r="BD57" i="11"/>
  <c r="BD58" i="11" s="1"/>
  <c r="BD75" i="11"/>
  <c r="AL17" i="11"/>
  <c r="AR28" i="11"/>
  <c r="AR78" i="11"/>
  <c r="AR81" i="11"/>
  <c r="CG45" i="11"/>
  <c r="CG81" i="11"/>
  <c r="CG79" i="11"/>
  <c r="CG80" i="11"/>
  <c r="CG78" i="11"/>
  <c r="CW79" i="11"/>
  <c r="CW81" i="11"/>
  <c r="CW78" i="11"/>
  <c r="AW45" i="11"/>
  <c r="AW81" i="11"/>
  <c r="AW79" i="11"/>
  <c r="AW80" i="11"/>
  <c r="AW78" i="11"/>
  <c r="AE45" i="11"/>
  <c r="AE57" i="11" s="1"/>
  <c r="AE58" i="11" s="1"/>
  <c r="AE81" i="11"/>
  <c r="AE79" i="11"/>
  <c r="AE80" i="11"/>
  <c r="AE78" i="11"/>
  <c r="CW80" i="11"/>
  <c r="AE75" i="11"/>
  <c r="AQ75" i="11"/>
  <c r="CG75" i="11"/>
  <c r="CK57" i="11"/>
  <c r="AS17" i="11"/>
  <c r="BF45" i="11"/>
  <c r="AK28" i="11"/>
  <c r="CS195" i="11"/>
  <c r="P195" i="11"/>
  <c r="DN84" i="11"/>
  <c r="AE8" i="12"/>
  <c r="AF8" i="12" s="1"/>
  <c r="AG8" i="12" s="1"/>
  <c r="AH8" i="12" s="1"/>
  <c r="AH99" i="11"/>
  <c r="AF8" i="11"/>
  <c r="AG8" i="11" s="1"/>
  <c r="AH8" i="11" s="1"/>
  <c r="AK8" i="11"/>
  <c r="BU202" i="11"/>
  <c r="BA99" i="11"/>
  <c r="CJ195" i="11"/>
  <c r="CT195" i="11"/>
  <c r="BI195" i="11"/>
  <c r="CW99" i="11"/>
  <c r="CW100" i="11" s="1"/>
  <c r="G195" i="11"/>
  <c r="BK195" i="11"/>
  <c r="CG195" i="11"/>
  <c r="AF195" i="11"/>
  <c r="BE195" i="11"/>
  <c r="BV195" i="11"/>
  <c r="BS202" i="11"/>
  <c r="CV195" i="11"/>
  <c r="CQ202" i="11"/>
  <c r="CK202" i="11"/>
  <c r="CM202" i="11"/>
  <c r="AY55" i="11"/>
  <c r="AX202" i="11"/>
  <c r="E195" i="11"/>
  <c r="AO195" i="11"/>
  <c r="AB202" i="11"/>
  <c r="V195" i="11"/>
  <c r="Q195" i="11"/>
  <c r="BX195" i="11"/>
  <c r="CD195" i="11"/>
  <c r="AO202" i="11"/>
  <c r="AG195" i="11"/>
  <c r="AI195" i="11"/>
  <c r="AR55" i="11"/>
  <c r="AB195" i="11"/>
  <c r="CE202" i="11"/>
  <c r="BY202" i="11"/>
  <c r="CA202" i="11"/>
  <c r="P202" i="11"/>
  <c r="AW195" i="11"/>
  <c r="BL195" i="11"/>
  <c r="CZ75" i="11" l="1"/>
  <c r="CZ221" i="11"/>
  <c r="AQ231" i="11"/>
  <c r="AQ68" i="11" s="1"/>
  <c r="AW230" i="11"/>
  <c r="AY221" i="11"/>
  <c r="AW231" i="11"/>
  <c r="AW68" i="11" s="1"/>
  <c r="CY230" i="11"/>
  <c r="BK231" i="11"/>
  <c r="BK68" i="11" s="1"/>
  <c r="CK227" i="11"/>
  <c r="CJ230" i="11"/>
  <c r="AR75" i="11"/>
  <c r="AR221" i="11"/>
  <c r="AX227" i="11"/>
  <c r="AX230" i="11" s="1"/>
  <c r="AX228" i="11"/>
  <c r="AX231" i="11" s="1"/>
  <c r="AX68" i="11" s="1"/>
  <c r="CY231" i="11"/>
  <c r="CY68" i="11" s="1"/>
  <c r="BK230" i="11"/>
  <c r="CJ231" i="11"/>
  <c r="CJ68" i="11" s="1"/>
  <c r="CK228" i="11"/>
  <c r="AQ230" i="11"/>
  <c r="BD227" i="11"/>
  <c r="BD228" i="11"/>
  <c r="AB231" i="11"/>
  <c r="AB68" i="11" s="1"/>
  <c r="AC228" i="11"/>
  <c r="BG80" i="11"/>
  <c r="CS158" i="11"/>
  <c r="CZ202" i="11"/>
  <c r="BF57" i="11"/>
  <c r="AW57" i="11"/>
  <c r="AW58" i="11" s="1"/>
  <c r="CG57" i="11"/>
  <c r="CG58" i="11" s="1"/>
  <c r="BM58" i="11"/>
  <c r="CK195" i="11"/>
  <c r="BY58" i="11"/>
  <c r="BS58" i="11"/>
  <c r="BA195" i="11"/>
  <c r="AQ191" i="11"/>
  <c r="AL191" i="11"/>
  <c r="BW158" i="11"/>
  <c r="BK158" i="11"/>
  <c r="AA158" i="11"/>
  <c r="AA226" i="11" s="1"/>
  <c r="AA228" i="11" s="1"/>
  <c r="CI158" i="11"/>
  <c r="AM158" i="11"/>
  <c r="BE158" i="11"/>
  <c r="CQ58" i="11"/>
  <c r="DA196" i="11"/>
  <c r="CU158" i="11"/>
  <c r="DA158" i="11"/>
  <c r="AL28" i="11"/>
  <c r="AL195" i="11" s="1"/>
  <c r="BG191" i="11"/>
  <c r="CC158" i="11"/>
  <c r="AF158" i="11"/>
  <c r="CW157" i="11"/>
  <c r="CO158" i="11"/>
  <c r="BQ158" i="11"/>
  <c r="CQ195" i="11"/>
  <c r="CK58" i="11"/>
  <c r="AY36" i="11"/>
  <c r="CY157" i="11"/>
  <c r="CY158" i="11" s="1"/>
  <c r="AY158" i="11"/>
  <c r="AK158" i="11"/>
  <c r="AQ158" i="11"/>
  <c r="AL158" i="11"/>
  <c r="AK8" i="12"/>
  <c r="AL8" i="12" s="1"/>
  <c r="AM8" i="12" s="1"/>
  <c r="AN8" i="12" s="1"/>
  <c r="DG180" i="11"/>
  <c r="DG176" i="11"/>
  <c r="DA55" i="11"/>
  <c r="DA221" i="11" s="1"/>
  <c r="CZ57" i="11"/>
  <c r="CZ58" i="11" s="1"/>
  <c r="BG45" i="11"/>
  <c r="AS28" i="11"/>
  <c r="AG45" i="11"/>
  <c r="AG57" i="11" s="1"/>
  <c r="AG58" i="11" s="1"/>
  <c r="AG81" i="11"/>
  <c r="AG79" i="11"/>
  <c r="AG80" i="11"/>
  <c r="AG78" i="11"/>
  <c r="AF45" i="11"/>
  <c r="AF57" i="11" s="1"/>
  <c r="AF58" i="11" s="1"/>
  <c r="AF80" i="11"/>
  <c r="AF78" i="11"/>
  <c r="AF81" i="11"/>
  <c r="AF79" i="11"/>
  <c r="AX45" i="11"/>
  <c r="AX80" i="11"/>
  <c r="AX78" i="11"/>
  <c r="AX79" i="11"/>
  <c r="AX81" i="11"/>
  <c r="AG75" i="11"/>
  <c r="BG75" i="11"/>
  <c r="AF75" i="11"/>
  <c r="AX75" i="11"/>
  <c r="AR57" i="11"/>
  <c r="AR58" i="11" s="1"/>
  <c r="AK195" i="11"/>
  <c r="CW58" i="11"/>
  <c r="DT84" i="11"/>
  <c r="AL8" i="11"/>
  <c r="AM8" i="11" s="1"/>
  <c r="AN8" i="11" s="1"/>
  <c r="AQ8" i="11"/>
  <c r="AQ202" i="11"/>
  <c r="AQ195" i="11"/>
  <c r="AZ36" i="11"/>
  <c r="CZ195" i="11"/>
  <c r="CW195" i="11"/>
  <c r="AH195" i="11"/>
  <c r="CE195" i="11"/>
  <c r="AS55" i="11"/>
  <c r="AS221" i="11" s="1"/>
  <c r="AN202" i="11"/>
  <c r="BY195" i="11"/>
  <c r="AY202" i="11"/>
  <c r="AX195" i="11"/>
  <c r="BM195" i="11"/>
  <c r="AZ202" i="11"/>
  <c r="AY195" i="11"/>
  <c r="BR195" i="11"/>
  <c r="AN195" i="11"/>
  <c r="DA228" i="11" l="1"/>
  <c r="DA231" i="11" s="1"/>
  <c r="DA68" i="11" s="1"/>
  <c r="DA227" i="11"/>
  <c r="DA230" i="11" s="1"/>
  <c r="BD230" i="11"/>
  <c r="AS228" i="11"/>
  <c r="AS231" i="11" s="1"/>
  <c r="AS68" i="11" s="1"/>
  <c r="AS227" i="11"/>
  <c r="AS230" i="11" s="1"/>
  <c r="AR228" i="11"/>
  <c r="AR227" i="11"/>
  <c r="CZ228" i="11"/>
  <c r="CZ227" i="11"/>
  <c r="AY227" i="11"/>
  <c r="AY230" i="11" s="1"/>
  <c r="AY228" i="11"/>
  <c r="AY231" i="11" s="1"/>
  <c r="AY68" i="11" s="1"/>
  <c r="BD231" i="11"/>
  <c r="BD68" i="11" s="1"/>
  <c r="AA231" i="11"/>
  <c r="AA68" i="11" s="1"/>
  <c r="CW158" i="11"/>
  <c r="CW160" i="11" s="1"/>
  <c r="CW161" i="11" s="1"/>
  <c r="AX57" i="11"/>
  <c r="AX58" i="11" s="1"/>
  <c r="BG57" i="11"/>
  <c r="DA57" i="11"/>
  <c r="DA58" i="11" s="1"/>
  <c r="AQ8" i="12"/>
  <c r="AR8" i="12" s="1"/>
  <c r="AS8" i="12" s="1"/>
  <c r="AT8" i="12" s="1"/>
  <c r="AK75" i="11"/>
  <c r="DH176" i="11"/>
  <c r="DH180" i="11"/>
  <c r="DA202" i="11"/>
  <c r="DA75" i="11"/>
  <c r="AY45" i="11"/>
  <c r="AY81" i="11"/>
  <c r="AY79" i="11"/>
  <c r="AY78" i="11"/>
  <c r="AY80" i="11"/>
  <c r="AY75" i="11"/>
  <c r="AS75" i="11"/>
  <c r="BA36" i="11"/>
  <c r="AR8" i="11"/>
  <c r="AS8" i="11" s="1"/>
  <c r="AT8" i="11" s="1"/>
  <c r="AW8" i="11"/>
  <c r="DA195" i="11"/>
  <c r="BS195" i="11"/>
  <c r="AR231" i="11" l="1"/>
  <c r="AR68" i="11" s="1"/>
  <c r="CZ230" i="11"/>
  <c r="CZ231" i="11"/>
  <c r="CZ68" i="11" s="1"/>
  <c r="AR230" i="11"/>
  <c r="AY57" i="11"/>
  <c r="AY58" i="11" s="1"/>
  <c r="AW8" i="12"/>
  <c r="AX8" i="12" s="1"/>
  <c r="AY8" i="12" s="1"/>
  <c r="AZ8" i="12" s="1"/>
  <c r="AZ75" i="11"/>
  <c r="AL75" i="11"/>
  <c r="DI176" i="11"/>
  <c r="DI180" i="11"/>
  <c r="AZ45" i="11"/>
  <c r="AZ80" i="11"/>
  <c r="AZ78" i="11"/>
  <c r="AZ81" i="11"/>
  <c r="AZ79" i="11"/>
  <c r="AX8" i="11"/>
  <c r="AY8" i="11" s="1"/>
  <c r="AZ8" i="11" s="1"/>
  <c r="BC8" i="11"/>
  <c r="BC8" i="12" l="1"/>
  <c r="BD8" i="12" s="1"/>
  <c r="BE8" i="12" s="1"/>
  <c r="BF8" i="12" s="1"/>
  <c r="AZ57" i="11"/>
  <c r="AZ58" i="11" s="1"/>
  <c r="DK180" i="11"/>
  <c r="DK176" i="11"/>
  <c r="BA45" i="11"/>
  <c r="BA80" i="11"/>
  <c r="BA79" i="11"/>
  <c r="BA81" i="11"/>
  <c r="BA78" i="11"/>
  <c r="BA75" i="11"/>
  <c r="BI8" i="11"/>
  <c r="BD8" i="11"/>
  <c r="BE8" i="11" s="1"/>
  <c r="BF8" i="11" s="1"/>
  <c r="BI8" i="12" l="1"/>
  <c r="BO8" i="12" s="1"/>
  <c r="BA57" i="11"/>
  <c r="BA58" i="11" s="1"/>
  <c r="DL180" i="11"/>
  <c r="DL176" i="11"/>
  <c r="BO8" i="11"/>
  <c r="BJ8" i="11"/>
  <c r="BK8" i="11" s="1"/>
  <c r="BL8" i="11" s="1"/>
  <c r="BJ8" i="12" l="1"/>
  <c r="BK8" i="12" s="1"/>
  <c r="BL8" i="12" s="1"/>
  <c r="DM180" i="11"/>
  <c r="DM176" i="11"/>
  <c r="BU8" i="12"/>
  <c r="BP8" i="12"/>
  <c r="BQ8" i="12" s="1"/>
  <c r="BR8" i="12" s="1"/>
  <c r="BU8" i="11"/>
  <c r="BP8" i="11"/>
  <c r="BQ8" i="11" s="1"/>
  <c r="BR8" i="11" s="1"/>
  <c r="DN176" i="11" l="1"/>
  <c r="DN180" i="11"/>
  <c r="CA8" i="12"/>
  <c r="BV8" i="12"/>
  <c r="BW8" i="12" s="1"/>
  <c r="BX8" i="12" s="1"/>
  <c r="BV8" i="11"/>
  <c r="BW8" i="11" s="1"/>
  <c r="BX8" i="11" s="1"/>
  <c r="CA8" i="11"/>
  <c r="DO180" i="11" l="1"/>
  <c r="DO176" i="11"/>
  <c r="CG8" i="12"/>
  <c r="CB8" i="12"/>
  <c r="CC8" i="12" s="1"/>
  <c r="CD8" i="12" s="1"/>
  <c r="CB8" i="11"/>
  <c r="CC8" i="11" s="1"/>
  <c r="CD8" i="11" s="1"/>
  <c r="CG8" i="11"/>
  <c r="DQ180" i="11" l="1"/>
  <c r="DQ176" i="11"/>
  <c r="CM8" i="12"/>
  <c r="CH8" i="12"/>
  <c r="CI8" i="12" s="1"/>
  <c r="CJ8" i="12" s="1"/>
  <c r="CH8" i="11"/>
  <c r="CI8" i="11" s="1"/>
  <c r="CJ8" i="11" s="1"/>
  <c r="CM8" i="11"/>
  <c r="DR176" i="11" l="1"/>
  <c r="DR180" i="11"/>
  <c r="CN8" i="12"/>
  <c r="CO8" i="12" s="1"/>
  <c r="CP8" i="12" s="1"/>
  <c r="CS8" i="12"/>
  <c r="CN8" i="11"/>
  <c r="CO8" i="11" s="1"/>
  <c r="CP8" i="11" s="1"/>
  <c r="CS8" i="11"/>
  <c r="DS180" i="11" l="1"/>
  <c r="DS176" i="11"/>
  <c r="CY8" i="12"/>
  <c r="CZ8" i="12" s="1"/>
  <c r="DA8" i="12" s="1"/>
  <c r="DB8" i="12" s="1"/>
  <c r="CT8" i="12"/>
  <c r="CU8" i="12" s="1"/>
  <c r="CV8" i="12" s="1"/>
  <c r="CT8" i="11"/>
  <c r="CU8" i="11" s="1"/>
  <c r="CV8" i="11" s="1"/>
  <c r="CY8" i="11"/>
  <c r="CZ8" i="11" s="1"/>
  <c r="DA8" i="11" s="1"/>
  <c r="DB8" i="11" s="1"/>
  <c r="DU180" i="11" l="1"/>
  <c r="DT180" i="11"/>
  <c r="DT176" i="11"/>
  <c r="DU176" i="11" l="1"/>
  <c r="DN35" i="138" l="1"/>
  <c r="DN42" i="138" l="1"/>
  <c r="DM35" i="138"/>
  <c r="DT35" i="138"/>
  <c r="DZ42" i="138" s="1"/>
  <c r="DK35" i="138"/>
  <c r="DK42" i="138" l="1"/>
  <c r="DM42" i="138"/>
  <c r="DT42" i="138"/>
  <c r="DN36" i="138"/>
  <c r="DS35" i="138"/>
  <c r="DY42" i="138" s="1"/>
  <c r="DQ35" i="138"/>
  <c r="DW42" i="138" s="1"/>
  <c r="DL35" i="138"/>
  <c r="CY103" i="11"/>
  <c r="CZ103" i="11"/>
  <c r="CY107" i="11"/>
  <c r="CY109" i="11" s="1"/>
  <c r="CU103" i="11"/>
  <c r="CM73" i="12"/>
  <c r="CT127" i="12"/>
  <c r="CT128" i="12" s="1"/>
  <c r="CT107" i="12"/>
  <c r="EJ116" i="12"/>
  <c r="CS103" i="11"/>
  <c r="EJ109" i="12"/>
  <c r="EJ111" i="12" s="1"/>
  <c r="CN127" i="12"/>
  <c r="CN107" i="12"/>
  <c r="CG73" i="12"/>
  <c r="AS14" i="12"/>
  <c r="AS73" i="12" s="1"/>
  <c r="AS149" i="11"/>
  <c r="CH127" i="12"/>
  <c r="CH107" i="12"/>
  <c r="CG92" i="11"/>
  <c r="CB127" i="12"/>
  <c r="AX32" i="12"/>
  <c r="BD32" i="12"/>
  <c r="BI32" i="12"/>
  <c r="AR35" i="12"/>
  <c r="AR159" i="11" s="1"/>
  <c r="AX78" i="12"/>
  <c r="CA73" i="12"/>
  <c r="CE44" i="12"/>
  <c r="CB107" i="12"/>
  <c r="AQ41" i="12"/>
  <c r="AQ135" i="12" s="1"/>
  <c r="CA92" i="11"/>
  <c r="BJ31" i="12"/>
  <c r="AF31" i="12"/>
  <c r="AR29" i="12"/>
  <c r="AR34" i="12"/>
  <c r="AL29" i="12"/>
  <c r="AM29" i="12" s="1"/>
  <c r="AL34" i="12"/>
  <c r="AM34" i="12" s="1"/>
  <c r="BU73" i="12"/>
  <c r="AG31" i="12"/>
  <c r="AL31" i="12"/>
  <c r="AF32" i="12"/>
  <c r="AF147" i="11" s="1"/>
  <c r="AG32" i="12"/>
  <c r="AG147" i="11" s="1"/>
  <c r="N32" i="12"/>
  <c r="N147" i="11" s="1"/>
  <c r="T32" i="12"/>
  <c r="Z32" i="12"/>
  <c r="Z147" i="11" s="1"/>
  <c r="G27" i="12"/>
  <c r="I14" i="12"/>
  <c r="I73" i="12" s="1"/>
  <c r="N14" i="12"/>
  <c r="T14" i="12"/>
  <c r="Z14" i="12"/>
  <c r="AF14" i="12"/>
  <c r="AG14" i="12"/>
  <c r="AW20" i="12"/>
  <c r="AX20" i="12"/>
  <c r="BC20" i="12"/>
  <c r="BD20" i="12"/>
  <c r="E27" i="12"/>
  <c r="I27" i="12"/>
  <c r="K27" i="12"/>
  <c r="M27" i="12"/>
  <c r="S27" i="12"/>
  <c r="Y27" i="12"/>
  <c r="AE27" i="12"/>
  <c r="AK27" i="12"/>
  <c r="AL27" i="12" s="1"/>
  <c r="AQ27" i="12"/>
  <c r="AR27" i="12" s="1"/>
  <c r="AW27" i="12"/>
  <c r="BC27" i="12"/>
  <c r="BF27" i="12"/>
  <c r="BI27" i="12"/>
  <c r="N29" i="12"/>
  <c r="T29" i="12"/>
  <c r="Z29" i="12"/>
  <c r="AF29" i="12"/>
  <c r="AF34" i="12"/>
  <c r="AG34" i="12" s="1"/>
  <c r="AF40" i="12"/>
  <c r="AF41" i="12"/>
  <c r="AX29" i="12"/>
  <c r="BD29" i="12"/>
  <c r="BJ29" i="12"/>
  <c r="T34" i="12"/>
  <c r="Z34" i="12"/>
  <c r="AA34" i="12" s="1"/>
  <c r="AX34" i="12"/>
  <c r="BD34" i="12"/>
  <c r="BJ34" i="12"/>
  <c r="M92" i="11"/>
  <c r="N31" i="12"/>
  <c r="O31" i="12" s="1"/>
  <c r="N40" i="12"/>
  <c r="N41" i="12"/>
  <c r="AE92" i="11"/>
  <c r="BO92" i="11"/>
  <c r="T31" i="12"/>
  <c r="Z31" i="12"/>
  <c r="AR31" i="12"/>
  <c r="AX31" i="12"/>
  <c r="BD31" i="12"/>
  <c r="T35" i="12"/>
  <c r="Z35" i="12"/>
  <c r="AM35" i="12"/>
  <c r="AX35" i="12"/>
  <c r="BD35" i="12"/>
  <c r="BG35" i="12" s="1"/>
  <c r="BD33" i="12"/>
  <c r="BC36" i="12"/>
  <c r="BJ36" i="12"/>
  <c r="E40" i="12"/>
  <c r="E107" i="12" s="1"/>
  <c r="AK48" i="12"/>
  <c r="AK55" i="12" s="1"/>
  <c r="G40" i="12"/>
  <c r="G107" i="12" s="1"/>
  <c r="T40" i="12"/>
  <c r="Z40" i="12"/>
  <c r="AG40" i="12"/>
  <c r="AL40" i="12"/>
  <c r="AR40" i="12"/>
  <c r="AX40" i="12"/>
  <c r="BD40" i="12"/>
  <c r="BJ40" i="12"/>
  <c r="BP107" i="12"/>
  <c r="BV107" i="12"/>
  <c r="BY44" i="12"/>
  <c r="BY45" i="12"/>
  <c r="T41" i="12"/>
  <c r="Z41" i="12"/>
  <c r="AG41" i="12"/>
  <c r="AL41" i="12"/>
  <c r="AX41" i="12"/>
  <c r="BD41" i="12"/>
  <c r="BJ41" i="12"/>
  <c r="BP127" i="12"/>
  <c r="BV127" i="12"/>
  <c r="AU46" i="12"/>
  <c r="BD46" i="12"/>
  <c r="BG46" i="12" s="1"/>
  <c r="BY46" i="12"/>
  <c r="AK36" i="11"/>
  <c r="E138" i="12"/>
  <c r="E169" i="11" s="1"/>
  <c r="G138" i="12"/>
  <c r="G169" i="11" s="1"/>
  <c r="I138" i="12"/>
  <c r="I169" i="11" s="1"/>
  <c r="K138" i="12"/>
  <c r="K169" i="11" s="1"/>
  <c r="Q138" i="12"/>
  <c r="W138" i="12"/>
  <c r="AC138" i="12"/>
  <c r="AI138" i="12"/>
  <c r="AO138" i="12"/>
  <c r="AU138" i="12"/>
  <c r="BA138" i="12"/>
  <c r="BG138" i="12"/>
  <c r="BM138" i="12"/>
  <c r="BS138" i="12"/>
  <c r="AY20" i="12"/>
  <c r="DA109" i="11"/>
  <c r="BS169" i="11" l="1"/>
  <c r="BS208" i="11"/>
  <c r="BG169" i="11"/>
  <c r="BG208" i="11"/>
  <c r="AU169" i="11"/>
  <c r="AU208" i="11"/>
  <c r="AI169" i="11"/>
  <c r="AI208" i="11"/>
  <c r="AI209" i="11" s="1"/>
  <c r="AI210" i="11" s="1"/>
  <c r="W169" i="11"/>
  <c r="W208" i="11"/>
  <c r="W209" i="11" s="1"/>
  <c r="W210" i="11" s="1"/>
  <c r="BM169" i="11"/>
  <c r="BM208" i="11"/>
  <c r="BA169" i="11"/>
  <c r="BA208" i="11"/>
  <c r="AO169" i="11"/>
  <c r="AO208" i="11"/>
  <c r="AC169" i="11"/>
  <c r="AC208" i="11"/>
  <c r="AC209" i="11" s="1"/>
  <c r="AC210" i="11" s="1"/>
  <c r="Q169" i="11"/>
  <c r="Q208" i="11"/>
  <c r="Q209" i="11" s="1"/>
  <c r="Q210" i="11" s="1"/>
  <c r="AG127" i="12"/>
  <c r="AG128" i="12" s="1"/>
  <c r="AG135" i="12"/>
  <c r="AG107" i="12"/>
  <c r="AG106" i="12" s="1"/>
  <c r="AG134" i="12"/>
  <c r="AF107" i="12"/>
  <c r="AF106" i="12" s="1"/>
  <c r="AF134" i="12"/>
  <c r="AF127" i="12"/>
  <c r="AF128" i="12" s="1"/>
  <c r="AF135" i="12"/>
  <c r="BI147" i="11"/>
  <c r="T76" i="12"/>
  <c r="BJ127" i="12"/>
  <c r="BJ128" i="12" s="1"/>
  <c r="BJ135" i="12"/>
  <c r="AX127" i="12"/>
  <c r="AX128" i="12" s="1"/>
  <c r="AX135" i="12"/>
  <c r="T127" i="12"/>
  <c r="T128" i="12" s="1"/>
  <c r="T135" i="12"/>
  <c r="BD107" i="12"/>
  <c r="BD106" i="12" s="1"/>
  <c r="BD134" i="12"/>
  <c r="AR107" i="12"/>
  <c r="AR106" i="12" s="1"/>
  <c r="AR134" i="12"/>
  <c r="T107" i="12"/>
  <c r="T106" i="12" s="1"/>
  <c r="T134" i="12"/>
  <c r="N107" i="12"/>
  <c r="N106" i="12" s="1"/>
  <c r="N134" i="12"/>
  <c r="BD147" i="11"/>
  <c r="CT131" i="12"/>
  <c r="CT130" i="12"/>
  <c r="BD127" i="12"/>
  <c r="BD128" i="12" s="1"/>
  <c r="BD135" i="12"/>
  <c r="AL127" i="12"/>
  <c r="AL128" i="12" s="1"/>
  <c r="AL135" i="12"/>
  <c r="Z127" i="12"/>
  <c r="Z128" i="12" s="1"/>
  <c r="Z135" i="12"/>
  <c r="BJ107" i="12"/>
  <c r="BJ106" i="12" s="1"/>
  <c r="BJ134" i="12"/>
  <c r="AX107" i="12"/>
  <c r="AX106" i="12" s="1"/>
  <c r="AX134" i="12"/>
  <c r="AL107" i="12"/>
  <c r="AL106" i="12" s="1"/>
  <c r="AL134" i="12"/>
  <c r="Z107" i="12"/>
  <c r="Z106" i="12" s="1"/>
  <c r="Z134" i="12"/>
  <c r="N127" i="12"/>
  <c r="N128" i="12" s="1"/>
  <c r="N135" i="12"/>
  <c r="BE29" i="12"/>
  <c r="Z76" i="12"/>
  <c r="Z79" i="12" s="1"/>
  <c r="N76" i="12"/>
  <c r="N92" i="11" s="1"/>
  <c r="AX147" i="11"/>
  <c r="DL42" i="138"/>
  <c r="DS42" i="138"/>
  <c r="DQ42" i="138"/>
  <c r="DN43" i="138"/>
  <c r="M151" i="11"/>
  <c r="M149" i="11" s="1"/>
  <c r="Z151" i="11"/>
  <c r="Z152" i="11" s="1"/>
  <c r="AQ151" i="11"/>
  <c r="AQ152" i="11" s="1"/>
  <c r="T151" i="11"/>
  <c r="T152" i="11" s="1"/>
  <c r="AF151" i="11"/>
  <c r="AF152" i="11" s="1"/>
  <c r="AL151" i="11"/>
  <c r="AL149" i="11" s="1"/>
  <c r="AR151" i="11"/>
  <c r="AR152" i="11" s="1"/>
  <c r="U32" i="12"/>
  <c r="U147" i="11" s="1"/>
  <c r="T147" i="11"/>
  <c r="DM38" i="138"/>
  <c r="DL37" i="138"/>
  <c r="DR35" i="138"/>
  <c r="DX42" i="138" s="1"/>
  <c r="DT36" i="138"/>
  <c r="DZ43" i="138" s="1"/>
  <c r="I151" i="11"/>
  <c r="I149" i="11" s="1"/>
  <c r="DO35" i="138"/>
  <c r="BP151" i="11"/>
  <c r="BP152" i="11" s="1"/>
  <c r="CG151" i="11"/>
  <c r="CG152" i="11" s="1"/>
  <c r="O29" i="12"/>
  <c r="P29" i="12" s="1"/>
  <c r="BK29" i="12"/>
  <c r="P192" i="11"/>
  <c r="O192" i="11"/>
  <c r="U192" i="11"/>
  <c r="N192" i="11"/>
  <c r="T192" i="11"/>
  <c r="V192" i="11"/>
  <c r="AA192" i="11"/>
  <c r="Z192" i="11"/>
  <c r="BO151" i="11"/>
  <c r="BO152" i="11" s="1"/>
  <c r="BU151" i="11"/>
  <c r="BU152" i="11" s="1"/>
  <c r="CA151" i="11"/>
  <c r="CA152" i="11" s="1"/>
  <c r="U29" i="12"/>
  <c r="AQ127" i="12"/>
  <c r="AQ128" i="12" s="1"/>
  <c r="CS151" i="11"/>
  <c r="CS152" i="11" s="1"/>
  <c r="AR158" i="11"/>
  <c r="CC107" i="12"/>
  <c r="CC106" i="12" s="1"/>
  <c r="BC79" i="12"/>
  <c r="AQ79" i="12"/>
  <c r="AK79" i="12"/>
  <c r="I79" i="12"/>
  <c r="E79" i="12"/>
  <c r="AE79" i="12"/>
  <c r="Y79" i="12"/>
  <c r="M79" i="12"/>
  <c r="K79" i="12"/>
  <c r="G79" i="12"/>
  <c r="CG79" i="12"/>
  <c r="AR41" i="12"/>
  <c r="AR135" i="12" s="1"/>
  <c r="CW67" i="135"/>
  <c r="G192" i="11"/>
  <c r="I192" i="11"/>
  <c r="CT58" i="134"/>
  <c r="E192" i="11"/>
  <c r="K192" i="11"/>
  <c r="M192" i="11"/>
  <c r="S192" i="11"/>
  <c r="Y192" i="11"/>
  <c r="CZ107" i="12"/>
  <c r="CZ106" i="12" s="1"/>
  <c r="BE32" i="12"/>
  <c r="CY79" i="12"/>
  <c r="BK40" i="12"/>
  <c r="BG19" i="12"/>
  <c r="BG20" i="12"/>
  <c r="BV128" i="12"/>
  <c r="BV106" i="12"/>
  <c r="K92" i="11"/>
  <c r="K61" i="12"/>
  <c r="K64" i="12" s="1"/>
  <c r="G92" i="11"/>
  <c r="G61" i="12"/>
  <c r="G64" i="12" s="1"/>
  <c r="AG73" i="12"/>
  <c r="CH128" i="12"/>
  <c r="CN128" i="12"/>
  <c r="CI127" i="12"/>
  <c r="CI128" i="12" s="1"/>
  <c r="BP128" i="12"/>
  <c r="BP106" i="12"/>
  <c r="I61" i="12"/>
  <c r="I64" i="12" s="1"/>
  <c r="E61" i="12"/>
  <c r="E64" i="12" s="1"/>
  <c r="U34" i="12"/>
  <c r="V34" i="12" s="1"/>
  <c r="AA14" i="12"/>
  <c r="AB14" i="12" s="1"/>
  <c r="Z73" i="12"/>
  <c r="T73" i="12"/>
  <c r="N73" i="12"/>
  <c r="AF73" i="12"/>
  <c r="CB106" i="12"/>
  <c r="CB128" i="12"/>
  <c r="CH106" i="12"/>
  <c r="CN106" i="12"/>
  <c r="CT73" i="12"/>
  <c r="CT106" i="12"/>
  <c r="CZ127" i="12"/>
  <c r="CY73" i="12"/>
  <c r="CK44" i="12"/>
  <c r="CQ44" i="12"/>
  <c r="AM91" i="11"/>
  <c r="AM76" i="12"/>
  <c r="BW127" i="12"/>
  <c r="BW128" i="12" s="1"/>
  <c r="AM40" i="12"/>
  <c r="AM134" i="12" s="1"/>
  <c r="BC38" i="12"/>
  <c r="BC48" i="12" s="1"/>
  <c r="BC55" i="12" s="1"/>
  <c r="AN35" i="12"/>
  <c r="AO35" i="12" s="1"/>
  <c r="AS31" i="12"/>
  <c r="AT31" i="12" s="1"/>
  <c r="BK34" i="12"/>
  <c r="BL34" i="12" s="1"/>
  <c r="BM34" i="12" s="1"/>
  <c r="AY34" i="12"/>
  <c r="BD91" i="11"/>
  <c r="BD76" i="12"/>
  <c r="BD92" i="11" s="1"/>
  <c r="AH41" i="12"/>
  <c r="AH135" i="12" s="1"/>
  <c r="AH34" i="12"/>
  <c r="AI34" i="12" s="1"/>
  <c r="BJ27" i="12"/>
  <c r="BK27" i="12" s="1"/>
  <c r="BD27" i="12"/>
  <c r="BE27" i="12" s="1"/>
  <c r="BG27" i="12" s="1"/>
  <c r="Z27" i="12"/>
  <c r="AA27" i="12" s="1"/>
  <c r="N27" i="12"/>
  <c r="O27" i="12" s="1"/>
  <c r="AH14" i="12"/>
  <c r="AI14" i="12" s="1"/>
  <c r="AH32" i="12"/>
  <c r="AH147" i="11" s="1"/>
  <c r="AI147" i="11" s="1"/>
  <c r="AL91" i="11"/>
  <c r="AL76" i="12"/>
  <c r="AL79" i="12" s="1"/>
  <c r="AN29" i="12"/>
  <c r="AR76" i="12"/>
  <c r="AR79" i="12" s="1"/>
  <c r="CH91" i="11"/>
  <c r="CO107" i="12"/>
  <c r="CO106" i="12" s="1"/>
  <c r="BQ127" i="12"/>
  <c r="BQ128" i="12" s="1"/>
  <c r="Q43" i="12"/>
  <c r="AY40" i="12"/>
  <c r="AK90" i="11"/>
  <c r="BK36" i="12"/>
  <c r="BL36" i="12" s="1"/>
  <c r="BM36" i="12" s="1"/>
  <c r="BG33" i="12"/>
  <c r="BF12" i="11" s="1"/>
  <c r="BF62" i="11" s="1"/>
  <c r="AY31" i="12"/>
  <c r="O41" i="12"/>
  <c r="P31" i="12"/>
  <c r="Q31" i="12" s="1"/>
  <c r="AB34" i="12"/>
  <c r="AC34" i="12" s="1"/>
  <c r="AX76" i="12"/>
  <c r="AH40" i="12"/>
  <c r="AH134" i="12" s="1"/>
  <c r="AF76" i="12"/>
  <c r="AF79" i="12" s="1"/>
  <c r="AX27" i="12"/>
  <c r="AY27" i="12" s="1"/>
  <c r="AF27" i="12"/>
  <c r="AG27" i="12" s="1"/>
  <c r="AH27" i="12" s="1"/>
  <c r="T27" i="12"/>
  <c r="U27" i="12" s="1"/>
  <c r="AZ20" i="12"/>
  <c r="BA20" i="12" s="1"/>
  <c r="O14" i="12"/>
  <c r="AA32" i="12"/>
  <c r="AA147" i="11" s="1"/>
  <c r="AN34" i="12"/>
  <c r="AO34" i="12" s="1"/>
  <c r="AH31" i="12"/>
  <c r="AI31" i="12" s="1"/>
  <c r="BI76" i="12"/>
  <c r="BI79" i="12" s="1"/>
  <c r="CC127" i="12"/>
  <c r="CC128" i="12" s="1"/>
  <c r="CN92" i="11"/>
  <c r="CU107" i="12"/>
  <c r="CU106" i="12" s="1"/>
  <c r="AT45" i="12"/>
  <c r="CQ45" i="12"/>
  <c r="CY90" i="11"/>
  <c r="CM92" i="11"/>
  <c r="BC92" i="11"/>
  <c r="Y92" i="11"/>
  <c r="S92" i="11"/>
  <c r="Z91" i="11"/>
  <c r="N91" i="11"/>
  <c r="BV91" i="11"/>
  <c r="CY91" i="11"/>
  <c r="BU92" i="11"/>
  <c r="AW92" i="11"/>
  <c r="AQ92" i="11"/>
  <c r="I38" i="12"/>
  <c r="I92" i="11"/>
  <c r="E92" i="11"/>
  <c r="BJ91" i="11"/>
  <c r="AY29" i="12"/>
  <c r="AX91" i="11"/>
  <c r="AF91" i="11"/>
  <c r="T91" i="11"/>
  <c r="BP91" i="11"/>
  <c r="AS29" i="12"/>
  <c r="AR91" i="11"/>
  <c r="AK92" i="11"/>
  <c r="CB91" i="11"/>
  <c r="CN91" i="11"/>
  <c r="AK45" i="11"/>
  <c r="AK57" i="11" s="1"/>
  <c r="AK58" i="11" s="1"/>
  <c r="AK80" i="11"/>
  <c r="AK79" i="11"/>
  <c r="AK81" i="11"/>
  <c r="AK78" i="11"/>
  <c r="CI122" i="12"/>
  <c r="CI124" i="12" s="1"/>
  <c r="BA78" i="12"/>
  <c r="BY78" i="12"/>
  <c r="CQ78" i="12"/>
  <c r="CG122" i="12"/>
  <c r="CG124" i="12" s="1"/>
  <c r="CJ122" i="12"/>
  <c r="CJ124" i="12" s="1"/>
  <c r="CD122" i="12"/>
  <c r="CD124" i="12" s="1"/>
  <c r="CC122" i="12"/>
  <c r="CC124" i="12" s="1"/>
  <c r="CH122" i="12"/>
  <c r="CH124" i="12" s="1"/>
  <c r="AO112" i="11"/>
  <c r="CA122" i="12"/>
  <c r="CA124" i="12" s="1"/>
  <c r="CB122" i="12"/>
  <c r="CB124" i="12" s="1"/>
  <c r="CM122" i="12"/>
  <c r="CM124" i="12" s="1"/>
  <c r="AS35" i="12"/>
  <c r="O32" i="12"/>
  <c r="O147" i="11" s="1"/>
  <c r="AY32" i="12"/>
  <c r="AA35" i="12"/>
  <c r="AB35" i="12" s="1"/>
  <c r="E100" i="11"/>
  <c r="M148" i="11"/>
  <c r="N148" i="11"/>
  <c r="U31" i="12"/>
  <c r="AG29" i="12"/>
  <c r="AA29" i="12"/>
  <c r="BK31" i="12"/>
  <c r="BK41" i="12"/>
  <c r="BE31" i="12"/>
  <c r="AS34" i="12"/>
  <c r="AT34" i="12" s="1"/>
  <c r="BO90" i="11"/>
  <c r="AL36" i="11"/>
  <c r="BD36" i="12"/>
  <c r="BE34" i="12"/>
  <c r="AM41" i="12"/>
  <c r="AM135" i="12" s="1"/>
  <c r="BJ32" i="12"/>
  <c r="BV138" i="12"/>
  <c r="E38" i="12"/>
  <c r="E48" i="12" s="1"/>
  <c r="CU105" i="11"/>
  <c r="CZ105" i="11"/>
  <c r="CY105" i="11"/>
  <c r="BO73" i="12"/>
  <c r="CN73" i="12"/>
  <c r="BV73" i="12"/>
  <c r="AK14" i="12"/>
  <c r="AW79" i="12"/>
  <c r="U14" i="12"/>
  <c r="BO79" i="12"/>
  <c r="CB73" i="12"/>
  <c r="CA79" i="12"/>
  <c r="CW103" i="11"/>
  <c r="CW105" i="11" s="1"/>
  <c r="CV107" i="11"/>
  <c r="CV109" i="11" s="1"/>
  <c r="AM27" i="12"/>
  <c r="AN27" i="12" s="1"/>
  <c r="AS27" i="12"/>
  <c r="AT27" i="12" s="1"/>
  <c r="BU138" i="12"/>
  <c r="S79" i="12"/>
  <c r="U41" i="12"/>
  <c r="AY35" i="12"/>
  <c r="BP73" i="12"/>
  <c r="AA31" i="12"/>
  <c r="AB31" i="12" s="1"/>
  <c r="DA107" i="12"/>
  <c r="DA106" i="12" s="1"/>
  <c r="U35" i="12"/>
  <c r="K38" i="12"/>
  <c r="AA41" i="12"/>
  <c r="AA135" i="12" s="1"/>
  <c r="AW48" i="12"/>
  <c r="AW55" i="12" s="1"/>
  <c r="BW107" i="12"/>
  <c r="BW106" i="12" s="1"/>
  <c r="AT149" i="11"/>
  <c r="U40" i="12"/>
  <c r="U134" i="12" s="1"/>
  <c r="AS40" i="12"/>
  <c r="AS134" i="12" s="1"/>
  <c r="AK20" i="12"/>
  <c r="BW138" i="12"/>
  <c r="BE41" i="12"/>
  <c r="BE135" i="12" s="1"/>
  <c r="O40" i="12"/>
  <c r="O134" i="12" s="1"/>
  <c r="G38" i="12"/>
  <c r="AM31" i="12"/>
  <c r="AN31" i="12" s="1"/>
  <c r="CT103" i="11"/>
  <c r="AY41" i="12"/>
  <c r="BE40" i="12"/>
  <c r="AA40" i="12"/>
  <c r="DA127" i="12"/>
  <c r="DA128" i="12" s="1"/>
  <c r="CV103" i="11"/>
  <c r="CV105" i="11" s="1"/>
  <c r="V32" i="12" l="1"/>
  <c r="V147" i="11" s="1"/>
  <c r="V148" i="11" s="1"/>
  <c r="O91" i="11"/>
  <c r="BW169" i="11"/>
  <c r="BW208" i="11"/>
  <c r="BU169" i="11"/>
  <c r="BU208" i="11"/>
  <c r="BU209" i="11" s="1"/>
  <c r="BU210" i="11" s="1"/>
  <c r="BV169" i="11"/>
  <c r="BV208" i="11"/>
  <c r="BV209" i="11" s="1"/>
  <c r="BV210" i="11" s="1"/>
  <c r="Q230" i="11"/>
  <c r="Q211" i="11"/>
  <c r="Q231" i="11"/>
  <c r="Q68" i="11" s="1"/>
  <c r="AC211" i="11"/>
  <c r="AC230" i="11"/>
  <c r="AC231" i="11"/>
  <c r="AC68" i="11" s="1"/>
  <c r="W211" i="11"/>
  <c r="W231" i="11"/>
  <c r="W68" i="11" s="1"/>
  <c r="W230" i="11"/>
  <c r="AI211" i="11"/>
  <c r="AI230" i="11"/>
  <c r="AI231" i="11"/>
  <c r="AI68" i="11" s="1"/>
  <c r="U73" i="12"/>
  <c r="O148" i="11"/>
  <c r="CE112" i="11"/>
  <c r="AR14" i="12"/>
  <c r="AR73" i="12" s="1"/>
  <c r="BF29" i="12"/>
  <c r="BE91" i="11"/>
  <c r="BK91" i="11"/>
  <c r="AA107" i="12"/>
  <c r="AA106" i="12" s="1"/>
  <c r="AA134" i="12"/>
  <c r="BE107" i="12"/>
  <c r="BE106" i="12" s="1"/>
  <c r="BE134" i="12"/>
  <c r="U127" i="12"/>
  <c r="U128" i="12" s="1"/>
  <c r="U135" i="12"/>
  <c r="BK127" i="12"/>
  <c r="BK128" i="12" s="1"/>
  <c r="BK135" i="12"/>
  <c r="P41" i="12"/>
  <c r="P135" i="12" s="1"/>
  <c r="O135" i="12"/>
  <c r="BK107" i="12"/>
  <c r="BK106" i="12" s="1"/>
  <c r="BK134" i="12"/>
  <c r="AY127" i="12"/>
  <c r="AY128" i="12" s="1"/>
  <c r="AY135" i="12"/>
  <c r="BJ147" i="11"/>
  <c r="BF31" i="12"/>
  <c r="AA76" i="12"/>
  <c r="AA79" i="12" s="1"/>
  <c r="AY147" i="11"/>
  <c r="AY107" i="12"/>
  <c r="AY106" i="12" s="1"/>
  <c r="AY134" i="12"/>
  <c r="BL29" i="12"/>
  <c r="V29" i="12"/>
  <c r="U76" i="12"/>
  <c r="U79" i="12" s="1"/>
  <c r="O76" i="12"/>
  <c r="O79" i="12" s="1"/>
  <c r="BI14" i="12"/>
  <c r="BI73" i="12" s="1"/>
  <c r="AW151" i="11"/>
  <c r="AW152" i="11" s="1"/>
  <c r="BC151" i="11"/>
  <c r="BC152" i="11" s="1"/>
  <c r="DL44" i="138"/>
  <c r="DM45" i="138"/>
  <c r="DT43" i="138"/>
  <c r="DR42" i="138"/>
  <c r="BI151" i="11"/>
  <c r="BI152" i="11" s="1"/>
  <c r="AU153" i="11"/>
  <c r="BC112" i="11"/>
  <c r="Z149" i="11"/>
  <c r="AR149" i="11"/>
  <c r="U151" i="11"/>
  <c r="U152" i="11" s="1"/>
  <c r="AU209" i="11"/>
  <c r="AU210" i="11" s="1"/>
  <c r="AG151" i="11"/>
  <c r="AG152" i="11" s="1"/>
  <c r="AA151" i="11"/>
  <c r="AA152" i="11" s="1"/>
  <c r="BA209" i="11"/>
  <c r="BA210" i="11" s="1"/>
  <c r="AM151" i="11"/>
  <c r="AM149" i="11" s="1"/>
  <c r="AN112" i="11"/>
  <c r="AR112" i="11"/>
  <c r="CI112" i="11"/>
  <c r="BD112" i="11"/>
  <c r="P112" i="11"/>
  <c r="U112" i="11"/>
  <c r="S112" i="11"/>
  <c r="T112" i="11"/>
  <c r="BF112" i="11"/>
  <c r="CD112" i="11"/>
  <c r="AW112" i="11"/>
  <c r="CG112" i="11"/>
  <c r="CM112" i="11"/>
  <c r="CJ112" i="11"/>
  <c r="BJ112" i="11"/>
  <c r="BL112" i="11"/>
  <c r="BP112" i="11"/>
  <c r="AK126" i="11"/>
  <c r="AK85" i="11" s="1"/>
  <c r="V112" i="11"/>
  <c r="Z112" i="11"/>
  <c r="AA112" i="11"/>
  <c r="Y112" i="11"/>
  <c r="BK112" i="11"/>
  <c r="AY112" i="11"/>
  <c r="AT112" i="11"/>
  <c r="AQ112" i="11"/>
  <c r="BO112" i="11"/>
  <c r="AX112" i="11"/>
  <c r="CH112" i="11"/>
  <c r="BE112" i="11"/>
  <c r="BI112" i="11"/>
  <c r="AS112" i="11"/>
  <c r="AZ112" i="11"/>
  <c r="AL127" i="11"/>
  <c r="AL86" i="11" s="1"/>
  <c r="AM128" i="11"/>
  <c r="U148" i="11"/>
  <c r="U100" i="11"/>
  <c r="U111" i="11"/>
  <c r="T148" i="11"/>
  <c r="T111" i="11"/>
  <c r="T100" i="11"/>
  <c r="S148" i="11"/>
  <c r="S100" i="11"/>
  <c r="S111" i="11"/>
  <c r="K148" i="11"/>
  <c r="K111" i="11"/>
  <c r="K100" i="11"/>
  <c r="I148" i="11"/>
  <c r="I100" i="11"/>
  <c r="I111" i="11"/>
  <c r="G148" i="11"/>
  <c r="G111" i="11"/>
  <c r="G100" i="11"/>
  <c r="AA148" i="11"/>
  <c r="AA111" i="11"/>
  <c r="AA100" i="11"/>
  <c r="Z148" i="11"/>
  <c r="Z111" i="11"/>
  <c r="Z100" i="11"/>
  <c r="Y148" i="11"/>
  <c r="Y111" i="11"/>
  <c r="Y100" i="11"/>
  <c r="V111" i="11"/>
  <c r="V100" i="11"/>
  <c r="P111" i="11"/>
  <c r="P100" i="11"/>
  <c r="BF32" i="12"/>
  <c r="BE147" i="11"/>
  <c r="DK37" i="138"/>
  <c r="DR37" i="138"/>
  <c r="DX44" i="138" s="1"/>
  <c r="DS38" i="138"/>
  <c r="DY45" i="138" s="1"/>
  <c r="DK38" i="138"/>
  <c r="DM37" i="138"/>
  <c r="DL38" i="138"/>
  <c r="AF149" i="11"/>
  <c r="T149" i="11"/>
  <c r="AQ149" i="11"/>
  <c r="AL152" i="11"/>
  <c r="M152" i="11"/>
  <c r="I152" i="11"/>
  <c r="DO11" i="138"/>
  <c r="BF115" i="11"/>
  <c r="BF114" i="11"/>
  <c r="BV151" i="11"/>
  <c r="BV152" i="11" s="1"/>
  <c r="BP149" i="11"/>
  <c r="AS41" i="12"/>
  <c r="AT41" i="12" s="1"/>
  <c r="AT135" i="12" s="1"/>
  <c r="U91" i="11"/>
  <c r="G48" i="12"/>
  <c r="G55" i="12" s="1"/>
  <c r="K48" i="12"/>
  <c r="K55" i="12" s="1"/>
  <c r="I48" i="12"/>
  <c r="I55" i="12" s="1"/>
  <c r="I56" i="12"/>
  <c r="DU35" i="138"/>
  <c r="EA42" i="138" s="1"/>
  <c r="W192" i="11"/>
  <c r="Q192" i="11"/>
  <c r="AB192" i="11"/>
  <c r="AG192" i="11"/>
  <c r="CH151" i="11"/>
  <c r="CH152" i="11" s="1"/>
  <c r="CB151" i="11"/>
  <c r="CB152" i="11" s="1"/>
  <c r="P91" i="11"/>
  <c r="AR127" i="12"/>
  <c r="AR128" i="12" s="1"/>
  <c r="AT35" i="12"/>
  <c r="AU35" i="12" s="1"/>
  <c r="AS159" i="11"/>
  <c r="CT151" i="11"/>
  <c r="CT152" i="11" s="1"/>
  <c r="BU79" i="12"/>
  <c r="T79" i="12"/>
  <c r="CH79" i="12"/>
  <c r="BP79" i="12"/>
  <c r="BD79" i="12"/>
  <c r="CB79" i="12"/>
  <c r="BV79" i="12"/>
  <c r="AX79" i="12"/>
  <c r="N79" i="12"/>
  <c r="AM79" i="12"/>
  <c r="CM79" i="12"/>
  <c r="CB92" i="11"/>
  <c r="AF92" i="11"/>
  <c r="AR92" i="11"/>
  <c r="AL92" i="11"/>
  <c r="BE76" i="12"/>
  <c r="BE79" i="12" s="1"/>
  <c r="CK41" i="12"/>
  <c r="CK135" i="12" s="1"/>
  <c r="CY58" i="134"/>
  <c r="CY70" i="134"/>
  <c r="CZ58" i="134"/>
  <c r="CZ70" i="134"/>
  <c r="AT192" i="11"/>
  <c r="BL40" i="12"/>
  <c r="BL134" i="12" s="1"/>
  <c r="CY92" i="11"/>
  <c r="CY93" i="11" s="1"/>
  <c r="CY64" i="12"/>
  <c r="AZ34" i="12"/>
  <c r="BA34" i="12" s="1"/>
  <c r="BF79" i="11"/>
  <c r="BG12" i="11"/>
  <c r="BG62" i="11" s="1"/>
  <c r="CV107" i="12"/>
  <c r="CD127" i="12"/>
  <c r="CD128" i="12" s="1"/>
  <c r="CE128" i="12" s="1"/>
  <c r="CU73" i="12"/>
  <c r="AK73" i="12"/>
  <c r="AZ32" i="12"/>
  <c r="CO127" i="12"/>
  <c r="CJ127" i="12"/>
  <c r="BI38" i="12"/>
  <c r="BI61" i="12"/>
  <c r="CB61" i="12"/>
  <c r="BV61" i="12"/>
  <c r="AA73" i="12"/>
  <c r="AF38" i="12"/>
  <c r="AF61" i="12"/>
  <c r="AF64" i="12" s="1"/>
  <c r="AX38" i="12"/>
  <c r="AX61" i="12"/>
  <c r="CH61" i="12"/>
  <c r="AH73" i="12"/>
  <c r="N38" i="12"/>
  <c r="N61" i="12"/>
  <c r="N64" i="12" s="1"/>
  <c r="AN40" i="12"/>
  <c r="AN134" i="12" s="1"/>
  <c r="AM107" i="12"/>
  <c r="AM61" i="12"/>
  <c r="AM64" i="12" s="1"/>
  <c r="CZ73" i="12"/>
  <c r="CI73" i="12"/>
  <c r="CH73" i="12"/>
  <c r="BG32" i="12"/>
  <c r="P40" i="12"/>
  <c r="O107" i="12"/>
  <c r="O106" i="12" s="1"/>
  <c r="BF41" i="12"/>
  <c r="BE127" i="12"/>
  <c r="AX92" i="11"/>
  <c r="AT40" i="12"/>
  <c r="AS107" i="12"/>
  <c r="AS106" i="12" s="1"/>
  <c r="CZ79" i="12"/>
  <c r="V40" i="12"/>
  <c r="U107" i="12"/>
  <c r="U106" i="12" s="1"/>
  <c r="AB41" i="12"/>
  <c r="AA127" i="12"/>
  <c r="AA128" i="12" s="1"/>
  <c r="CJ107" i="12"/>
  <c r="CJ106" i="12" s="1"/>
  <c r="CI107" i="12"/>
  <c r="BJ76" i="12"/>
  <c r="BJ79" i="12" s="1"/>
  <c r="AN41" i="12"/>
  <c r="AM127" i="12"/>
  <c r="AM128" i="12" s="1"/>
  <c r="CV127" i="12"/>
  <c r="CV128" i="12" s="1"/>
  <c r="CU127" i="12"/>
  <c r="CU128" i="12" s="1"/>
  <c r="CH92" i="11"/>
  <c r="BR107" i="12"/>
  <c r="BR106" i="12" s="1"/>
  <c r="BQ107" i="12"/>
  <c r="O73" i="12"/>
  <c r="CQ41" i="12"/>
  <c r="CN61" i="12"/>
  <c r="CE40" i="12"/>
  <c r="CE134" i="12" s="1"/>
  <c r="CD107" i="12"/>
  <c r="AB32" i="12"/>
  <c r="AB147" i="11" s="1"/>
  <c r="AC147" i="11" s="1"/>
  <c r="T61" i="12"/>
  <c r="T64" i="12" s="1"/>
  <c r="AI40" i="12"/>
  <c r="AH107" i="12"/>
  <c r="AH106" i="12" s="1"/>
  <c r="O127" i="12"/>
  <c r="O128" i="12" s="1"/>
  <c r="AZ40" i="12"/>
  <c r="CP107" i="12"/>
  <c r="CP106" i="12" s="1"/>
  <c r="AR38" i="12"/>
  <c r="AR61" i="12"/>
  <c r="AR64" i="12" s="1"/>
  <c r="AL38" i="12"/>
  <c r="AL61" i="12"/>
  <c r="AL64" i="12" s="1"/>
  <c r="BP61" i="12"/>
  <c r="AI32" i="12"/>
  <c r="BL27" i="12"/>
  <c r="BM27" i="12" s="1"/>
  <c r="Z38" i="12"/>
  <c r="Z61" i="12"/>
  <c r="Z64" i="12" s="1"/>
  <c r="AI41" i="12"/>
  <c r="AH127" i="12"/>
  <c r="AH128" i="12" s="1"/>
  <c r="BD61" i="12"/>
  <c r="AU31" i="12"/>
  <c r="CZ128" i="12"/>
  <c r="DC127" i="12"/>
  <c r="BF17" i="11"/>
  <c r="P14" i="12"/>
  <c r="Q14" i="12" s="1"/>
  <c r="AZ27" i="12"/>
  <c r="BA27" i="12" s="1"/>
  <c r="AZ31" i="12"/>
  <c r="BR127" i="12"/>
  <c r="BR128" i="12" s="1"/>
  <c r="AG76" i="12"/>
  <c r="AG79" i="12" s="1"/>
  <c r="CC79" i="12"/>
  <c r="CW46" i="12"/>
  <c r="BV92" i="11"/>
  <c r="AU34" i="12"/>
  <c r="P32" i="12"/>
  <c r="P147" i="11" s="1"/>
  <c r="P148" i="11" s="1"/>
  <c r="V27" i="12"/>
  <c r="W27" i="12" s="1"/>
  <c r="AI27" i="12"/>
  <c r="T38" i="12"/>
  <c r="T92" i="11"/>
  <c r="BF34" i="12"/>
  <c r="AC31" i="12"/>
  <c r="AC35" i="12"/>
  <c r="AZ35" i="12"/>
  <c r="BA35" i="12" s="1"/>
  <c r="V41" i="12"/>
  <c r="V135" i="12" s="1"/>
  <c r="CW36" i="12"/>
  <c r="CW38" i="12" s="1"/>
  <c r="AO31" i="12"/>
  <c r="V14" i="12"/>
  <c r="W14" i="12" s="1"/>
  <c r="P27" i="12"/>
  <c r="Q27" i="12" s="1"/>
  <c r="AB27" i="12"/>
  <c r="AC27" i="12" s="1"/>
  <c r="AU27" i="12"/>
  <c r="BD38" i="12"/>
  <c r="BD48" i="12" s="1"/>
  <c r="BD55" i="12" s="1"/>
  <c r="AW90" i="11"/>
  <c r="V31" i="12"/>
  <c r="W31" i="12" s="1"/>
  <c r="V35" i="12"/>
  <c r="W35" i="12" s="1"/>
  <c r="AB40" i="12"/>
  <c r="AB134" i="12" s="1"/>
  <c r="BF40" i="12"/>
  <c r="BF134" i="12" s="1"/>
  <c r="AZ41" i="12"/>
  <c r="AZ135" i="12" s="1"/>
  <c r="CI79" i="12"/>
  <c r="AS91" i="11"/>
  <c r="AS76" i="12"/>
  <c r="BQ79" i="12"/>
  <c r="AY91" i="11"/>
  <c r="AY76" i="12"/>
  <c r="AY79" i="12" s="1"/>
  <c r="AZ29" i="12"/>
  <c r="AH29" i="12"/>
  <c r="AT29" i="12"/>
  <c r="AN76" i="12"/>
  <c r="AN79" i="12" s="1"/>
  <c r="AO29" i="12"/>
  <c r="Q29" i="12"/>
  <c r="AB29" i="12"/>
  <c r="AM38" i="12"/>
  <c r="AM48" i="12" s="1"/>
  <c r="AM55" i="12" s="1"/>
  <c r="AU45" i="12"/>
  <c r="BP92" i="11"/>
  <c r="M90" i="11"/>
  <c r="E90" i="11"/>
  <c r="BI92" i="11"/>
  <c r="AG91" i="11"/>
  <c r="CI91" i="11"/>
  <c r="BR91" i="11"/>
  <c r="CZ91" i="11"/>
  <c r="AE90" i="11"/>
  <c r="CA90" i="11"/>
  <c r="Z92" i="11"/>
  <c r="AM92" i="11"/>
  <c r="AA91" i="11"/>
  <c r="S90" i="11"/>
  <c r="CO91" i="11"/>
  <c r="CC91" i="11"/>
  <c r="BQ91" i="11"/>
  <c r="BU90" i="11"/>
  <c r="BW91" i="11"/>
  <c r="AL45" i="11"/>
  <c r="AL57" i="11" s="1"/>
  <c r="AL58" i="11" s="1"/>
  <c r="AL80" i="11"/>
  <c r="AL79" i="11"/>
  <c r="AL78" i="11"/>
  <c r="AL81" i="11"/>
  <c r="AL126" i="11"/>
  <c r="AL85" i="11" s="1"/>
  <c r="AM127" i="11"/>
  <c r="AM86" i="11" s="1"/>
  <c r="AL128" i="11"/>
  <c r="AM126" i="11"/>
  <c r="AM85" i="11" s="1"/>
  <c r="CN122" i="12"/>
  <c r="CN124" i="12" s="1"/>
  <c r="CK122" i="12"/>
  <c r="CK124" i="12" s="1"/>
  <c r="AK127" i="11"/>
  <c r="AK86" i="11" s="1"/>
  <c r="AK128" i="11"/>
  <c r="M170" i="11"/>
  <c r="M171" i="11" s="1"/>
  <c r="M172" i="11" s="1"/>
  <c r="CO122" i="12"/>
  <c r="CO124" i="12" s="1"/>
  <c r="BC90" i="11"/>
  <c r="AR195" i="11"/>
  <c r="AR202" i="11"/>
  <c r="BQ112" i="11"/>
  <c r="CU126" i="11"/>
  <c r="CU85" i="11" s="1"/>
  <c r="CU127" i="11"/>
  <c r="CU86" i="11" s="1"/>
  <c r="CU128" i="11"/>
  <c r="CI126" i="11"/>
  <c r="CI85" i="11" s="1"/>
  <c r="CI127" i="11"/>
  <c r="CI86" i="11" s="1"/>
  <c r="CI128" i="11"/>
  <c r="BK126" i="11"/>
  <c r="BK85" i="11" s="1"/>
  <c r="BK128" i="11"/>
  <c r="BK127" i="11"/>
  <c r="BK86" i="11" s="1"/>
  <c r="CB126" i="11"/>
  <c r="CB85" i="11" s="1"/>
  <c r="CB127" i="11"/>
  <c r="CB86" i="11" s="1"/>
  <c r="CB128" i="11"/>
  <c r="AN127" i="11"/>
  <c r="AN126" i="11"/>
  <c r="AN128" i="11"/>
  <c r="AW126" i="11"/>
  <c r="AW85" i="11" s="1"/>
  <c r="AW127" i="11"/>
  <c r="AW86" i="11" s="1"/>
  <c r="AW128" i="11"/>
  <c r="BO127" i="11"/>
  <c r="BO86" i="11" s="1"/>
  <c r="BO126" i="11"/>
  <c r="BO85" i="11" s="1"/>
  <c r="BO128" i="11"/>
  <c r="CG128" i="11"/>
  <c r="CG126" i="11"/>
  <c r="CG85" i="11" s="1"/>
  <c r="CG127" i="11"/>
  <c r="CG86" i="11" s="1"/>
  <c r="AX126" i="11"/>
  <c r="AX85" i="11" s="1"/>
  <c r="AX127" i="11"/>
  <c r="AX86" i="11" s="1"/>
  <c r="AX128" i="11"/>
  <c r="T123" i="11"/>
  <c r="T120" i="11"/>
  <c r="T122" i="11"/>
  <c r="T84" i="11" s="1"/>
  <c r="T87" i="11" s="1"/>
  <c r="T121" i="11"/>
  <c r="T137" i="11"/>
  <c r="S122" i="11"/>
  <c r="S84" i="11" s="1"/>
  <c r="S87" i="11" s="1"/>
  <c r="S123" i="11"/>
  <c r="S120" i="11"/>
  <c r="S121" i="11"/>
  <c r="S137" i="11"/>
  <c r="M123" i="11"/>
  <c r="M120" i="11"/>
  <c r="M122" i="11"/>
  <c r="M84" i="11" s="1"/>
  <c r="M87" i="11" s="1"/>
  <c r="M121" i="11"/>
  <c r="M137" i="11"/>
  <c r="K120" i="11"/>
  <c r="K121" i="11"/>
  <c r="K122" i="11"/>
  <c r="K84" i="11" s="1"/>
  <c r="K87" i="11" s="1"/>
  <c r="K123" i="11"/>
  <c r="K137" i="11"/>
  <c r="I123" i="11"/>
  <c r="I121" i="11"/>
  <c r="I120" i="11"/>
  <c r="I122" i="11"/>
  <c r="I84" i="11" s="1"/>
  <c r="I87" i="11" s="1"/>
  <c r="I137" i="11"/>
  <c r="CY128" i="11"/>
  <c r="CY126" i="11"/>
  <c r="CY85" i="11" s="1"/>
  <c r="CY127" i="11"/>
  <c r="CY86" i="11" s="1"/>
  <c r="CM126" i="11"/>
  <c r="CM85" i="11" s="1"/>
  <c r="CM127" i="11"/>
  <c r="CM86" i="11" s="1"/>
  <c r="CM128" i="11"/>
  <c r="CH127" i="11"/>
  <c r="CH86" i="11" s="1"/>
  <c r="CH126" i="11"/>
  <c r="CH85" i="11" s="1"/>
  <c r="CH128" i="11"/>
  <c r="AS127" i="11"/>
  <c r="AS86" i="11" s="1"/>
  <c r="AS128" i="11"/>
  <c r="AS126" i="11"/>
  <c r="AS85" i="11" s="1"/>
  <c r="CC128" i="11"/>
  <c r="CC126" i="11"/>
  <c r="CC85" i="11" s="1"/>
  <c r="CC127" i="11"/>
  <c r="CC86" i="11" s="1"/>
  <c r="AZ126" i="11"/>
  <c r="AZ85" i="11" s="1"/>
  <c r="AZ128" i="11"/>
  <c r="AZ127" i="11"/>
  <c r="AZ86" i="11" s="1"/>
  <c r="CA126" i="11"/>
  <c r="CA85" i="11" s="1"/>
  <c r="CA127" i="11"/>
  <c r="CA86" i="11" s="1"/>
  <c r="CA128" i="11"/>
  <c r="Z120" i="11"/>
  <c r="Z123" i="11"/>
  <c r="Z137" i="11"/>
  <c r="Z121" i="11"/>
  <c r="Z122" i="11"/>
  <c r="Z84" i="11" s="1"/>
  <c r="Z87" i="11" s="1"/>
  <c r="V122" i="11"/>
  <c r="V84" i="11" s="1"/>
  <c r="V123" i="11"/>
  <c r="V121" i="11"/>
  <c r="V120" i="11"/>
  <c r="V137" i="11"/>
  <c r="O123" i="11"/>
  <c r="O120" i="11"/>
  <c r="O122" i="11"/>
  <c r="O84" i="11" s="1"/>
  <c r="O87" i="11" s="1"/>
  <c r="O121" i="11"/>
  <c r="O137" i="11"/>
  <c r="P123" i="11"/>
  <c r="P121" i="11"/>
  <c r="P137" i="11"/>
  <c r="P122" i="11"/>
  <c r="P84" i="11" s="1"/>
  <c r="P120" i="11"/>
  <c r="DA127" i="11"/>
  <c r="DA86" i="11" s="1"/>
  <c r="DA126" i="11"/>
  <c r="DA85" i="11" s="1"/>
  <c r="DA128" i="11"/>
  <c r="CN112" i="11"/>
  <c r="AR127" i="11"/>
  <c r="AR86" i="11" s="1"/>
  <c r="AR126" i="11"/>
  <c r="AR85" i="11" s="1"/>
  <c r="AR128" i="11"/>
  <c r="BD126" i="11"/>
  <c r="BD85" i="11" s="1"/>
  <c r="BD127" i="11"/>
  <c r="BD86" i="11" s="1"/>
  <c r="BD128" i="11"/>
  <c r="BC127" i="11"/>
  <c r="BC86" i="11" s="1"/>
  <c r="BC126" i="11"/>
  <c r="BC85" i="11" s="1"/>
  <c r="BC128" i="11"/>
  <c r="BF127" i="11"/>
  <c r="BF86" i="11" s="1"/>
  <c r="BF128" i="11"/>
  <c r="BF126" i="11"/>
  <c r="BF85" i="11" s="1"/>
  <c r="AY126" i="11"/>
  <c r="AY85" i="11" s="1"/>
  <c r="AY127" i="11"/>
  <c r="AY86" i="11" s="1"/>
  <c r="AY128" i="11"/>
  <c r="AT126" i="11"/>
  <c r="AT128" i="11"/>
  <c r="AT127" i="11"/>
  <c r="CD127" i="11"/>
  <c r="CD86" i="11" s="1"/>
  <c r="CD126" i="11"/>
  <c r="CD85" i="11" s="1"/>
  <c r="CD128" i="11"/>
  <c r="AQ128" i="11"/>
  <c r="AQ127" i="11"/>
  <c r="AQ86" i="11" s="1"/>
  <c r="AQ126" i="11"/>
  <c r="AQ85" i="11" s="1"/>
  <c r="U120" i="11"/>
  <c r="U122" i="11"/>
  <c r="U84" i="11" s="1"/>
  <c r="U87" i="11" s="1"/>
  <c r="U123" i="11"/>
  <c r="U121" i="11"/>
  <c r="U137" i="11"/>
  <c r="N121" i="11"/>
  <c r="N122" i="11"/>
  <c r="N84" i="11" s="1"/>
  <c r="N87" i="11" s="1"/>
  <c r="N123" i="11"/>
  <c r="N120" i="11"/>
  <c r="N137" i="11"/>
  <c r="G122" i="11"/>
  <c r="G84" i="11" s="1"/>
  <c r="G87" i="11" s="1"/>
  <c r="G123" i="11"/>
  <c r="G120" i="11"/>
  <c r="G121" i="11"/>
  <c r="G137" i="11"/>
  <c r="CJ128" i="11"/>
  <c r="CJ126" i="11"/>
  <c r="CJ85" i="11" s="1"/>
  <c r="CJ127" i="11"/>
  <c r="CJ86" i="11" s="1"/>
  <c r="AO126" i="11"/>
  <c r="AO85" i="11" s="1"/>
  <c r="AN85" i="11" s="1"/>
  <c r="AO128" i="11"/>
  <c r="AO127" i="11"/>
  <c r="AO86" i="11" s="1"/>
  <c r="AN86" i="11" s="1"/>
  <c r="BE127" i="11"/>
  <c r="BE86" i="11" s="1"/>
  <c r="BE126" i="11"/>
  <c r="BE85" i="11" s="1"/>
  <c r="BE128" i="11"/>
  <c r="BJ128" i="11"/>
  <c r="BJ126" i="11"/>
  <c r="BJ85" i="11" s="1"/>
  <c r="BJ127" i="11"/>
  <c r="BJ86" i="11" s="1"/>
  <c r="BI126" i="11"/>
  <c r="BI85" i="11" s="1"/>
  <c r="BI128" i="11"/>
  <c r="BI127" i="11"/>
  <c r="BI86" i="11" s="1"/>
  <c r="BL127" i="11"/>
  <c r="BL86" i="11" s="1"/>
  <c r="BL126" i="11"/>
  <c r="BL85" i="11" s="1"/>
  <c r="BL128" i="11"/>
  <c r="BU126" i="11"/>
  <c r="BU85" i="11" s="1"/>
  <c r="BU127" i="11"/>
  <c r="BU86" i="11" s="1"/>
  <c r="BU128" i="11"/>
  <c r="BP127" i="11"/>
  <c r="BP86" i="11" s="1"/>
  <c r="BP128" i="11"/>
  <c r="BP126" i="11"/>
  <c r="BP85" i="11" s="1"/>
  <c r="AA120" i="11"/>
  <c r="AA123" i="11"/>
  <c r="AA122" i="11"/>
  <c r="AA84" i="11" s="1"/>
  <c r="AA87" i="11" s="1"/>
  <c r="AA121" i="11"/>
  <c r="AA137" i="11"/>
  <c r="Y122" i="11"/>
  <c r="Y84" i="11" s="1"/>
  <c r="Y87" i="11" s="1"/>
  <c r="Y123" i="11"/>
  <c r="Y121" i="11"/>
  <c r="Y120" i="11"/>
  <c r="Y137" i="11"/>
  <c r="E123" i="11"/>
  <c r="E120" i="11"/>
  <c r="E122" i="11"/>
  <c r="E84" i="11" s="1"/>
  <c r="E87" i="11" s="1"/>
  <c r="E121" i="11"/>
  <c r="E137" i="11"/>
  <c r="CV127" i="11"/>
  <c r="CV126" i="11"/>
  <c r="CV128" i="11"/>
  <c r="CZ127" i="11"/>
  <c r="CZ86" i="11" s="1"/>
  <c r="CZ128" i="11"/>
  <c r="CZ126" i="11"/>
  <c r="CZ85" i="11" s="1"/>
  <c r="BM112" i="11"/>
  <c r="V126" i="11"/>
  <c r="V85" i="11" s="1"/>
  <c r="V127" i="11"/>
  <c r="V86" i="11" s="1"/>
  <c r="V128" i="11"/>
  <c r="BG112" i="11"/>
  <c r="P127" i="11"/>
  <c r="P86" i="11" s="1"/>
  <c r="P128" i="11"/>
  <c r="P126" i="11"/>
  <c r="P85" i="11" s="1"/>
  <c r="AL14" i="12"/>
  <c r="AL73" i="12" s="1"/>
  <c r="BL41" i="12"/>
  <c r="BL135" i="12" s="1"/>
  <c r="BE36" i="12"/>
  <c r="BF36" i="12" s="1"/>
  <c r="BL31" i="12"/>
  <c r="BK32" i="12"/>
  <c r="AW14" i="12"/>
  <c r="AW73" i="12" s="1"/>
  <c r="BC14" i="12"/>
  <c r="BC73" i="12" s="1"/>
  <c r="CC73" i="12"/>
  <c r="BX73" i="12"/>
  <c r="CW107" i="11"/>
  <c r="CW109" i="11" s="1"/>
  <c r="AL20" i="12"/>
  <c r="AM20" i="12"/>
  <c r="CU107" i="11"/>
  <c r="CU109" i="11" s="1"/>
  <c r="CZ107" i="11"/>
  <c r="CZ109" i="11" s="1"/>
  <c r="CM90" i="11"/>
  <c r="CS107" i="11"/>
  <c r="CG90" i="11"/>
  <c r="AQ48" i="12"/>
  <c r="AQ55" i="12" s="1"/>
  <c r="CT107" i="11"/>
  <c r="CE128" i="11" l="1"/>
  <c r="W147" i="11"/>
  <c r="W148" i="11" s="1"/>
  <c r="W32" i="12"/>
  <c r="V76" i="12"/>
  <c r="BG29" i="12"/>
  <c r="CE122" i="12"/>
  <c r="CE124" i="12" s="1"/>
  <c r="BG31" i="12"/>
  <c r="BV211" i="11"/>
  <c r="BV231" i="11"/>
  <c r="BV68" i="11" s="1"/>
  <c r="BV230" i="11"/>
  <c r="BU211" i="11"/>
  <c r="BU230" i="11"/>
  <c r="BU231" i="11"/>
  <c r="BU68" i="11" s="1"/>
  <c r="AU211" i="11"/>
  <c r="AU231" i="11"/>
  <c r="AU68" i="11" s="1"/>
  <c r="AU230" i="11"/>
  <c r="BA211" i="11"/>
  <c r="BA231" i="11"/>
  <c r="BA68" i="11" s="1"/>
  <c r="BA230" i="11"/>
  <c r="CE126" i="11"/>
  <c r="CE85" i="11" s="1"/>
  <c r="CE127" i="11"/>
  <c r="CE86" i="11" s="1"/>
  <c r="BF91" i="11"/>
  <c r="W29" i="12"/>
  <c r="BM40" i="12"/>
  <c r="BM134" i="12" s="1"/>
  <c r="CW107" i="12"/>
  <c r="CW106" i="12" s="1"/>
  <c r="CV106" i="12"/>
  <c r="CQ135" i="12"/>
  <c r="BF76" i="12"/>
  <c r="BF79" i="12" s="1"/>
  <c r="Q41" i="12"/>
  <c r="Q135" i="12" s="1"/>
  <c r="V91" i="11"/>
  <c r="P127" i="12"/>
  <c r="P128" i="12" s="1"/>
  <c r="BM31" i="12"/>
  <c r="BA31" i="12"/>
  <c r="CZ131" i="12"/>
  <c r="CZ130" i="12"/>
  <c r="BP64" i="12"/>
  <c r="AZ107" i="12"/>
  <c r="AZ106" i="12" s="1"/>
  <c r="AZ134" i="12"/>
  <c r="CN64" i="12"/>
  <c r="CU131" i="12"/>
  <c r="CU130" i="12"/>
  <c r="AB127" i="12"/>
  <c r="AB128" i="12" s="1"/>
  <c r="AB135" i="12"/>
  <c r="V107" i="12"/>
  <c r="V106" i="12" s="1"/>
  <c r="V134" i="12"/>
  <c r="BF127" i="12"/>
  <c r="BF128" i="12" s="1"/>
  <c r="BF135" i="12"/>
  <c r="P107" i="12"/>
  <c r="P106" i="12" s="1"/>
  <c r="P134" i="12"/>
  <c r="CH64" i="12"/>
  <c r="CB64" i="12"/>
  <c r="BI64" i="12"/>
  <c r="AZ147" i="11"/>
  <c r="BA147" i="11" s="1"/>
  <c r="BL91" i="11"/>
  <c r="P76" i="12"/>
  <c r="P79" i="12" s="1"/>
  <c r="BK147" i="11"/>
  <c r="BD64" i="12"/>
  <c r="CV131" i="12"/>
  <c r="CV130" i="12"/>
  <c r="AN127" i="12"/>
  <c r="AN128" i="12" s="1"/>
  <c r="AN135" i="12"/>
  <c r="AT107" i="12"/>
  <c r="AT106" i="12" s="1"/>
  <c r="AT134" i="12"/>
  <c r="AX64" i="12"/>
  <c r="BV64" i="12"/>
  <c r="AS127" i="12"/>
  <c r="AS128" i="12" s="1"/>
  <c r="AS135" i="12"/>
  <c r="BF147" i="11"/>
  <c r="BG147" i="11" s="1"/>
  <c r="BM29" i="12"/>
  <c r="BF28" i="11"/>
  <c r="BD14" i="12"/>
  <c r="BD73" i="12" s="1"/>
  <c r="BJ151" i="11"/>
  <c r="BJ149" i="11" s="1"/>
  <c r="DM44" i="138"/>
  <c r="DK45" i="138"/>
  <c r="DL45" i="138"/>
  <c r="DK44" i="138"/>
  <c r="DS45" i="138"/>
  <c r="DU42" i="138"/>
  <c r="DR44" i="138"/>
  <c r="BV112" i="11"/>
  <c r="AG149" i="11"/>
  <c r="AI127" i="12"/>
  <c r="AI128" i="12" s="1"/>
  <c r="AI135" i="12"/>
  <c r="AI107" i="12"/>
  <c r="AI106" i="12" s="1"/>
  <c r="AI134" i="12"/>
  <c r="I90" i="11"/>
  <c r="G90" i="11"/>
  <c r="K90" i="11"/>
  <c r="DA79" i="12"/>
  <c r="DA69" i="12"/>
  <c r="DA131" i="12"/>
  <c r="AU149" i="11"/>
  <c r="AU151" i="11" s="1"/>
  <c r="AA149" i="11"/>
  <c r="AM152" i="11"/>
  <c r="AM14" i="12"/>
  <c r="AM73" i="12" s="1"/>
  <c r="U149" i="11"/>
  <c r="AB151" i="11"/>
  <c r="AB152" i="11" s="1"/>
  <c r="O151" i="11"/>
  <c r="O152" i="11" s="1"/>
  <c r="AN151" i="11"/>
  <c r="AN149" i="11" s="1"/>
  <c r="BU112" i="11"/>
  <c r="BA128" i="11"/>
  <c r="BA112" i="11"/>
  <c r="AU128" i="11"/>
  <c r="AU112" i="11"/>
  <c r="BR126" i="11"/>
  <c r="BR85" i="11" s="1"/>
  <c r="BR112" i="11"/>
  <c r="AT148" i="11"/>
  <c r="AG148" i="11"/>
  <c r="Q111" i="11"/>
  <c r="Q100" i="11"/>
  <c r="W100" i="11"/>
  <c r="W111" i="11"/>
  <c r="AB148" i="11"/>
  <c r="AB111" i="11"/>
  <c r="AB100" i="11"/>
  <c r="Q147" i="11"/>
  <c r="Q148" i="11" s="1"/>
  <c r="CO79" i="12"/>
  <c r="DL36" i="138"/>
  <c r="DQ37" i="138"/>
  <c r="DW44" i="138" s="1"/>
  <c r="DR38" i="138"/>
  <c r="DX45" i="138" s="1"/>
  <c r="DM36" i="138"/>
  <c r="DS37" i="138"/>
  <c r="DY44" i="138" s="1"/>
  <c r="DQ38" i="138"/>
  <c r="DW45" i="138" s="1"/>
  <c r="W121" i="11"/>
  <c r="AX151" i="11"/>
  <c r="V151" i="11"/>
  <c r="AH151" i="11"/>
  <c r="N151" i="11"/>
  <c r="N149" i="11" s="1"/>
  <c r="DU11" i="138"/>
  <c r="BG79" i="11"/>
  <c r="BG114" i="11"/>
  <c r="BG115" i="11"/>
  <c r="CI151" i="11"/>
  <c r="CI152" i="11" s="1"/>
  <c r="G53" i="12"/>
  <c r="AF48" i="12"/>
  <c r="AF55" i="12" s="1"/>
  <c r="AR48" i="12"/>
  <c r="AR55" i="12" s="1"/>
  <c r="BI48" i="12"/>
  <c r="BI55" i="12" s="1"/>
  <c r="I53" i="12"/>
  <c r="I59" i="12" s="1"/>
  <c r="K56" i="12"/>
  <c r="K53" i="12" s="1"/>
  <c r="W120" i="11"/>
  <c r="AY192" i="11"/>
  <c r="BX192" i="11"/>
  <c r="BF192" i="11"/>
  <c r="AC192" i="11"/>
  <c r="BW151" i="11"/>
  <c r="BW152" i="11" s="1"/>
  <c r="BD151" i="11"/>
  <c r="BD149" i="11" s="1"/>
  <c r="BQ151" i="11"/>
  <c r="BQ149" i="11" s="1"/>
  <c r="BS153" i="11"/>
  <c r="BJ92" i="11"/>
  <c r="BG41" i="12"/>
  <c r="BG135" i="12" s="1"/>
  <c r="Z48" i="12"/>
  <c r="AL48" i="12"/>
  <c r="AL55" i="12" s="1"/>
  <c r="AX48" i="12"/>
  <c r="AX55" i="12" s="1"/>
  <c r="T48" i="12"/>
  <c r="T90" i="11" s="1"/>
  <c r="N48" i="12"/>
  <c r="BE61" i="12"/>
  <c r="CB149" i="11"/>
  <c r="CU151" i="11"/>
  <c r="CU152" i="11" s="1"/>
  <c r="AS158" i="11"/>
  <c r="AU158" i="11" s="1"/>
  <c r="AU159" i="11"/>
  <c r="Q32" i="12"/>
  <c r="Q76" i="12" s="1"/>
  <c r="AS79" i="12"/>
  <c r="CN79" i="12"/>
  <c r="CO92" i="11"/>
  <c r="AA92" i="11"/>
  <c r="AS92" i="11"/>
  <c r="O38" i="12"/>
  <c r="BV90" i="11"/>
  <c r="BG34" i="12"/>
  <c r="BF78" i="11"/>
  <c r="BI192" i="11"/>
  <c r="BL192" i="11"/>
  <c r="AL192" i="11"/>
  <c r="BE192" i="11"/>
  <c r="BJ192" i="11"/>
  <c r="BD192" i="11"/>
  <c r="CV58" i="134"/>
  <c r="CU58" i="134"/>
  <c r="CC192" i="11"/>
  <c r="DA73" i="12"/>
  <c r="BC192" i="11"/>
  <c r="AQ192" i="11"/>
  <c r="AE192" i="11"/>
  <c r="AN192" i="11"/>
  <c r="BL107" i="12"/>
  <c r="BG17" i="11"/>
  <c r="AC41" i="12"/>
  <c r="AU40" i="12"/>
  <c r="Q40" i="12"/>
  <c r="CK40" i="12"/>
  <c r="CW41" i="12"/>
  <c r="CW40" i="12"/>
  <c r="CD36" i="11"/>
  <c r="BA40" i="12"/>
  <c r="BA134" i="12" s="1"/>
  <c r="CE41" i="12"/>
  <c r="CE135" i="12" s="1"/>
  <c r="CE127" i="12"/>
  <c r="BF81" i="11"/>
  <c r="DA91" i="11"/>
  <c r="W40" i="12"/>
  <c r="CJ79" i="12"/>
  <c r="CD91" i="11"/>
  <c r="CQ40" i="12"/>
  <c r="CQ134" i="12" s="1"/>
  <c r="AU29" i="12"/>
  <c r="BS91" i="11"/>
  <c r="BW73" i="12"/>
  <c r="BY40" i="12"/>
  <c r="BY134" i="12" s="1"/>
  <c r="BX107" i="12"/>
  <c r="BM41" i="12"/>
  <c r="BM135" i="12" s="1"/>
  <c r="BL127" i="12"/>
  <c r="AB76" i="12"/>
  <c r="AN38" i="12"/>
  <c r="AN48" i="12" s="1"/>
  <c r="AN55" i="12" s="1"/>
  <c r="AN61" i="12"/>
  <c r="AN64" i="12" s="1"/>
  <c r="AI29" i="12"/>
  <c r="AI91" i="11" s="1"/>
  <c r="BW92" i="11"/>
  <c r="BW61" i="12"/>
  <c r="AY61" i="12"/>
  <c r="BQ61" i="12"/>
  <c r="CI61" i="12"/>
  <c r="BA41" i="12"/>
  <c r="AZ127" i="12"/>
  <c r="AZ128" i="12" s="1"/>
  <c r="BG40" i="12"/>
  <c r="BG134" i="12" s="1"/>
  <c r="BF107" i="12"/>
  <c r="AC40" i="12"/>
  <c r="AB107" i="12"/>
  <c r="AB106" i="12" s="1"/>
  <c r="AU41" i="12"/>
  <c r="AT127" i="12"/>
  <c r="AT128" i="12" s="1"/>
  <c r="CP73" i="12"/>
  <c r="W41" i="12"/>
  <c r="V127" i="12"/>
  <c r="V128" i="12" s="1"/>
  <c r="CC61" i="12"/>
  <c r="AG38" i="12"/>
  <c r="AG61" i="12"/>
  <c r="AG64" i="12" s="1"/>
  <c r="U61" i="12"/>
  <c r="U64" i="12" s="1"/>
  <c r="U92" i="11"/>
  <c r="CD106" i="12"/>
  <c r="CE107" i="12"/>
  <c r="CE106" i="12" s="1"/>
  <c r="CJ73" i="12"/>
  <c r="O61" i="12"/>
  <c r="O64" i="12" s="1"/>
  <c r="CI106" i="12"/>
  <c r="CK107" i="12"/>
  <c r="CK106" i="12" s="1"/>
  <c r="BE128" i="12"/>
  <c r="BY41" i="12"/>
  <c r="BY135" i="12" s="1"/>
  <c r="BX127" i="12"/>
  <c r="AM106" i="12"/>
  <c r="CO73" i="12"/>
  <c r="DA92" i="11"/>
  <c r="DA93" i="11" s="1"/>
  <c r="AM90" i="11"/>
  <c r="BK76" i="12"/>
  <c r="BK79" i="12" s="1"/>
  <c r="AB91" i="11"/>
  <c r="U38" i="12"/>
  <c r="AC29" i="12"/>
  <c r="AS38" i="12"/>
  <c r="AS61" i="12"/>
  <c r="AS64" i="12" s="1"/>
  <c r="BR79" i="12"/>
  <c r="AO41" i="12"/>
  <c r="BS40" i="12"/>
  <c r="BS134" i="12" s="1"/>
  <c r="BA32" i="12"/>
  <c r="P73" i="12"/>
  <c r="CV73" i="12"/>
  <c r="CO61" i="12"/>
  <c r="AA38" i="12"/>
  <c r="AA61" i="12"/>
  <c r="AA64" i="12" s="1"/>
  <c r="O92" i="11"/>
  <c r="CJ91" i="11"/>
  <c r="BS41" i="12"/>
  <c r="BS135" i="12" s="1"/>
  <c r="CQ107" i="12"/>
  <c r="CQ106" i="12" s="1"/>
  <c r="DC128" i="12"/>
  <c r="AI73" i="12"/>
  <c r="BR149" i="11"/>
  <c r="CP127" i="12"/>
  <c r="CP128" i="12" s="1"/>
  <c r="BQ106" i="12"/>
  <c r="BS107" i="12"/>
  <c r="BS106" i="12" s="1"/>
  <c r="CW128" i="12"/>
  <c r="BJ38" i="12"/>
  <c r="BJ61" i="12"/>
  <c r="CZ92" i="11"/>
  <c r="CZ93" i="11" s="1"/>
  <c r="CZ64" i="12"/>
  <c r="BS127" i="12"/>
  <c r="BS128" i="12" s="1"/>
  <c r="AO40" i="12"/>
  <c r="AO134" i="12" s="1"/>
  <c r="AN107" i="12"/>
  <c r="AN106" i="12" s="1"/>
  <c r="V73" i="12"/>
  <c r="AC32" i="12"/>
  <c r="CJ128" i="12"/>
  <c r="CK127" i="12"/>
  <c r="CO128" i="12"/>
  <c r="AQ90" i="11"/>
  <c r="Q91" i="11"/>
  <c r="AO76" i="12"/>
  <c r="AO79" i="12" s="1"/>
  <c r="AO91" i="11"/>
  <c r="AT76" i="12"/>
  <c r="AT79" i="12" s="1"/>
  <c r="CP79" i="12"/>
  <c r="AY38" i="12"/>
  <c r="AY92" i="11"/>
  <c r="AN20" i="12"/>
  <c r="AO20" i="12" s="1"/>
  <c r="BE38" i="12"/>
  <c r="BX91" i="11"/>
  <c r="BX79" i="12"/>
  <c r="AH76" i="12"/>
  <c r="AZ76" i="12"/>
  <c r="AZ79" i="12" s="1"/>
  <c r="AZ91" i="11"/>
  <c r="CI92" i="11"/>
  <c r="BG36" i="12"/>
  <c r="BY73" i="12"/>
  <c r="CD79" i="12"/>
  <c r="BA29" i="12"/>
  <c r="AG92" i="11"/>
  <c r="BE92" i="11"/>
  <c r="Y90" i="11"/>
  <c r="BQ92" i="11"/>
  <c r="CC92" i="11"/>
  <c r="BA127" i="11"/>
  <c r="BA86" i="11" s="1"/>
  <c r="W137" i="11"/>
  <c r="DC24" i="11"/>
  <c r="DB181" i="11"/>
  <c r="AU127" i="11"/>
  <c r="AU86" i="11" s="1"/>
  <c r="AT86" i="11" s="1"/>
  <c r="P87" i="11"/>
  <c r="V87" i="11"/>
  <c r="DB85" i="11"/>
  <c r="CV85" i="11"/>
  <c r="BA126" i="11"/>
  <c r="BA85" i="11" s="1"/>
  <c r="W123" i="11"/>
  <c r="Q123" i="11"/>
  <c r="AU126" i="11"/>
  <c r="AU85" i="11" s="1"/>
  <c r="AT85" i="11" s="1"/>
  <c r="W122" i="11"/>
  <c r="W84" i="11" s="1"/>
  <c r="W87" i="11" s="1"/>
  <c r="CP122" i="12"/>
  <c r="CP124" i="12" s="1"/>
  <c r="Q121" i="11"/>
  <c r="Q120" i="11"/>
  <c r="Q137" i="11"/>
  <c r="Q122" i="11"/>
  <c r="Q84" i="11" s="1"/>
  <c r="Q87" i="11" s="1"/>
  <c r="BR127" i="11"/>
  <c r="BR86" i="11" s="1"/>
  <c r="BR128" i="11"/>
  <c r="AS202" i="11"/>
  <c r="CH90" i="11"/>
  <c r="AS195" i="11"/>
  <c r="CV86" i="11"/>
  <c r="CN127" i="11"/>
  <c r="CN86" i="11" s="1"/>
  <c r="CN128" i="11"/>
  <c r="CN126" i="11"/>
  <c r="CN85" i="11" s="1"/>
  <c r="AB122" i="11"/>
  <c r="AB84" i="11" s="1"/>
  <c r="AB123" i="11"/>
  <c r="AB120" i="11"/>
  <c r="AB121" i="11"/>
  <c r="AB137" i="11"/>
  <c r="BV126" i="11"/>
  <c r="BV85" i="11" s="1"/>
  <c r="BV127" i="11"/>
  <c r="BV86" i="11" s="1"/>
  <c r="BV128" i="11"/>
  <c r="BQ126" i="11"/>
  <c r="BQ85" i="11" s="1"/>
  <c r="BQ128" i="11"/>
  <c r="BQ127" i="11"/>
  <c r="BQ86" i="11" s="1"/>
  <c r="CO112" i="11"/>
  <c r="BG127" i="11"/>
  <c r="BG86" i="11" s="1"/>
  <c r="BG128" i="11"/>
  <c r="BG126" i="11"/>
  <c r="BG85" i="11" s="1"/>
  <c r="BM126" i="11"/>
  <c r="BM85" i="11" s="1"/>
  <c r="BM128" i="11"/>
  <c r="BM127" i="11"/>
  <c r="BM86" i="11" s="1"/>
  <c r="AG120" i="11"/>
  <c r="AG121" i="11"/>
  <c r="AG122" i="11"/>
  <c r="AG84" i="11" s="1"/>
  <c r="AG87" i="11" s="1"/>
  <c r="AG123" i="11"/>
  <c r="AG137" i="11"/>
  <c r="AT123" i="11"/>
  <c r="AT120" i="11"/>
  <c r="AT121" i="11"/>
  <c r="AT122" i="11"/>
  <c r="AT137" i="11"/>
  <c r="BL32" i="12"/>
  <c r="AX14" i="12"/>
  <c r="AX73" i="12" s="1"/>
  <c r="BQ73" i="12"/>
  <c r="BJ14" i="12"/>
  <c r="BJ73" i="12" s="1"/>
  <c r="BW79" i="12"/>
  <c r="BR73" i="12"/>
  <c r="W73" i="12" l="1"/>
  <c r="W91" i="11"/>
  <c r="BG76" i="12"/>
  <c r="BG79" i="12" s="1"/>
  <c r="BG91" i="11"/>
  <c r="BF92" i="11"/>
  <c r="Q127" i="12"/>
  <c r="Q128" i="12" s="1"/>
  <c r="BF38" i="12"/>
  <c r="BF48" i="12" s="1"/>
  <c r="BF55" i="12" s="1"/>
  <c r="BF61" i="12"/>
  <c r="BF64" i="12" s="1"/>
  <c r="CY170" i="11"/>
  <c r="CY171" i="11" s="1"/>
  <c r="CY172" i="11" s="1"/>
  <c r="EA19" i="138"/>
  <c r="AR90" i="11"/>
  <c r="BA107" i="12"/>
  <c r="BA106" i="12" s="1"/>
  <c r="AB149" i="11"/>
  <c r="BJ152" i="11"/>
  <c r="CW135" i="12"/>
  <c r="BG127" i="12"/>
  <c r="BG128" i="12" s="1"/>
  <c r="BF195" i="11"/>
  <c r="BF58" i="11"/>
  <c r="AY64" i="12"/>
  <c r="BW64" i="12"/>
  <c r="BE64" i="12"/>
  <c r="BM91" i="11"/>
  <c r="BL147" i="11"/>
  <c r="BM147" i="11" s="1"/>
  <c r="CI64" i="12"/>
  <c r="BJ64" i="12"/>
  <c r="CW130" i="12"/>
  <c r="CW131" i="12"/>
  <c r="CO64" i="12"/>
  <c r="CC64" i="12"/>
  <c r="BQ64" i="12"/>
  <c r="AF90" i="11"/>
  <c r="BG28" i="11"/>
  <c r="AY151" i="11"/>
  <c r="AY152" i="11" s="1"/>
  <c r="DQ44" i="138"/>
  <c r="DL43" i="138"/>
  <c r="DQ45" i="138"/>
  <c r="DE25" i="136"/>
  <c r="DS44" i="138"/>
  <c r="DR45" i="138"/>
  <c r="DM43" i="138"/>
  <c r="W127" i="12"/>
  <c r="W128" i="12" s="1"/>
  <c r="W135" i="12"/>
  <c r="BA127" i="12"/>
  <c r="BA128" i="12" s="1"/>
  <c r="BA135" i="12"/>
  <c r="AU107" i="12"/>
  <c r="AU106" i="12" s="1"/>
  <c r="AU134" i="12"/>
  <c r="CK48" i="12"/>
  <c r="CK55" i="12" s="1"/>
  <c r="CK134" i="12"/>
  <c r="Q73" i="12"/>
  <c r="W107" i="12"/>
  <c r="W106" i="12" s="1"/>
  <c r="W134" i="12"/>
  <c r="AN14" i="12"/>
  <c r="AU127" i="12"/>
  <c r="AU128" i="12" s="1"/>
  <c r="AU135" i="12"/>
  <c r="Q107" i="12"/>
  <c r="Q106" i="12" s="1"/>
  <c r="Q134" i="12"/>
  <c r="AO127" i="12"/>
  <c r="AO128" i="12" s="1"/>
  <c r="AO135" i="12"/>
  <c r="AC127" i="12"/>
  <c r="AC128" i="12" s="1"/>
  <c r="AC135" i="12"/>
  <c r="AC107" i="12"/>
  <c r="AC106" i="12" s="1"/>
  <c r="AC134" i="12"/>
  <c r="CW48" i="12"/>
  <c r="CW134" i="12"/>
  <c r="DA62" i="12"/>
  <c r="DA64" i="12" s="1"/>
  <c r="BG209" i="11"/>
  <c r="BG210" i="11" s="1"/>
  <c r="O149" i="11"/>
  <c r="AN152" i="11"/>
  <c r="AI151" i="11"/>
  <c r="AI152" i="11" s="1"/>
  <c r="P151" i="11"/>
  <c r="P152" i="11" s="1"/>
  <c r="W151" i="11"/>
  <c r="W152" i="11" s="1"/>
  <c r="AC151" i="11"/>
  <c r="AC152" i="11" s="1"/>
  <c r="BW209" i="11"/>
  <c r="BW210" i="11" s="1"/>
  <c r="BX148" i="11"/>
  <c r="CP112" i="11"/>
  <c r="CS112" i="11"/>
  <c r="CU112" i="11"/>
  <c r="CT112" i="11"/>
  <c r="CC148" i="11"/>
  <c r="BS127" i="11"/>
  <c r="BS86" i="11" s="1"/>
  <c r="BS112" i="11"/>
  <c r="DM16" i="138"/>
  <c r="EZ16" i="138" s="1"/>
  <c r="DL16" i="138"/>
  <c r="EY16" i="138" s="1"/>
  <c r="AN148" i="11"/>
  <c r="BC148" i="11"/>
  <c r="BE148" i="11"/>
  <c r="AQ148" i="11"/>
  <c r="AL148" i="11"/>
  <c r="BF148" i="11"/>
  <c r="BF111" i="11"/>
  <c r="BF100" i="11"/>
  <c r="AY148" i="11"/>
  <c r="AE148" i="11"/>
  <c r="AE111" i="11"/>
  <c r="AE100" i="11"/>
  <c r="BJ148" i="11"/>
  <c r="BJ111" i="11"/>
  <c r="BJ100" i="11"/>
  <c r="BI148" i="11"/>
  <c r="BI111" i="11"/>
  <c r="BI100" i="11"/>
  <c r="AC148" i="11"/>
  <c r="AC111" i="11"/>
  <c r="AC100" i="11"/>
  <c r="BD148" i="11"/>
  <c r="BW112" i="11"/>
  <c r="V170" i="11"/>
  <c r="V171" i="11" s="1"/>
  <c r="V172" i="11" s="1"/>
  <c r="V166" i="11" s="1"/>
  <c r="P170" i="11"/>
  <c r="P171" i="11" s="1"/>
  <c r="P172" i="11" s="1"/>
  <c r="P166" i="11" s="1"/>
  <c r="DR36" i="138"/>
  <c r="DX43" i="138" s="1"/>
  <c r="DS36" i="138"/>
  <c r="DY43" i="138" s="1"/>
  <c r="N152" i="11"/>
  <c r="BW149" i="11"/>
  <c r="V152" i="11"/>
  <c r="V149" i="11"/>
  <c r="AX152" i="11"/>
  <c r="AX149" i="11"/>
  <c r="AH152" i="11"/>
  <c r="AH149" i="11"/>
  <c r="DK39" i="138"/>
  <c r="DQ16" i="138"/>
  <c r="DK16" i="138"/>
  <c r="DU19" i="138"/>
  <c r="K170" i="11"/>
  <c r="K171" i="11" s="1"/>
  <c r="K172" i="11" s="1"/>
  <c r="K166" i="11" s="1"/>
  <c r="DC181" i="11"/>
  <c r="DC163" i="11"/>
  <c r="BI90" i="11"/>
  <c r="BQ152" i="11"/>
  <c r="BE14" i="12"/>
  <c r="BE73" i="12" s="1"/>
  <c r="BD152" i="11"/>
  <c r="G59" i="12"/>
  <c r="K59" i="12"/>
  <c r="N55" i="12"/>
  <c r="T55" i="12"/>
  <c r="BE48" i="12"/>
  <c r="BE55" i="12" s="1"/>
  <c r="Z55" i="12"/>
  <c r="M56" i="12"/>
  <c r="M53" i="12" s="1"/>
  <c r="Q56" i="12"/>
  <c r="AL90" i="11"/>
  <c r="AS36" i="11"/>
  <c r="AS45" i="11" s="1"/>
  <c r="AS57" i="11" s="1"/>
  <c r="AS58" i="11" s="1"/>
  <c r="DQ39" i="138"/>
  <c r="AK192" i="11"/>
  <c r="CV192" i="11"/>
  <c r="AZ192" i="11"/>
  <c r="BG192" i="11"/>
  <c r="CJ192" i="11"/>
  <c r="BR192" i="11"/>
  <c r="BX151" i="11"/>
  <c r="BX152" i="11" s="1"/>
  <c r="BY153" i="11"/>
  <c r="CC151" i="11"/>
  <c r="CC152" i="11" s="1"/>
  <c r="CE153" i="11"/>
  <c r="CD151" i="11"/>
  <c r="CD152" i="11" s="1"/>
  <c r="BE151" i="11"/>
  <c r="BE149" i="11" s="1"/>
  <c r="BK151" i="11"/>
  <c r="BK149" i="11" s="1"/>
  <c r="DA63" i="134"/>
  <c r="DA13" i="134"/>
  <c r="DA52" i="134"/>
  <c r="DA53" i="134"/>
  <c r="DA49" i="134"/>
  <c r="BJ48" i="12"/>
  <c r="AA48" i="12"/>
  <c r="BS48" i="12"/>
  <c r="BS55" i="12" s="1"/>
  <c r="U48" i="12"/>
  <c r="U90" i="11" s="1"/>
  <c r="O48" i="12"/>
  <c r="CE48" i="12"/>
  <c r="CE55" i="12" s="1"/>
  <c r="AY48" i="12"/>
  <c r="AY55" i="12" s="1"/>
  <c r="AG48" i="12"/>
  <c r="N90" i="11"/>
  <c r="BG81" i="11"/>
  <c r="Q79" i="12"/>
  <c r="CH149" i="11"/>
  <c r="CO151" i="11"/>
  <c r="CO152" i="11" s="1"/>
  <c r="CV151" i="11"/>
  <c r="CV152" i="11" s="1"/>
  <c r="BV149" i="11"/>
  <c r="AU160" i="11"/>
  <c r="AU161" i="11" s="1"/>
  <c r="CT149" i="11"/>
  <c r="CN149" i="11"/>
  <c r="CK153" i="11"/>
  <c r="CJ151" i="11"/>
  <c r="CJ152" i="11" s="1"/>
  <c r="CP151" i="11"/>
  <c r="CP152" i="11" s="1"/>
  <c r="BS79" i="12"/>
  <c r="CJ92" i="11"/>
  <c r="AC76" i="12"/>
  <c r="AC61" i="12" s="1"/>
  <c r="AC64" i="12" s="1"/>
  <c r="CJ61" i="12"/>
  <c r="CW21" i="134"/>
  <c r="AX192" i="11"/>
  <c r="CO192" i="11"/>
  <c r="CA192" i="11"/>
  <c r="CU192" i="11"/>
  <c r="CN192" i="11"/>
  <c r="AW192" i="11"/>
  <c r="AS192" i="11"/>
  <c r="CM192" i="11"/>
  <c r="CS192" i="11"/>
  <c r="BQ192" i="11"/>
  <c r="AR192" i="11"/>
  <c r="DA192" i="11"/>
  <c r="BU192" i="11"/>
  <c r="CG192" i="11"/>
  <c r="CI192" i="11"/>
  <c r="CT192" i="11"/>
  <c r="CB192" i="11"/>
  <c r="CH192" i="11"/>
  <c r="AM192" i="11"/>
  <c r="AF192" i="11"/>
  <c r="BK192" i="11"/>
  <c r="BV192" i="11"/>
  <c r="CD192" i="11"/>
  <c r="BO192" i="11"/>
  <c r="BL106" i="12"/>
  <c r="BM107" i="12"/>
  <c r="BM106" i="12" s="1"/>
  <c r="BG78" i="11"/>
  <c r="P92" i="11"/>
  <c r="AU91" i="11"/>
  <c r="P38" i="12"/>
  <c r="CQ91" i="11"/>
  <c r="AI76" i="12"/>
  <c r="AI38" i="12" s="1"/>
  <c r="AU76" i="12"/>
  <c r="AU79" i="12" s="1"/>
  <c r="P61" i="12"/>
  <c r="P64" i="12" s="1"/>
  <c r="CQ127" i="12"/>
  <c r="BL76" i="12"/>
  <c r="BL79" i="12" s="1"/>
  <c r="AZ61" i="12"/>
  <c r="CP61" i="12"/>
  <c r="AO107" i="12"/>
  <c r="AO106" i="12" s="1"/>
  <c r="BX128" i="12"/>
  <c r="BY127" i="12"/>
  <c r="CK73" i="12"/>
  <c r="BF106" i="12"/>
  <c r="BG107" i="12"/>
  <c r="BG106" i="12" s="1"/>
  <c r="BM127" i="12"/>
  <c r="BM128" i="12" s="1"/>
  <c r="BL128" i="12"/>
  <c r="BX106" i="12"/>
  <c r="BY107" i="12"/>
  <c r="BY106" i="12" s="1"/>
  <c r="CC90" i="11"/>
  <c r="CD61" i="12"/>
  <c r="AH38" i="12"/>
  <c r="AH61" i="12"/>
  <c r="AH64" i="12" s="1"/>
  <c r="AC91" i="11"/>
  <c r="BX61" i="12"/>
  <c r="CE73" i="12"/>
  <c r="CD73" i="12"/>
  <c r="BS61" i="12"/>
  <c r="CK91" i="11"/>
  <c r="AT38" i="12"/>
  <c r="AT61" i="12"/>
  <c r="AT64" i="12" s="1"/>
  <c r="AO61" i="12"/>
  <c r="AO64" i="12" s="1"/>
  <c r="CQ128" i="12"/>
  <c r="CK128" i="12"/>
  <c r="CW73" i="12"/>
  <c r="BR61" i="12"/>
  <c r="BK38" i="12"/>
  <c r="BK61" i="12"/>
  <c r="CQ73" i="12"/>
  <c r="AB38" i="12"/>
  <c r="AB61" i="12"/>
  <c r="AB64" i="12" s="1"/>
  <c r="BA76" i="12"/>
  <c r="BA79" i="12" s="1"/>
  <c r="BA91" i="11"/>
  <c r="AQ36" i="11"/>
  <c r="AZ38" i="12"/>
  <c r="AZ48" i="12" s="1"/>
  <c r="AZ55" i="12" s="1"/>
  <c r="AZ92" i="11"/>
  <c r="BM32" i="12"/>
  <c r="BX92" i="11"/>
  <c r="BS92" i="11"/>
  <c r="AO38" i="12"/>
  <c r="AO92" i="11"/>
  <c r="Q38" i="12"/>
  <c r="BS73" i="12"/>
  <c r="AY14" i="12"/>
  <c r="AY73" i="12" s="1"/>
  <c r="CE91" i="11"/>
  <c r="CD92" i="11"/>
  <c r="Z90" i="11"/>
  <c r="CO90" i="11"/>
  <c r="CQ46" i="12"/>
  <c r="CQ48" i="12" s="1"/>
  <c r="CQ55" i="12" s="1"/>
  <c r="BR92" i="11"/>
  <c r="BK92" i="11"/>
  <c r="AB92" i="11"/>
  <c r="CN90" i="11"/>
  <c r="BP90" i="11"/>
  <c r="CZ90" i="11"/>
  <c r="CI90" i="11"/>
  <c r="AX90" i="11"/>
  <c r="BS128" i="11"/>
  <c r="CD45" i="11"/>
  <c r="CD80" i="11"/>
  <c r="CD78" i="11"/>
  <c r="CD81" i="11"/>
  <c r="CD79" i="11"/>
  <c r="BS126" i="11"/>
  <c r="BS85" i="11" s="1"/>
  <c r="N170" i="11"/>
  <c r="N171" i="11" s="1"/>
  <c r="N172" i="11" s="1"/>
  <c r="N166" i="11" s="1"/>
  <c r="E170" i="11"/>
  <c r="E171" i="11" s="1"/>
  <c r="E172" i="11" s="1"/>
  <c r="E166" i="11" s="1"/>
  <c r="G170" i="11"/>
  <c r="G171" i="11" s="1"/>
  <c r="G172" i="11" s="1"/>
  <c r="T170" i="11"/>
  <c r="T171" i="11" s="1"/>
  <c r="T172" i="11" s="1"/>
  <c r="T166" i="11" s="1"/>
  <c r="U170" i="11"/>
  <c r="U171" i="11" s="1"/>
  <c r="U172" i="11" s="1"/>
  <c r="U166" i="11" s="1"/>
  <c r="M166" i="11"/>
  <c r="I170" i="11"/>
  <c r="I171" i="11" s="1"/>
  <c r="I172" i="11" s="1"/>
  <c r="I166" i="11" s="1"/>
  <c r="AA170" i="11"/>
  <c r="AA171" i="11" s="1"/>
  <c r="AA172" i="11" s="1"/>
  <c r="AA166" i="11" s="1"/>
  <c r="Y170" i="11"/>
  <c r="Y171" i="11" s="1"/>
  <c r="Y172" i="11" s="1"/>
  <c r="Y166" i="11" s="1"/>
  <c r="CK209" i="11"/>
  <c r="CK210" i="11" s="1"/>
  <c r="CE209" i="11"/>
  <c r="CE210" i="11" s="1"/>
  <c r="AC121" i="11"/>
  <c r="AC137" i="11"/>
  <c r="AC123" i="11"/>
  <c r="AC120" i="11"/>
  <c r="AC122" i="11"/>
  <c r="AC84" i="11" s="1"/>
  <c r="DB86" i="11"/>
  <c r="DB87" i="11" s="1"/>
  <c r="DA123" i="11"/>
  <c r="CZ122" i="11"/>
  <c r="CZ84" i="11" s="1"/>
  <c r="CZ87" i="11" s="1"/>
  <c r="AZ73" i="12"/>
  <c r="DK85" i="11"/>
  <c r="BD90" i="11"/>
  <c r="AW202" i="11"/>
  <c r="BA202" i="11"/>
  <c r="AU202" i="11"/>
  <c r="AU195" i="11"/>
  <c r="CQ112" i="11"/>
  <c r="BL111" i="11"/>
  <c r="BQ148" i="11"/>
  <c r="BO148" i="11"/>
  <c r="BX122" i="11"/>
  <c r="BX84" i="11" s="1"/>
  <c r="BX120" i="11"/>
  <c r="BX121" i="11"/>
  <c r="BX123" i="11"/>
  <c r="BX137" i="11"/>
  <c r="BJ122" i="11"/>
  <c r="BJ84" i="11" s="1"/>
  <c r="BJ87" i="11" s="1"/>
  <c r="BJ121" i="11"/>
  <c r="BJ120" i="11"/>
  <c r="BJ123" i="11"/>
  <c r="BJ137" i="11"/>
  <c r="BL120" i="11"/>
  <c r="BL123" i="11"/>
  <c r="BL121" i="11"/>
  <c r="BL122" i="11"/>
  <c r="BL84" i="11" s="1"/>
  <c r="BL137" i="11"/>
  <c r="CT128" i="11"/>
  <c r="CT126" i="11"/>
  <c r="CT85" i="11" s="1"/>
  <c r="CT127" i="11"/>
  <c r="CT86" i="11" s="1"/>
  <c r="BI122" i="11"/>
  <c r="BI84" i="11" s="1"/>
  <c r="BI87" i="11" s="1"/>
  <c r="BI123" i="11"/>
  <c r="BI120" i="11"/>
  <c r="BI121" i="11"/>
  <c r="BI137" i="11"/>
  <c r="CP127" i="11"/>
  <c r="CP86" i="11" s="1"/>
  <c r="CP126" i="11"/>
  <c r="CP85" i="11" s="1"/>
  <c r="CP128" i="11"/>
  <c r="CO128" i="11"/>
  <c r="CO126" i="11"/>
  <c r="CO85" i="11" s="1"/>
  <c r="CO127" i="11"/>
  <c r="CO86" i="11" s="1"/>
  <c r="CS127" i="11"/>
  <c r="CS86" i="11" s="1"/>
  <c r="CS128" i="11"/>
  <c r="CS126" i="11"/>
  <c r="CS85" i="11" s="1"/>
  <c r="CY122" i="11"/>
  <c r="CY84" i="11" s="1"/>
  <c r="CY87" i="11" s="1"/>
  <c r="CY123" i="11"/>
  <c r="CY121" i="11"/>
  <c r="DK121" i="11" s="1"/>
  <c r="DQ121" i="11" s="1"/>
  <c r="DW121" i="11" s="1"/>
  <c r="EC121" i="11" s="1"/>
  <c r="CY137" i="11"/>
  <c r="CY120" i="11"/>
  <c r="CC121" i="11"/>
  <c r="CC123" i="11"/>
  <c r="CC120" i="11"/>
  <c r="CC122" i="11"/>
  <c r="CC84" i="11" s="1"/>
  <c r="CC87" i="11" s="1"/>
  <c r="CC137" i="11"/>
  <c r="BE121" i="11"/>
  <c r="BE123" i="11"/>
  <c r="BE120" i="11"/>
  <c r="BE122" i="11"/>
  <c r="BE84" i="11" s="1"/>
  <c r="BE87" i="11" s="1"/>
  <c r="BE137" i="11"/>
  <c r="AY123" i="11"/>
  <c r="AY121" i="11"/>
  <c r="AY120" i="11"/>
  <c r="AY122" i="11"/>
  <c r="AY84" i="11" s="1"/>
  <c r="AY87" i="11" s="1"/>
  <c r="AY137" i="11"/>
  <c r="AN120" i="11"/>
  <c r="AN122" i="11"/>
  <c r="AN123" i="11"/>
  <c r="AN121" i="11"/>
  <c r="AN137" i="11"/>
  <c r="AQ123" i="11"/>
  <c r="AQ122" i="11"/>
  <c r="AQ84" i="11" s="1"/>
  <c r="AQ87" i="11" s="1"/>
  <c r="AQ120" i="11"/>
  <c r="AQ121" i="11"/>
  <c r="AQ137" i="11"/>
  <c r="AE120" i="11"/>
  <c r="AE123" i="11"/>
  <c r="AE121" i="11"/>
  <c r="AE122" i="11"/>
  <c r="AE84" i="11" s="1"/>
  <c r="AE87" i="11" s="1"/>
  <c r="AE137" i="11"/>
  <c r="BF122" i="11"/>
  <c r="BF84" i="11" s="1"/>
  <c r="BF123" i="11"/>
  <c r="BF121" i="11"/>
  <c r="BF120" i="11"/>
  <c r="BF137" i="11"/>
  <c r="AL120" i="11"/>
  <c r="AL122" i="11"/>
  <c r="AL84" i="11" s="1"/>
  <c r="AL87" i="11" s="1"/>
  <c r="AL123" i="11"/>
  <c r="AL121" i="11"/>
  <c r="AL137" i="11"/>
  <c r="BD120" i="11"/>
  <c r="BD123" i="11"/>
  <c r="BD121" i="11"/>
  <c r="BD122" i="11"/>
  <c r="BD84" i="11" s="1"/>
  <c r="BD87" i="11" s="1"/>
  <c r="BD137" i="11"/>
  <c r="BC123" i="11"/>
  <c r="BC120" i="11"/>
  <c r="BC121" i="11"/>
  <c r="BC122" i="11"/>
  <c r="BC84" i="11" s="1"/>
  <c r="BC87" i="11" s="1"/>
  <c r="BC137" i="11"/>
  <c r="BK14" i="12"/>
  <c r="BK73" i="12" s="1"/>
  <c r="DA90" i="11"/>
  <c r="AQ14" i="12"/>
  <c r="AQ73" i="12" s="1"/>
  <c r="AS48" i="12"/>
  <c r="AS55" i="12" s="1"/>
  <c r="BF14" i="12" l="1"/>
  <c r="BF73" i="12" s="1"/>
  <c r="BF151" i="11"/>
  <c r="BF152" i="11" s="1"/>
  <c r="BG153" i="11"/>
  <c r="BG61" i="12"/>
  <c r="BG64" i="12" s="1"/>
  <c r="BG92" i="11"/>
  <c r="BG38" i="12"/>
  <c r="BG48" i="12" s="1"/>
  <c r="BG90" i="11" s="1"/>
  <c r="CQ122" i="12"/>
  <c r="CQ124" i="12" s="1"/>
  <c r="DE157" i="11"/>
  <c r="DI157" i="11"/>
  <c r="BE90" i="11"/>
  <c r="AZ90" i="11"/>
  <c r="DK167" i="11"/>
  <c r="DK206" i="11"/>
  <c r="CE211" i="11"/>
  <c r="CE230" i="11"/>
  <c r="CE231" i="11"/>
  <c r="CE68" i="11" s="1"/>
  <c r="CK211" i="11"/>
  <c r="CK230" i="11"/>
  <c r="CK231" i="11"/>
  <c r="CK68" i="11" s="1"/>
  <c r="BG211" i="11"/>
  <c r="BG230" i="11"/>
  <c r="BG231" i="11"/>
  <c r="BG68" i="11" s="1"/>
  <c r="BW211" i="11"/>
  <c r="BW230" i="11"/>
  <c r="BW231" i="11"/>
  <c r="BW68" i="11" s="1"/>
  <c r="DG51" i="134"/>
  <c r="DG167" i="11"/>
  <c r="DW46" i="138"/>
  <c r="DW24" i="138"/>
  <c r="BG58" i="11"/>
  <c r="DF167" i="11"/>
  <c r="AY149" i="11"/>
  <c r="BG195" i="11"/>
  <c r="AU38" i="12"/>
  <c r="AU48" i="12" s="1"/>
  <c r="AU90" i="11" s="1"/>
  <c r="AC92" i="11"/>
  <c r="BL148" i="11"/>
  <c r="BF90" i="11"/>
  <c r="EX16" i="138"/>
  <c r="BK64" i="12"/>
  <c r="BX64" i="12"/>
  <c r="CD64" i="12"/>
  <c r="AZ64" i="12"/>
  <c r="BR64" i="12"/>
  <c r="BS64" i="12"/>
  <c r="CP64" i="12"/>
  <c r="CJ64" i="12"/>
  <c r="BL151" i="11"/>
  <c r="BL152" i="11" s="1"/>
  <c r="AZ151" i="11"/>
  <c r="AZ152" i="11" s="1"/>
  <c r="CD57" i="11"/>
  <c r="CD58" i="11" s="1"/>
  <c r="CW98" i="134"/>
  <c r="DA350" i="136"/>
  <c r="DA351" i="136" s="1"/>
  <c r="DK46" i="138"/>
  <c r="DS43" i="138"/>
  <c r="DL24" i="138"/>
  <c r="EY24" i="138" s="1"/>
  <c r="DR43" i="138"/>
  <c r="DM24" i="138"/>
  <c r="EZ24" i="138" s="1"/>
  <c r="AS79" i="11"/>
  <c r="DE67" i="134"/>
  <c r="BL14" i="12"/>
  <c r="BL73" i="12" s="1"/>
  <c r="BM153" i="11"/>
  <c r="BA153" i="11"/>
  <c r="AI149" i="11"/>
  <c r="W149" i="11"/>
  <c r="AC149" i="11"/>
  <c r="P149" i="11"/>
  <c r="CW209" i="11"/>
  <c r="CW210" i="11" s="1"/>
  <c r="Q151" i="11"/>
  <c r="Q152" i="11" s="1"/>
  <c r="CH148" i="11"/>
  <c r="CH111" i="11"/>
  <c r="CH100" i="11"/>
  <c r="CN148" i="11"/>
  <c r="CN100" i="11"/>
  <c r="CN111" i="11"/>
  <c r="CB148" i="11"/>
  <c r="CI148" i="11"/>
  <c r="CI100" i="11"/>
  <c r="CI111" i="11"/>
  <c r="CA148" i="11"/>
  <c r="CG148" i="11"/>
  <c r="CG100" i="11"/>
  <c r="CG111" i="11"/>
  <c r="CO148" i="11"/>
  <c r="CO111" i="11"/>
  <c r="CO100" i="11"/>
  <c r="BU148" i="11"/>
  <c r="BR148" i="11"/>
  <c r="CM148" i="11"/>
  <c r="CM111" i="11"/>
  <c r="CM100" i="11"/>
  <c r="CC100" i="11"/>
  <c r="CD148" i="11"/>
  <c r="CD100" i="11"/>
  <c r="CD111" i="11"/>
  <c r="CJ148" i="11"/>
  <c r="CJ111" i="11"/>
  <c r="CJ100" i="11"/>
  <c r="BV148" i="11"/>
  <c r="BV111" i="11"/>
  <c r="BV100" i="11"/>
  <c r="CC111" i="11"/>
  <c r="AY111" i="11"/>
  <c r="DS16" i="138"/>
  <c r="DY24" i="138" s="1"/>
  <c r="DQ11" i="134"/>
  <c r="BC100" i="11"/>
  <c r="AU148" i="11"/>
  <c r="AU111" i="11"/>
  <c r="AU100" i="11"/>
  <c r="AM148" i="11"/>
  <c r="AF148" i="11"/>
  <c r="AF111" i="11"/>
  <c r="AF100" i="11"/>
  <c r="AG111" i="11"/>
  <c r="AG100" i="11"/>
  <c r="BG148" i="11"/>
  <c r="BG111" i="11"/>
  <c r="BG100" i="11"/>
  <c r="AW148" i="11"/>
  <c r="AW111" i="11"/>
  <c r="AW100" i="11"/>
  <c r="BD111" i="11"/>
  <c r="BO100" i="11"/>
  <c r="AQ100" i="11"/>
  <c r="BE111" i="11"/>
  <c r="AN111" i="11"/>
  <c r="AX148" i="11"/>
  <c r="AX111" i="11"/>
  <c r="AX100" i="11"/>
  <c r="AK148" i="11"/>
  <c r="AS148" i="11"/>
  <c r="AS111" i="11"/>
  <c r="AS100" i="11"/>
  <c r="AT100" i="11"/>
  <c r="AT111" i="11"/>
  <c r="AZ148" i="11"/>
  <c r="AZ111" i="11"/>
  <c r="AZ100" i="11"/>
  <c r="AR148" i="11"/>
  <c r="AR111" i="11"/>
  <c r="AR100" i="11"/>
  <c r="BK148" i="11"/>
  <c r="BK111" i="11"/>
  <c r="BK100" i="11"/>
  <c r="BD100" i="11"/>
  <c r="BL100" i="11"/>
  <c r="BO111" i="11"/>
  <c r="AY100" i="11"/>
  <c r="AQ111" i="11"/>
  <c r="BE100" i="11"/>
  <c r="BC111" i="11"/>
  <c r="AN100" i="11"/>
  <c r="DA20" i="134"/>
  <c r="CW22" i="134"/>
  <c r="V199" i="11"/>
  <c r="BW127" i="11"/>
  <c r="BW86" i="11" s="1"/>
  <c r="BW126" i="11"/>
  <c r="BW85" i="11" s="1"/>
  <c r="BW128" i="11"/>
  <c r="Z199" i="11"/>
  <c r="AU154" i="11"/>
  <c r="AU152" i="11"/>
  <c r="DQ46" i="138"/>
  <c r="DL39" i="138"/>
  <c r="DM39" i="138"/>
  <c r="DO12" i="138"/>
  <c r="DK24" i="138"/>
  <c r="EX24" i="138" s="1"/>
  <c r="DQ24" i="138"/>
  <c r="DO36" i="138"/>
  <c r="AT170" i="11"/>
  <c r="AT171" i="11" s="1"/>
  <c r="AT172" i="11" s="1"/>
  <c r="AT166" i="11" s="1"/>
  <c r="DL11" i="134"/>
  <c r="DK119" i="11"/>
  <c r="DR11" i="134"/>
  <c r="DM11" i="134"/>
  <c r="DR16" i="138"/>
  <c r="G166" i="11"/>
  <c r="AY90" i="11"/>
  <c r="BE152" i="11"/>
  <c r="BK152" i="11"/>
  <c r="M59" i="12"/>
  <c r="O55" i="12"/>
  <c r="U55" i="12"/>
  <c r="BJ55" i="12"/>
  <c r="P48" i="12"/>
  <c r="P55" i="12" s="1"/>
  <c r="AG55" i="12"/>
  <c r="AA55" i="12"/>
  <c r="N56" i="12"/>
  <c r="N53" i="12" s="1"/>
  <c r="N59" i="12" s="1"/>
  <c r="AI48" i="12"/>
  <c r="AI55" i="12" s="1"/>
  <c r="AO48" i="12"/>
  <c r="AO55" i="12" s="1"/>
  <c r="CE36" i="11"/>
  <c r="AS78" i="11"/>
  <c r="AS80" i="11"/>
  <c r="AS81" i="11"/>
  <c r="DS39" i="138"/>
  <c r="CD149" i="11"/>
  <c r="T199" i="11"/>
  <c r="Y199" i="11"/>
  <c r="DN85" i="11"/>
  <c r="DN87" i="11" s="1"/>
  <c r="CC149" i="11"/>
  <c r="CW192" i="11"/>
  <c r="BA192" i="11"/>
  <c r="CK192" i="11"/>
  <c r="BF149" i="11"/>
  <c r="DA50" i="134"/>
  <c r="DA51" i="134"/>
  <c r="O90" i="11"/>
  <c r="AA90" i="11"/>
  <c r="Q92" i="11"/>
  <c r="AC38" i="12"/>
  <c r="Q61" i="12"/>
  <c r="Q64" i="12" s="1"/>
  <c r="BK48" i="12"/>
  <c r="AB48" i="12"/>
  <c r="AB90" i="11" s="1"/>
  <c r="AH48" i="12"/>
  <c r="DG85" i="11"/>
  <c r="CO149" i="11"/>
  <c r="BX149" i="11"/>
  <c r="CU149" i="11"/>
  <c r="CI149" i="11"/>
  <c r="AU163" i="11"/>
  <c r="BY79" i="12"/>
  <c r="CE79" i="12"/>
  <c r="CK79" i="12"/>
  <c r="CQ79" i="12"/>
  <c r="BL92" i="11"/>
  <c r="AU92" i="11"/>
  <c r="AI61" i="12"/>
  <c r="AI64" i="12" s="1"/>
  <c r="CK90" i="11"/>
  <c r="AI92" i="11"/>
  <c r="AA199" i="11"/>
  <c r="M199" i="11"/>
  <c r="BW192" i="11"/>
  <c r="AH192" i="11"/>
  <c r="BP192" i="11"/>
  <c r="AO192" i="11"/>
  <c r="Z170" i="11"/>
  <c r="Z171" i="11" s="1"/>
  <c r="Z172" i="11" s="1"/>
  <c r="Z166" i="11" s="1"/>
  <c r="S170" i="11"/>
  <c r="S171" i="11" s="1"/>
  <c r="S172" i="11" s="1"/>
  <c r="S166" i="11" s="1"/>
  <c r="AB170" i="11"/>
  <c r="AB171" i="11" s="1"/>
  <c r="AB172" i="11" s="1"/>
  <c r="AB166" i="11" s="1"/>
  <c r="CP192" i="11"/>
  <c r="AU192" i="11"/>
  <c r="BM192" i="11"/>
  <c r="CE192" i="11"/>
  <c r="O170" i="11"/>
  <c r="O171" i="11" s="1"/>
  <c r="O172" i="11" s="1"/>
  <c r="O166" i="11" s="1"/>
  <c r="AU61" i="12"/>
  <c r="AU64" i="12" s="1"/>
  <c r="CK92" i="11"/>
  <c r="CQ92" i="11"/>
  <c r="CK61" i="12"/>
  <c r="CQ61" i="12"/>
  <c r="CQ90" i="11"/>
  <c r="BY61" i="12"/>
  <c r="BM76" i="12"/>
  <c r="BM79" i="12" s="1"/>
  <c r="CE61" i="12"/>
  <c r="BA61" i="12"/>
  <c r="BY128" i="12"/>
  <c r="BL38" i="12"/>
  <c r="BL61" i="12"/>
  <c r="BG14" i="12"/>
  <c r="BG73" i="12" s="1"/>
  <c r="BW90" i="11"/>
  <c r="CE92" i="11"/>
  <c r="AQ45" i="11"/>
  <c r="AQ57" i="11" s="1"/>
  <c r="AQ58" i="11" s="1"/>
  <c r="AQ80" i="11"/>
  <c r="AQ81" i="11"/>
  <c r="AQ79" i="11"/>
  <c r="AQ78" i="11"/>
  <c r="BA38" i="12"/>
  <c r="BA92" i="11"/>
  <c r="BA14" i="12"/>
  <c r="BA73" i="12" s="1"/>
  <c r="AG90" i="11"/>
  <c r="BJ90" i="11"/>
  <c r="BQ90" i="11"/>
  <c r="CJ90" i="11"/>
  <c r="BM84" i="11"/>
  <c r="BM87" i="11" s="1"/>
  <c r="BL87" i="11"/>
  <c r="BG84" i="11"/>
  <c r="BG87" i="11" s="1"/>
  <c r="BF87" i="11"/>
  <c r="BY84" i="11"/>
  <c r="BS209" i="11"/>
  <c r="BS210" i="11" s="1"/>
  <c r="CQ209" i="11"/>
  <c r="CQ210" i="11" s="1"/>
  <c r="DA122" i="11"/>
  <c r="DA121" i="11"/>
  <c r="DM121" i="11" s="1"/>
  <c r="DS121" i="11" s="1"/>
  <c r="DY121" i="11" s="1"/>
  <c r="EE121" i="11" s="1"/>
  <c r="DA120" i="11"/>
  <c r="DA137" i="11"/>
  <c r="CZ137" i="11"/>
  <c r="CZ123" i="11"/>
  <c r="CZ121" i="11"/>
  <c r="DL121" i="11" s="1"/>
  <c r="DR121" i="11" s="1"/>
  <c r="DX121" i="11" s="1"/>
  <c r="ED121" i="11" s="1"/>
  <c r="CZ120" i="11"/>
  <c r="DQ85" i="11"/>
  <c r="DL85" i="11"/>
  <c r="AT195" i="11"/>
  <c r="AT202" i="11"/>
  <c r="CB100" i="11"/>
  <c r="CD123" i="11"/>
  <c r="CD120" i="11"/>
  <c r="CD121" i="11"/>
  <c r="CD122" i="11"/>
  <c r="CD84" i="11" s="1"/>
  <c r="CD137" i="11"/>
  <c r="CJ121" i="11"/>
  <c r="CJ120" i="11"/>
  <c r="CJ123" i="11"/>
  <c r="CJ122" i="11"/>
  <c r="CJ84" i="11" s="1"/>
  <c r="CJ87" i="11" s="1"/>
  <c r="CJ137" i="11"/>
  <c r="BQ121" i="11"/>
  <c r="BQ122" i="11"/>
  <c r="BQ84" i="11" s="1"/>
  <c r="BQ87" i="11" s="1"/>
  <c r="BQ120" i="11"/>
  <c r="BQ123" i="11"/>
  <c r="BQ137" i="11"/>
  <c r="BK120" i="11"/>
  <c r="BK121" i="11"/>
  <c r="BK122" i="11"/>
  <c r="BK84" i="11" s="1"/>
  <c r="BK87" i="11" s="1"/>
  <c r="BK123" i="11"/>
  <c r="BK137" i="11"/>
  <c r="CQ127" i="11"/>
  <c r="CQ86" i="11" s="1"/>
  <c r="CQ126" i="11"/>
  <c r="CQ85" i="11" s="1"/>
  <c r="CQ128" i="11"/>
  <c r="CH123" i="11"/>
  <c r="CH121" i="11"/>
  <c r="CH122" i="11"/>
  <c r="CH84" i="11" s="1"/>
  <c r="CH87" i="11" s="1"/>
  <c r="CH120" i="11"/>
  <c r="CH137" i="11"/>
  <c r="CI120" i="11"/>
  <c r="CI121" i="11"/>
  <c r="CI137" i="11"/>
  <c r="CI123" i="11"/>
  <c r="CI122" i="11"/>
  <c r="CI84" i="11" s="1"/>
  <c r="CI87" i="11" s="1"/>
  <c r="CG121" i="11"/>
  <c r="CG123" i="11"/>
  <c r="CG122" i="11"/>
  <c r="CG84" i="11" s="1"/>
  <c r="CG87" i="11" s="1"/>
  <c r="CG120" i="11"/>
  <c r="CG137" i="11"/>
  <c r="CS137" i="11"/>
  <c r="CS120" i="11"/>
  <c r="CS121" i="11"/>
  <c r="CS123" i="11"/>
  <c r="CS122" i="11"/>
  <c r="CS84" i="11" s="1"/>
  <c r="CS87" i="11" s="1"/>
  <c r="CT123" i="11"/>
  <c r="CT120" i="11"/>
  <c r="CT121" i="11"/>
  <c r="CT122" i="11"/>
  <c r="CT84" i="11" s="1"/>
  <c r="CT87" i="11" s="1"/>
  <c r="CT137" i="11"/>
  <c r="CV120" i="11"/>
  <c r="CV121" i="11"/>
  <c r="DN121" i="11" s="1"/>
  <c r="DT121" i="11" s="1"/>
  <c r="DZ121" i="11" s="1"/>
  <c r="EF121" i="11" s="1"/>
  <c r="CV122" i="11"/>
  <c r="CV84" i="11" s="1"/>
  <c r="CV87" i="11" s="1"/>
  <c r="CV123" i="11"/>
  <c r="CV137" i="11"/>
  <c r="BP148" i="11"/>
  <c r="BO122" i="11"/>
  <c r="BO84" i="11" s="1"/>
  <c r="BO87" i="11" s="1"/>
  <c r="BO120" i="11"/>
  <c r="BO121" i="11"/>
  <c r="BO123" i="11"/>
  <c r="BO137" i="11"/>
  <c r="BV121" i="11"/>
  <c r="BV120" i="11"/>
  <c r="BV137" i="11"/>
  <c r="BV122" i="11"/>
  <c r="BV84" i="11" s="1"/>
  <c r="BV87" i="11" s="1"/>
  <c r="BV123" i="11"/>
  <c r="CN121" i="11"/>
  <c r="CN120" i="11"/>
  <c r="CN122" i="11"/>
  <c r="CN84" i="11" s="1"/>
  <c r="CN87" i="11" s="1"/>
  <c r="CN123" i="11"/>
  <c r="CN137" i="11"/>
  <c r="CB120" i="11"/>
  <c r="CB121" i="11"/>
  <c r="CB122" i="11"/>
  <c r="CB84" i="11" s="1"/>
  <c r="CB87" i="11" s="1"/>
  <c r="CB123" i="11"/>
  <c r="CB137" i="11"/>
  <c r="CA121" i="11"/>
  <c r="CA120" i="11"/>
  <c r="CA123" i="11"/>
  <c r="CA122" i="11"/>
  <c r="CA84" i="11" s="1"/>
  <c r="CA87" i="11" s="1"/>
  <c r="CA137" i="11"/>
  <c r="CO121" i="11"/>
  <c r="CO137" i="11"/>
  <c r="CO120" i="11"/>
  <c r="CO123" i="11"/>
  <c r="CO122" i="11"/>
  <c r="CO84" i="11" s="1"/>
  <c r="CO87" i="11" s="1"/>
  <c r="BU121" i="11"/>
  <c r="BU120" i="11"/>
  <c r="BU122" i="11"/>
  <c r="BU84" i="11" s="1"/>
  <c r="BU87" i="11" s="1"/>
  <c r="BU123" i="11"/>
  <c r="BU137" i="11"/>
  <c r="BR120" i="11"/>
  <c r="BR122" i="11"/>
  <c r="BR84" i="11" s="1"/>
  <c r="BR123" i="11"/>
  <c r="BR121" i="11"/>
  <c r="BR137" i="11"/>
  <c r="CM120" i="11"/>
  <c r="CM123" i="11"/>
  <c r="CM121" i="11"/>
  <c r="CM122" i="11"/>
  <c r="CM84" i="11" s="1"/>
  <c r="CM87" i="11" s="1"/>
  <c r="CM137" i="11"/>
  <c r="CU121" i="11"/>
  <c r="CU122" i="11"/>
  <c r="CU84" i="11" s="1"/>
  <c r="CU87" i="11" s="1"/>
  <c r="CU120" i="11"/>
  <c r="CU123" i="11"/>
  <c r="CU137" i="11"/>
  <c r="I199" i="11"/>
  <c r="O199" i="11"/>
  <c r="BG120" i="11"/>
  <c r="BG123" i="11"/>
  <c r="BG122" i="11"/>
  <c r="BG137" i="11"/>
  <c r="BG121" i="11"/>
  <c r="AU123" i="11"/>
  <c r="AU121" i="11"/>
  <c r="AU122" i="11"/>
  <c r="AU84" i="11" s="1"/>
  <c r="AU120" i="11"/>
  <c r="AU137" i="11"/>
  <c r="AR123" i="11"/>
  <c r="AR120" i="11"/>
  <c r="AR122" i="11"/>
  <c r="AR84" i="11" s="1"/>
  <c r="AR87" i="11" s="1"/>
  <c r="AR121" i="11"/>
  <c r="AR137" i="11"/>
  <c r="AW123" i="11"/>
  <c r="AW121" i="11"/>
  <c r="AW122" i="11"/>
  <c r="AW84" i="11" s="1"/>
  <c r="AW87" i="11" s="1"/>
  <c r="AW120" i="11"/>
  <c r="AW137" i="11"/>
  <c r="AF120" i="11"/>
  <c r="AF123" i="11"/>
  <c r="AF121" i="11"/>
  <c r="AF122" i="11"/>
  <c r="AF84" i="11" s="1"/>
  <c r="AF87" i="11" s="1"/>
  <c r="AF137" i="11"/>
  <c r="AX120" i="11"/>
  <c r="AX121" i="11"/>
  <c r="AX123" i="11"/>
  <c r="AX122" i="11"/>
  <c r="AX84" i="11" s="1"/>
  <c r="AX87" i="11" s="1"/>
  <c r="AX137" i="11"/>
  <c r="AS123" i="11"/>
  <c r="AS121" i="11"/>
  <c r="AS122" i="11"/>
  <c r="AS84" i="11" s="1"/>
  <c r="AS87" i="11" s="1"/>
  <c r="AS120" i="11"/>
  <c r="AS137" i="11"/>
  <c r="AM123" i="11"/>
  <c r="AM120" i="11"/>
  <c r="AM122" i="11"/>
  <c r="AM84" i="11" s="1"/>
  <c r="AM87" i="11" s="1"/>
  <c r="AM121" i="11"/>
  <c r="AM137" i="11"/>
  <c r="AK123" i="11"/>
  <c r="AK121" i="11"/>
  <c r="AK120" i="11"/>
  <c r="AK122" i="11"/>
  <c r="AK84" i="11" s="1"/>
  <c r="AK87" i="11" s="1"/>
  <c r="AK137" i="11"/>
  <c r="AZ123" i="11"/>
  <c r="AZ121" i="11"/>
  <c r="AZ120" i="11"/>
  <c r="AZ122" i="11"/>
  <c r="AZ84" i="11" s="1"/>
  <c r="AZ137" i="11"/>
  <c r="G199" i="11"/>
  <c r="U199" i="11"/>
  <c r="V28" i="12"/>
  <c r="AT14" i="12"/>
  <c r="AT73" i="12" s="1"/>
  <c r="T28" i="12"/>
  <c r="BX209" i="11" l="1"/>
  <c r="BX210" i="11" s="1"/>
  <c r="BX211" i="11" s="1"/>
  <c r="DM167" i="11"/>
  <c r="DM206" i="11"/>
  <c r="DX63" i="134"/>
  <c r="DR206" i="11"/>
  <c r="DW63" i="134"/>
  <c r="DQ206" i="11"/>
  <c r="DL167" i="11"/>
  <c r="DL206" i="11"/>
  <c r="BS211" i="11"/>
  <c r="BS230" i="11"/>
  <c r="BS231" i="11"/>
  <c r="BS68" i="11" s="1"/>
  <c r="CW211" i="11"/>
  <c r="CW230" i="11"/>
  <c r="CW231" i="11"/>
  <c r="CW68" i="11" s="1"/>
  <c r="CQ211" i="11"/>
  <c r="CQ230" i="11"/>
  <c r="CQ231" i="11"/>
  <c r="CQ68" i="11" s="1"/>
  <c r="BM209" i="11"/>
  <c r="BM210" i="11" s="1"/>
  <c r="CZ170" i="11"/>
  <c r="CZ171" i="11" s="1"/>
  <c r="CZ172" i="11" s="1"/>
  <c r="DG56" i="134"/>
  <c r="DG69" i="134"/>
  <c r="DY46" i="138"/>
  <c r="DX24" i="138"/>
  <c r="DX32" i="138" s="1"/>
  <c r="DQ167" i="11"/>
  <c r="DR167" i="11"/>
  <c r="BL149" i="11"/>
  <c r="AZ149" i="11"/>
  <c r="CK143" i="11"/>
  <c r="CK141" i="11"/>
  <c r="BL64" i="12"/>
  <c r="BA64" i="12"/>
  <c r="CE79" i="11"/>
  <c r="DA359" i="136"/>
  <c r="DA368" i="136" s="1"/>
  <c r="DM32" i="138"/>
  <c r="DL32" i="138"/>
  <c r="DO43" i="138"/>
  <c r="DQ25" i="136"/>
  <c r="DS24" i="138"/>
  <c r="DM25" i="136"/>
  <c r="DL25" i="136"/>
  <c r="DM46" i="138"/>
  <c r="DL46" i="138"/>
  <c r="DR25" i="136"/>
  <c r="BM14" i="12"/>
  <c r="BM73" i="12" s="1"/>
  <c r="DF67" i="134"/>
  <c r="CE81" i="11"/>
  <c r="Q149" i="11"/>
  <c r="DF94" i="134"/>
  <c r="DG94" i="134"/>
  <c r="BY112" i="11"/>
  <c r="I28" i="12"/>
  <c r="M28" i="12"/>
  <c r="DQ16" i="134"/>
  <c r="DW67" i="134" s="1"/>
  <c r="DQ119" i="11"/>
  <c r="DQ15" i="134"/>
  <c r="DW66" i="134" s="1"/>
  <c r="CP148" i="11"/>
  <c r="CP100" i="11"/>
  <c r="CP111" i="11"/>
  <c r="CS100" i="11"/>
  <c r="CU100" i="11"/>
  <c r="CT100" i="11"/>
  <c r="CS111" i="11"/>
  <c r="CU111" i="11"/>
  <c r="CT111" i="11"/>
  <c r="CK122" i="11"/>
  <c r="CK84" i="11" s="1"/>
  <c r="CK100" i="11"/>
  <c r="CK111" i="11"/>
  <c r="BQ111" i="11"/>
  <c r="BR100" i="11"/>
  <c r="BU111" i="11"/>
  <c r="CA111" i="11"/>
  <c r="CE148" i="11"/>
  <c r="CE111" i="11"/>
  <c r="CE100" i="11"/>
  <c r="BW148" i="11"/>
  <c r="BW100" i="11"/>
  <c r="BW111" i="11"/>
  <c r="BX100" i="11"/>
  <c r="BX111" i="11"/>
  <c r="BX112" i="11"/>
  <c r="CA112" i="11"/>
  <c r="CB112" i="11"/>
  <c r="CC112" i="11"/>
  <c r="BP100" i="11"/>
  <c r="BP111" i="11"/>
  <c r="BQ100" i="11"/>
  <c r="BR111" i="11"/>
  <c r="BU100" i="11"/>
  <c r="CA100" i="11"/>
  <c r="CB111" i="11"/>
  <c r="DM16" i="134"/>
  <c r="DM15" i="134"/>
  <c r="DR16" i="134"/>
  <c r="DX67" i="134" s="1"/>
  <c r="DR15" i="134"/>
  <c r="DX66" i="134" s="1"/>
  <c r="DL16" i="134"/>
  <c r="DL15" i="134"/>
  <c r="AH148" i="11"/>
  <c r="AH111" i="11"/>
  <c r="AH100" i="11"/>
  <c r="BM148" i="11"/>
  <c r="BM111" i="11"/>
  <c r="BM100" i="11"/>
  <c r="AO148" i="11"/>
  <c r="AO111" i="11"/>
  <c r="AO100" i="11"/>
  <c r="BA111" i="11"/>
  <c r="BA100" i="11"/>
  <c r="AK111" i="11"/>
  <c r="AM111" i="11"/>
  <c r="AL100" i="11"/>
  <c r="AK100" i="11"/>
  <c r="AM100" i="11"/>
  <c r="AL111" i="11"/>
  <c r="DK147" i="11"/>
  <c r="CW58" i="134"/>
  <c r="DA56" i="134"/>
  <c r="DA168" i="11"/>
  <c r="DA72" i="11"/>
  <c r="DA27" i="134"/>
  <c r="DA22" i="134"/>
  <c r="BX126" i="11"/>
  <c r="BX85" i="11" s="1"/>
  <c r="BX127" i="11"/>
  <c r="BX86" i="11" s="1"/>
  <c r="BX128" i="11"/>
  <c r="O28" i="12"/>
  <c r="BD170" i="11"/>
  <c r="BD171" i="11" s="1"/>
  <c r="BD172" i="11" s="1"/>
  <c r="BD166" i="11" s="1"/>
  <c r="CY199" i="11"/>
  <c r="DR39" i="138"/>
  <c r="DX46" i="138" s="1"/>
  <c r="CK120" i="11"/>
  <c r="CK148" i="11"/>
  <c r="BA121" i="11"/>
  <c r="BA148" i="11"/>
  <c r="AW146" i="11"/>
  <c r="AW149" i="11" s="1"/>
  <c r="BA146" i="11"/>
  <c r="BC170" i="11"/>
  <c r="BC171" i="11" s="1"/>
  <c r="BC172" i="11" s="1"/>
  <c r="BC166" i="11" s="1"/>
  <c r="AQ170" i="11"/>
  <c r="AQ171" i="11" s="1"/>
  <c r="AQ172" i="11" s="1"/>
  <c r="AQ166" i="11" s="1"/>
  <c r="BI170" i="11"/>
  <c r="BI171" i="11" s="1"/>
  <c r="BI172" i="11" s="1"/>
  <c r="BI166" i="11" s="1"/>
  <c r="DS46" i="138"/>
  <c r="DU12" i="138"/>
  <c r="DR24" i="138"/>
  <c r="DO20" i="138"/>
  <c r="DU36" i="138"/>
  <c r="EA43" i="138" s="1"/>
  <c r="BA123" i="11"/>
  <c r="W199" i="11"/>
  <c r="DK32" i="138"/>
  <c r="DS11" i="134"/>
  <c r="DK132" i="11"/>
  <c r="DK16" i="11" s="1"/>
  <c r="DK130" i="11"/>
  <c r="DM119" i="11"/>
  <c r="DR119" i="11"/>
  <c r="DF105" i="11"/>
  <c r="DL119" i="11"/>
  <c r="CE80" i="11"/>
  <c r="CE78" i="11"/>
  <c r="AH55" i="12"/>
  <c r="AB55" i="12"/>
  <c r="BK55" i="12"/>
  <c r="CE45" i="11"/>
  <c r="BG55" i="12"/>
  <c r="AU55" i="12"/>
  <c r="O56" i="12"/>
  <c r="O53" i="12" s="1"/>
  <c r="AC48" i="12"/>
  <c r="AC90" i="11" s="1"/>
  <c r="CK137" i="11"/>
  <c r="BA122" i="11"/>
  <c r="DT85" i="11"/>
  <c r="DT87" i="11" s="1"/>
  <c r="DA55" i="134"/>
  <c r="DA69" i="134"/>
  <c r="BL48" i="12"/>
  <c r="AT48" i="12"/>
  <c r="AT55" i="12" s="1"/>
  <c r="BA48" i="12"/>
  <c r="BA90" i="11" s="1"/>
  <c r="BA137" i="11"/>
  <c r="BA120" i="11"/>
  <c r="CV149" i="11"/>
  <c r="AW157" i="11"/>
  <c r="AW158" i="11" s="1"/>
  <c r="BA158" i="11" s="1"/>
  <c r="BA157" i="11"/>
  <c r="CK121" i="11"/>
  <c r="CK123" i="11"/>
  <c r="AI192" i="11"/>
  <c r="CQ192" i="11"/>
  <c r="BS192" i="11"/>
  <c r="BY192" i="11"/>
  <c r="Q199" i="11"/>
  <c r="AG170" i="11"/>
  <c r="AG171" i="11" s="1"/>
  <c r="AG172" i="11" s="1"/>
  <c r="AG166" i="11" s="1"/>
  <c r="Q170" i="11"/>
  <c r="Q171" i="11" s="1"/>
  <c r="Q172" i="11" s="1"/>
  <c r="Q166" i="11" s="1"/>
  <c r="W170" i="11"/>
  <c r="W171" i="11" s="1"/>
  <c r="W172" i="11" s="1"/>
  <c r="W166" i="11" s="1"/>
  <c r="CY166" i="11"/>
  <c r="BM38" i="12"/>
  <c r="BM61" i="12"/>
  <c r="BM92" i="11"/>
  <c r="AI90" i="11"/>
  <c r="BS90" i="11"/>
  <c r="AO90" i="11"/>
  <c r="AU14" i="12"/>
  <c r="AU73" i="12" s="1"/>
  <c r="BK90" i="11"/>
  <c r="BR90" i="11"/>
  <c r="AS90" i="11"/>
  <c r="AT84" i="11"/>
  <c r="AT87" i="11" s="1"/>
  <c r="AU87" i="11"/>
  <c r="CE84" i="11"/>
  <c r="CE87" i="11" s="1"/>
  <c r="CD87" i="11"/>
  <c r="BA84" i="11"/>
  <c r="BA87" i="11" s="1"/>
  <c r="AZ87" i="11"/>
  <c r="BS84" i="11"/>
  <c r="BS87" i="11" s="1"/>
  <c r="BR87" i="11"/>
  <c r="W28" i="12"/>
  <c r="AL170" i="11"/>
  <c r="AL171" i="11" s="1"/>
  <c r="AL172" i="11" s="1"/>
  <c r="AL166" i="11" s="1"/>
  <c r="AY170" i="11"/>
  <c r="AY171" i="11" s="1"/>
  <c r="AY172" i="11" s="1"/>
  <c r="AY166" i="11" s="1"/>
  <c r="BL170" i="11"/>
  <c r="BL171" i="11" s="1"/>
  <c r="BL172" i="11" s="1"/>
  <c r="BL166" i="11" s="1"/>
  <c r="BF170" i="11"/>
  <c r="BF171" i="11" s="1"/>
  <c r="BF172" i="11" s="1"/>
  <c r="BF166" i="11" s="1"/>
  <c r="AO123" i="11"/>
  <c r="AO120" i="11"/>
  <c r="AO137" i="11"/>
  <c r="AO122" i="11"/>
  <c r="AO84" i="11" s="1"/>
  <c r="AO121" i="11"/>
  <c r="DA84" i="11"/>
  <c r="DA87" i="11" s="1"/>
  <c r="DM85" i="11"/>
  <c r="DR85" i="11"/>
  <c r="DM84" i="11"/>
  <c r="BP120" i="11"/>
  <c r="BP121" i="11"/>
  <c r="BP122" i="11"/>
  <c r="BP84" i="11" s="1"/>
  <c r="BP87" i="11" s="1"/>
  <c r="BP123" i="11"/>
  <c r="BP137" i="11"/>
  <c r="CP122" i="11"/>
  <c r="CP84" i="11" s="1"/>
  <c r="CP87" i="11" s="1"/>
  <c r="CP120" i="11"/>
  <c r="CP123" i="11"/>
  <c r="CP121" i="11"/>
  <c r="CP137" i="11"/>
  <c r="DG84" i="11"/>
  <c r="CW123" i="11"/>
  <c r="CW121" i="11"/>
  <c r="CW122" i="11"/>
  <c r="CW84" i="11" s="1"/>
  <c r="CW120" i="11"/>
  <c r="CW137" i="11"/>
  <c r="BM122" i="11"/>
  <c r="BM120" i="11"/>
  <c r="BM123" i="11"/>
  <c r="BM121" i="11"/>
  <c r="BM137" i="11"/>
  <c r="CE121" i="11"/>
  <c r="CE122" i="11"/>
  <c r="CE123" i="11"/>
  <c r="CE120" i="11"/>
  <c r="CE137" i="11"/>
  <c r="BW123" i="11"/>
  <c r="BW121" i="11"/>
  <c r="BW137" i="11"/>
  <c r="BW122" i="11"/>
  <c r="BW84" i="11" s="1"/>
  <c r="BW87" i="11" s="1"/>
  <c r="BW120" i="11"/>
  <c r="N199" i="11"/>
  <c r="P199" i="11"/>
  <c r="E28" i="12"/>
  <c r="S28" i="12"/>
  <c r="K199" i="11"/>
  <c r="S199" i="11"/>
  <c r="AH120" i="11"/>
  <c r="AH121" i="11"/>
  <c r="AH123" i="11"/>
  <c r="AH122" i="11"/>
  <c r="AH84" i="11" s="1"/>
  <c r="AH137" i="11"/>
  <c r="K28" i="12"/>
  <c r="G28" i="12"/>
  <c r="Z28" i="12"/>
  <c r="U28" i="12"/>
  <c r="P28" i="12"/>
  <c r="Y28" i="12"/>
  <c r="AA28" i="12"/>
  <c r="V203" i="11"/>
  <c r="AT199" i="11"/>
  <c r="N28" i="12"/>
  <c r="AG199" i="11"/>
  <c r="BY122" i="12" l="1"/>
  <c r="BY124" i="12" s="1"/>
  <c r="BX230" i="11"/>
  <c r="BX231" i="11"/>
  <c r="BX68" i="11" s="1"/>
  <c r="BY64" i="12"/>
  <c r="BY63" i="12"/>
  <c r="CQ64" i="12"/>
  <c r="CQ63" i="12"/>
  <c r="CK64" i="12"/>
  <c r="CK63" i="12"/>
  <c r="CE64" i="12"/>
  <c r="CE63" i="12"/>
  <c r="DY63" i="134"/>
  <c r="DS206" i="11"/>
  <c r="BM211" i="11"/>
  <c r="BM231" i="11"/>
  <c r="BM68" i="11" s="1"/>
  <c r="BM230" i="11"/>
  <c r="DY32" i="138"/>
  <c r="EA20" i="138"/>
  <c r="DS167" i="11"/>
  <c r="BA149" i="11"/>
  <c r="BA151" i="11" s="1"/>
  <c r="DA170" i="11"/>
  <c r="DA171" i="11" s="1"/>
  <c r="DA172" i="11" s="1"/>
  <c r="CT170" i="11"/>
  <c r="CT171" i="11" s="1"/>
  <c r="CT172" i="11" s="1"/>
  <c r="CT166" i="11" s="1"/>
  <c r="CT199" i="11"/>
  <c r="CQ141" i="11"/>
  <c r="CQ143" i="11"/>
  <c r="DA358" i="136"/>
  <c r="DA360" i="136"/>
  <c r="DA369" i="136" s="1"/>
  <c r="BM64" i="12"/>
  <c r="CE57" i="11"/>
  <c r="CE58" i="11" s="1"/>
  <c r="DA29" i="134"/>
  <c r="DA70" i="12" s="1"/>
  <c r="DS32" i="138"/>
  <c r="DK350" i="136"/>
  <c r="DK351" i="136" s="1"/>
  <c r="DR46" i="138"/>
  <c r="DL364" i="136"/>
  <c r="DU43" i="138"/>
  <c r="DM364" i="136"/>
  <c r="DQ362" i="136"/>
  <c r="DQ364" i="136"/>
  <c r="DR362" i="136"/>
  <c r="DR364" i="136"/>
  <c r="DL362" i="136"/>
  <c r="DS25" i="136"/>
  <c r="DF350" i="136"/>
  <c r="DF351" i="136" s="1"/>
  <c r="DM362" i="136"/>
  <c r="DF121" i="12"/>
  <c r="DF68" i="134"/>
  <c r="DK121" i="12"/>
  <c r="DQ147" i="11"/>
  <c r="BY128" i="11"/>
  <c r="BY209" i="11"/>
  <c r="BY210" i="11" s="1"/>
  <c r="W203" i="11"/>
  <c r="I203" i="11"/>
  <c r="N203" i="11"/>
  <c r="G203" i="11"/>
  <c r="DQ132" i="11"/>
  <c r="DQ16" i="11" s="1"/>
  <c r="BY126" i="11"/>
  <c r="BY85" i="11" s="1"/>
  <c r="BY127" i="11"/>
  <c r="BY86" i="11" s="1"/>
  <c r="Q28" i="12"/>
  <c r="DA197" i="11"/>
  <c r="DQ130" i="11"/>
  <c r="BY148" i="11"/>
  <c r="BY100" i="11"/>
  <c r="BY111" i="11"/>
  <c r="CQ148" i="11"/>
  <c r="CQ111" i="11"/>
  <c r="CQ100" i="11"/>
  <c r="BS111" i="11"/>
  <c r="BS100" i="11"/>
  <c r="DS16" i="134"/>
  <c r="DY67" i="134" s="1"/>
  <c r="DS15" i="134"/>
  <c r="DY66" i="134" s="1"/>
  <c r="AI148" i="11"/>
  <c r="AI111" i="11"/>
  <c r="AI100" i="11"/>
  <c r="DM147" i="11"/>
  <c r="DL147" i="11"/>
  <c r="DR147" i="11"/>
  <c r="DA74" i="11"/>
  <c r="DA79" i="135" s="1"/>
  <c r="DA73" i="11"/>
  <c r="DA78" i="135" s="1"/>
  <c r="DA71" i="11"/>
  <c r="BX87" i="11"/>
  <c r="AE170" i="11"/>
  <c r="AE171" i="11" s="1"/>
  <c r="AE172" i="11" s="1"/>
  <c r="AE166" i="11" s="1"/>
  <c r="BD199" i="11"/>
  <c r="T203" i="11"/>
  <c r="AC170" i="11"/>
  <c r="AC171" i="11" s="1"/>
  <c r="AC172" i="11" s="1"/>
  <c r="AC166" i="11" s="1"/>
  <c r="DR17" i="134"/>
  <c r="DX68" i="134" s="1"/>
  <c r="DQ17" i="134"/>
  <c r="DW68" i="134" s="1"/>
  <c r="BS123" i="11"/>
  <c r="BS148" i="11"/>
  <c r="DL17" i="134"/>
  <c r="DM17" i="134"/>
  <c r="DR32" i="138"/>
  <c r="DU20" i="138"/>
  <c r="DL132" i="11"/>
  <c r="DL16" i="11" s="1"/>
  <c r="DL24" i="12" s="1"/>
  <c r="DL130" i="11"/>
  <c r="DR132" i="11"/>
  <c r="DR16" i="11" s="1"/>
  <c r="DR130" i="11"/>
  <c r="DM132" i="11"/>
  <c r="DM16" i="11" s="1"/>
  <c r="DM130" i="11"/>
  <c r="DK13" i="11"/>
  <c r="DS119" i="11"/>
  <c r="O59" i="12"/>
  <c r="BL55" i="12"/>
  <c r="AC55" i="12"/>
  <c r="BA55" i="12"/>
  <c r="P56" i="12"/>
  <c r="P53" i="12" s="1"/>
  <c r="BL199" i="11"/>
  <c r="DA59" i="134"/>
  <c r="BM48" i="12"/>
  <c r="BA160" i="11"/>
  <c r="BA161" i="11" s="1"/>
  <c r="CJ149" i="11"/>
  <c r="CP149" i="11"/>
  <c r="BJ170" i="11"/>
  <c r="BJ171" i="11" s="1"/>
  <c r="BJ172" i="11" s="1"/>
  <c r="BJ166" i="11" s="1"/>
  <c r="BE170" i="11"/>
  <c r="BE171" i="11" s="1"/>
  <c r="BE172" i="11" s="1"/>
  <c r="BE166" i="11" s="1"/>
  <c r="CE90" i="11"/>
  <c r="BL90" i="11"/>
  <c r="AN84" i="11"/>
  <c r="AN87" i="11" s="1"/>
  <c r="AO87" i="11"/>
  <c r="DC51" i="11"/>
  <c r="CQ121" i="11"/>
  <c r="BS120" i="11"/>
  <c r="CQ122" i="11"/>
  <c r="CQ84" i="11" s="1"/>
  <c r="CQ87" i="11" s="1"/>
  <c r="BS121" i="11"/>
  <c r="CQ120" i="11"/>
  <c r="BS122" i="11"/>
  <c r="BG170" i="11"/>
  <c r="BG171" i="11" s="1"/>
  <c r="BG172" i="11" s="1"/>
  <c r="BG166" i="11" s="1"/>
  <c r="CJ170" i="11"/>
  <c r="CJ171" i="11" s="1"/>
  <c r="CJ172" i="11" s="1"/>
  <c r="CJ166" i="11" s="1"/>
  <c r="CI170" i="11"/>
  <c r="CI171" i="11" s="1"/>
  <c r="CI172" i="11" s="1"/>
  <c r="CI166" i="11" s="1"/>
  <c r="AX170" i="11"/>
  <c r="AX171" i="11" s="1"/>
  <c r="AX172" i="11" s="1"/>
  <c r="AX166" i="11" s="1"/>
  <c r="CQ137" i="11"/>
  <c r="CQ123" i="11"/>
  <c r="BS137" i="11"/>
  <c r="AI123" i="11"/>
  <c r="AI122" i="11"/>
  <c r="AI84" i="11" s="1"/>
  <c r="AI137" i="11"/>
  <c r="AI120" i="11"/>
  <c r="AI121" i="11"/>
  <c r="DS84" i="11"/>
  <c r="DS85" i="11"/>
  <c r="CK112" i="11"/>
  <c r="BY120" i="11"/>
  <c r="BY121" i="11"/>
  <c r="BY123" i="11"/>
  <c r="BY122" i="11"/>
  <c r="BY137" i="11"/>
  <c r="CW126" i="11"/>
  <c r="CW85" i="11" s="1"/>
  <c r="CW127" i="11"/>
  <c r="CW86" i="11" s="1"/>
  <c r="CW128" i="11"/>
  <c r="BF199" i="11"/>
  <c r="AQ199" i="11"/>
  <c r="BC199" i="11"/>
  <c r="AL199" i="11"/>
  <c r="AY199" i="11"/>
  <c r="BE199" i="11"/>
  <c r="AE199" i="11"/>
  <c r="P203" i="11"/>
  <c r="CC199" i="11"/>
  <c r="AT28" i="12"/>
  <c r="BI199" i="11"/>
  <c r="BJ199" i="11"/>
  <c r="BL28" i="12"/>
  <c r="AG28" i="12"/>
  <c r="BD28" i="12"/>
  <c r="BY211" i="11" l="1"/>
  <c r="BY230" i="11"/>
  <c r="BY231" i="11"/>
  <c r="BY68" i="11" s="1"/>
  <c r="CZ199" i="11"/>
  <c r="DG370" i="136"/>
  <c r="DG383" i="136"/>
  <c r="DA390" i="136"/>
  <c r="DA166" i="11"/>
  <c r="CS170" i="11"/>
  <c r="CS171" i="11" s="1"/>
  <c r="CS172" i="11" s="1"/>
  <c r="CS166" i="11" s="1"/>
  <c r="CS199" i="11"/>
  <c r="CW79" i="135"/>
  <c r="CW78" i="135"/>
  <c r="CU199" i="11"/>
  <c r="CV170" i="11"/>
  <c r="CV171" i="11" s="1"/>
  <c r="CV172" i="11" s="1"/>
  <c r="CV166" i="11" s="1"/>
  <c r="CV199" i="11"/>
  <c r="DA370" i="136"/>
  <c r="DA377" i="136"/>
  <c r="DL350" i="136"/>
  <c r="DL351" i="136" s="1"/>
  <c r="DQ350" i="136"/>
  <c r="DQ351" i="136" s="1"/>
  <c r="DR350" i="136"/>
  <c r="DR351" i="136" s="1"/>
  <c r="DS362" i="136"/>
  <c r="DS364" i="136"/>
  <c r="DL121" i="12"/>
  <c r="DL68" i="134"/>
  <c r="DL54" i="134"/>
  <c r="DQ121" i="12"/>
  <c r="DQ68" i="134"/>
  <c r="DQ54" i="134"/>
  <c r="DM121" i="12"/>
  <c r="DM68" i="134"/>
  <c r="DM54" i="134"/>
  <c r="DR121" i="12"/>
  <c r="DR68" i="134"/>
  <c r="DR54" i="134"/>
  <c r="DQ13" i="11"/>
  <c r="DA198" i="11"/>
  <c r="DA199" i="11" s="1"/>
  <c r="DA114" i="136"/>
  <c r="DA185" i="136"/>
  <c r="DA187" i="136" s="1"/>
  <c r="DR24" i="12"/>
  <c r="Z203" i="11"/>
  <c r="S203" i="11"/>
  <c r="U203" i="11"/>
  <c r="Y203" i="11"/>
  <c r="AT203" i="11"/>
  <c r="AA203" i="11"/>
  <c r="DA32" i="134"/>
  <c r="BY87" i="11"/>
  <c r="DS147" i="11"/>
  <c r="AW170" i="11"/>
  <c r="AW171" i="11" s="1"/>
  <c r="AW172" i="11" s="1"/>
  <c r="AW166" i="11" s="1"/>
  <c r="CZ166" i="11"/>
  <c r="M203" i="11"/>
  <c r="O203" i="11"/>
  <c r="AK170" i="11"/>
  <c r="AK171" i="11" s="1"/>
  <c r="AK172" i="11" s="1"/>
  <c r="AK166" i="11" s="1"/>
  <c r="CM142" i="11"/>
  <c r="BA152" i="11"/>
  <c r="BA154" i="11"/>
  <c r="AZ170" i="11"/>
  <c r="AZ171" i="11" s="1"/>
  <c r="AZ172" i="11" s="1"/>
  <c r="AZ166" i="11" s="1"/>
  <c r="DS17" i="134"/>
  <c r="DY68" i="134" s="1"/>
  <c r="DS132" i="11"/>
  <c r="DS16" i="11" s="1"/>
  <c r="DS24" i="12" s="1"/>
  <c r="DS130" i="11"/>
  <c r="DR13" i="11"/>
  <c r="DM24" i="12"/>
  <c r="DM13" i="11"/>
  <c r="DL13" i="11"/>
  <c r="P59" i="12"/>
  <c r="BM55" i="12"/>
  <c r="S56" i="12"/>
  <c r="S53" i="12" s="1"/>
  <c r="DA58" i="134"/>
  <c r="DA70" i="134"/>
  <c r="DA36" i="134"/>
  <c r="BA163" i="11"/>
  <c r="CU170" i="11"/>
  <c r="CU171" i="11" s="1"/>
  <c r="CU172" i="11" s="1"/>
  <c r="CU166" i="11" s="1"/>
  <c r="AM170" i="11"/>
  <c r="AM171" i="11" s="1"/>
  <c r="AM172" i="11" s="1"/>
  <c r="AM166" i="11" s="1"/>
  <c r="AS170" i="11"/>
  <c r="AS171" i="11" s="1"/>
  <c r="AS172" i="11" s="1"/>
  <c r="AS166" i="11" s="1"/>
  <c r="AR170" i="11"/>
  <c r="AR171" i="11" s="1"/>
  <c r="AR172" i="11" s="1"/>
  <c r="AR166" i="11" s="1"/>
  <c r="BK170" i="11"/>
  <c r="BK171" i="11" s="1"/>
  <c r="BK172" i="11" s="1"/>
  <c r="BK166" i="11" s="1"/>
  <c r="AF170" i="11"/>
  <c r="AF171" i="11" s="1"/>
  <c r="AF172" i="11" s="1"/>
  <c r="AF166" i="11" s="1"/>
  <c r="BM90" i="11"/>
  <c r="CW87" i="11"/>
  <c r="CO142" i="11"/>
  <c r="AU170" i="11"/>
  <c r="AU171" i="11" s="1"/>
  <c r="AU172" i="11" s="1"/>
  <c r="AU166" i="11" s="1"/>
  <c r="CK127" i="11"/>
  <c r="CK86" i="11" s="1"/>
  <c r="CK128" i="11"/>
  <c r="CK126" i="11"/>
  <c r="CK85" i="11" s="1"/>
  <c r="K203" i="11"/>
  <c r="BF28" i="12"/>
  <c r="AL28" i="12"/>
  <c r="BC28" i="12"/>
  <c r="BE28" i="12"/>
  <c r="AY28" i="12"/>
  <c r="AE28" i="12"/>
  <c r="AQ28" i="12"/>
  <c r="BR199" i="11"/>
  <c r="CD199" i="11"/>
  <c r="BO199" i="11"/>
  <c r="BK199" i="11"/>
  <c r="CN199" i="11"/>
  <c r="CI199" i="11"/>
  <c r="AW199" i="11"/>
  <c r="AS199" i="11"/>
  <c r="CJ199" i="11"/>
  <c r="AM199" i="11"/>
  <c r="CM199" i="11"/>
  <c r="CO199" i="11"/>
  <c r="BU199" i="11"/>
  <c r="AR199" i="11"/>
  <c r="AK199" i="11"/>
  <c r="BJ28" i="12"/>
  <c r="BG199" i="11"/>
  <c r="AX199" i="11"/>
  <c r="AF199" i="11"/>
  <c r="AZ199" i="11"/>
  <c r="BQ199" i="11"/>
  <c r="BI28" i="12"/>
  <c r="CW170" i="11" l="1"/>
  <c r="CW171" i="11" s="1"/>
  <c r="CW172" i="11" s="1"/>
  <c r="CW166" i="11" s="1"/>
  <c r="CW199" i="11"/>
  <c r="DA378" i="136"/>
  <c r="DA379" i="136"/>
  <c r="DA376" i="136"/>
  <c r="DS121" i="12"/>
  <c r="DS68" i="134"/>
  <c r="DS54" i="134"/>
  <c r="DR21" i="12"/>
  <c r="DA125" i="136"/>
  <c r="DA116" i="136"/>
  <c r="DA188" i="136"/>
  <c r="DA34" i="134"/>
  <c r="DA71" i="12" s="1"/>
  <c r="Q203" i="11"/>
  <c r="AG203" i="11"/>
  <c r="BI203" i="11"/>
  <c r="AQ203" i="11"/>
  <c r="BD203" i="11"/>
  <c r="BC203" i="11"/>
  <c r="CN142" i="11"/>
  <c r="CK87" i="11"/>
  <c r="BX199" i="11"/>
  <c r="DA44" i="134"/>
  <c r="BP199" i="11"/>
  <c r="BL203" i="11"/>
  <c r="BG146" i="11"/>
  <c r="BC146" i="11"/>
  <c r="BC149" i="11" s="1"/>
  <c r="BG149" i="11" s="1"/>
  <c r="DM21" i="12"/>
  <c r="DL21" i="12"/>
  <c r="DS13" i="11"/>
  <c r="S59" i="12"/>
  <c r="T56" i="12"/>
  <c r="T53" i="12" s="1"/>
  <c r="CO170" i="11"/>
  <c r="CO171" i="11" s="1"/>
  <c r="CO172" i="11" s="1"/>
  <c r="CO166" i="11" s="1"/>
  <c r="DA38" i="134"/>
  <c r="DA45" i="134" s="1"/>
  <c r="DA37" i="134"/>
  <c r="BC157" i="11"/>
  <c r="BC158" i="11" s="1"/>
  <c r="BG158" i="11" s="1"/>
  <c r="BG157" i="11"/>
  <c r="CP170" i="11"/>
  <c r="CP171" i="11" s="1"/>
  <c r="CP172" i="11" s="1"/>
  <c r="CP166" i="11" s="1"/>
  <c r="BM170" i="11"/>
  <c r="BM171" i="11" s="1"/>
  <c r="BA170" i="11"/>
  <c r="BA171" i="11" s="1"/>
  <c r="BA172" i="11" s="1"/>
  <c r="BA166" i="11" s="1"/>
  <c r="CP142" i="11"/>
  <c r="CH199" i="11"/>
  <c r="BV199" i="11"/>
  <c r="BM199" i="11"/>
  <c r="CB199" i="11"/>
  <c r="CG199" i="11"/>
  <c r="CA199" i="11"/>
  <c r="BA199" i="11"/>
  <c r="AU199" i="11"/>
  <c r="AE203" i="11"/>
  <c r="CP199" i="11"/>
  <c r="AZ28" i="12"/>
  <c r="BA28" i="12"/>
  <c r="AM28" i="12"/>
  <c r="BK28" i="12"/>
  <c r="AF28" i="12"/>
  <c r="BG28" i="12"/>
  <c r="AW28" i="12"/>
  <c r="AU28" i="12"/>
  <c r="AX28" i="12"/>
  <c r="AK28" i="12"/>
  <c r="BM28" i="12"/>
  <c r="AS28" i="12"/>
  <c r="AR28" i="12"/>
  <c r="DA57" i="134" l="1"/>
  <c r="CS203" i="11"/>
  <c r="CV203" i="11"/>
  <c r="CT203" i="11"/>
  <c r="CY203" i="11"/>
  <c r="DG71" i="134"/>
  <c r="BM172" i="11"/>
  <c r="BM166" i="11" s="1"/>
  <c r="DA67" i="11"/>
  <c r="DA66" i="11"/>
  <c r="DA117" i="136"/>
  <c r="DA126" i="136"/>
  <c r="DA91" i="134"/>
  <c r="DA201" i="11"/>
  <c r="DA203" i="11" s="1"/>
  <c r="DA35" i="134"/>
  <c r="DA71" i="134"/>
  <c r="DA60" i="134"/>
  <c r="CG203" i="11"/>
  <c r="CC203" i="11"/>
  <c r="CM203" i="11"/>
  <c r="BU203" i="11"/>
  <c r="CO203" i="11"/>
  <c r="BO203" i="11"/>
  <c r="AK203" i="11"/>
  <c r="BE203" i="11"/>
  <c r="BJ203" i="11"/>
  <c r="AL203" i="11"/>
  <c r="AZ203" i="11"/>
  <c r="AY203" i="11"/>
  <c r="BF203" i="11"/>
  <c r="AW203" i="11"/>
  <c r="DA46" i="134"/>
  <c r="BG151" i="11"/>
  <c r="BG152" i="11" s="1"/>
  <c r="DS21" i="12"/>
  <c r="T59" i="12"/>
  <c r="U56" i="12"/>
  <c r="U53" i="12" s="1"/>
  <c r="BG160" i="11"/>
  <c r="BG161" i="11" s="1"/>
  <c r="BS199" i="11"/>
  <c r="CE199" i="11"/>
  <c r="CQ199" i="11"/>
  <c r="AT91" i="11"/>
  <c r="CU203" i="11" l="1"/>
  <c r="CZ203" i="11"/>
  <c r="DA72" i="134"/>
  <c r="DA128" i="136"/>
  <c r="DA43" i="134"/>
  <c r="DA130" i="12"/>
  <c r="CN203" i="11"/>
  <c r="CH203" i="11"/>
  <c r="CI203" i="11"/>
  <c r="BR203" i="11"/>
  <c r="CP203" i="11"/>
  <c r="BQ203" i="11"/>
  <c r="CB203" i="11"/>
  <c r="CA203" i="11"/>
  <c r="CD203" i="11"/>
  <c r="CJ203" i="11"/>
  <c r="BG203" i="11"/>
  <c r="AS203" i="11"/>
  <c r="BK203" i="11"/>
  <c r="AR203" i="11"/>
  <c r="AF203" i="11"/>
  <c r="AM203" i="11"/>
  <c r="AX203" i="11"/>
  <c r="BA203" i="11"/>
  <c r="AU203" i="11"/>
  <c r="BM203" i="11"/>
  <c r="BG154" i="11"/>
  <c r="BM146" i="11" s="1"/>
  <c r="BG163" i="11"/>
  <c r="BI157" i="11" s="1"/>
  <c r="BI158" i="11" s="1"/>
  <c r="BM158" i="11" s="1"/>
  <c r="U59" i="12"/>
  <c r="V56" i="12"/>
  <c r="CN170" i="11"/>
  <c r="CN171" i="11" s="1"/>
  <c r="CN172" i="11" s="1"/>
  <c r="CN166" i="11" s="1"/>
  <c r="BY199" i="11"/>
  <c r="AT92" i="11"/>
  <c r="CW203" i="11" l="1"/>
  <c r="CE203" i="11"/>
  <c r="BP203" i="11"/>
  <c r="CQ203" i="11"/>
  <c r="BS203" i="11"/>
  <c r="BI146" i="11"/>
  <c r="BI149" i="11" s="1"/>
  <c r="BM149" i="11" s="1"/>
  <c r="BM151" i="11" s="1"/>
  <c r="BM157" i="11"/>
  <c r="BM160" i="11" s="1"/>
  <c r="BM161" i="11" s="1"/>
  <c r="Y56" i="12"/>
  <c r="BV203" i="11"/>
  <c r="CQ170" i="11"/>
  <c r="CQ171" i="11" s="1"/>
  <c r="CQ172" i="11" s="1"/>
  <c r="CQ166" i="11" s="1"/>
  <c r="CM170" i="11"/>
  <c r="CM171" i="11" s="1"/>
  <c r="CM172" i="11" s="1"/>
  <c r="CM166" i="11" s="1"/>
  <c r="CK199" i="11"/>
  <c r="BY203" i="11" l="1"/>
  <c r="BM152" i="11"/>
  <c r="BM154" i="11"/>
  <c r="Y53" i="12"/>
  <c r="Z56" i="12"/>
  <c r="DM63" i="134"/>
  <c r="BM163" i="11"/>
  <c r="DG177" i="11"/>
  <c r="AT90" i="11"/>
  <c r="CK203" i="11"/>
  <c r="DN37" i="138" l="1"/>
  <c r="BS146" i="11"/>
  <c r="BO146" i="11"/>
  <c r="BO149" i="11" s="1"/>
  <c r="BS149" i="11" s="1"/>
  <c r="Y59" i="12"/>
  <c r="Z53" i="12"/>
  <c r="AA56" i="12"/>
  <c r="DS63" i="134"/>
  <c r="DM66" i="134"/>
  <c r="DS66" i="134"/>
  <c r="DM67" i="134"/>
  <c r="BO157" i="11"/>
  <c r="BO158" i="11" s="1"/>
  <c r="BS158" i="11" s="1"/>
  <c r="BS157" i="11"/>
  <c r="DG174" i="11"/>
  <c r="CP91" i="11"/>
  <c r="BY91" i="11"/>
  <c r="CQ79" i="135"/>
  <c r="CQ78" i="135"/>
  <c r="DG96" i="11"/>
  <c r="DM174" i="11"/>
  <c r="DM177" i="11"/>
  <c r="BY92" i="11"/>
  <c r="DN44" i="138" l="1"/>
  <c r="DT37" i="138"/>
  <c r="DZ44" i="138" s="1"/>
  <c r="BS151" i="11"/>
  <c r="DI11" i="138"/>
  <c r="DI35" i="138"/>
  <c r="Z59" i="12"/>
  <c r="AA53" i="12"/>
  <c r="AB56" i="12"/>
  <c r="DS67" i="134"/>
  <c r="BS160" i="11"/>
  <c r="BS161" i="11" s="1"/>
  <c r="CP92" i="11"/>
  <c r="DM96" i="11"/>
  <c r="DS177" i="11"/>
  <c r="DS174" i="11"/>
  <c r="DT44" i="138" l="1"/>
  <c r="BS152" i="11"/>
  <c r="BS154" i="11"/>
  <c r="DO14" i="138"/>
  <c r="DO37" i="138"/>
  <c r="DI19" i="138"/>
  <c r="DO19" i="138"/>
  <c r="DI42" i="138"/>
  <c r="DO42" i="138"/>
  <c r="AA59" i="12"/>
  <c r="AB53" i="12"/>
  <c r="AE56" i="12"/>
  <c r="BS163" i="11"/>
  <c r="CH170" i="11"/>
  <c r="CH171" i="11" s="1"/>
  <c r="CH172" i="11" s="1"/>
  <c r="CH166" i="11" s="1"/>
  <c r="CB90" i="11"/>
  <c r="DS96" i="11"/>
  <c r="BW202" i="11"/>
  <c r="BW203" i="11" s="1"/>
  <c r="BW195" i="11"/>
  <c r="BW199" i="11" s="1"/>
  <c r="BX202" i="11"/>
  <c r="BX203" i="11" s="1"/>
  <c r="DO54" i="138" l="1"/>
  <c r="DO61" i="138" s="1"/>
  <c r="DO44" i="138"/>
  <c r="DO22" i="138"/>
  <c r="BY146" i="11"/>
  <c r="BU146" i="11"/>
  <c r="BU149" i="11" s="1"/>
  <c r="BY149" i="11" s="1"/>
  <c r="DU14" i="138"/>
  <c r="DU37" i="138"/>
  <c r="EA44" i="138" s="1"/>
  <c r="AB59" i="12"/>
  <c r="AE53" i="12"/>
  <c r="AF56" i="12"/>
  <c r="DE63" i="134"/>
  <c r="DF63" i="134"/>
  <c r="BU157" i="11"/>
  <c r="BU158" i="11" s="1"/>
  <c r="BY158" i="11" s="1"/>
  <c r="BY157" i="11"/>
  <c r="CD90" i="11"/>
  <c r="CP90" i="11"/>
  <c r="CK170" i="11"/>
  <c r="CK171" i="11" s="1"/>
  <c r="CK172" i="11" s="1"/>
  <c r="CK166" i="11" s="1"/>
  <c r="CG170" i="11"/>
  <c r="CG171" i="11" s="1"/>
  <c r="CG172" i="11" s="1"/>
  <c r="CG166" i="11" s="1"/>
  <c r="EA22" i="138" l="1"/>
  <c r="DU54" i="138"/>
  <c r="DU44" i="138"/>
  <c r="DU22" i="138"/>
  <c r="BY151" i="11"/>
  <c r="AE59" i="12"/>
  <c r="AG56" i="12"/>
  <c r="AF53" i="12"/>
  <c r="DQ63" i="134"/>
  <c r="BY160" i="11"/>
  <c r="BY161" i="11" s="1"/>
  <c r="DU61" i="138" l="1"/>
  <c r="EA61" i="138"/>
  <c r="BY152" i="11"/>
  <c r="BY154" i="11"/>
  <c r="AF59" i="12"/>
  <c r="AH56" i="12"/>
  <c r="AG53" i="12"/>
  <c r="DR63" i="134"/>
  <c r="DL63" i="134"/>
  <c r="DQ66" i="134"/>
  <c r="DF66" i="134"/>
  <c r="CZ149" i="11"/>
  <c r="BY163" i="11"/>
  <c r="CD170" i="11"/>
  <c r="CD171" i="11" s="1"/>
  <c r="CD172" i="11" s="1"/>
  <c r="CD166" i="11" s="1"/>
  <c r="BY43" i="12"/>
  <c r="DK177" i="11"/>
  <c r="CC170" i="11"/>
  <c r="CC171" i="11" s="1"/>
  <c r="CC172" i="11" s="1"/>
  <c r="CC166" i="11" s="1"/>
  <c r="BY48" i="12" l="1"/>
  <c r="BY55" i="12" s="1"/>
  <c r="CE146" i="11"/>
  <c r="CA146" i="11"/>
  <c r="CA149" i="11" s="1"/>
  <c r="CE149" i="11" s="1"/>
  <c r="AG59" i="12"/>
  <c r="AH53" i="12"/>
  <c r="AK56" i="12"/>
  <c r="DL67" i="134"/>
  <c r="DL66" i="134"/>
  <c r="DQ67" i="134"/>
  <c r="CA157" i="11"/>
  <c r="CA158" i="11" s="1"/>
  <c r="CE158" i="11" s="1"/>
  <c r="CE157" i="11"/>
  <c r="BX90" i="11"/>
  <c r="DF177" i="11"/>
  <c r="DL177" i="11"/>
  <c r="DQ177" i="11"/>
  <c r="CE151" i="11" l="1"/>
  <c r="AH59" i="12"/>
  <c r="AL56" i="12"/>
  <c r="AK53" i="12"/>
  <c r="DR66" i="134"/>
  <c r="DR67" i="134"/>
  <c r="CE160" i="11"/>
  <c r="CE161" i="11" s="1"/>
  <c r="DA149" i="11"/>
  <c r="DB149" i="11"/>
  <c r="CB170" i="11"/>
  <c r="CB171" i="11" s="1"/>
  <c r="CB172" i="11" s="1"/>
  <c r="CB166" i="11" s="1"/>
  <c r="BY90" i="11"/>
  <c r="DR177" i="11"/>
  <c r="CE152" i="11" l="1"/>
  <c r="CE154" i="11"/>
  <c r="CE163" i="11"/>
  <c r="CG157" i="11" s="1"/>
  <c r="CG158" i="11" s="1"/>
  <c r="CK158" i="11" s="1"/>
  <c r="AK59" i="12"/>
  <c r="AL53" i="12"/>
  <c r="AM56" i="12"/>
  <c r="CE170" i="11"/>
  <c r="CE171" i="11" s="1"/>
  <c r="CE172" i="11" s="1"/>
  <c r="CE166" i="11" s="1"/>
  <c r="CA170" i="11"/>
  <c r="CA171" i="11" s="1"/>
  <c r="CA172" i="11" s="1"/>
  <c r="CA166" i="11" s="1"/>
  <c r="DO109" i="12"/>
  <c r="DO111" i="12" s="1"/>
  <c r="DK109" i="12"/>
  <c r="DK111" i="12" s="1"/>
  <c r="DL109" i="12" s="1"/>
  <c r="DL111" i="12" s="1"/>
  <c r="DM109" i="12" s="1"/>
  <c r="DM111" i="12" s="1"/>
  <c r="DN109" i="12" s="1"/>
  <c r="DN111" i="12" s="1"/>
  <c r="CK146" i="11" l="1"/>
  <c r="CG146" i="11"/>
  <c r="CG149" i="11" s="1"/>
  <c r="CK149" i="11" s="1"/>
  <c r="CK157" i="11"/>
  <c r="CK160" i="11" s="1"/>
  <c r="AL59" i="12"/>
  <c r="AN56" i="12"/>
  <c r="AM53" i="12"/>
  <c r="DQ109" i="12"/>
  <c r="DQ111" i="12" s="1"/>
  <c r="DR109" i="12" s="1"/>
  <c r="DR111" i="12" s="1"/>
  <c r="DS109" i="12" s="1"/>
  <c r="DS111" i="12" s="1"/>
  <c r="DT109" i="12" s="1"/>
  <c r="DT111" i="12" s="1"/>
  <c r="DU109" i="12"/>
  <c r="DU111" i="12" s="1"/>
  <c r="BX170" i="11"/>
  <c r="BX171" i="11" s="1"/>
  <c r="BX172" i="11" s="1"/>
  <c r="BX166" i="11" s="1"/>
  <c r="EA109" i="12" l="1"/>
  <c r="EA111" i="12" s="1"/>
  <c r="DW109" i="12"/>
  <c r="DW111" i="12" s="1"/>
  <c r="DX109" i="12" s="1"/>
  <c r="DX111" i="12" s="1"/>
  <c r="DY109" i="12" s="1"/>
  <c r="DY111" i="12" s="1"/>
  <c r="DZ109" i="12" s="1"/>
  <c r="DZ111" i="12" s="1"/>
  <c r="CK151" i="11"/>
  <c r="AM59" i="12"/>
  <c r="CK163" i="11"/>
  <c r="CQ157" i="11" s="1"/>
  <c r="CK161" i="11"/>
  <c r="AQ56" i="12"/>
  <c r="AN53" i="12"/>
  <c r="BW170" i="11"/>
  <c r="BW171" i="11" s="1"/>
  <c r="BW172" i="11" s="1"/>
  <c r="BW166" i="11" s="1"/>
  <c r="EC109" i="12" l="1"/>
  <c r="EC111" i="12" s="1"/>
  <c r="ED109" i="12" s="1"/>
  <c r="ED111" i="12" s="1"/>
  <c r="EE109" i="12" s="1"/>
  <c r="EE111" i="12" s="1"/>
  <c r="EF109" i="12" s="1"/>
  <c r="EF111" i="12" s="1"/>
  <c r="EG109" i="12"/>
  <c r="EG111" i="12" s="1"/>
  <c r="CM157" i="11"/>
  <c r="CM158" i="11" s="1"/>
  <c r="CQ158" i="11" s="1"/>
  <c r="CQ160" i="11" s="1"/>
  <c r="CQ161" i="11" s="1"/>
  <c r="CK152" i="11"/>
  <c r="CK154" i="11"/>
  <c r="AN59" i="12"/>
  <c r="AQ53" i="12"/>
  <c r="BV170" i="11"/>
  <c r="BV171" i="11" s="1"/>
  <c r="BV172" i="11" s="1"/>
  <c r="BV166" i="11" s="1"/>
  <c r="CQ146" i="11" l="1"/>
  <c r="CM146" i="11"/>
  <c r="CM149" i="11" s="1"/>
  <c r="CQ149" i="11" s="1"/>
  <c r="AQ59" i="12"/>
  <c r="AR56" i="12"/>
  <c r="AS56" i="12" s="1"/>
  <c r="CQ151" i="11" l="1"/>
  <c r="CQ152" i="11" s="1"/>
  <c r="AR53" i="12"/>
  <c r="AS53" i="12"/>
  <c r="AT56" i="12"/>
  <c r="BY170" i="11"/>
  <c r="BY171" i="11" s="1"/>
  <c r="BY172" i="11" s="1"/>
  <c r="BY166" i="11" s="1"/>
  <c r="BU170" i="11"/>
  <c r="BU171" i="11" s="1"/>
  <c r="BU172" i="11" s="1"/>
  <c r="BU166" i="11" s="1"/>
  <c r="CQ154" i="11" l="1"/>
  <c r="CS146" i="11" s="1"/>
  <c r="CS149" i="11" s="1"/>
  <c r="CW149" i="11" s="1"/>
  <c r="AS59" i="12"/>
  <c r="AR59" i="12"/>
  <c r="AT53" i="12"/>
  <c r="CW146" i="11" l="1"/>
  <c r="AT59" i="12"/>
  <c r="AW56" i="12"/>
  <c r="AW53" i="12" s="1"/>
  <c r="BR170" i="11"/>
  <c r="BR171" i="11" s="1"/>
  <c r="BR172" i="11" s="1"/>
  <c r="BR166" i="11" s="1"/>
  <c r="BQ170" i="11"/>
  <c r="BQ171" i="11" s="1"/>
  <c r="BQ172" i="11" s="1"/>
  <c r="BQ166" i="11" s="1"/>
  <c r="CW151" i="11" l="1"/>
  <c r="CW152" i="11" s="1"/>
  <c r="AW59" i="12"/>
  <c r="AX56" i="12"/>
  <c r="AX53" i="12" s="1"/>
  <c r="CW154" i="11" l="1"/>
  <c r="DC146" i="11" s="1"/>
  <c r="AX59" i="12"/>
  <c r="BP170" i="11"/>
  <c r="BP171" i="11" s="1"/>
  <c r="BP172" i="11" s="1"/>
  <c r="BP166" i="11" s="1"/>
  <c r="CY146" i="11" l="1"/>
  <c r="CY149" i="11" s="1"/>
  <c r="DC149" i="11" s="1"/>
  <c r="DC151" i="11" s="1"/>
  <c r="AY56" i="12"/>
  <c r="BS170" i="11"/>
  <c r="BS171" i="11" s="1"/>
  <c r="BS172" i="11" s="1"/>
  <c r="BS166" i="11" s="1"/>
  <c r="BO170" i="11"/>
  <c r="BO171" i="11" s="1"/>
  <c r="BO172" i="11" s="1"/>
  <c r="BO166" i="11" s="1"/>
  <c r="AY53" i="12" l="1"/>
  <c r="AY59" i="12" l="1"/>
  <c r="AZ56" i="12"/>
  <c r="AZ53" i="12" l="1"/>
  <c r="AZ59" i="12" l="1"/>
  <c r="BC56" i="12"/>
  <c r="BC53" i="12" l="1"/>
  <c r="BC59" i="12" l="1"/>
  <c r="BD56" i="12"/>
  <c r="BD53" i="12" l="1"/>
  <c r="BD59" i="12" l="1"/>
  <c r="BE56" i="12"/>
  <c r="BE53" i="12" l="1"/>
  <c r="BE59" i="12" l="1"/>
  <c r="BF56" i="12"/>
  <c r="DB49" i="134"/>
  <c r="DB52" i="134"/>
  <c r="DB53" i="134"/>
  <c r="DB63" i="134"/>
  <c r="DB13" i="134"/>
  <c r="DH51" i="134" s="1"/>
  <c r="DC11" i="134"/>
  <c r="DC54" i="134" l="1"/>
  <c r="DB350" i="136"/>
  <c r="DB351" i="136" s="1"/>
  <c r="DC25" i="136"/>
  <c r="DC99" i="134"/>
  <c r="DC72" i="12"/>
  <c r="DC68" i="12"/>
  <c r="DB20" i="134"/>
  <c r="DN38" i="138"/>
  <c r="DC119" i="11"/>
  <c r="DE111" i="11" s="1"/>
  <c r="BF53" i="12"/>
  <c r="DB192" i="11"/>
  <c r="DC49" i="134"/>
  <c r="DC53" i="134"/>
  <c r="DC52" i="134"/>
  <c r="DC13" i="134"/>
  <c r="DC63" i="134"/>
  <c r="DB50" i="134"/>
  <c r="DB51" i="134"/>
  <c r="DH69" i="134" l="1"/>
  <c r="DH56" i="134"/>
  <c r="DN45" i="138"/>
  <c r="DB359" i="136"/>
  <c r="DB368" i="136" s="1"/>
  <c r="DC141" i="11"/>
  <c r="DC143" i="11"/>
  <c r="DC350" i="136"/>
  <c r="DC351" i="136" s="1"/>
  <c r="DB56" i="134"/>
  <c r="DB168" i="11"/>
  <c r="DC168" i="11" s="1"/>
  <c r="DB72" i="11"/>
  <c r="DB27" i="134"/>
  <c r="DB22" i="134"/>
  <c r="DC20" i="134"/>
  <c r="DT38" i="138"/>
  <c r="DZ45" i="138" s="1"/>
  <c r="DC121" i="11"/>
  <c r="DC148" i="11"/>
  <c r="BF59" i="12"/>
  <c r="BI56" i="12"/>
  <c r="DB69" i="134"/>
  <c r="DB55" i="134"/>
  <c r="DC51" i="134"/>
  <c r="DC50" i="134"/>
  <c r="DH167" i="11" l="1"/>
  <c r="DH206" i="11"/>
  <c r="DB29" i="134"/>
  <c r="DB70" i="12" s="1"/>
  <c r="DB358" i="136"/>
  <c r="DB360" i="136"/>
  <c r="DB369" i="136" s="1"/>
  <c r="DT45" i="138"/>
  <c r="DC35" i="136"/>
  <c r="DC359" i="136"/>
  <c r="DC368" i="136" s="1"/>
  <c r="DB197" i="11"/>
  <c r="DN16" i="138"/>
  <c r="FA16" i="138" s="1"/>
  <c r="DT16" i="138"/>
  <c r="DI11" i="134"/>
  <c r="DB73" i="11"/>
  <c r="DB78" i="135" s="1"/>
  <c r="DB71" i="11"/>
  <c r="DC72" i="11"/>
  <c r="DC27" i="134"/>
  <c r="DC56" i="134"/>
  <c r="DN39" i="138"/>
  <c r="DO15" i="138"/>
  <c r="DO38" i="138"/>
  <c r="DT11" i="134"/>
  <c r="DN11" i="134"/>
  <c r="BI53" i="12"/>
  <c r="DT39" i="138"/>
  <c r="DC55" i="134"/>
  <c r="DC69" i="134"/>
  <c r="DB59" i="134"/>
  <c r="DC13" i="11"/>
  <c r="DB174" i="11"/>
  <c r="DC16" i="11"/>
  <c r="DB177" i="11"/>
  <c r="DB109" i="11"/>
  <c r="DB96" i="11"/>
  <c r="DI119" i="11" l="1"/>
  <c r="DB390" i="136"/>
  <c r="DI206" i="11"/>
  <c r="DZ63" i="134"/>
  <c r="DT206" i="11"/>
  <c r="DN167" i="11"/>
  <c r="DN206" i="11"/>
  <c r="DZ46" i="138"/>
  <c r="DZ24" i="138"/>
  <c r="DT167" i="11"/>
  <c r="DI167" i="11"/>
  <c r="DC29" i="134"/>
  <c r="DC70" i="12" s="1"/>
  <c r="DB370" i="136"/>
  <c r="DB377" i="136"/>
  <c r="DT25" i="136"/>
  <c r="DN24" i="138"/>
  <c r="DO45" i="138"/>
  <c r="DN25" i="136"/>
  <c r="DN46" i="138"/>
  <c r="DB198" i="11"/>
  <c r="DB114" i="136"/>
  <c r="DB185" i="136"/>
  <c r="DB187" i="136" s="1"/>
  <c r="DI25" i="136"/>
  <c r="DC360" i="136"/>
  <c r="DC369" i="136" s="1"/>
  <c r="DC358" i="136"/>
  <c r="DC197" i="11"/>
  <c r="DI63" i="134"/>
  <c r="DN16" i="134"/>
  <c r="DN15" i="134"/>
  <c r="DO15" i="134" s="1"/>
  <c r="DT16" i="134"/>
  <c r="DZ67" i="134" s="1"/>
  <c r="DT15" i="134"/>
  <c r="DZ66" i="134" s="1"/>
  <c r="DN63" i="134"/>
  <c r="DT46" i="138"/>
  <c r="DU15" i="138"/>
  <c r="DO23" i="138"/>
  <c r="DT24" i="138"/>
  <c r="DW32" i="138" s="1"/>
  <c r="DU38" i="138"/>
  <c r="EA45" i="138" s="1"/>
  <c r="DO16" i="138"/>
  <c r="DI16" i="134"/>
  <c r="DT119" i="11"/>
  <c r="DU11" i="134"/>
  <c r="DN119" i="11"/>
  <c r="DO11" i="134"/>
  <c r="DC177" i="11"/>
  <c r="DC132" i="11"/>
  <c r="DC123" i="11"/>
  <c r="DC174" i="11"/>
  <c r="DC130" i="11"/>
  <c r="DC122" i="11"/>
  <c r="DE36" i="12"/>
  <c r="BI59" i="12"/>
  <c r="BJ56" i="12"/>
  <c r="DT63" i="134"/>
  <c r="DC59" i="134"/>
  <c r="DC390" i="136" s="1"/>
  <c r="DB36" i="134"/>
  <c r="DC96" i="11"/>
  <c r="DZ32" i="138" l="1"/>
  <c r="EA32" i="138" s="1"/>
  <c r="EC32" i="138"/>
  <c r="EG32" i="138" s="1"/>
  <c r="DI141" i="11"/>
  <c r="DI121" i="11"/>
  <c r="DI143" i="11"/>
  <c r="DI148" i="11"/>
  <c r="DI364" i="136"/>
  <c r="DI365" i="136" s="1"/>
  <c r="DU206" i="11"/>
  <c r="DO206" i="11"/>
  <c r="EA63" i="134"/>
  <c r="DX111" i="11"/>
  <c r="DX100" i="11"/>
  <c r="DW100" i="11"/>
  <c r="EA23" i="138"/>
  <c r="DU167" i="11"/>
  <c r="DO167" i="11"/>
  <c r="DQ32" i="138"/>
  <c r="FA24" i="138"/>
  <c r="DB379" i="136"/>
  <c r="DB378" i="136"/>
  <c r="DB376" i="136"/>
  <c r="DN32" i="138"/>
  <c r="DO32" i="138" s="1"/>
  <c r="DT362" i="136"/>
  <c r="DN362" i="136"/>
  <c r="DN364" i="136"/>
  <c r="DU45" i="138"/>
  <c r="DT364" i="136"/>
  <c r="DC377" i="136"/>
  <c r="DH121" i="12"/>
  <c r="DT140" i="11"/>
  <c r="DN140" i="11"/>
  <c r="DU25" i="136"/>
  <c r="DB116" i="136"/>
  <c r="DB125" i="136"/>
  <c r="DC114" i="136"/>
  <c r="DC185" i="136"/>
  <c r="DC195" i="136" s="1"/>
  <c r="DC196" i="136" s="1"/>
  <c r="DO25" i="136"/>
  <c r="DB188" i="136"/>
  <c r="DC187" i="136"/>
  <c r="DC188" i="136" s="1"/>
  <c r="DC370" i="136"/>
  <c r="DI53" i="134"/>
  <c r="DB32" i="134"/>
  <c r="DU15" i="134"/>
  <c r="DU16" i="134"/>
  <c r="DO16" i="134"/>
  <c r="DN147" i="11"/>
  <c r="DO147" i="11" s="1"/>
  <c r="DT147" i="11"/>
  <c r="DU147" i="11" s="1"/>
  <c r="DF36" i="12"/>
  <c r="DF38" i="12" s="1"/>
  <c r="DF72" i="12"/>
  <c r="DC198" i="11"/>
  <c r="DU119" i="11"/>
  <c r="DT66" i="134"/>
  <c r="DT32" i="138"/>
  <c r="DO24" i="138"/>
  <c r="DU23" i="138"/>
  <c r="DO39" i="138"/>
  <c r="DU63" i="134"/>
  <c r="DO119" i="11"/>
  <c r="DO63" i="134"/>
  <c r="DT132" i="11"/>
  <c r="DT130" i="11"/>
  <c r="DI67" i="134"/>
  <c r="DN67" i="134"/>
  <c r="DT17" i="134"/>
  <c r="DZ68" i="134" s="1"/>
  <c r="DN132" i="11"/>
  <c r="DN130" i="11"/>
  <c r="DN17" i="134"/>
  <c r="DN66" i="134"/>
  <c r="DU16" i="138"/>
  <c r="DE38" i="12"/>
  <c r="BJ53" i="12"/>
  <c r="DT67" i="134"/>
  <c r="DB184" i="11"/>
  <c r="DC84" i="11"/>
  <c r="DK32" i="12"/>
  <c r="DB57" i="134" l="1"/>
  <c r="EA66" i="134"/>
  <c r="EA67" i="134"/>
  <c r="EA24" i="138"/>
  <c r="DU32" i="138"/>
  <c r="DC379" i="136"/>
  <c r="DK72" i="12"/>
  <c r="DO46" i="138"/>
  <c r="DC378" i="136"/>
  <c r="DC376" i="136"/>
  <c r="DN121" i="12"/>
  <c r="DN68" i="134"/>
  <c r="DN54" i="134"/>
  <c r="DT121" i="12"/>
  <c r="DT68" i="134"/>
  <c r="DT54" i="134"/>
  <c r="DC198" i="136"/>
  <c r="DI179" i="11"/>
  <c r="DH179" i="11"/>
  <c r="DO140" i="11"/>
  <c r="DO141" i="11" s="1"/>
  <c r="DN21" i="11"/>
  <c r="DU140" i="11"/>
  <c r="DU141" i="11" s="1"/>
  <c r="DT21" i="11"/>
  <c r="DB117" i="136"/>
  <c r="DC116" i="136"/>
  <c r="DC117" i="136" s="1"/>
  <c r="DB126" i="136"/>
  <c r="DC125" i="136"/>
  <c r="DC126" i="136" s="1"/>
  <c r="DU362" i="136"/>
  <c r="DU363" i="136" s="1"/>
  <c r="DU52" i="134"/>
  <c r="DO364" i="136"/>
  <c r="DO365" i="136" s="1"/>
  <c r="DO53" i="134"/>
  <c r="DO362" i="136"/>
  <c r="DO363" i="136" s="1"/>
  <c r="DO52" i="134"/>
  <c r="DU364" i="136"/>
  <c r="DU365" i="136" s="1"/>
  <c r="DU53" i="134"/>
  <c r="DB34" i="134"/>
  <c r="DB71" i="12" s="1"/>
  <c r="DB37" i="134"/>
  <c r="DB38" i="134"/>
  <c r="DU148" i="11"/>
  <c r="DU17" i="134"/>
  <c r="EA68" i="134" s="1"/>
  <c r="DG36" i="12"/>
  <c r="DG38" i="12" s="1"/>
  <c r="DG72" i="12"/>
  <c r="DH36" i="12"/>
  <c r="DH38" i="12" s="1"/>
  <c r="DO148" i="11"/>
  <c r="DU66" i="134"/>
  <c r="DU24" i="138"/>
  <c r="DU39" i="138"/>
  <c r="EA46" i="138" s="1"/>
  <c r="DK24" i="12"/>
  <c r="DI24" i="12"/>
  <c r="DI16" i="11"/>
  <c r="DH177" i="11"/>
  <c r="DO17" i="134"/>
  <c r="DN13" i="11"/>
  <c r="DO130" i="11"/>
  <c r="DO67" i="134"/>
  <c r="DU132" i="11"/>
  <c r="DT16" i="11"/>
  <c r="DW24" i="12" s="1"/>
  <c r="EA24" i="12" s="1"/>
  <c r="DK21" i="12"/>
  <c r="DI13" i="11"/>
  <c r="DH174" i="11"/>
  <c r="DO132" i="11"/>
  <c r="DN16" i="11"/>
  <c r="DT13" i="11"/>
  <c r="DW21" i="12" s="1"/>
  <c r="EA21" i="12" s="1"/>
  <c r="DU130" i="11"/>
  <c r="DK36" i="12"/>
  <c r="BJ59" i="12"/>
  <c r="DI32" i="12"/>
  <c r="BK56" i="12"/>
  <c r="DU67" i="134"/>
  <c r="DC14" i="11"/>
  <c r="DB175" i="11"/>
  <c r="DC32" i="11"/>
  <c r="DO121" i="11"/>
  <c r="DQ32" i="12"/>
  <c r="DL32" i="12"/>
  <c r="DB98" i="11"/>
  <c r="DB97" i="11"/>
  <c r="DI130" i="11" l="1"/>
  <c r="DI96" i="11"/>
  <c r="DI122" i="11"/>
  <c r="DI84" i="11" s="1"/>
  <c r="DI132" i="11"/>
  <c r="DI123" i="11"/>
  <c r="DI72" i="12"/>
  <c r="DC57" i="134"/>
  <c r="DT177" i="11"/>
  <c r="DQ72" i="12"/>
  <c r="DU46" i="138"/>
  <c r="DT174" i="11"/>
  <c r="DO121" i="12"/>
  <c r="DO54" i="134"/>
  <c r="DU121" i="12"/>
  <c r="DU68" i="134"/>
  <c r="DU54" i="134"/>
  <c r="DO21" i="11"/>
  <c r="DO179" i="11" s="1"/>
  <c r="DN179" i="11"/>
  <c r="DU21" i="11"/>
  <c r="DU179" i="11" s="1"/>
  <c r="DT179" i="11"/>
  <c r="DI21" i="12"/>
  <c r="DC128" i="136"/>
  <c r="DB128" i="136"/>
  <c r="DB91" i="134"/>
  <c r="DB201" i="11"/>
  <c r="DB60" i="134"/>
  <c r="DB35" i="134"/>
  <c r="DB71" i="134"/>
  <c r="DI36" i="12"/>
  <c r="DI38" i="12" s="1"/>
  <c r="DC112" i="11"/>
  <c r="DC111" i="11"/>
  <c r="DL36" i="12"/>
  <c r="DL38" i="12" s="1"/>
  <c r="DL72" i="12"/>
  <c r="DT96" i="11"/>
  <c r="DO16" i="11"/>
  <c r="DQ24" i="12"/>
  <c r="DN24" i="12"/>
  <c r="DO24" i="12" s="1"/>
  <c r="DN177" i="11"/>
  <c r="DU16" i="11"/>
  <c r="DU123" i="11" s="1"/>
  <c r="DT24" i="12"/>
  <c r="DO13" i="11"/>
  <c r="DQ21" i="12"/>
  <c r="DN21" i="12"/>
  <c r="DN174" i="11"/>
  <c r="DN96" i="11"/>
  <c r="DU13" i="11"/>
  <c r="DT21" i="12"/>
  <c r="DI174" i="11"/>
  <c r="DI177" i="11"/>
  <c r="DQ36" i="12"/>
  <c r="DK38" i="12"/>
  <c r="DC133" i="11"/>
  <c r="DC127" i="11"/>
  <c r="DC175" i="11"/>
  <c r="DC131" i="11"/>
  <c r="DC126" i="11"/>
  <c r="DC85" i="11" s="1"/>
  <c r="BK53" i="12"/>
  <c r="DC184" i="11"/>
  <c r="DB99" i="11"/>
  <c r="DB100" i="11" s="1"/>
  <c r="DK174" i="11"/>
  <c r="DK84" i="11"/>
  <c r="DC97" i="11"/>
  <c r="DC98" i="11"/>
  <c r="DU121" i="11"/>
  <c r="DF174" i="11"/>
  <c r="DB105" i="11"/>
  <c r="DB185" i="11"/>
  <c r="DM32" i="12"/>
  <c r="DR32" i="12"/>
  <c r="DU174" i="11" l="1"/>
  <c r="DO21" i="12"/>
  <c r="DU177" i="11"/>
  <c r="DB43" i="134"/>
  <c r="DB130" i="12"/>
  <c r="DB72" i="134"/>
  <c r="DM36" i="12"/>
  <c r="DM38" i="12" s="1"/>
  <c r="DM72" i="12"/>
  <c r="DR36" i="12"/>
  <c r="DR38" i="12" s="1"/>
  <c r="DR72" i="12"/>
  <c r="DB170" i="11"/>
  <c r="DU122" i="11"/>
  <c r="DU84" i="11" s="1"/>
  <c r="DU96" i="11"/>
  <c r="DO122" i="11"/>
  <c r="DO84" i="11" s="1"/>
  <c r="DO96" i="11"/>
  <c r="DO174" i="11"/>
  <c r="DU24" i="12"/>
  <c r="DU21" i="12"/>
  <c r="DO123" i="11"/>
  <c r="DO177" i="11"/>
  <c r="DQ38" i="12"/>
  <c r="BK59" i="12"/>
  <c r="BL56" i="12"/>
  <c r="DC33" i="11"/>
  <c r="DC99" i="11"/>
  <c r="DC100" i="11" s="1"/>
  <c r="DQ84" i="11"/>
  <c r="DQ174" i="11"/>
  <c r="DL84" i="11"/>
  <c r="DL174" i="11"/>
  <c r="DC86" i="11"/>
  <c r="DC87" i="11" s="1"/>
  <c r="DC105" i="11"/>
  <c r="DK96" i="11"/>
  <c r="DS32" i="12"/>
  <c r="DN32" i="12"/>
  <c r="DB171" i="11" l="1"/>
  <c r="DB172" i="11" s="1"/>
  <c r="DB166" i="11" s="1"/>
  <c r="DC170" i="11"/>
  <c r="DF168" i="11"/>
  <c r="DF93" i="134"/>
  <c r="DF99" i="134" s="1"/>
  <c r="DF207" i="11" s="1"/>
  <c r="DF209" i="11" s="1"/>
  <c r="DF210" i="11" s="1"/>
  <c r="DF211" i="11" s="1"/>
  <c r="DF120" i="12"/>
  <c r="DF122" i="12" s="1"/>
  <c r="DF124" i="12" s="1"/>
  <c r="DC128" i="11"/>
  <c r="DS36" i="12"/>
  <c r="DS38" i="12" s="1"/>
  <c r="DS72" i="12"/>
  <c r="DN36" i="12"/>
  <c r="DN38" i="12" s="1"/>
  <c r="DN72" i="12"/>
  <c r="DF65" i="134"/>
  <c r="DF69" i="134"/>
  <c r="DO32" i="12"/>
  <c r="BL53" i="12"/>
  <c r="DC185" i="11"/>
  <c r="DB186" i="11"/>
  <c r="DB189" i="11" s="1"/>
  <c r="DR174" i="11"/>
  <c r="DR84" i="11"/>
  <c r="DL96" i="11"/>
  <c r="DQ96" i="11"/>
  <c r="DT32" i="12"/>
  <c r="DO36" i="12" l="1"/>
  <c r="DO38" i="12" s="1"/>
  <c r="DT36" i="12"/>
  <c r="DT38" i="12" s="1"/>
  <c r="DT72" i="12"/>
  <c r="DO72" i="12"/>
  <c r="DU32" i="12"/>
  <c r="BL59" i="12"/>
  <c r="DI34" i="11"/>
  <c r="BO56" i="12"/>
  <c r="DC34" i="11"/>
  <c r="DB45" i="11"/>
  <c r="DK86" i="11"/>
  <c r="DK87" i="11" s="1"/>
  <c r="DR96" i="11"/>
  <c r="DI186" i="11" l="1"/>
  <c r="DI135" i="11"/>
  <c r="DH120" i="12"/>
  <c r="DH122" i="12" s="1"/>
  <c r="DH124" i="12" s="1"/>
  <c r="DU36" i="12"/>
  <c r="DU38" i="12" s="1"/>
  <c r="DU72" i="12"/>
  <c r="DH168" i="11"/>
  <c r="DL13" i="134"/>
  <c r="DF109" i="11"/>
  <c r="DC36" i="11"/>
  <c r="DC135" i="11"/>
  <c r="DC136" i="11" s="1"/>
  <c r="BO57" i="12"/>
  <c r="BO58" i="12" s="1"/>
  <c r="DH186" i="11"/>
  <c r="DF184" i="11"/>
  <c r="DO186" i="11"/>
  <c r="DN186" i="11"/>
  <c r="DC186" i="11"/>
  <c r="DC189" i="11" s="1"/>
  <c r="DC54" i="11"/>
  <c r="DB55" i="11"/>
  <c r="DQ86" i="11"/>
  <c r="DQ87" i="11" s="1"/>
  <c r="DL86" i="11"/>
  <c r="DL87" i="11" s="1"/>
  <c r="DG86" i="11"/>
  <c r="DG87" i="11" s="1"/>
  <c r="DB66" i="11" l="1"/>
  <c r="DB221" i="11"/>
  <c r="DC45" i="11"/>
  <c r="DK168" i="11"/>
  <c r="DK72" i="11"/>
  <c r="DL20" i="134"/>
  <c r="DK120" i="12"/>
  <c r="DK122" i="12" s="1"/>
  <c r="DF175" i="11"/>
  <c r="DL12" i="134"/>
  <c r="DL51" i="134"/>
  <c r="DL50" i="134"/>
  <c r="DK125" i="11"/>
  <c r="DC137" i="11"/>
  <c r="DC109" i="11"/>
  <c r="BP56" i="12"/>
  <c r="BO59" i="12"/>
  <c r="DU186" i="11"/>
  <c r="DT186" i="11"/>
  <c r="DB75" i="11"/>
  <c r="DC55" i="11"/>
  <c r="DB57" i="11"/>
  <c r="DM86" i="11"/>
  <c r="DM87" i="11" s="1"/>
  <c r="DR86" i="11"/>
  <c r="DR87" i="11" s="1"/>
  <c r="DC221" i="11" l="1"/>
  <c r="DB228" i="11"/>
  <c r="DB227" i="11"/>
  <c r="DC57" i="11"/>
  <c r="DL72" i="11"/>
  <c r="DL56" i="134"/>
  <c r="DL168" i="11"/>
  <c r="DL93" i="134"/>
  <c r="DL120" i="12"/>
  <c r="DL122" i="12" s="1"/>
  <c r="DL125" i="11"/>
  <c r="DL49" i="134"/>
  <c r="DL65" i="134"/>
  <c r="DK134" i="11"/>
  <c r="DK33" i="11" s="1"/>
  <c r="DK131" i="11"/>
  <c r="DK133" i="11"/>
  <c r="DK32" i="11" s="1"/>
  <c r="DL55" i="134"/>
  <c r="DL69" i="134"/>
  <c r="BP57" i="12"/>
  <c r="BP59" i="12" s="1"/>
  <c r="DF185" i="11"/>
  <c r="DC75" i="11"/>
  <c r="DB202" i="11"/>
  <c r="DB203" i="11" s="1"/>
  <c r="DS86" i="11"/>
  <c r="DS87" i="11" s="1"/>
  <c r="DC227" i="11" l="1"/>
  <c r="DB230" i="11"/>
  <c r="DC230" i="11"/>
  <c r="DB231" i="11"/>
  <c r="DB68" i="11" s="1"/>
  <c r="DC228" i="11"/>
  <c r="DC231" i="11"/>
  <c r="DC68" i="11" s="1"/>
  <c r="DK25" i="12"/>
  <c r="DK185" i="11"/>
  <c r="DK14" i="11"/>
  <c r="DK136" i="11"/>
  <c r="DK105" i="11"/>
  <c r="DI32" i="11"/>
  <c r="DH184" i="11"/>
  <c r="DQ13" i="134"/>
  <c r="DW51" i="134" s="1"/>
  <c r="DL134" i="11"/>
  <c r="DL33" i="11" s="1"/>
  <c r="DL133" i="11"/>
  <c r="DL32" i="11" s="1"/>
  <c r="DL131" i="11"/>
  <c r="DI33" i="11"/>
  <c r="DH185" i="11"/>
  <c r="DK23" i="12"/>
  <c r="DK98" i="11"/>
  <c r="DK184" i="11"/>
  <c r="DI14" i="11"/>
  <c r="DH175" i="11"/>
  <c r="BP58" i="12"/>
  <c r="BQ56" i="12"/>
  <c r="DF186" i="11"/>
  <c r="DK25" i="11"/>
  <c r="DK186" i="11"/>
  <c r="DC202" i="11"/>
  <c r="DI131" i="11" l="1"/>
  <c r="DI97" i="11"/>
  <c r="DI111" i="11"/>
  <c r="DI98" i="11"/>
  <c r="DI133" i="11"/>
  <c r="DQ20" i="134"/>
  <c r="DL25" i="12"/>
  <c r="DK22" i="12"/>
  <c r="DK111" i="11"/>
  <c r="DL185" i="11"/>
  <c r="DI175" i="11"/>
  <c r="DL14" i="11"/>
  <c r="DL136" i="11"/>
  <c r="DL105" i="11"/>
  <c r="DI184" i="11"/>
  <c r="DK137" i="11"/>
  <c r="DK109" i="11"/>
  <c r="DR13" i="134"/>
  <c r="DX51" i="134" s="1"/>
  <c r="DI185" i="11"/>
  <c r="DL23" i="12"/>
  <c r="DL184" i="11"/>
  <c r="DL98" i="11"/>
  <c r="DQ12" i="134"/>
  <c r="DW65" i="134" s="1"/>
  <c r="DQ50" i="134"/>
  <c r="DQ51" i="134"/>
  <c r="DK175" i="11"/>
  <c r="DK97" i="11"/>
  <c r="DK99" i="11" s="1"/>
  <c r="DK100" i="11" s="1"/>
  <c r="BQ57" i="12"/>
  <c r="BQ59" i="12" s="1"/>
  <c r="DG186" i="11"/>
  <c r="DL25" i="11"/>
  <c r="DL186" i="11"/>
  <c r="DQ186" i="11"/>
  <c r="DI99" i="11" l="1"/>
  <c r="DI100" i="11" s="1"/>
  <c r="DI136" i="11"/>
  <c r="DI105" i="11"/>
  <c r="DW69" i="134"/>
  <c r="DW56" i="134"/>
  <c r="DQ72" i="11"/>
  <c r="DQ56" i="134"/>
  <c r="DQ168" i="11"/>
  <c r="DR20" i="134"/>
  <c r="DQ93" i="134"/>
  <c r="DQ120" i="12"/>
  <c r="DQ122" i="12" s="1"/>
  <c r="DL22" i="12"/>
  <c r="DL111" i="11"/>
  <c r="DQ55" i="134"/>
  <c r="DQ69" i="134"/>
  <c r="DR12" i="134"/>
  <c r="DX65" i="134" s="1"/>
  <c r="DR50" i="134"/>
  <c r="DR51" i="134"/>
  <c r="DL137" i="11"/>
  <c r="DL109" i="11"/>
  <c r="DQ125" i="11"/>
  <c r="DQ49" i="134"/>
  <c r="DQ65" i="134"/>
  <c r="DL175" i="11"/>
  <c r="DL97" i="11"/>
  <c r="DL99" i="11" s="1"/>
  <c r="DL100" i="11" s="1"/>
  <c r="BQ58" i="12"/>
  <c r="BR56" i="12"/>
  <c r="DM186" i="11"/>
  <c r="DR186" i="11"/>
  <c r="DM25" i="11"/>
  <c r="DI109" i="11" l="1"/>
  <c r="DI137" i="11"/>
  <c r="DX69" i="134"/>
  <c r="DX56" i="134"/>
  <c r="DR72" i="11"/>
  <c r="DR56" i="134"/>
  <c r="DR168" i="11"/>
  <c r="DR93" i="134"/>
  <c r="DR120" i="12"/>
  <c r="DR122" i="12" s="1"/>
  <c r="DR125" i="11"/>
  <c r="DR65" i="134"/>
  <c r="DR49" i="134"/>
  <c r="DQ134" i="11"/>
  <c r="DQ33" i="11" s="1"/>
  <c r="DQ133" i="11"/>
  <c r="DQ32" i="11" s="1"/>
  <c r="DQ131" i="11"/>
  <c r="DR69" i="134"/>
  <c r="DR55" i="134"/>
  <c r="DN25" i="11"/>
  <c r="DQ25" i="11" s="1"/>
  <c r="BR57" i="12"/>
  <c r="BR59" i="12" s="1"/>
  <c r="DS186" i="11"/>
  <c r="DQ185" i="11" l="1"/>
  <c r="DQ14" i="11"/>
  <c r="DQ136" i="11"/>
  <c r="DQ105" i="11"/>
  <c r="DQ184" i="11"/>
  <c r="DQ98" i="11"/>
  <c r="DR134" i="11"/>
  <c r="DR33" i="11" s="1"/>
  <c r="DR133" i="11"/>
  <c r="DR32" i="11" s="1"/>
  <c r="DR131" i="11"/>
  <c r="DR25" i="11"/>
  <c r="DO25" i="11"/>
  <c r="BR58" i="12"/>
  <c r="BU56" i="12"/>
  <c r="DR14" i="11" l="1"/>
  <c r="DR136" i="11"/>
  <c r="DR105" i="11"/>
  <c r="DQ175" i="11"/>
  <c r="DQ97" i="11"/>
  <c r="DQ99" i="11" s="1"/>
  <c r="DQ100" i="11" s="1"/>
  <c r="DR25" i="12"/>
  <c r="DR185" i="11"/>
  <c r="DR23" i="12"/>
  <c r="DR184" i="11"/>
  <c r="DR98" i="11"/>
  <c r="DQ137" i="11"/>
  <c r="DQ109" i="11"/>
  <c r="DS25" i="11"/>
  <c r="BU57" i="12"/>
  <c r="AO209" i="11" l="1"/>
  <c r="AO210" i="11" s="1"/>
  <c r="DR22" i="12"/>
  <c r="DR111" i="11"/>
  <c r="DR137" i="11"/>
  <c r="DR109" i="11"/>
  <c r="DR175" i="11"/>
  <c r="DR97" i="11"/>
  <c r="DR99" i="11" s="1"/>
  <c r="DR100" i="11" s="1"/>
  <c r="DT25" i="11"/>
  <c r="DW25" i="11" s="1"/>
  <c r="DX25" i="11" s="1"/>
  <c r="DY25" i="11" s="1"/>
  <c r="DZ25" i="11" s="1"/>
  <c r="EC25" i="11" s="1"/>
  <c r="ED25" i="11" s="1"/>
  <c r="EE25" i="11" s="1"/>
  <c r="EF25" i="11" s="1"/>
  <c r="EG25" i="11" s="1"/>
  <c r="BU58" i="12"/>
  <c r="BV56" i="12"/>
  <c r="BU59" i="12"/>
  <c r="EA25" i="11" l="1"/>
  <c r="AO211" i="11"/>
  <c r="AO230" i="11"/>
  <c r="AO231" i="11"/>
  <c r="AO68" i="11" s="1"/>
  <c r="DU25" i="11"/>
  <c r="BV57" i="12"/>
  <c r="BV59" i="12" s="1"/>
  <c r="AO170" i="11" l="1"/>
  <c r="AO171" i="11" s="1"/>
  <c r="AO172" i="11" s="1"/>
  <c r="AO166" i="11" s="1"/>
  <c r="BV58" i="12"/>
  <c r="BW56" i="12"/>
  <c r="AN199" i="11"/>
  <c r="AN170" i="11"/>
  <c r="AN171" i="11" s="1"/>
  <c r="AN172" i="11" s="1"/>
  <c r="AN166" i="11" s="1"/>
  <c r="AN10" i="12"/>
  <c r="AO199" i="11" l="1"/>
  <c r="BW57" i="12"/>
  <c r="BW59" i="12" s="1"/>
  <c r="AO203" i="11" l="1"/>
  <c r="BW58" i="12"/>
  <c r="BX56" i="12"/>
  <c r="AN203" i="11" l="1"/>
  <c r="BX57" i="12"/>
  <c r="BX58" i="12" l="1"/>
  <c r="CA56" i="12"/>
  <c r="BX59" i="12"/>
  <c r="AH79" i="12"/>
  <c r="AI79" i="12"/>
  <c r="CA57" i="12" l="1"/>
  <c r="CA59" i="12" s="1"/>
  <c r="AC126" i="11" l="1"/>
  <c r="AC85" i="11" s="1"/>
  <c r="AC112" i="11"/>
  <c r="CA58" i="12"/>
  <c r="CB56" i="12"/>
  <c r="AC128" i="11"/>
  <c r="AC127" i="11"/>
  <c r="AC86" i="11" s="1"/>
  <c r="AC87" i="11" l="1"/>
  <c r="AB112" i="11"/>
  <c r="AF112" i="11"/>
  <c r="AG112" i="11"/>
  <c r="AE112" i="11"/>
  <c r="CB57" i="12"/>
  <c r="CB59" i="12" s="1"/>
  <c r="AC79" i="12"/>
  <c r="AB126" i="11"/>
  <c r="AB85" i="11" s="1"/>
  <c r="AB127" i="11"/>
  <c r="AB86" i="11" s="1"/>
  <c r="AB128" i="11"/>
  <c r="AB79" i="12"/>
  <c r="CB58" i="12" l="1"/>
  <c r="CC56" i="12"/>
  <c r="AB87" i="11"/>
  <c r="AC199" i="11"/>
  <c r="CC57" i="12" l="1"/>
  <c r="CC58" i="12" l="1"/>
  <c r="CD56" i="12"/>
  <c r="CC59" i="12"/>
  <c r="AB199" i="11"/>
  <c r="AC203" i="11"/>
  <c r="CD57" i="12" l="1"/>
  <c r="CD59" i="12" s="1"/>
  <c r="CD58" i="12" l="1"/>
  <c r="CG56" i="12"/>
  <c r="AB203" i="11"/>
  <c r="CG57" i="12" l="1"/>
  <c r="AH126" i="11" l="1"/>
  <c r="AH85" i="11" s="1"/>
  <c r="AH112" i="11"/>
  <c r="AK112" i="11"/>
  <c r="AL112" i="11"/>
  <c r="AM112" i="11"/>
  <c r="CG58" i="12"/>
  <c r="CH56" i="12"/>
  <c r="CG59" i="12"/>
  <c r="AH127" i="11"/>
  <c r="AH86" i="11" s="1"/>
  <c r="AH128" i="11"/>
  <c r="AI112" i="11"/>
  <c r="AH87" i="11" l="1"/>
  <c r="CH57" i="12"/>
  <c r="AI126" i="11"/>
  <c r="AI85" i="11" s="1"/>
  <c r="AI127" i="11"/>
  <c r="AI86" i="11" s="1"/>
  <c r="AI128" i="11"/>
  <c r="AH170" i="11" l="1"/>
  <c r="AH171" i="11" s="1"/>
  <c r="AH172" i="11" s="1"/>
  <c r="AH166" i="11" s="1"/>
  <c r="CH58" i="12"/>
  <c r="CI56" i="12"/>
  <c r="CH59" i="12"/>
  <c r="AI87" i="11"/>
  <c r="AH199" i="11" l="1"/>
  <c r="AI170" i="11"/>
  <c r="AI171" i="11" s="1"/>
  <c r="AI172" i="11" s="1"/>
  <c r="AI166" i="11" s="1"/>
  <c r="CI57" i="12"/>
  <c r="AH28" i="12"/>
  <c r="AI199" i="11" l="1"/>
  <c r="CI58" i="12"/>
  <c r="CJ56" i="12"/>
  <c r="CI59" i="12"/>
  <c r="AI28" i="12"/>
  <c r="CJ57" i="12" l="1"/>
  <c r="AH91" i="11"/>
  <c r="AH203" i="11"/>
  <c r="CJ58" i="12" l="1"/>
  <c r="CM56" i="12"/>
  <c r="CJ59" i="12"/>
  <c r="AH92" i="11"/>
  <c r="AI203" i="11"/>
  <c r="CM57" i="12" l="1"/>
  <c r="CM58" i="12" l="1"/>
  <c r="CN56" i="12"/>
  <c r="CM59" i="12"/>
  <c r="AH90" i="11"/>
  <c r="CN57" i="12" l="1"/>
  <c r="AN91" i="11"/>
  <c r="AN92" i="11"/>
  <c r="CN58" i="12" l="1"/>
  <c r="CO56" i="12"/>
  <c r="CN59" i="12"/>
  <c r="AN90" i="11"/>
  <c r="CO57" i="12" l="1"/>
  <c r="Q44" i="12"/>
  <c r="P90" i="11"/>
  <c r="CO58" i="12" l="1"/>
  <c r="CP56" i="12"/>
  <c r="CO59" i="12"/>
  <c r="Q48" i="12"/>
  <c r="Q55" i="12" s="1"/>
  <c r="CP57" i="12" l="1"/>
  <c r="CP59" i="12" s="1"/>
  <c r="Q53" i="12"/>
  <c r="Q90" i="11"/>
  <c r="Q59" i="12" l="1"/>
  <c r="CP58" i="12"/>
  <c r="CS56" i="12"/>
  <c r="W56" i="12"/>
  <c r="DC21" i="134" l="1"/>
  <c r="DB73" i="12"/>
  <c r="DC19" i="11"/>
  <c r="DB178" i="11"/>
  <c r="DB182" i="11" s="1"/>
  <c r="DB191" i="11" s="1"/>
  <c r="DE192" i="11" s="1"/>
  <c r="DE166" i="11" s="1"/>
  <c r="DC26" i="11" l="1"/>
  <c r="DC22" i="134"/>
  <c r="DC98" i="134"/>
  <c r="DB58" i="134"/>
  <c r="DB70" i="134"/>
  <c r="DB91" i="11"/>
  <c r="DC73" i="12"/>
  <c r="DC178" i="11"/>
  <c r="DC182" i="11" s="1"/>
  <c r="DC191" i="11" s="1"/>
  <c r="DC71" i="11" l="1"/>
  <c r="DB79" i="12"/>
  <c r="DB69" i="12"/>
  <c r="DB131" i="12"/>
  <c r="DC79" i="12"/>
  <c r="DC131" i="12"/>
  <c r="DC69" i="12"/>
  <c r="DC70" i="134"/>
  <c r="DC73" i="11"/>
  <c r="DC78" i="135" s="1"/>
  <c r="DC58" i="134"/>
  <c r="DB92" i="11"/>
  <c r="DB93" i="11" s="1"/>
  <c r="DC91" i="11"/>
  <c r="DB62" i="12" l="1"/>
  <c r="DB64" i="12" s="1"/>
  <c r="DC154" i="11"/>
  <c r="DC152" i="11"/>
  <c r="DB79" i="11"/>
  <c r="DB90" i="11"/>
  <c r="DC92" i="11"/>
  <c r="DC93" i="11" s="1"/>
  <c r="DE146" i="11" l="1"/>
  <c r="DI146" i="11"/>
  <c r="DC62" i="12"/>
  <c r="DB17" i="11"/>
  <c r="DB80" i="11"/>
  <c r="DC11" i="11"/>
  <c r="DC62" i="11" l="1"/>
  <c r="DI69" i="135"/>
  <c r="DC64" i="12"/>
  <c r="DB81" i="11"/>
  <c r="DC70" i="135"/>
  <c r="DC71" i="135" s="1"/>
  <c r="DC73" i="135" s="1"/>
  <c r="DB77" i="135"/>
  <c r="DB78" i="11"/>
  <c r="DB63" i="11"/>
  <c r="DB74" i="11"/>
  <c r="DB79" i="135" s="1"/>
  <c r="DC114" i="11"/>
  <c r="DC115" i="11"/>
  <c r="DC120" i="11"/>
  <c r="DC80" i="11"/>
  <c r="DB28" i="11"/>
  <c r="DC17" i="11"/>
  <c r="DC79" i="11"/>
  <c r="DC90" i="11"/>
  <c r="DI73" i="135" l="1"/>
  <c r="DB67" i="11"/>
  <c r="DC77" i="135"/>
  <c r="DC28" i="11"/>
  <c r="DC195" i="11" s="1"/>
  <c r="DB196" i="11"/>
  <c r="DC63" i="11"/>
  <c r="DC74" i="11"/>
  <c r="DC79" i="135" s="1"/>
  <c r="DC81" i="11"/>
  <c r="DB195" i="11"/>
  <c r="DB58" i="11"/>
  <c r="DC78" i="11"/>
  <c r="DC58" i="11" l="1"/>
  <c r="DC196" i="11"/>
  <c r="DC199" i="11" s="1"/>
  <c r="DB199" i="11"/>
  <c r="W34" i="12" l="1"/>
  <c r="V79" i="12"/>
  <c r="W76" i="12" l="1"/>
  <c r="V38" i="12"/>
  <c r="V61" i="12"/>
  <c r="V64" i="12" s="1"/>
  <c r="V92" i="11"/>
  <c r="W61" i="12" l="1"/>
  <c r="W64" i="12" s="1"/>
  <c r="W38" i="12"/>
  <c r="W48" i="12" s="1"/>
  <c r="W92" i="11"/>
  <c r="W79" i="12"/>
  <c r="V48" i="12"/>
  <c r="V55" i="12" s="1"/>
  <c r="AO27" i="12"/>
  <c r="AO151" i="11" l="1"/>
  <c r="V53" i="12"/>
  <c r="W55" i="12"/>
  <c r="W90" i="11"/>
  <c r="V90" i="11"/>
  <c r="V59" i="12" l="1"/>
  <c r="W53" i="12"/>
  <c r="AC56" i="12"/>
  <c r="AN28" i="12"/>
  <c r="AO14" i="12"/>
  <c r="AO73" i="12" s="1"/>
  <c r="AN73" i="12"/>
  <c r="AB73" i="12"/>
  <c r="AC14" i="12"/>
  <c r="AC28" i="12" s="1"/>
  <c r="AB28" i="12"/>
  <c r="W59" i="12" l="1"/>
  <c r="AC53" i="12"/>
  <c r="AI56" i="12"/>
  <c r="AO28" i="12"/>
  <c r="AC73" i="12"/>
  <c r="AC59" i="12" l="1"/>
  <c r="AI53" i="12"/>
  <c r="AO56" i="12"/>
  <c r="CW28" i="12"/>
  <c r="CW29" i="12" s="1"/>
  <c r="CV29" i="12"/>
  <c r="CT29" i="12"/>
  <c r="CS29" i="12"/>
  <c r="CU29" i="12"/>
  <c r="CU55" i="12" l="1"/>
  <c r="CU68" i="12"/>
  <c r="CT55" i="12"/>
  <c r="CT68" i="12"/>
  <c r="CS55" i="12"/>
  <c r="CS68" i="12"/>
  <c r="CV55" i="12"/>
  <c r="CV68" i="12"/>
  <c r="CW55" i="12"/>
  <c r="CW68" i="12"/>
  <c r="AI59" i="12"/>
  <c r="AU56" i="12"/>
  <c r="AO53" i="12"/>
  <c r="CT91" i="11"/>
  <c r="CU91" i="11"/>
  <c r="CV91" i="11"/>
  <c r="CU61" i="12"/>
  <c r="CS79" i="12"/>
  <c r="CT61" i="12"/>
  <c r="CV79" i="12"/>
  <c r="CW91" i="11"/>
  <c r="CW79" i="12"/>
  <c r="CS92" i="11"/>
  <c r="CS93" i="11" s="1"/>
  <c r="CS91" i="11"/>
  <c r="CS61" i="12"/>
  <c r="CS57" i="12" l="1"/>
  <c r="CS58" i="12" s="1"/>
  <c r="CU62" i="12"/>
  <c r="CU64" i="12" s="1"/>
  <c r="CT62" i="12"/>
  <c r="CT64" i="12" s="1"/>
  <c r="CS62" i="12"/>
  <c r="CS64" i="12" s="1"/>
  <c r="AO59" i="12"/>
  <c r="AU53" i="12"/>
  <c r="BA56" i="12"/>
  <c r="CV61" i="12"/>
  <c r="CT92" i="11"/>
  <c r="CT93" i="11" s="1"/>
  <c r="CV92" i="11"/>
  <c r="CV93" i="11" s="1"/>
  <c r="CT79" i="12"/>
  <c r="CU79" i="12"/>
  <c r="CU92" i="11"/>
  <c r="CU93" i="11" s="1"/>
  <c r="CT90" i="11"/>
  <c r="CS90" i="11"/>
  <c r="CV90" i="11"/>
  <c r="CW92" i="11"/>
  <c r="CW93" i="11" s="1"/>
  <c r="CW61" i="12"/>
  <c r="CT56" i="12" l="1"/>
  <c r="CT57" i="12" s="1"/>
  <c r="CT58" i="12" s="1"/>
  <c r="CS59" i="12"/>
  <c r="CW62" i="12"/>
  <c r="CV62" i="12"/>
  <c r="CV64" i="12" s="1"/>
  <c r="AU59" i="12"/>
  <c r="BG56" i="12"/>
  <c r="BA53" i="12"/>
  <c r="CU90" i="11"/>
  <c r="CW64" i="12" l="1"/>
  <c r="CW63" i="12"/>
  <c r="DC63" i="12"/>
  <c r="CU56" i="12"/>
  <c r="CU57" i="12" s="1"/>
  <c r="CU58" i="12" s="1"/>
  <c r="BA59" i="12"/>
  <c r="CT59" i="12"/>
  <c r="BG53" i="12"/>
  <c r="BM56" i="12"/>
  <c r="CW90" i="11"/>
  <c r="CV56" i="12" l="1"/>
  <c r="CV57" i="12" s="1"/>
  <c r="CV58" i="12" s="1"/>
  <c r="CU59" i="12"/>
  <c r="BG59" i="12"/>
  <c r="BS56" i="12"/>
  <c r="BM53" i="12"/>
  <c r="CY56" i="12" l="1"/>
  <c r="CY57" i="12" s="1"/>
  <c r="CY58" i="12" s="1"/>
  <c r="BS57" i="12"/>
  <c r="BS58" i="12" s="1"/>
  <c r="BM59" i="12"/>
  <c r="CV59" i="12"/>
  <c r="CY59" i="12" l="1"/>
  <c r="CZ56" i="12"/>
  <c r="CZ57" i="12" s="1"/>
  <c r="CZ58" i="12" s="1"/>
  <c r="BY56" i="12"/>
  <c r="BS59" i="12"/>
  <c r="BY57" i="12" l="1"/>
  <c r="DA56" i="12"/>
  <c r="CZ59" i="12"/>
  <c r="DA57" i="12" l="1"/>
  <c r="DA59" i="12" s="1"/>
  <c r="BY58" i="12"/>
  <c r="CE56" i="12"/>
  <c r="BY59" i="12"/>
  <c r="CE57" i="12" l="1"/>
  <c r="CE59" i="12" s="1"/>
  <c r="DA58" i="12"/>
  <c r="DB56" i="12"/>
  <c r="DB57" i="12" l="1"/>
  <c r="DB59" i="12" s="1"/>
  <c r="CE58" i="12"/>
  <c r="CK56" i="12"/>
  <c r="DB105" i="12"/>
  <c r="CK57" i="12" l="1"/>
  <c r="DB58" i="12"/>
  <c r="DE56" i="12"/>
  <c r="DC105" i="12"/>
  <c r="DC101" i="12" s="1"/>
  <c r="DE99" i="12" s="1"/>
  <c r="DE100" i="12" s="1"/>
  <c r="DE105" i="12" l="1"/>
  <c r="DE106" i="12" s="1"/>
  <c r="DF99" i="12"/>
  <c r="DF100" i="12" s="1"/>
  <c r="DF105" i="12" s="1"/>
  <c r="CK58" i="12"/>
  <c r="CQ56" i="12"/>
  <c r="CK59" i="12"/>
  <c r="DC103" i="12"/>
  <c r="DF106" i="12" l="1"/>
  <c r="CQ57" i="12"/>
  <c r="CQ58" i="12" l="1"/>
  <c r="CW56" i="12"/>
  <c r="CQ59" i="12"/>
  <c r="DG99" i="12"/>
  <c r="DG100" i="12" s="1"/>
  <c r="DG105" i="12" l="1"/>
  <c r="DI105" i="12" s="1"/>
  <c r="DI106" i="12" s="1"/>
  <c r="DI100" i="12"/>
  <c r="DI101" i="12" s="1"/>
  <c r="DI103" i="12" s="1"/>
  <c r="CW57" i="12"/>
  <c r="CW59" i="12" s="1"/>
  <c r="DG103" i="12"/>
  <c r="DG106" i="12" l="1"/>
  <c r="DK99" i="12"/>
  <c r="DK101" i="12" s="1"/>
  <c r="DO99" i="12"/>
  <c r="DO101" i="12" s="1"/>
  <c r="DQ99" i="12" s="1"/>
  <c r="DQ101" i="12" s="1"/>
  <c r="DR99" i="12" s="1"/>
  <c r="DR101" i="12" s="1"/>
  <c r="DS99" i="12" s="1"/>
  <c r="DS101" i="12" s="1"/>
  <c r="DT99" i="12" s="1"/>
  <c r="DT101" i="12" s="1"/>
  <c r="EA99" i="12" s="1"/>
  <c r="EA101" i="12" s="1"/>
  <c r="EC99" i="12" s="1"/>
  <c r="EC101" i="12" s="1"/>
  <c r="CW58" i="12"/>
  <c r="DC56" i="12"/>
  <c r="EC127" i="12" l="1"/>
  <c r="EC103" i="12"/>
  <c r="ED99" i="12"/>
  <c r="ED101" i="12" s="1"/>
  <c r="DK103" i="12"/>
  <c r="DL99" i="12"/>
  <c r="DL101" i="12" s="1"/>
  <c r="DK127" i="12"/>
  <c r="DK41" i="12" s="1"/>
  <c r="DK135" i="12" s="1"/>
  <c r="EA103" i="12"/>
  <c r="EA39" i="134"/>
  <c r="DE96" i="134"/>
  <c r="DF96" i="134"/>
  <c r="DE48" i="12"/>
  <c r="DC57" i="12"/>
  <c r="DC59" i="12" s="1"/>
  <c r="DO103" i="12"/>
  <c r="DO39" i="134"/>
  <c r="DQ127" i="12"/>
  <c r="DQ41" i="12" s="1"/>
  <c r="DQ135" i="12" s="1"/>
  <c r="EC39" i="134" l="1"/>
  <c r="ED103" i="12"/>
  <c r="ED39" i="134" s="1"/>
  <c r="EE99" i="12"/>
  <c r="EE101" i="12" s="1"/>
  <c r="ED127" i="12"/>
  <c r="ED41" i="12" s="1"/>
  <c r="EC41" i="12"/>
  <c r="DM99" i="12"/>
  <c r="DM101" i="12" s="1"/>
  <c r="DL127" i="12"/>
  <c r="DL41" i="12" s="1"/>
  <c r="DL135" i="12" s="1"/>
  <c r="DL103" i="12"/>
  <c r="DG96" i="134"/>
  <c r="DI56" i="12"/>
  <c r="DC58" i="12"/>
  <c r="DR127" i="12"/>
  <c r="DR41" i="12" s="1"/>
  <c r="DQ103" i="12"/>
  <c r="EC135" i="12" l="1"/>
  <c r="EF99" i="12"/>
  <c r="EF101" i="12" s="1"/>
  <c r="EE103" i="12"/>
  <c r="EE39" i="134" s="1"/>
  <c r="EE127" i="12"/>
  <c r="ED135" i="12"/>
  <c r="DL39" i="134"/>
  <c r="DN99" i="12"/>
  <c r="DN101" i="12" s="1"/>
  <c r="DM127" i="12"/>
  <c r="DM41" i="12" s="1"/>
  <c r="DM103" i="12"/>
  <c r="DR135" i="12"/>
  <c r="DH96" i="134"/>
  <c r="DI96" i="134" s="1"/>
  <c r="DQ39" i="134"/>
  <c r="DR103" i="12"/>
  <c r="DS127" i="12"/>
  <c r="DS41" i="12" s="1"/>
  <c r="EE41" i="12" l="1"/>
  <c r="EF103" i="12"/>
  <c r="EF39" i="134" s="1"/>
  <c r="EF127" i="12"/>
  <c r="EF41" i="12" s="1"/>
  <c r="DM39" i="134"/>
  <c r="DU99" i="12"/>
  <c r="DU101" i="12" s="1"/>
  <c r="DN103" i="12"/>
  <c r="DN127" i="12"/>
  <c r="DN41" i="12" s="1"/>
  <c r="DN135" i="12" s="1"/>
  <c r="DM135" i="12"/>
  <c r="DS135" i="12"/>
  <c r="DI41" i="12"/>
  <c r="DS103" i="12"/>
  <c r="DR39" i="134"/>
  <c r="DI135" i="12" l="1"/>
  <c r="EG127" i="12"/>
  <c r="EF135" i="12"/>
  <c r="EE135" i="12"/>
  <c r="EG41" i="12"/>
  <c r="DO127" i="12"/>
  <c r="DO41" i="12"/>
  <c r="DO135" i="12" s="1"/>
  <c r="DN39" i="134"/>
  <c r="DW99" i="12"/>
  <c r="DW101" i="12" s="1"/>
  <c r="DU103" i="12"/>
  <c r="DU39" i="134"/>
  <c r="DT103" i="12"/>
  <c r="DT127" i="12"/>
  <c r="DS39" i="134"/>
  <c r="EG135" i="12" l="1"/>
  <c r="DW103" i="12"/>
  <c r="DW39" i="134" s="1"/>
  <c r="DX99" i="12"/>
  <c r="DX101" i="12" s="1"/>
  <c r="DW127" i="12"/>
  <c r="DW41" i="12" s="1"/>
  <c r="DW135" i="12" s="1"/>
  <c r="DT39" i="134"/>
  <c r="DU127" i="12"/>
  <c r="DT41" i="12"/>
  <c r="DT135" i="12" s="1"/>
  <c r="DY99" i="12" l="1"/>
  <c r="DY101" i="12" s="1"/>
  <c r="DX103" i="12"/>
  <c r="DX39" i="134" s="1"/>
  <c r="DX127" i="12"/>
  <c r="DU41" i="12"/>
  <c r="DX41" i="12" l="1"/>
  <c r="DY103" i="12"/>
  <c r="DY39" i="134" s="1"/>
  <c r="DY127" i="12"/>
  <c r="DY41" i="12" s="1"/>
  <c r="DY135" i="12" s="1"/>
  <c r="DZ99" i="12"/>
  <c r="DZ101" i="12" s="1"/>
  <c r="EG99" i="12" s="1"/>
  <c r="EG101" i="12" s="1"/>
  <c r="EG103" i="12" s="1"/>
  <c r="DU135" i="12"/>
  <c r="EG39" i="134" l="1"/>
  <c r="DZ103" i="12"/>
  <c r="DZ39" i="134" s="1"/>
  <c r="DZ127" i="12"/>
  <c r="DZ41" i="12" s="1"/>
  <c r="DZ135" i="12" s="1"/>
  <c r="DX135" i="12"/>
  <c r="EA41" i="12" l="1"/>
  <c r="EA135" i="12" s="1"/>
  <c r="EA127" i="12"/>
  <c r="DB160" i="11" l="1"/>
  <c r="DB161" i="11" s="1"/>
  <c r="DB158" i="11" l="1"/>
  <c r="DC158" i="11" s="1"/>
  <c r="DC160" i="11" s="1"/>
  <c r="DC161" i="11" s="1"/>
  <c r="DE21" i="134" l="1"/>
  <c r="DE22" i="134" s="1"/>
  <c r="DE58" i="134" l="1"/>
  <c r="DE73" i="11"/>
  <c r="DE78" i="135" s="1"/>
  <c r="DE74" i="11"/>
  <c r="DE79" i="135" s="1"/>
  <c r="DE151" i="11" l="1"/>
  <c r="DE152" i="11" l="1"/>
  <c r="DE149" i="11"/>
  <c r="DF21" i="134" l="1"/>
  <c r="DF22" i="134" s="1"/>
  <c r="DF58" i="134" l="1"/>
  <c r="DF73" i="11"/>
  <c r="DF74" i="11"/>
  <c r="DF73" i="12"/>
  <c r="DF151" i="11" l="1"/>
  <c r="DF178" i="11"/>
  <c r="DF98" i="134"/>
  <c r="DF152" i="11" l="1"/>
  <c r="DF149" i="11"/>
  <c r="DF70" i="134"/>
  <c r="DG73" i="12" l="1"/>
  <c r="DG178" i="11" l="1"/>
  <c r="AO152" i="11" l="1"/>
  <c r="AO149" i="11"/>
  <c r="DC97" i="134" l="1"/>
  <c r="DC32" i="134" l="1"/>
  <c r="DC36" i="134"/>
  <c r="CY32" i="134"/>
  <c r="CY36" i="134"/>
  <c r="CY34" i="134" l="1"/>
  <c r="CY71" i="12" s="1"/>
  <c r="DC34" i="134"/>
  <c r="CY38" i="134"/>
  <c r="CY45" i="134" s="1"/>
  <c r="CY37" i="134"/>
  <c r="CY44" i="134"/>
  <c r="DC37" i="134"/>
  <c r="DC38" i="134"/>
  <c r="DC71" i="12" l="1"/>
  <c r="DC67" i="11"/>
  <c r="DC66" i="11"/>
  <c r="DC91" i="134"/>
  <c r="DC71" i="134"/>
  <c r="DC60" i="134"/>
  <c r="DC201" i="11"/>
  <c r="DC203" i="11" s="1"/>
  <c r="DC35" i="134"/>
  <c r="CY71" i="134"/>
  <c r="CY91" i="134"/>
  <c r="CY35" i="134"/>
  <c r="CY130" i="12" s="1"/>
  <c r="CY60" i="134"/>
  <c r="CY46" i="134"/>
  <c r="DC130" i="12" l="1"/>
  <c r="DC43" i="134"/>
  <c r="DC72" i="134"/>
  <c r="CY72" i="134"/>
  <c r="CY43" i="134"/>
  <c r="CP14" i="136" l="1"/>
  <c r="CQ14" i="136"/>
  <c r="CQ39" i="136" l="1"/>
  <c r="CP39" i="136"/>
  <c r="CQ17" i="136"/>
  <c r="CP17" i="136"/>
  <c r="CW24" i="136" l="1"/>
  <c r="CV20" i="136"/>
  <c r="CP48" i="136"/>
  <c r="CQ42" i="136"/>
  <c r="CQ48" i="136"/>
  <c r="CQ47" i="136"/>
  <c r="CQ34" i="136"/>
  <c r="CM34" i="136" s="1"/>
  <c r="CQ50" i="136"/>
  <c r="CQ25" i="136"/>
  <c r="CQ23" i="136"/>
  <c r="CQ49" i="136"/>
  <c r="CW23" i="136"/>
  <c r="CV22" i="136"/>
  <c r="CV23" i="136"/>
  <c r="CP47" i="136"/>
  <c r="CP50" i="136"/>
  <c r="CP49" i="136"/>
  <c r="CP23" i="136"/>
  <c r="CP25" i="136"/>
  <c r="CV19" i="136" l="1"/>
  <c r="CV39" i="138" s="1"/>
  <c r="CP34" i="136"/>
  <c r="CP32" i="136" s="1"/>
  <c r="CP358" i="136" s="1"/>
  <c r="CN34" i="136"/>
  <c r="CO34" i="136"/>
  <c r="CQ51" i="136"/>
  <c r="CP51" i="136"/>
  <c r="CV16" i="138" l="1"/>
  <c r="CV58" i="136"/>
  <c r="CV65" i="136" s="1"/>
  <c r="CV64" i="134"/>
  <c r="CW19" i="136"/>
  <c r="CV46" i="138"/>
  <c r="DB46" i="138"/>
  <c r="CV24" i="138" l="1"/>
  <c r="DB65" i="136"/>
  <c r="EO16" i="138"/>
  <c r="DB24" i="138"/>
  <c r="DB32" i="138" s="1"/>
  <c r="CW39" i="138"/>
  <c r="CW21" i="136"/>
  <c r="CW58" i="136"/>
  <c r="CW16" i="138"/>
  <c r="CW64" i="134"/>
  <c r="CY32" i="138"/>
  <c r="EO24" i="138"/>
  <c r="CV32" i="138"/>
  <c r="CW32" i="138" s="1"/>
  <c r="DL226" i="136"/>
  <c r="DN226" i="136"/>
  <c r="DQ226" i="136"/>
  <c r="DR226" i="136"/>
  <c r="DT226" i="136"/>
  <c r="ES24" i="138" l="1"/>
  <c r="DE32" i="138"/>
  <c r="DI32" i="138" s="1"/>
  <c r="DC32" i="138"/>
  <c r="DC24" i="138"/>
  <c r="CW24" i="138"/>
  <c r="CW65" i="136"/>
  <c r="DC65" i="136"/>
  <c r="CV21" i="136"/>
  <c r="CW46" i="138"/>
  <c r="DC46" i="138"/>
  <c r="DK381" i="136"/>
  <c r="DK382" i="136" s="1"/>
  <c r="DK383" i="136" s="1"/>
  <c r="DQ381" i="136"/>
  <c r="DQ382" i="136" s="1"/>
  <c r="DQ383" i="136" s="1"/>
  <c r="DR381" i="136"/>
  <c r="DR382" i="136" s="1"/>
  <c r="DR383" i="136" s="1"/>
  <c r="DL381" i="136"/>
  <c r="DL382" i="136" s="1"/>
  <c r="DL383" i="136" s="1"/>
  <c r="CT38" i="136"/>
  <c r="CS32" i="136"/>
  <c r="CT32" i="136"/>
  <c r="CT34" i="136" s="1"/>
  <c r="CW77" i="136"/>
  <c r="DC80" i="136" s="1"/>
  <c r="CS78" i="136"/>
  <c r="CY81" i="136" s="1"/>
  <c r="CY85" i="136" s="1"/>
  <c r="CT78" i="136"/>
  <c r="CZ81" i="136" s="1"/>
  <c r="CZ85" i="136" s="1"/>
  <c r="CS354" i="136"/>
  <c r="CS358" i="136" s="1"/>
  <c r="CT354" i="136"/>
  <c r="CT358" i="136" s="1"/>
  <c r="CW28" i="136" l="1"/>
  <c r="CW38" i="136" s="1"/>
  <c r="CS34" i="136"/>
  <c r="CS33" i="136"/>
  <c r="CT81" i="136"/>
  <c r="CT85" i="136" s="1"/>
  <c r="CT84" i="136" s="1"/>
  <c r="CT83" i="136" s="1"/>
  <c r="CT80" i="136" s="1"/>
  <c r="CW32" i="136"/>
  <c r="CW34" i="136" s="1"/>
  <c r="CY84" i="136"/>
  <c r="CS81" i="136"/>
  <c r="CS85" i="136" s="1"/>
  <c r="CS84" i="136" s="1"/>
  <c r="CS83" i="136" s="1"/>
  <c r="CS80" i="136" s="1"/>
  <c r="CW78" i="136"/>
  <c r="CW354" i="136"/>
  <c r="CW358" i="136" s="1"/>
  <c r="CZ84" i="136"/>
  <c r="CS38" i="136"/>
  <c r="CT33" i="136"/>
  <c r="CZ44" i="136" l="1"/>
  <c r="CY44" i="136"/>
  <c r="CS42" i="136"/>
  <c r="CT42" i="136"/>
  <c r="CZ83" i="136"/>
  <c r="CZ80" i="136" s="1"/>
  <c r="CY83" i="136"/>
  <c r="CS345" i="136"/>
  <c r="DC85" i="136"/>
  <c r="DC84" i="136" s="1"/>
  <c r="DC83" i="136" s="1"/>
  <c r="CW85" i="136"/>
  <c r="CW84" i="136" s="1"/>
  <c r="CW83" i="136" s="1"/>
  <c r="CW80" i="136" s="1"/>
  <c r="CT345" i="136"/>
  <c r="CW33" i="136"/>
  <c r="CY80" i="136" l="1"/>
  <c r="CY381" i="136"/>
  <c r="CW35" i="136"/>
  <c r="CW44" i="136"/>
  <c r="DC44" i="136"/>
  <c r="CZ381" i="136"/>
  <c r="DC381" i="136"/>
  <c r="CW381" i="136"/>
  <c r="CW42" i="136"/>
  <c r="CZ347" i="136"/>
  <c r="CT346" i="136"/>
  <c r="CW345" i="136"/>
  <c r="CW347" i="136" s="1"/>
  <c r="CS346" i="136"/>
  <c r="CY347" i="136"/>
  <c r="DC382" i="136" l="1"/>
  <c r="DC383" i="136" s="1"/>
  <c r="CY382" i="136"/>
  <c r="CY383" i="136" s="1"/>
  <c r="CW382" i="136"/>
  <c r="CZ382" i="136"/>
  <c r="CZ383" i="136" s="1"/>
  <c r="CW346" i="136"/>
  <c r="DC347" i="136"/>
  <c r="CM32" i="136"/>
  <c r="CN32" i="136"/>
  <c r="CO32" i="136"/>
  <c r="CN358" i="136" l="1"/>
  <c r="CN359" i="136" s="1"/>
  <c r="CN33" i="136"/>
  <c r="CO358" i="136"/>
  <c r="CO359" i="136" s="1"/>
  <c r="CO33" i="136"/>
  <c r="CM358" i="136"/>
  <c r="CM33" i="136"/>
  <c r="CO44" i="136" l="1"/>
  <c r="CU44" i="136"/>
  <c r="CM44" i="136"/>
  <c r="CS44" i="136"/>
  <c r="CN44" i="136"/>
  <c r="CT44" i="136"/>
  <c r="CM42" i="136"/>
  <c r="CO42" i="136"/>
  <c r="CO360" i="136"/>
  <c r="CO369" i="136" s="1"/>
  <c r="CO368" i="136"/>
  <c r="CN42" i="136"/>
  <c r="CN360" i="136"/>
  <c r="CN369" i="136" s="1"/>
  <c r="CN368" i="136"/>
  <c r="CQ358" i="136"/>
  <c r="CQ359" i="136" s="1"/>
  <c r="CM359" i="136"/>
  <c r="CM345" i="136"/>
  <c r="CO345" i="136"/>
  <c r="CN345" i="136"/>
  <c r="CT379" i="136" l="1"/>
  <c r="CU379" i="136"/>
  <c r="CN377" i="136"/>
  <c r="CT378" i="136"/>
  <c r="CO377" i="136"/>
  <c r="CU378" i="136"/>
  <c r="CO370" i="136"/>
  <c r="CU370" i="136"/>
  <c r="CN370" i="136"/>
  <c r="CT370" i="136"/>
  <c r="CQ360" i="136"/>
  <c r="CQ369" i="136" s="1"/>
  <c r="CQ368" i="136"/>
  <c r="CM346" i="136"/>
  <c r="CM347" i="136"/>
  <c r="CS347" i="136"/>
  <c r="CM360" i="136"/>
  <c r="CM369" i="136" s="1"/>
  <c r="CM368" i="136"/>
  <c r="CN346" i="136"/>
  <c r="CN347" i="136"/>
  <c r="CT347" i="136"/>
  <c r="CO346" i="136"/>
  <c r="CO347" i="136"/>
  <c r="CU347" i="136"/>
  <c r="BU319" i="136"/>
  <c r="CA325" i="136" s="1"/>
  <c r="CA324" i="136" s="1"/>
  <c r="CA321" i="136" s="1"/>
  <c r="BV319" i="136"/>
  <c r="CB325" i="136" s="1"/>
  <c r="CB324" i="136" s="1"/>
  <c r="CB321" i="136" s="1"/>
  <c r="BW319" i="136"/>
  <c r="BW322" i="136" s="1"/>
  <c r="BX319" i="136"/>
  <c r="CD325" i="136" s="1"/>
  <c r="CD324" i="136" s="1"/>
  <c r="CD321" i="136" s="1"/>
  <c r="BY319" i="136"/>
  <c r="BY322" i="136" s="1"/>
  <c r="BY326" i="136" s="1"/>
  <c r="CW383" i="136" l="1"/>
  <c r="CU57" i="134"/>
  <c r="CT57" i="134"/>
  <c r="CW379" i="136"/>
  <c r="CS379" i="136"/>
  <c r="CN379" i="136"/>
  <c r="CO379" i="136"/>
  <c r="CM377" i="136"/>
  <c r="CS378" i="136"/>
  <c r="CO378" i="136"/>
  <c r="CO376" i="136"/>
  <c r="CQ377" i="136"/>
  <c r="CW378" i="136"/>
  <c r="CN378" i="136"/>
  <c r="CN376" i="136"/>
  <c r="CD381" i="136"/>
  <c r="CB381" i="136"/>
  <c r="CA381" i="136"/>
  <c r="CQ370" i="136"/>
  <c r="CW370" i="136"/>
  <c r="CM370" i="136"/>
  <c r="CS370" i="136"/>
  <c r="CC325" i="136"/>
  <c r="CC324" i="136" s="1"/>
  <c r="CC321" i="136" s="1"/>
  <c r="BX322" i="136"/>
  <c r="CE325" i="136"/>
  <c r="CE324" i="136" s="1"/>
  <c r="CE321" i="136" s="1"/>
  <c r="CE322" i="136"/>
  <c r="CE326" i="136" s="1"/>
  <c r="BV322" i="136"/>
  <c r="BU322" i="136"/>
  <c r="CG319" i="136"/>
  <c r="CM325" i="136" s="1"/>
  <c r="CM324" i="136" s="1"/>
  <c r="CM321" i="136" s="1"/>
  <c r="CH319" i="136"/>
  <c r="CN325" i="136" s="1"/>
  <c r="CN324" i="136" s="1"/>
  <c r="CN321" i="136" s="1"/>
  <c r="CI319" i="136"/>
  <c r="CO325" i="136" s="1"/>
  <c r="CO324" i="136" s="1"/>
  <c r="CO321" i="136" s="1"/>
  <c r="CW57" i="134" l="1"/>
  <c r="CS57" i="134"/>
  <c r="CO57" i="134"/>
  <c r="CN57" i="134"/>
  <c r="CM379" i="136"/>
  <c r="CQ379" i="136"/>
  <c r="CQ378" i="136"/>
  <c r="CQ376" i="136"/>
  <c r="CM376" i="136"/>
  <c r="CM378" i="136"/>
  <c r="CA382" i="136"/>
  <c r="CB382" i="136"/>
  <c r="CD382" i="136"/>
  <c r="CC381" i="136"/>
  <c r="CM381" i="136"/>
  <c r="CN381" i="136"/>
  <c r="CO381" i="136"/>
  <c r="CE381" i="136"/>
  <c r="CJ319" i="136"/>
  <c r="CQ57" i="134" l="1"/>
  <c r="CM57" i="134"/>
  <c r="CM382" i="136"/>
  <c r="CM383" i="136" s="1"/>
  <c r="CE382" i="136"/>
  <c r="CO382" i="136"/>
  <c r="CO383" i="136" s="1"/>
  <c r="CC382" i="136"/>
  <c r="CN382" i="136"/>
  <c r="CN383" i="136" s="1"/>
  <c r="CP325" i="136"/>
  <c r="CP324" i="136" s="1"/>
  <c r="CP321" i="136" s="1"/>
  <c r="CD318" i="136"/>
  <c r="CD319" i="136" s="1"/>
  <c r="CJ322" i="136" s="1"/>
  <c r="CA319" i="136"/>
  <c r="CG322" i="136" s="1"/>
  <c r="CB319" i="136"/>
  <c r="CB322" i="136" s="1"/>
  <c r="CC319" i="136"/>
  <c r="CC322" i="136" s="1"/>
  <c r="CI322" i="136" l="1"/>
  <c r="CP381" i="136"/>
  <c r="CA322" i="136"/>
  <c r="CJ325" i="136"/>
  <c r="CJ324" i="136" s="1"/>
  <c r="CJ321" i="136" s="1"/>
  <c r="CD357" i="136"/>
  <c r="CD359" i="136" s="1"/>
  <c r="CD31" i="136"/>
  <c r="CI325" i="136"/>
  <c r="CI324" i="136" s="1"/>
  <c r="CI321" i="136" s="1"/>
  <c r="CG325" i="136"/>
  <c r="CG324" i="136" s="1"/>
  <c r="CG321" i="136" s="1"/>
  <c r="CH325" i="136"/>
  <c r="CH324" i="136" s="1"/>
  <c r="CH321" i="136" s="1"/>
  <c r="CH322" i="136"/>
  <c r="CD322" i="136"/>
  <c r="CP318" i="136"/>
  <c r="CM319" i="136"/>
  <c r="CM322" i="136" s="1"/>
  <c r="CN319" i="136"/>
  <c r="CN322" i="136" s="1"/>
  <c r="CO319" i="136"/>
  <c r="CO322" i="136" s="1"/>
  <c r="CP382" i="136" l="1"/>
  <c r="CP383" i="136" s="1"/>
  <c r="CG381" i="136"/>
  <c r="CI381" i="136"/>
  <c r="CJ381" i="136"/>
  <c r="CH381" i="136"/>
  <c r="CT322" i="136"/>
  <c r="CD360" i="136"/>
  <c r="CD369" i="136" s="1"/>
  <c r="CD368" i="136"/>
  <c r="CT325" i="136"/>
  <c r="CT324" i="136" s="1"/>
  <c r="CT321" i="136" s="1"/>
  <c r="CU325" i="136"/>
  <c r="CU324" i="136" s="1"/>
  <c r="CU321" i="136" s="1"/>
  <c r="CS325" i="136"/>
  <c r="CS324" i="136" s="1"/>
  <c r="CS321" i="136" s="1"/>
  <c r="CU322" i="136"/>
  <c r="CS322" i="136"/>
  <c r="CD41" i="136"/>
  <c r="CD33" i="136"/>
  <c r="CD44" i="136" s="1"/>
  <c r="CP319" i="136"/>
  <c r="CV325" i="136" s="1"/>
  <c r="CV324" i="136" s="1"/>
  <c r="CV321" i="136" s="1"/>
  <c r="CP357" i="136"/>
  <c r="CP359" i="136" s="1"/>
  <c r="CP31" i="136"/>
  <c r="CJ379" i="136" l="1"/>
  <c r="CD377" i="136"/>
  <c r="CJ378" i="136"/>
  <c r="CJ44" i="136"/>
  <c r="CH382" i="136"/>
  <c r="CH383" i="136" s="1"/>
  <c r="CJ382" i="136"/>
  <c r="CJ383" i="136" s="1"/>
  <c r="CG382" i="136"/>
  <c r="CG383" i="136" s="1"/>
  <c r="CI382" i="136"/>
  <c r="CI383" i="136" s="1"/>
  <c r="CU381" i="136"/>
  <c r="CT381" i="136"/>
  <c r="CV381" i="136"/>
  <c r="CS381" i="136"/>
  <c r="CD370" i="136"/>
  <c r="CJ370" i="136"/>
  <c r="CP360" i="136"/>
  <c r="CP369" i="136" s="1"/>
  <c r="CP368" i="136"/>
  <c r="CD42" i="136"/>
  <c r="CP322" i="136"/>
  <c r="CV322" i="136"/>
  <c r="CP41" i="136"/>
  <c r="CP33" i="136"/>
  <c r="CD345" i="136"/>
  <c r="CJ57" i="134" l="1"/>
  <c r="CD379" i="136"/>
  <c r="CV379" i="136"/>
  <c r="DE350" i="136"/>
  <c r="DE351" i="136" s="1"/>
  <c r="CP377" i="136"/>
  <c r="CV378" i="136"/>
  <c r="CD376" i="136"/>
  <c r="CD378" i="136"/>
  <c r="CP44" i="136"/>
  <c r="CV44" i="136"/>
  <c r="CS382" i="136"/>
  <c r="CS383" i="136" s="1"/>
  <c r="CV382" i="136"/>
  <c r="CV383" i="136" s="1"/>
  <c r="CT382" i="136"/>
  <c r="CT383" i="136" s="1"/>
  <c r="CU382" i="136"/>
  <c r="CU383" i="136" s="1"/>
  <c r="CP370" i="136"/>
  <c r="CV370" i="136"/>
  <c r="CP42" i="136"/>
  <c r="CD346" i="136"/>
  <c r="CD347" i="136"/>
  <c r="CJ347" i="136"/>
  <c r="DI15" i="134"/>
  <c r="CP345" i="136"/>
  <c r="DE94" i="134"/>
  <c r="DE66" i="134"/>
  <c r="DI362" i="136" l="1"/>
  <c r="DI363" i="136" s="1"/>
  <c r="CV57" i="134"/>
  <c r="CP379" i="136"/>
  <c r="CP378" i="136"/>
  <c r="CP376" i="136"/>
  <c r="DE68" i="134"/>
  <c r="DO66" i="134"/>
  <c r="CP346" i="136"/>
  <c r="CP347" i="136"/>
  <c r="CV347" i="136"/>
  <c r="DI52" i="134"/>
  <c r="DI17" i="134"/>
  <c r="DI66" i="134"/>
  <c r="CP57" i="134" l="1"/>
  <c r="DI121" i="12"/>
  <c r="DI68" i="134"/>
  <c r="DI54" i="134"/>
  <c r="DO68" i="134"/>
  <c r="DE69" i="134" l="1"/>
  <c r="DE93" i="134"/>
  <c r="DE99" i="134" s="1"/>
  <c r="DE65" i="134"/>
  <c r="DE98" i="134" l="1"/>
  <c r="DE207" i="11"/>
  <c r="DE209" i="11" s="1"/>
  <c r="DE210" i="11" s="1"/>
  <c r="DE211" i="11" s="1"/>
  <c r="DE70" i="134"/>
  <c r="DE36" i="11" l="1"/>
  <c r="DE79" i="11" l="1"/>
  <c r="DE80" i="11"/>
  <c r="DF26" i="12"/>
  <c r="DE26" i="12"/>
  <c r="BO52" i="134"/>
  <c r="BP52" i="134"/>
  <c r="BQ52" i="134"/>
  <c r="BR52" i="134"/>
  <c r="BO53" i="134"/>
  <c r="BP53" i="134"/>
  <c r="BQ53" i="134"/>
  <c r="BR53" i="134"/>
  <c r="BP15" i="134" l="1"/>
  <c r="BO15" i="134"/>
  <c r="BR15" i="134"/>
  <c r="BQ15" i="134"/>
  <c r="BO16" i="134"/>
  <c r="BR16" i="134"/>
  <c r="BQ16" i="134"/>
  <c r="BP16" i="134"/>
  <c r="BO17" i="134" l="1"/>
  <c r="BP362" i="136"/>
  <c r="BO364" i="136"/>
  <c r="BO362" i="136"/>
  <c r="BP364" i="136"/>
  <c r="BQ364" i="136"/>
  <c r="BR364" i="136"/>
  <c r="BR362" i="136"/>
  <c r="BQ362" i="136"/>
  <c r="BS15" i="134"/>
  <c r="BP17" i="134"/>
  <c r="BQ17" i="134"/>
  <c r="BR17" i="134"/>
  <c r="BS16" i="134"/>
  <c r="BP350" i="136" l="1"/>
  <c r="BP351" i="136" s="1"/>
  <c r="BO350" i="136"/>
  <c r="BO351" i="136" s="1"/>
  <c r="BS362" i="136"/>
  <c r="BS363" i="136" s="1"/>
  <c r="BS52" i="134"/>
  <c r="BR350" i="136"/>
  <c r="BR351" i="136" s="1"/>
  <c r="BS17" i="134"/>
  <c r="BQ350" i="136"/>
  <c r="BS53" i="134"/>
  <c r="BS364" i="136"/>
  <c r="BS365" i="136" s="1"/>
  <c r="BP13" i="134" l="1"/>
  <c r="BP50" i="134" s="1"/>
  <c r="BO13" i="134"/>
  <c r="BR13" i="134"/>
  <c r="BR20" i="134" s="1"/>
  <c r="BQ351" i="136"/>
  <c r="BQ13" i="134"/>
  <c r="BS54" i="134"/>
  <c r="BP51" i="134" l="1"/>
  <c r="BP20" i="134"/>
  <c r="BP55" i="134" s="1"/>
  <c r="BP12" i="134"/>
  <c r="BO51" i="134"/>
  <c r="BO50" i="134"/>
  <c r="BO20" i="134"/>
  <c r="BO55" i="134" s="1"/>
  <c r="BO12" i="134"/>
  <c r="BR51" i="134"/>
  <c r="BR56" i="134"/>
  <c r="BR50" i="134"/>
  <c r="BR55" i="134"/>
  <c r="BS13" i="134"/>
  <c r="BS51" i="134" s="1"/>
  <c r="BR12" i="134"/>
  <c r="BQ20" i="134"/>
  <c r="BQ12" i="134"/>
  <c r="BQ50" i="134"/>
  <c r="BQ51" i="134"/>
  <c r="BU52" i="134"/>
  <c r="BV52" i="134"/>
  <c r="BW52" i="134"/>
  <c r="BX52" i="134"/>
  <c r="CA52" i="134"/>
  <c r="CB52" i="134"/>
  <c r="CC52" i="134"/>
  <c r="CD52" i="134"/>
  <c r="BU53" i="134"/>
  <c r="BV53" i="134"/>
  <c r="BW53" i="134"/>
  <c r="BX53" i="134"/>
  <c r="CA53" i="134"/>
  <c r="CB53" i="134"/>
  <c r="CC53" i="134"/>
  <c r="CD53" i="134"/>
  <c r="BP56" i="134" l="1"/>
  <c r="BP49" i="134"/>
  <c r="BO56" i="134"/>
  <c r="BO49" i="134"/>
  <c r="BR49" i="134"/>
  <c r="BS20" i="134"/>
  <c r="BS350" i="136"/>
  <c r="BS351" i="136" s="1"/>
  <c r="BS50" i="134"/>
  <c r="BS12" i="134"/>
  <c r="BS49" i="134" s="1"/>
  <c r="CB16" i="134"/>
  <c r="CB15" i="134"/>
  <c r="CC16" i="134"/>
  <c r="CC15" i="134"/>
  <c r="BW16" i="134"/>
  <c r="BV15" i="134"/>
  <c r="BV66" i="134" s="1"/>
  <c r="CA16" i="134"/>
  <c r="BX16" i="134"/>
  <c r="BV16" i="134"/>
  <c r="BV67" i="134" s="1"/>
  <c r="BU16" i="134"/>
  <c r="BU67" i="134" s="1"/>
  <c r="BU15" i="134"/>
  <c r="BQ55" i="134"/>
  <c r="BQ56" i="134"/>
  <c r="CA15" i="134"/>
  <c r="BX15" i="134"/>
  <c r="BX66" i="134" s="1"/>
  <c r="BW15" i="134"/>
  <c r="CD16" i="134"/>
  <c r="CD15" i="134"/>
  <c r="BQ49" i="134"/>
  <c r="BS55" i="134" l="1"/>
  <c r="BS22" i="134"/>
  <c r="BS56" i="134"/>
  <c r="CD364" i="136"/>
  <c r="CH67" i="134"/>
  <c r="CB364" i="136"/>
  <c r="CB67" i="134"/>
  <c r="BX67" i="134"/>
  <c r="BX364" i="136"/>
  <c r="CD66" i="134"/>
  <c r="CH66" i="134"/>
  <c r="BW17" i="134"/>
  <c r="BW364" i="136"/>
  <c r="CE16" i="134"/>
  <c r="CB17" i="134"/>
  <c r="CC364" i="136"/>
  <c r="CB362" i="136"/>
  <c r="BW67" i="134"/>
  <c r="CD67" i="134"/>
  <c r="CJ67" i="134"/>
  <c r="BW66" i="134"/>
  <c r="CD362" i="136"/>
  <c r="CG67" i="134"/>
  <c r="CA66" i="134"/>
  <c r="BV362" i="136"/>
  <c r="CD17" i="134"/>
  <c r="CI67" i="134"/>
  <c r="BW362" i="136"/>
  <c r="BU364" i="136"/>
  <c r="BV17" i="134"/>
  <c r="CC67" i="134"/>
  <c r="BU66" i="134"/>
  <c r="CG66" i="134"/>
  <c r="CC66" i="134"/>
  <c r="BV364" i="136"/>
  <c r="BX362" i="136"/>
  <c r="CA67" i="134"/>
  <c r="BX17" i="134"/>
  <c r="CA364" i="136"/>
  <c r="BY16" i="134"/>
  <c r="BY364" i="136" s="1"/>
  <c r="BY365" i="136" s="1"/>
  <c r="BU362" i="136"/>
  <c r="CE15" i="134"/>
  <c r="CC362" i="136"/>
  <c r="BU17" i="134"/>
  <c r="CC17" i="134"/>
  <c r="BY15" i="134"/>
  <c r="CA17" i="134"/>
  <c r="CI66" i="134"/>
  <c r="CJ66" i="134"/>
  <c r="CB66" i="134"/>
  <c r="CA362" i="136"/>
  <c r="BS58" i="134" l="1"/>
  <c r="CD350" i="136"/>
  <c r="CD13" i="134" s="1"/>
  <c r="BW350" i="136"/>
  <c r="BW351" i="136" s="1"/>
  <c r="CB350" i="136"/>
  <c r="CB351" i="136" s="1"/>
  <c r="CE364" i="136"/>
  <c r="CE365" i="136" s="1"/>
  <c r="CA350" i="136"/>
  <c r="CA351" i="136" s="1"/>
  <c r="CK67" i="134"/>
  <c r="CE53" i="134"/>
  <c r="BX350" i="136"/>
  <c r="BX13" i="134" s="1"/>
  <c r="BW54" i="134"/>
  <c r="BY53" i="134"/>
  <c r="CE67" i="134"/>
  <c r="CB54" i="134"/>
  <c r="CC350" i="136"/>
  <c r="CC351" i="136" s="1"/>
  <c r="CE52" i="134"/>
  <c r="CK66" i="134"/>
  <c r="CH68" i="134"/>
  <c r="CD68" i="134"/>
  <c r="BU350" i="136"/>
  <c r="CI68" i="134"/>
  <c r="CE17" i="134"/>
  <c r="CE362" i="136"/>
  <c r="CE363" i="136" s="1"/>
  <c r="CD54" i="134"/>
  <c r="BX54" i="134"/>
  <c r="CE66" i="134"/>
  <c r="CC68" i="134"/>
  <c r="BV54" i="134"/>
  <c r="BY17" i="134"/>
  <c r="CC54" i="134"/>
  <c r="BY52" i="134"/>
  <c r="CA54" i="134"/>
  <c r="BV350" i="136"/>
  <c r="BY66" i="134"/>
  <c r="BY362" i="136"/>
  <c r="BY363" i="136" s="1"/>
  <c r="CA68" i="134"/>
  <c r="BU54" i="134"/>
  <c r="CG68" i="134"/>
  <c r="CJ68" i="134"/>
  <c r="CB68" i="134"/>
  <c r="BY67" i="134"/>
  <c r="CD50" i="134" l="1"/>
  <c r="CD20" i="134"/>
  <c r="CJ51" i="134"/>
  <c r="CD12" i="134"/>
  <c r="CD351" i="136"/>
  <c r="BW13" i="134"/>
  <c r="CB13" i="134"/>
  <c r="CB20" i="134" s="1"/>
  <c r="CA13" i="134"/>
  <c r="CG51" i="134" s="1"/>
  <c r="BX51" i="134"/>
  <c r="BX12" i="134"/>
  <c r="BX20" i="134"/>
  <c r="CD51" i="134"/>
  <c r="BX50" i="134"/>
  <c r="BX351" i="136"/>
  <c r="CK68" i="134"/>
  <c r="BY54" i="134"/>
  <c r="CE54" i="134"/>
  <c r="CC13" i="134"/>
  <c r="BY68" i="134"/>
  <c r="CE68" i="134"/>
  <c r="BU13" i="134"/>
  <c r="BU351" i="136"/>
  <c r="BV351" i="136"/>
  <c r="BV13" i="134"/>
  <c r="CJ56" i="134" l="1"/>
  <c r="CJ65" i="134"/>
  <c r="CD49" i="134"/>
  <c r="CJ69" i="134"/>
  <c r="CD55" i="134"/>
  <c r="BW20" i="134"/>
  <c r="BW51" i="134"/>
  <c r="BW12" i="134"/>
  <c r="BW50" i="134"/>
  <c r="CH69" i="134"/>
  <c r="CB50" i="134"/>
  <c r="CH56" i="134"/>
  <c r="CB51" i="134"/>
  <c r="CE13" i="134"/>
  <c r="CK51" i="134" s="1"/>
  <c r="CA20" i="134"/>
  <c r="CB55" i="134"/>
  <c r="CH51" i="134"/>
  <c r="CB12" i="134"/>
  <c r="CD56" i="134"/>
  <c r="CD69" i="134"/>
  <c r="CA50" i="134"/>
  <c r="CA12" i="134"/>
  <c r="CA51" i="134"/>
  <c r="BX49" i="134"/>
  <c r="BX56" i="134"/>
  <c r="BX55" i="134"/>
  <c r="BX69" i="134"/>
  <c r="BX65" i="134"/>
  <c r="CD65" i="134"/>
  <c r="CC51" i="134"/>
  <c r="CC50" i="134"/>
  <c r="CC12" i="134"/>
  <c r="CI51" i="134"/>
  <c r="CC20" i="134"/>
  <c r="BU12" i="134"/>
  <c r="BU20" i="134"/>
  <c r="BU50" i="134"/>
  <c r="BU51" i="134"/>
  <c r="BV12" i="134"/>
  <c r="BY13" i="134"/>
  <c r="BV50" i="134"/>
  <c r="BV51" i="134"/>
  <c r="BV20" i="134"/>
  <c r="DH157" i="136"/>
  <c r="DO160" i="136"/>
  <c r="DO157" i="136" s="1"/>
  <c r="BW69" i="134" l="1"/>
  <c r="BW55" i="134"/>
  <c r="BW56" i="134"/>
  <c r="BW49" i="134"/>
  <c r="BW65" i="134"/>
  <c r="CE20" i="134"/>
  <c r="CA55" i="134"/>
  <c r="CE350" i="136"/>
  <c r="CE351" i="136" s="1"/>
  <c r="CE50" i="134"/>
  <c r="CG56" i="134"/>
  <c r="CG69" i="134"/>
  <c r="CB49" i="134"/>
  <c r="CH65" i="134"/>
  <c r="CG65" i="134"/>
  <c r="CA65" i="134"/>
  <c r="CA49" i="134"/>
  <c r="CC56" i="134"/>
  <c r="CC69" i="134"/>
  <c r="CI56" i="134"/>
  <c r="CI69" i="134"/>
  <c r="CC55" i="134"/>
  <c r="CC49" i="134"/>
  <c r="CI65" i="134"/>
  <c r="CC65" i="134"/>
  <c r="CE12" i="134"/>
  <c r="BU56" i="134"/>
  <c r="BU69" i="134"/>
  <c r="BU55" i="134"/>
  <c r="CA56" i="134"/>
  <c r="CA69" i="134"/>
  <c r="BU49" i="134"/>
  <c r="BU65" i="134"/>
  <c r="BY20" i="134"/>
  <c r="BY22" i="134" s="1"/>
  <c r="BY51" i="134"/>
  <c r="BY350" i="136"/>
  <c r="BY351" i="136" s="1"/>
  <c r="BY50" i="134"/>
  <c r="BV65" i="134"/>
  <c r="BV49" i="134"/>
  <c r="CB65" i="134"/>
  <c r="BY12" i="134"/>
  <c r="CE51" i="134"/>
  <c r="BV55" i="134"/>
  <c r="CB56" i="134"/>
  <c r="BV56" i="134"/>
  <c r="BV69" i="134"/>
  <c r="CB69" i="134"/>
  <c r="DI160" i="136"/>
  <c r="DI157" i="136" s="1"/>
  <c r="CK69" i="134" l="1"/>
  <c r="CE22" i="134"/>
  <c r="BY58" i="134"/>
  <c r="BY70" i="134"/>
  <c r="CE35" i="136"/>
  <c r="CE55" i="134"/>
  <c r="CK56" i="134"/>
  <c r="CK65" i="134"/>
  <c r="CE49" i="134"/>
  <c r="BY65" i="134"/>
  <c r="CE65" i="134"/>
  <c r="BY49" i="134"/>
  <c r="BY55" i="134"/>
  <c r="CE56" i="134"/>
  <c r="BY56" i="134"/>
  <c r="BY69" i="134"/>
  <c r="CE69" i="134"/>
  <c r="DF381" i="136"/>
  <c r="DF382" i="136" s="1"/>
  <c r="DF383" i="136" s="1"/>
  <c r="CE58" i="134" l="1"/>
  <c r="CE70" i="134"/>
  <c r="CK70" i="134"/>
  <c r="DI220" i="136"/>
  <c r="DI356" i="136" s="1"/>
  <c r="DM220" i="136"/>
  <c r="DM30" i="136" s="1"/>
  <c r="DM40" i="136" s="1"/>
  <c r="DI223" i="136" l="1"/>
  <c r="DM33" i="136"/>
  <c r="DG350" i="136"/>
  <c r="DI221" i="136"/>
  <c r="DI224" i="136" s="1"/>
  <c r="DI228" i="136" s="1"/>
  <c r="DI227" i="136" s="1"/>
  <c r="DI226" i="136" s="1"/>
  <c r="DI30" i="136"/>
  <c r="DM356" i="136"/>
  <c r="DM359" i="136" s="1"/>
  <c r="DM368" i="136" s="1"/>
  <c r="DM221" i="136"/>
  <c r="DM224" i="136" s="1"/>
  <c r="DM228" i="136" s="1"/>
  <c r="DM227" i="136" s="1"/>
  <c r="DM226" i="136" s="1"/>
  <c r="DG345" i="136"/>
  <c r="DG347" i="136" s="1"/>
  <c r="DS220" i="136"/>
  <c r="DY220" i="136" s="1"/>
  <c r="EE220" i="136" s="1"/>
  <c r="EE356" i="136" s="1"/>
  <c r="EE359" i="136" s="1"/>
  <c r="DO220" i="136"/>
  <c r="DO223" i="136" s="1"/>
  <c r="EE350" i="136" l="1"/>
  <c r="EE360" i="136"/>
  <c r="EE369" i="136" s="1"/>
  <c r="EE368" i="136"/>
  <c r="EE221" i="136"/>
  <c r="EE30" i="136"/>
  <c r="EG220" i="136"/>
  <c r="EG356" i="136" s="1"/>
  <c r="DY30" i="136"/>
  <c r="DY221" i="136"/>
  <c r="DY356" i="136"/>
  <c r="DY359" i="136" s="1"/>
  <c r="EA220" i="136"/>
  <c r="DM42" i="136"/>
  <c r="DM44" i="136"/>
  <c r="DM381" i="136"/>
  <c r="DM382" i="136" s="1"/>
  <c r="DM383" i="136" s="1"/>
  <c r="DM345" i="136"/>
  <c r="DM347" i="136" s="1"/>
  <c r="DG351" i="136"/>
  <c r="DI40" i="136"/>
  <c r="DM350" i="136"/>
  <c r="DM360" i="136"/>
  <c r="DM369" i="136" s="1"/>
  <c r="DG346" i="136"/>
  <c r="DO30" i="136"/>
  <c r="DO221" i="136"/>
  <c r="DO356" i="136"/>
  <c r="DS221" i="136"/>
  <c r="DS224" i="136" s="1"/>
  <c r="DS228" i="136" s="1"/>
  <c r="DS227" i="136" s="1"/>
  <c r="DS226" i="136" s="1"/>
  <c r="DS30" i="136"/>
  <c r="DS33" i="136" s="1"/>
  <c r="DU220" i="136"/>
  <c r="DU223" i="136" s="1"/>
  <c r="DS356" i="136"/>
  <c r="DS359" i="136" s="1"/>
  <c r="DS368" i="136" s="1"/>
  <c r="EE13" i="134" l="1"/>
  <c r="EE351" i="136"/>
  <c r="EG30" i="136"/>
  <c r="EG223" i="136"/>
  <c r="EG221" i="136"/>
  <c r="EE40" i="136"/>
  <c r="EE33" i="136"/>
  <c r="EE224" i="136"/>
  <c r="EE228" i="136" s="1"/>
  <c r="EE227" i="136" s="1"/>
  <c r="EE226" i="136" s="1"/>
  <c r="EE381" i="136" s="1"/>
  <c r="EE382" i="136" s="1"/>
  <c r="EA223" i="136"/>
  <c r="EA30" i="136"/>
  <c r="EA356" i="136"/>
  <c r="EA221" i="136"/>
  <c r="DY360" i="136"/>
  <c r="DY369" i="136" s="1"/>
  <c r="DY368" i="136"/>
  <c r="DY350" i="136"/>
  <c r="DY224" i="136"/>
  <c r="DY228" i="136" s="1"/>
  <c r="DY227" i="136" s="1"/>
  <c r="DY226" i="136" s="1"/>
  <c r="DY381" i="136" s="1"/>
  <c r="DY382" i="136" s="1"/>
  <c r="DY40" i="136"/>
  <c r="DY33" i="136"/>
  <c r="DS44" i="136"/>
  <c r="DM370" i="136"/>
  <c r="DS381" i="136"/>
  <c r="DS382" i="136" s="1"/>
  <c r="DS383" i="136" s="1"/>
  <c r="DM346" i="136"/>
  <c r="DI13" i="134"/>
  <c r="DM351" i="136"/>
  <c r="DM13" i="134"/>
  <c r="DU221" i="136"/>
  <c r="DU224" i="136" s="1"/>
  <c r="DU228" i="136" s="1"/>
  <c r="DU227" i="136" s="1"/>
  <c r="DU226" i="136" s="1"/>
  <c r="DU356" i="136"/>
  <c r="DU30" i="136"/>
  <c r="DS40" i="136"/>
  <c r="DS360" i="136"/>
  <c r="DS369" i="136" s="1"/>
  <c r="DS350" i="136"/>
  <c r="DO224" i="136"/>
  <c r="DO228" i="136" s="1"/>
  <c r="DO227" i="136" s="1"/>
  <c r="DO226" i="136" s="1"/>
  <c r="DO40" i="136"/>
  <c r="EE383" i="136" l="1"/>
  <c r="EE20" i="134"/>
  <c r="EE50" i="134"/>
  <c r="EE12" i="134"/>
  <c r="EE42" i="136"/>
  <c r="EE345" i="136"/>
  <c r="EE370" i="136"/>
  <c r="EG224" i="136"/>
  <c r="EG228" i="136" s="1"/>
  <c r="EG227" i="136" s="1"/>
  <c r="EG226" i="136" s="1"/>
  <c r="EG40" i="136"/>
  <c r="DY44" i="136"/>
  <c r="EE44" i="136"/>
  <c r="EA224" i="136"/>
  <c r="EA228" i="136" s="1"/>
  <c r="EA227" i="136" s="1"/>
  <c r="EA226" i="136" s="1"/>
  <c r="DY42" i="136"/>
  <c r="DY345" i="136"/>
  <c r="DY346" i="136" s="1"/>
  <c r="DY13" i="134"/>
  <c r="EE51" i="134" s="1"/>
  <c r="DY351" i="136"/>
  <c r="EA40" i="136"/>
  <c r="DY383" i="136"/>
  <c r="DY370" i="136"/>
  <c r="DK112" i="11"/>
  <c r="DG93" i="134"/>
  <c r="DG99" i="134" s="1"/>
  <c r="DG207" i="11" s="1"/>
  <c r="DG209" i="11" s="1"/>
  <c r="DG210" i="11" s="1"/>
  <c r="DG211" i="11" s="1"/>
  <c r="DI12" i="134"/>
  <c r="DG72" i="11"/>
  <c r="DI51" i="134"/>
  <c r="DI50" i="134"/>
  <c r="DS370" i="136"/>
  <c r="DI20" i="134"/>
  <c r="DG168" i="11"/>
  <c r="DM12" i="134"/>
  <c r="DM50" i="134"/>
  <c r="DM51" i="134"/>
  <c r="DM20" i="134"/>
  <c r="DS42" i="136"/>
  <c r="DS345" i="136"/>
  <c r="DS351" i="136"/>
  <c r="DS13" i="134"/>
  <c r="DU40" i="136"/>
  <c r="DI72" i="11" l="1"/>
  <c r="EE125" i="11"/>
  <c r="EE120" i="12"/>
  <c r="EE122" i="12" s="1"/>
  <c r="EE49" i="134"/>
  <c r="EE93" i="134"/>
  <c r="EE168" i="11"/>
  <c r="EE55" i="134"/>
  <c r="EE72" i="11"/>
  <c r="EE347" i="136"/>
  <c r="EE346" i="136"/>
  <c r="DI65" i="134"/>
  <c r="DI125" i="11"/>
  <c r="DI359" i="136"/>
  <c r="DI360" i="136" s="1"/>
  <c r="DY51" i="134"/>
  <c r="DY347" i="136"/>
  <c r="DY50" i="134"/>
  <c r="DY12" i="134"/>
  <c r="EE65" i="134" s="1"/>
  <c r="DY20" i="134"/>
  <c r="DL112" i="11"/>
  <c r="DI120" i="12"/>
  <c r="DI122" i="12" s="1"/>
  <c r="DI49" i="134"/>
  <c r="DI16" i="12"/>
  <c r="DM120" i="12"/>
  <c r="DM122" i="12" s="1"/>
  <c r="DI55" i="134"/>
  <c r="DI69" i="134"/>
  <c r="DI168" i="11"/>
  <c r="DI56" i="134"/>
  <c r="DM55" i="134"/>
  <c r="DM72" i="11"/>
  <c r="DM168" i="11"/>
  <c r="DM69" i="134"/>
  <c r="DM56" i="134"/>
  <c r="DM125" i="11"/>
  <c r="DM49" i="134"/>
  <c r="DM93" i="134"/>
  <c r="DM65" i="134"/>
  <c r="DS347" i="136"/>
  <c r="DS346" i="136"/>
  <c r="DS20" i="134"/>
  <c r="DS12" i="134"/>
  <c r="DS50" i="134"/>
  <c r="DS51" i="134"/>
  <c r="DI123" i="12" l="1"/>
  <c r="DI124" i="12" s="1"/>
  <c r="EE134" i="11"/>
  <c r="EE33" i="11" s="1"/>
  <c r="EE131" i="11"/>
  <c r="EE133" i="11"/>
  <c r="EE32" i="11" s="1"/>
  <c r="EE56" i="134"/>
  <c r="EE69" i="134"/>
  <c r="DI128" i="11"/>
  <c r="DI126" i="11"/>
  <c r="DI85" i="11" s="1"/>
  <c r="DI112" i="11"/>
  <c r="DI127" i="11"/>
  <c r="DI86" i="11" s="1"/>
  <c r="DG105" i="11"/>
  <c r="DG184" i="11"/>
  <c r="DG98" i="11"/>
  <c r="DI25" i="12"/>
  <c r="DY65" i="134"/>
  <c r="DY55" i="134"/>
  <c r="DY168" i="11"/>
  <c r="DY72" i="11"/>
  <c r="DG185" i="11"/>
  <c r="DY49" i="134"/>
  <c r="DY125" i="11"/>
  <c r="DY93" i="134"/>
  <c r="DY120" i="12"/>
  <c r="DY122" i="12" s="1"/>
  <c r="DY69" i="134"/>
  <c r="DY56" i="134"/>
  <c r="DS120" i="12"/>
  <c r="DS122" i="12" s="1"/>
  <c r="DI53" i="11"/>
  <c r="DM134" i="11"/>
  <c r="DM33" i="11" s="1"/>
  <c r="DM131" i="11"/>
  <c r="DM133" i="11"/>
  <c r="DM32" i="11" s="1"/>
  <c r="DS125" i="11"/>
  <c r="DS49" i="134"/>
  <c r="DS65" i="134"/>
  <c r="DS93" i="134"/>
  <c r="DS72" i="11"/>
  <c r="DS168" i="11"/>
  <c r="DS55" i="134"/>
  <c r="DS56" i="134"/>
  <c r="DS69" i="134"/>
  <c r="EE14" i="11" l="1"/>
  <c r="EE136" i="11"/>
  <c r="EE105" i="11"/>
  <c r="EE23" i="12"/>
  <c r="EE98" i="11"/>
  <c r="EE184" i="11"/>
  <c r="EE25" i="12"/>
  <c r="EE185" i="11"/>
  <c r="DI87" i="11"/>
  <c r="DI23" i="12"/>
  <c r="DG97" i="11"/>
  <c r="DG99" i="11" s="1"/>
  <c r="DG100" i="11" s="1"/>
  <c r="DG111" i="11"/>
  <c r="DG175" i="11"/>
  <c r="DG112" i="11"/>
  <c r="DG109" i="11"/>
  <c r="DY131" i="11"/>
  <c r="DY134" i="11"/>
  <c r="DY33" i="11" s="1"/>
  <c r="DY133" i="11"/>
  <c r="DY32" i="11" s="1"/>
  <c r="DM105" i="11"/>
  <c r="DM14" i="11"/>
  <c r="DM136" i="11"/>
  <c r="DM25" i="12"/>
  <c r="DM185" i="11"/>
  <c r="DM23" i="12"/>
  <c r="DM184" i="11"/>
  <c r="DM98" i="11"/>
  <c r="DS134" i="11"/>
  <c r="DS33" i="11" s="1"/>
  <c r="DS131" i="11"/>
  <c r="DS133" i="11"/>
  <c r="DS32" i="11" s="1"/>
  <c r="EE137" i="11" l="1"/>
  <c r="EE109" i="11"/>
  <c r="EE175" i="11"/>
  <c r="EE22" i="12"/>
  <c r="EE97" i="11"/>
  <c r="EE99" i="11" s="1"/>
  <c r="EE100" i="11" s="1"/>
  <c r="EE111" i="11"/>
  <c r="DI22" i="12"/>
  <c r="DG26" i="12"/>
  <c r="DY185" i="11"/>
  <c r="DY25" i="12"/>
  <c r="DY98" i="11"/>
  <c r="DY23" i="12"/>
  <c r="DY184" i="11"/>
  <c r="DY14" i="11"/>
  <c r="DY136" i="11"/>
  <c r="DY105" i="11"/>
  <c r="DM175" i="11"/>
  <c r="DM97" i="11"/>
  <c r="DM99" i="11" s="1"/>
  <c r="DM100" i="11" s="1"/>
  <c r="DM22" i="12"/>
  <c r="DM111" i="11"/>
  <c r="DM112" i="11"/>
  <c r="DM137" i="11"/>
  <c r="DM109" i="11"/>
  <c r="DS105" i="11"/>
  <c r="DS14" i="11"/>
  <c r="DS136" i="11"/>
  <c r="DS185" i="11"/>
  <c r="DS25" i="12"/>
  <c r="DS184" i="11"/>
  <c r="DS98" i="11"/>
  <c r="DS23" i="12"/>
  <c r="DY109" i="11" l="1"/>
  <c r="DY137" i="11"/>
  <c r="DY97" i="11"/>
  <c r="DY99" i="11" s="1"/>
  <c r="DY100" i="11" s="1"/>
  <c r="DY22" i="12"/>
  <c r="DY175" i="11"/>
  <c r="DY111" i="11"/>
  <c r="DS111" i="11"/>
  <c r="DS175" i="11"/>
  <c r="DS22" i="12"/>
  <c r="DS97" i="11"/>
  <c r="DS99" i="11" s="1"/>
  <c r="DS100" i="11" s="1"/>
  <c r="DS109" i="11"/>
  <c r="DS137" i="11"/>
  <c r="DE97" i="134" l="1"/>
  <c r="DE12" i="12" l="1"/>
  <c r="DE27" i="12" s="1"/>
  <c r="DE76" i="12" s="1"/>
  <c r="DE71" i="12" s="1"/>
  <c r="DE70" i="12" l="1"/>
  <c r="DE92" i="11"/>
  <c r="DE93" i="11" s="1"/>
  <c r="DE61" i="12"/>
  <c r="DE62" i="12" s="1"/>
  <c r="DE64" i="12" s="1"/>
  <c r="DE69" i="12"/>
  <c r="DE131" i="12"/>
  <c r="DE55" i="11"/>
  <c r="DE71" i="134"/>
  <c r="DE29" i="12"/>
  <c r="DE221" i="11" l="1"/>
  <c r="DE66" i="11"/>
  <c r="DE91" i="11"/>
  <c r="DE90" i="11"/>
  <c r="DE68" i="12"/>
  <c r="DE75" i="11"/>
  <c r="DE202" i="11"/>
  <c r="DE55" i="12"/>
  <c r="DE57" i="12" l="1"/>
  <c r="DF56" i="12" l="1"/>
  <c r="DE59" i="12"/>
  <c r="DE58" i="12" l="1"/>
  <c r="DE17" i="11"/>
  <c r="DF69" i="135"/>
  <c r="DF73" i="135" s="1"/>
  <c r="DE81" i="11" l="1"/>
  <c r="DE78" i="11"/>
  <c r="DF97" i="134" l="1"/>
  <c r="DF12" i="12" l="1"/>
  <c r="DF27" i="12" s="1"/>
  <c r="DF71" i="134" l="1"/>
  <c r="DF201" i="11"/>
  <c r="DF76" i="12"/>
  <c r="DF71" i="12" s="1"/>
  <c r="DF29" i="12"/>
  <c r="DF92" i="11" l="1"/>
  <c r="DF93" i="11" s="1"/>
  <c r="DF131" i="12"/>
  <c r="DF91" i="11"/>
  <c r="DF91" i="134"/>
  <c r="DF70" i="12"/>
  <c r="DF69" i="12"/>
  <c r="DF61" i="12"/>
  <c r="DF68" i="12"/>
  <c r="DF62" i="135"/>
  <c r="DF63" i="135" s="1"/>
  <c r="DG62" i="135"/>
  <c r="DH63" i="135" s="1"/>
  <c r="DF58" i="135"/>
  <c r="DK57" i="135" l="1"/>
  <c r="DL57" i="135" s="1"/>
  <c r="DL62" i="135" s="1"/>
  <c r="DG58" i="135"/>
  <c r="DF36" i="11"/>
  <c r="DF59" i="135"/>
  <c r="DG63" i="135"/>
  <c r="DL58" i="135" l="1"/>
  <c r="DK62" i="135"/>
  <c r="DL63" i="135" s="1"/>
  <c r="DG214" i="11"/>
  <c r="DF79" i="11"/>
  <c r="DF80" i="11"/>
  <c r="DL31" i="11"/>
  <c r="DM57" i="135"/>
  <c r="DM58" i="135" s="1"/>
  <c r="DK31" i="11"/>
  <c r="DK58" i="135"/>
  <c r="DH214" i="11"/>
  <c r="DI214" i="11" s="1"/>
  <c r="DL39" i="11"/>
  <c r="DG116" i="11"/>
  <c r="DG54" i="135"/>
  <c r="DG59" i="135"/>
  <c r="DG36" i="11"/>
  <c r="DG61" i="11"/>
  <c r="DG64" i="135"/>
  <c r="DH36" i="11"/>
  <c r="DI31" i="11"/>
  <c r="DF64" i="135"/>
  <c r="DF54" i="135"/>
  <c r="DI59" i="135" l="1"/>
  <c r="DK39" i="11"/>
  <c r="DK214" i="11" s="1"/>
  <c r="DH80" i="11"/>
  <c r="DH79" i="11"/>
  <c r="DK63" i="135"/>
  <c r="DN57" i="135"/>
  <c r="DM62" i="135"/>
  <c r="DM39" i="11" s="1"/>
  <c r="DL214" i="11"/>
  <c r="DL36" i="11"/>
  <c r="DM31" i="11"/>
  <c r="DL59" i="135"/>
  <c r="DL54" i="135"/>
  <c r="DL43" i="12"/>
  <c r="DK43" i="12"/>
  <c r="DK36" i="11"/>
  <c r="DK59" i="135"/>
  <c r="DF78" i="135"/>
  <c r="DH61" i="11"/>
  <c r="DL116" i="11"/>
  <c r="DI43" i="12"/>
  <c r="DL61" i="11"/>
  <c r="DI36" i="11"/>
  <c r="DI45" i="12"/>
  <c r="DI39" i="11"/>
  <c r="DI64" i="135" s="1"/>
  <c r="DI44" i="12"/>
  <c r="DL64" i="135"/>
  <c r="DN58" i="135"/>
  <c r="DN31" i="11"/>
  <c r="DO57" i="135"/>
  <c r="DN62" i="135"/>
  <c r="DQ57" i="135"/>
  <c r="DK54" i="135" l="1"/>
  <c r="DL44" i="12"/>
  <c r="DK64" i="135"/>
  <c r="DK45" i="12"/>
  <c r="DL45" i="12"/>
  <c r="DK44" i="12"/>
  <c r="DK116" i="11"/>
  <c r="DK61" i="11"/>
  <c r="DI116" i="11"/>
  <c r="DM63" i="135"/>
  <c r="DM59" i="135"/>
  <c r="DM214" i="11"/>
  <c r="DM43" i="12"/>
  <c r="DM54" i="135"/>
  <c r="DM36" i="11"/>
  <c r="DM61" i="11"/>
  <c r="DI61" i="11"/>
  <c r="DN59" i="135"/>
  <c r="DO31" i="11"/>
  <c r="DN43" i="12"/>
  <c r="DN63" i="135"/>
  <c r="DN39" i="11"/>
  <c r="DN214" i="11" s="1"/>
  <c r="DO214" i="11" s="1"/>
  <c r="DO62" i="135"/>
  <c r="DO63" i="135" s="1"/>
  <c r="DO58" i="135"/>
  <c r="DQ58" i="135"/>
  <c r="DR57" i="135"/>
  <c r="DQ62" i="135"/>
  <c r="DQ31" i="11"/>
  <c r="DM44" i="12"/>
  <c r="DM64" i="135"/>
  <c r="DM45" i="12"/>
  <c r="DI54" i="135"/>
  <c r="DM116" i="11"/>
  <c r="DN116" i="11" l="1"/>
  <c r="DN61" i="11"/>
  <c r="DN54" i="135"/>
  <c r="DO43" i="12"/>
  <c r="DR58" i="135"/>
  <c r="DR31" i="11"/>
  <c r="DS57" i="135"/>
  <c r="DR62" i="135"/>
  <c r="DO59" i="135"/>
  <c r="DQ59" i="135"/>
  <c r="DQ36" i="11"/>
  <c r="DQ43" i="12"/>
  <c r="DQ63" i="135"/>
  <c r="DQ39" i="11"/>
  <c r="DQ214" i="11" s="1"/>
  <c r="DN45" i="12"/>
  <c r="DO45" i="12" s="1"/>
  <c r="DN64" i="135"/>
  <c r="DO39" i="11"/>
  <c r="DN44" i="12"/>
  <c r="DO44" i="12" s="1"/>
  <c r="DQ54" i="135" l="1"/>
  <c r="DO54" i="135"/>
  <c r="DO116" i="11"/>
  <c r="DQ61" i="11"/>
  <c r="DS58" i="135"/>
  <c r="DS62" i="135"/>
  <c r="DT57" i="135"/>
  <c r="DW57" i="135" s="1"/>
  <c r="DS31" i="11"/>
  <c r="DR43" i="12"/>
  <c r="DR59" i="135"/>
  <c r="DR36" i="11"/>
  <c r="DQ64" i="135"/>
  <c r="DQ45" i="12"/>
  <c r="DQ44" i="12"/>
  <c r="DO64" i="135"/>
  <c r="DR39" i="11"/>
  <c r="DR214" i="11" s="1"/>
  <c r="DR63" i="135"/>
  <c r="DQ116" i="11"/>
  <c r="DO61" i="11"/>
  <c r="DW58" i="135" l="1"/>
  <c r="DX57" i="135"/>
  <c r="DW31" i="11"/>
  <c r="DW62" i="135"/>
  <c r="DR61" i="11"/>
  <c r="DR54" i="135"/>
  <c r="DR116" i="11"/>
  <c r="DR45" i="12"/>
  <c r="DR64" i="135"/>
  <c r="DR44" i="12"/>
  <c r="DS59" i="135"/>
  <c r="DS43" i="12"/>
  <c r="DS36" i="11"/>
  <c r="DS63" i="135"/>
  <c r="DS39" i="11"/>
  <c r="DS214" i="11" s="1"/>
  <c r="DT58" i="135"/>
  <c r="DT62" i="135"/>
  <c r="DT31" i="11"/>
  <c r="DU57" i="135"/>
  <c r="DW39" i="11" l="1"/>
  <c r="DW63" i="135"/>
  <c r="DX58" i="135"/>
  <c r="DY57" i="135"/>
  <c r="DX31" i="11"/>
  <c r="DX62" i="135"/>
  <c r="DW43" i="12"/>
  <c r="DW59" i="135"/>
  <c r="DW36" i="11"/>
  <c r="DS116" i="11"/>
  <c r="DS54" i="135"/>
  <c r="DU58" i="135"/>
  <c r="DU62" i="135"/>
  <c r="DU63" i="135" s="1"/>
  <c r="DT39" i="11"/>
  <c r="DT214" i="11" s="1"/>
  <c r="DU214" i="11" s="1"/>
  <c r="DT63" i="135"/>
  <c r="DS64" i="135"/>
  <c r="DS44" i="12"/>
  <c r="DS45" i="12"/>
  <c r="DT59" i="135"/>
  <c r="DT43" i="12"/>
  <c r="DU31" i="11"/>
  <c r="DS61" i="11"/>
  <c r="DW54" i="135" l="1"/>
  <c r="DW214" i="11"/>
  <c r="DW61" i="11"/>
  <c r="DW116" i="11"/>
  <c r="DX63" i="135"/>
  <c r="DX39" i="11"/>
  <c r="DY31" i="11"/>
  <c r="DZ57" i="135"/>
  <c r="EC57" i="135" s="1"/>
  <c r="DY58" i="135"/>
  <c r="DY62" i="135"/>
  <c r="DX59" i="135"/>
  <c r="DX43" i="12"/>
  <c r="DX36" i="11"/>
  <c r="DW64" i="135"/>
  <c r="DW44" i="12"/>
  <c r="DW45" i="12"/>
  <c r="DT54" i="135"/>
  <c r="DT116" i="11"/>
  <c r="DU43" i="12"/>
  <c r="DT45" i="12"/>
  <c r="DU45" i="12" s="1"/>
  <c r="DT44" i="12"/>
  <c r="DU44" i="12" s="1"/>
  <c r="DU39" i="11"/>
  <c r="DT64" i="135"/>
  <c r="DU59" i="135"/>
  <c r="DT61" i="11"/>
  <c r="EC58" i="135" l="1"/>
  <c r="EC31" i="11"/>
  <c r="ED57" i="135"/>
  <c r="EC62" i="135"/>
  <c r="DX116" i="11"/>
  <c r="DX214" i="11"/>
  <c r="DU116" i="11"/>
  <c r="DX61" i="11"/>
  <c r="DZ31" i="11"/>
  <c r="EA57" i="135"/>
  <c r="DZ58" i="135"/>
  <c r="DZ62" i="135"/>
  <c r="DY43" i="12"/>
  <c r="DY59" i="135"/>
  <c r="DY36" i="11"/>
  <c r="DX44" i="12"/>
  <c r="DX64" i="135"/>
  <c r="DX45" i="12"/>
  <c r="DX54" i="135"/>
  <c r="DY63" i="135"/>
  <c r="DY39" i="11"/>
  <c r="DU54" i="135"/>
  <c r="DU61" i="11"/>
  <c r="DU64" i="135"/>
  <c r="ED58" i="135" l="1"/>
  <c r="EE57" i="135"/>
  <c r="ED31" i="11"/>
  <c r="ED62" i="135"/>
  <c r="EC54" i="135"/>
  <c r="EC59" i="135"/>
  <c r="EC43" i="12"/>
  <c r="EC36" i="11"/>
  <c r="EC63" i="135"/>
  <c r="EC39" i="11"/>
  <c r="EC116" i="11" s="1"/>
  <c r="DY54" i="135"/>
  <c r="DY214" i="11"/>
  <c r="DY61" i="11"/>
  <c r="DY116" i="11"/>
  <c r="DY44" i="12"/>
  <c r="DY64" i="135"/>
  <c r="DY45" i="12"/>
  <c r="DZ39" i="11"/>
  <c r="DZ63" i="135"/>
  <c r="EA58" i="135"/>
  <c r="EA62" i="135"/>
  <c r="EA63" i="135" s="1"/>
  <c r="DZ59" i="135"/>
  <c r="DZ43" i="12"/>
  <c r="EA43" i="12" s="1"/>
  <c r="EA31" i="11"/>
  <c r="EC61" i="11" l="1"/>
  <c r="EC44" i="12"/>
  <c r="EC64" i="135"/>
  <c r="EC45" i="12"/>
  <c r="EC214" i="11"/>
  <c r="ED63" i="135"/>
  <c r="ED39" i="11"/>
  <c r="ED116" i="11" s="1"/>
  <c r="ED59" i="135"/>
  <c r="ED43" i="12"/>
  <c r="ED36" i="11"/>
  <c r="EE31" i="11"/>
  <c r="EF57" i="135"/>
  <c r="EE58" i="135"/>
  <c r="EE62" i="135"/>
  <c r="DZ214" i="11"/>
  <c r="EA214" i="11" s="1"/>
  <c r="DZ61" i="11"/>
  <c r="DZ54" i="135"/>
  <c r="DZ44" i="12"/>
  <c r="EA44" i="12" s="1"/>
  <c r="DZ45" i="12"/>
  <c r="EA45" i="12" s="1"/>
  <c r="DZ64" i="135"/>
  <c r="EA39" i="11"/>
  <c r="EA59" i="135"/>
  <c r="DZ116" i="11"/>
  <c r="CW56" i="134"/>
  <c r="CQ35" i="136"/>
  <c r="CQ69" i="134"/>
  <c r="CQ55" i="134"/>
  <c r="CW69" i="134"/>
  <c r="CQ56" i="134"/>
  <c r="CQ22" i="134"/>
  <c r="CQ27" i="134"/>
  <c r="EE63" i="135" l="1"/>
  <c r="EE39" i="11"/>
  <c r="EE116" i="11" s="1"/>
  <c r="ED64" i="135"/>
  <c r="ED44" i="12"/>
  <c r="ED45" i="12"/>
  <c r="ED214" i="11"/>
  <c r="ED61" i="11"/>
  <c r="EF31" i="11"/>
  <c r="EG57" i="135"/>
  <c r="EF58" i="135"/>
  <c r="EF62" i="135"/>
  <c r="EE59" i="135"/>
  <c r="EE43" i="12"/>
  <c r="EE36" i="11"/>
  <c r="ED54" i="135"/>
  <c r="EA64" i="135"/>
  <c r="EA61" i="11"/>
  <c r="EA116" i="11"/>
  <c r="EA54" i="135"/>
  <c r="CW70" i="134"/>
  <c r="CQ29" i="134"/>
  <c r="CQ32" i="134" s="1"/>
  <c r="CQ59" i="134"/>
  <c r="CQ390" i="136" s="1"/>
  <c r="CQ70" i="134"/>
  <c r="CQ58" i="134"/>
  <c r="EE54" i="135" l="1"/>
  <c r="EF39" i="11"/>
  <c r="EF116" i="11" s="1"/>
  <c r="EF63" i="135"/>
  <c r="EF59" i="135"/>
  <c r="EF43" i="12"/>
  <c r="EG31" i="11"/>
  <c r="EE44" i="12"/>
  <c r="EE64" i="135"/>
  <c r="EE45" i="12"/>
  <c r="EE214" i="11"/>
  <c r="EG58" i="135"/>
  <c r="EG62" i="135"/>
  <c r="EG63" i="135" s="1"/>
  <c r="EE61" i="11"/>
  <c r="CQ36" i="134"/>
  <c r="CQ38" i="134"/>
  <c r="CQ37" i="134"/>
  <c r="CQ34" i="134"/>
  <c r="EF54" i="135" l="1"/>
  <c r="EF214" i="11"/>
  <c r="EG214" i="11" s="1"/>
  <c r="EF44" i="12"/>
  <c r="EF64" i="135"/>
  <c r="EF45" i="12"/>
  <c r="EG45" i="12" s="1"/>
  <c r="EG39" i="11"/>
  <c r="EG64" i="135" s="1"/>
  <c r="EG59" i="135"/>
  <c r="EG43" i="12"/>
  <c r="EF61" i="11"/>
  <c r="CQ91" i="134"/>
  <c r="CQ71" i="134"/>
  <c r="CQ60" i="134"/>
  <c r="CQ35" i="134"/>
  <c r="CW71" i="134"/>
  <c r="EG61" i="11" l="1"/>
  <c r="EG54" i="135"/>
  <c r="EG44" i="12"/>
  <c r="EG116" i="11"/>
  <c r="CW72" i="134"/>
  <c r="CQ72" i="134"/>
  <c r="CM363" i="136"/>
  <c r="CM52" i="134" s="1"/>
  <c r="CM15" i="134" l="1"/>
  <c r="CN363" i="136"/>
  <c r="CN52" i="134" s="1"/>
  <c r="CM94" i="134" l="1"/>
  <c r="CM362" i="136"/>
  <c r="CM66" i="134"/>
  <c r="CS66" i="134"/>
  <c r="CN15" i="134"/>
  <c r="CO363" i="136"/>
  <c r="CP363" i="136" s="1"/>
  <c r="CP52" i="134" s="1"/>
  <c r="CN362" i="136" l="1"/>
  <c r="CN94" i="134"/>
  <c r="CO52" i="134"/>
  <c r="CO15" i="134" s="1"/>
  <c r="CN66" i="134"/>
  <c r="CP15" i="134"/>
  <c r="CT66" i="134"/>
  <c r="CP94" i="134" l="1"/>
  <c r="CO94" i="134"/>
  <c r="CO362" i="136"/>
  <c r="CU66" i="134"/>
  <c r="CQ15" i="134"/>
  <c r="CO66" i="134"/>
  <c r="CV66" i="134"/>
  <c r="CP66" i="134"/>
  <c r="CP362" i="136"/>
  <c r="CM365" i="136"/>
  <c r="CM53" i="134" s="1"/>
  <c r="CQ94" i="134" l="1"/>
  <c r="CW66" i="134"/>
  <c r="CQ52" i="134"/>
  <c r="CQ66" i="134"/>
  <c r="CQ362" i="136"/>
  <c r="CM16" i="134"/>
  <c r="CN365" i="136"/>
  <c r="CO365" i="136" s="1"/>
  <c r="CP365" i="136" s="1"/>
  <c r="CP53" i="134" s="1"/>
  <c r="CN53" i="134" l="1"/>
  <c r="CN16" i="134" s="1"/>
  <c r="CM17" i="134"/>
  <c r="CM67" i="134"/>
  <c r="CS67" i="134"/>
  <c r="CM364" i="136"/>
  <c r="CM350" i="136" s="1"/>
  <c r="CM13" i="134" s="1"/>
  <c r="CP16" i="134"/>
  <c r="CO53" i="134"/>
  <c r="CM54" i="134" l="1"/>
  <c r="CM68" i="134"/>
  <c r="CN364" i="136"/>
  <c r="CN350" i="136" s="1"/>
  <c r="CN351" i="136" s="1"/>
  <c r="CS68" i="134"/>
  <c r="CN67" i="134"/>
  <c r="CM351" i="136"/>
  <c r="CP364" i="136"/>
  <c r="CP350" i="136" s="1"/>
  <c r="CP13" i="134" s="1"/>
  <c r="CP67" i="134"/>
  <c r="CP17" i="134"/>
  <c r="CV67" i="134"/>
  <c r="CT67" i="134"/>
  <c r="CN17" i="134"/>
  <c r="CO16" i="134"/>
  <c r="CO364" i="136" s="1"/>
  <c r="CO350" i="136" s="1"/>
  <c r="CO351" i="136" s="1"/>
  <c r="CM12" i="134"/>
  <c r="CS51" i="134"/>
  <c r="CM50" i="134"/>
  <c r="CM20" i="134"/>
  <c r="CM51" i="134"/>
  <c r="CM93" i="134" l="1"/>
  <c r="CN13" i="134"/>
  <c r="CP351" i="136"/>
  <c r="CN54" i="134"/>
  <c r="CT68" i="134"/>
  <c r="CN68" i="134"/>
  <c r="CV68" i="134"/>
  <c r="CP54" i="134"/>
  <c r="CP68" i="134"/>
  <c r="CO13" i="134"/>
  <c r="CQ16" i="134"/>
  <c r="CO67" i="134"/>
  <c r="CU67" i="134"/>
  <c r="CO17" i="134"/>
  <c r="CM56" i="134"/>
  <c r="CS56" i="134"/>
  <c r="CM69" i="134"/>
  <c r="CS69" i="134"/>
  <c r="CM55" i="134"/>
  <c r="CS65" i="134"/>
  <c r="CM49" i="134"/>
  <c r="CM65" i="134"/>
  <c r="CP51" i="134"/>
  <c r="CV51" i="134"/>
  <c r="CP20" i="134"/>
  <c r="CP12" i="134"/>
  <c r="CP50" i="134"/>
  <c r="CP93" i="134" l="1"/>
  <c r="CP99" i="134" s="1"/>
  <c r="CP98" i="134" s="1"/>
  <c r="CM99" i="134"/>
  <c r="CM98" i="134" s="1"/>
  <c r="CN20" i="134"/>
  <c r="CN12" i="134"/>
  <c r="CN51" i="134"/>
  <c r="CT51" i="134"/>
  <c r="CN50" i="134"/>
  <c r="CO12" i="134"/>
  <c r="CU51" i="134"/>
  <c r="CO50" i="134"/>
  <c r="CO51" i="134"/>
  <c r="CO68" i="134"/>
  <c r="CO54" i="134"/>
  <c r="CU68" i="134"/>
  <c r="CO20" i="134"/>
  <c r="CQ17" i="134"/>
  <c r="CQ67" i="134"/>
  <c r="CQ53" i="134"/>
  <c r="CW67" i="134"/>
  <c r="CQ364" i="136"/>
  <c r="CP49" i="134"/>
  <c r="CV65" i="134"/>
  <c r="CP65" i="134"/>
  <c r="CP56" i="134"/>
  <c r="CV56" i="134"/>
  <c r="CP69" i="134"/>
  <c r="CP55" i="134"/>
  <c r="CV69" i="134"/>
  <c r="CO93" i="134" l="1"/>
  <c r="CO99" i="134" s="1"/>
  <c r="CO98" i="134" s="1"/>
  <c r="CN93" i="134"/>
  <c r="CN55" i="134"/>
  <c r="CN56" i="134"/>
  <c r="CN69" i="134"/>
  <c r="CT69" i="134"/>
  <c r="CT56" i="134"/>
  <c r="CT65" i="134"/>
  <c r="CN49" i="134"/>
  <c r="CN65" i="134"/>
  <c r="CQ12" i="134"/>
  <c r="CU65" i="134"/>
  <c r="CO65" i="134"/>
  <c r="CO49" i="134"/>
  <c r="CU69" i="134"/>
  <c r="CU56" i="134"/>
  <c r="CO69" i="134"/>
  <c r="CO56" i="134"/>
  <c r="CO55" i="134"/>
  <c r="CW68" i="134"/>
  <c r="CQ68" i="134"/>
  <c r="CQ54" i="134"/>
  <c r="CN99" i="134" l="1"/>
  <c r="CN98" i="134" s="1"/>
  <c r="CQ93" i="134"/>
  <c r="CQ99" i="134" s="1"/>
  <c r="CQ98" i="134" s="1"/>
  <c r="CQ49" i="134"/>
  <c r="CQ65" i="134"/>
  <c r="CQ13" i="134"/>
  <c r="CW65" i="134"/>
  <c r="CW51" i="134" l="1"/>
  <c r="CQ50" i="134"/>
  <c r="CQ350" i="136"/>
  <c r="CQ351" i="136" s="1"/>
  <c r="CQ51" i="134"/>
  <c r="DE36" i="134"/>
  <c r="DE115" i="136"/>
  <c r="DE117" i="136" s="1"/>
  <c r="DE37" i="134"/>
  <c r="DE186" i="136"/>
  <c r="DE40" i="134"/>
  <c r="DE126" i="136" l="1"/>
  <c r="DE128" i="136" s="1"/>
  <c r="DE188" i="136"/>
  <c r="DE196" i="136"/>
  <c r="DE72" i="134"/>
  <c r="DE198" i="136" l="1"/>
  <c r="DE90" i="134" l="1"/>
  <c r="DE91" i="134" s="1"/>
  <c r="DC192" i="11" l="1"/>
  <c r="DC171" i="11"/>
  <c r="DC172" i="11" s="1"/>
  <c r="DC166" i="11" l="1"/>
  <c r="DB106" i="12" l="1"/>
  <c r="DC107" i="12"/>
  <c r="DC106" i="12" s="1"/>
  <c r="DE78" i="12" l="1"/>
  <c r="DE79" i="12" s="1"/>
  <c r="DL141" i="12" l="1"/>
  <c r="DM141" i="12" s="1"/>
  <c r="DN141" i="12" s="1"/>
  <c r="DO141" i="12" l="1"/>
  <c r="DQ141" i="12"/>
  <c r="DR141" i="12" s="1"/>
  <c r="DS141" i="12" s="1"/>
  <c r="DT141" i="12" s="1"/>
  <c r="DU141" i="12" l="1"/>
  <c r="DW141" i="12"/>
  <c r="DX141" i="12" s="1"/>
  <c r="DY141" i="12" s="1"/>
  <c r="DZ141" i="12" s="1"/>
  <c r="EC141" i="12" s="1"/>
  <c r="ED141" i="12" s="1"/>
  <c r="EE141" i="12" s="1"/>
  <c r="EF141" i="12" s="1"/>
  <c r="EG141" i="12" s="1"/>
  <c r="DE203" i="11"/>
  <c r="EA141" i="12" l="1"/>
  <c r="DG48" i="12" l="1"/>
  <c r="DI40" i="12"/>
  <c r="DI134" i="12" s="1"/>
  <c r="DF48" i="12"/>
  <c r="DF90" i="11" s="1"/>
  <c r="DF55" i="11" l="1"/>
  <c r="DF55" i="12"/>
  <c r="DG202" i="11" l="1"/>
  <c r="DG203" i="11" s="1"/>
  <c r="DF66" i="11"/>
  <c r="DF75" i="11"/>
  <c r="DF221" i="11"/>
  <c r="DF57" i="12"/>
  <c r="DF202" i="11"/>
  <c r="DF203" i="11" s="1"/>
  <c r="DI51" i="11" l="1"/>
  <c r="DK51" i="11"/>
  <c r="DG56" i="12"/>
  <c r="DF59" i="12"/>
  <c r="DF70" i="135" l="1"/>
  <c r="DF71" i="135" s="1"/>
  <c r="DF58" i="12"/>
  <c r="DF17" i="11"/>
  <c r="DL51" i="11"/>
  <c r="DF81" i="11" l="1"/>
  <c r="DF78" i="11"/>
  <c r="DM51" i="11"/>
  <c r="DF77" i="135"/>
  <c r="DF79" i="135"/>
  <c r="DN51" i="11" l="1"/>
  <c r="DO51" i="11" l="1"/>
  <c r="DQ51" i="11"/>
  <c r="DR51" i="11" l="1"/>
  <c r="DS51" i="11" l="1"/>
  <c r="DG97" i="134"/>
  <c r="DG12" i="12" l="1"/>
  <c r="DT51" i="11"/>
  <c r="DW51" i="11" s="1"/>
  <c r="DX51" i="11" s="1"/>
  <c r="DY51" i="11" s="1"/>
  <c r="DZ51" i="11" s="1"/>
  <c r="EC51" i="11" s="1"/>
  <c r="ED51" i="11" l="1"/>
  <c r="EA51" i="11"/>
  <c r="DU51" i="11"/>
  <c r="EE51" i="11" l="1"/>
  <c r="DG66" i="11"/>
  <c r="DG221" i="11"/>
  <c r="DG75" i="11"/>
  <c r="EF51" i="11" l="1"/>
  <c r="DF36" i="134"/>
  <c r="DF115" i="136"/>
  <c r="DF117" i="136" s="1"/>
  <c r="DF62" i="12"/>
  <c r="DF64" i="12" s="1"/>
  <c r="DF37" i="134"/>
  <c r="DF186" i="136"/>
  <c r="DF188" i="136" s="1"/>
  <c r="DF35" i="134"/>
  <c r="DF130" i="12" s="1"/>
  <c r="DF40" i="134"/>
  <c r="EG51" i="11" l="1"/>
  <c r="DF126" i="136"/>
  <c r="DF128" i="136" s="1"/>
  <c r="DF196" i="136"/>
  <c r="DF198" i="136" s="1"/>
  <c r="DF72" i="134"/>
  <c r="DG115" i="136"/>
  <c r="DG35" i="134"/>
  <c r="DG186" i="136"/>
  <c r="DG130" i="12" l="1"/>
  <c r="DG72" i="134"/>
  <c r="DH115" i="136"/>
  <c r="DH126" i="136" s="1"/>
  <c r="DH186" i="136"/>
  <c r="DG126" i="136"/>
  <c r="DG117" i="136"/>
  <c r="DG188" i="136"/>
  <c r="DG196" i="136"/>
  <c r="DH117" i="136" l="1"/>
  <c r="DH128" i="136" s="1"/>
  <c r="DL41" i="134"/>
  <c r="DK115" i="136"/>
  <c r="DK186" i="136"/>
  <c r="DI115" i="136"/>
  <c r="DI117" i="136" s="1"/>
  <c r="DI186" i="136"/>
  <c r="DI188" i="136" s="1"/>
  <c r="DH188" i="136"/>
  <c r="DH196" i="136"/>
  <c r="DI196" i="136" s="1"/>
  <c r="DG128" i="136"/>
  <c r="DG198" i="136"/>
  <c r="DI198" i="136" l="1"/>
  <c r="DL115" i="136"/>
  <c r="DM41" i="134"/>
  <c r="DM40" i="134" s="1"/>
  <c r="DL186" i="136"/>
  <c r="DL40" i="134"/>
  <c r="DI126" i="136"/>
  <c r="DI128" i="136" s="1"/>
  <c r="DH198" i="136"/>
  <c r="DM186" i="136" l="1"/>
  <c r="DM115" i="136"/>
  <c r="DN41" i="134"/>
  <c r="DN40" i="134" l="1"/>
  <c r="DO40" i="134" s="1"/>
  <c r="DO41" i="134" s="1"/>
  <c r="DQ41" i="134"/>
  <c r="DN115" i="136"/>
  <c r="DN186" i="136"/>
  <c r="DO115" i="136" l="1"/>
  <c r="DO186" i="136"/>
  <c r="DQ115" i="136"/>
  <c r="DW115" i="136" s="1"/>
  <c r="DQ186" i="136"/>
  <c r="DW186" i="136" s="1"/>
  <c r="DQ40" i="134"/>
  <c r="DR41" i="134"/>
  <c r="DR40" i="134" l="1"/>
  <c r="DS41" i="134"/>
  <c r="DR115" i="136"/>
  <c r="DX115" i="136" s="1"/>
  <c r="DR186" i="136"/>
  <c r="DX186" i="136" s="1"/>
  <c r="DW188" i="136"/>
  <c r="DW196" i="136"/>
  <c r="EC186" i="136"/>
  <c r="DW126" i="136"/>
  <c r="EC115" i="136"/>
  <c r="DW117" i="136"/>
  <c r="EC117" i="136" l="1"/>
  <c r="EC126" i="136"/>
  <c r="DS115" i="136"/>
  <c r="DY115" i="136" s="1"/>
  <c r="DS186" i="136"/>
  <c r="DY186" i="136" s="1"/>
  <c r="DT41" i="134"/>
  <c r="DW41" i="134" s="1"/>
  <c r="DS40" i="134"/>
  <c r="DW128" i="136"/>
  <c r="EC196" i="136"/>
  <c r="EC188" i="136"/>
  <c r="ED186" i="136"/>
  <c r="DX196" i="136"/>
  <c r="DX188" i="136"/>
  <c r="DW198" i="136"/>
  <c r="DX126" i="136"/>
  <c r="ED115" i="136"/>
  <c r="DX117" i="136"/>
  <c r="EC128" i="136" l="1"/>
  <c r="EC198" i="136"/>
  <c r="ED117" i="136"/>
  <c r="ED126" i="136"/>
  <c r="DT186" i="136"/>
  <c r="DZ186" i="136" s="1"/>
  <c r="DT40" i="134"/>
  <c r="DU40" i="134" s="1"/>
  <c r="DU41" i="134" s="1"/>
  <c r="DW40" i="134"/>
  <c r="DT115" i="136"/>
  <c r="DZ115" i="136" s="1"/>
  <c r="DX41" i="134"/>
  <c r="DX198" i="136"/>
  <c r="DY126" i="136"/>
  <c r="EE115" i="136"/>
  <c r="DY117" i="136"/>
  <c r="DY188" i="136"/>
  <c r="EE186" i="136"/>
  <c r="DY196" i="136"/>
  <c r="ED188" i="136"/>
  <c r="ED196" i="136"/>
  <c r="DX128" i="136"/>
  <c r="ED198" i="136" l="1"/>
  <c r="ED128" i="136"/>
  <c r="EE117" i="136"/>
  <c r="EE126" i="136"/>
  <c r="DU115" i="136"/>
  <c r="EA115" i="136" s="1"/>
  <c r="EG115" i="136" s="1"/>
  <c r="DU186" i="136"/>
  <c r="EA186" i="136" s="1"/>
  <c r="DY41" i="134"/>
  <c r="DX40" i="134"/>
  <c r="DY128" i="136"/>
  <c r="EE196" i="136"/>
  <c r="EE188" i="136"/>
  <c r="DY198" i="136"/>
  <c r="DZ188" i="136"/>
  <c r="DZ196" i="136"/>
  <c r="EA196" i="136" s="1"/>
  <c r="EF186" i="136"/>
  <c r="DZ117" i="136"/>
  <c r="DZ126" i="136"/>
  <c r="EF115" i="136"/>
  <c r="EE128" i="136" l="1"/>
  <c r="EG126" i="136"/>
  <c r="EG117" i="136"/>
  <c r="EF117" i="136"/>
  <c r="EF126" i="136"/>
  <c r="EF128" i="136" s="1"/>
  <c r="EE198" i="136"/>
  <c r="DY40" i="134"/>
  <c r="DZ41" i="134"/>
  <c r="EC41" i="134" s="1"/>
  <c r="DZ128" i="136"/>
  <c r="DZ198" i="136"/>
  <c r="EG186" i="136"/>
  <c r="EG188" i="136" s="1"/>
  <c r="EA188" i="136"/>
  <c r="EA198" i="136" s="1"/>
  <c r="EF188" i="136"/>
  <c r="EF196" i="136"/>
  <c r="EA126" i="136"/>
  <c r="EA117" i="136"/>
  <c r="EC40" i="134" l="1"/>
  <c r="ED41" i="134"/>
  <c r="EG196" i="136"/>
  <c r="EG198" i="136" s="1"/>
  <c r="EF198" i="136"/>
  <c r="EG128" i="136"/>
  <c r="DZ40" i="134"/>
  <c r="EA40" i="134" s="1"/>
  <c r="EA41" i="134" s="1"/>
  <c r="EA128" i="136"/>
  <c r="EE41" i="134" l="1"/>
  <c r="ED40" i="134"/>
  <c r="DF391" i="136"/>
  <c r="EF41" i="134" l="1"/>
  <c r="EE40" i="134"/>
  <c r="DF390" i="136"/>
  <c r="DF392" i="136"/>
  <c r="EF40" i="134" l="1"/>
  <c r="EG40" i="134" s="1"/>
  <c r="EG41" i="134" s="1"/>
  <c r="DF371" i="136"/>
  <c r="DF393" i="136"/>
  <c r="DF377" i="136" l="1"/>
  <c r="DF378" i="136" l="1"/>
  <c r="DF376" i="136"/>
  <c r="DF379" i="136"/>
  <c r="DF57" i="134" l="1"/>
  <c r="DF78" i="12" l="1"/>
  <c r="DF79" i="12" s="1"/>
  <c r="DF169" i="11"/>
  <c r="DF170" i="11" s="1"/>
  <c r="DF171" i="11" s="1"/>
  <c r="DF172" i="11" s="1"/>
  <c r="DG78" i="12" l="1"/>
  <c r="DK140" i="12"/>
  <c r="DL140" i="12" s="1"/>
  <c r="DM140" i="12" s="1"/>
  <c r="DN140" i="12" s="1"/>
  <c r="DO140" i="12" l="1"/>
  <c r="DQ140" i="12"/>
  <c r="DR140" i="12" s="1"/>
  <c r="DS140" i="12" s="1"/>
  <c r="DT140" i="12" s="1"/>
  <c r="DG169" i="11"/>
  <c r="DG170" i="11" s="1"/>
  <c r="DG171" i="11" s="1"/>
  <c r="DG172" i="11" s="1"/>
  <c r="DH208" i="11"/>
  <c r="DK139" i="12"/>
  <c r="DU140" i="12" l="1"/>
  <c r="DW140" i="12"/>
  <c r="DX140" i="12" s="1"/>
  <c r="DY140" i="12" s="1"/>
  <c r="DZ140" i="12" s="1"/>
  <c r="EC140" i="12" s="1"/>
  <c r="ED140" i="12" s="1"/>
  <c r="EE140" i="12" s="1"/>
  <c r="EF140" i="12" s="1"/>
  <c r="EG140" i="12" s="1"/>
  <c r="DK78" i="12"/>
  <c r="DL139" i="12"/>
  <c r="DK138" i="12"/>
  <c r="DH169" i="11"/>
  <c r="DH170" i="11" s="1"/>
  <c r="DH171" i="11" s="1"/>
  <c r="DH172" i="11" s="1"/>
  <c r="EA140" i="12" l="1"/>
  <c r="DK208" i="11"/>
  <c r="DI169" i="11"/>
  <c r="DI170" i="11" s="1"/>
  <c r="DI171" i="11" s="1"/>
  <c r="DI172" i="11" s="1"/>
  <c r="DI208" i="11"/>
  <c r="DL78" i="12"/>
  <c r="DL138" i="12"/>
  <c r="DL59" i="134" s="1"/>
  <c r="DM139" i="12"/>
  <c r="DK169" i="11"/>
  <c r="DK170" i="11" s="1"/>
  <c r="DK171" i="11" s="1"/>
  <c r="DK172" i="11" s="1"/>
  <c r="DL208" i="11" l="1"/>
  <c r="DK198" i="11"/>
  <c r="DK114" i="136"/>
  <c r="DK185" i="136"/>
  <c r="DL169" i="11"/>
  <c r="DL170" i="11" s="1"/>
  <c r="DL171" i="11" s="1"/>
  <c r="DL172" i="11" s="1"/>
  <c r="DM78" i="12"/>
  <c r="DN139" i="12"/>
  <c r="DM138" i="12"/>
  <c r="DM59" i="134" s="1"/>
  <c r="DM208" i="11" l="1"/>
  <c r="DM169" i="11"/>
  <c r="DM170" i="11" s="1"/>
  <c r="DM171" i="11" s="1"/>
  <c r="DM172" i="11" s="1"/>
  <c r="DL198" i="11"/>
  <c r="DL185" i="136"/>
  <c r="DL114" i="136"/>
  <c r="DN78" i="12"/>
  <c r="DO139" i="12"/>
  <c r="DN138" i="12"/>
  <c r="DN59" i="134" s="1"/>
  <c r="DQ139" i="12"/>
  <c r="DK195" i="136"/>
  <c r="DK187" i="136"/>
  <c r="DK125" i="136"/>
  <c r="DK116" i="136"/>
  <c r="DN208" i="11" l="1"/>
  <c r="DK117" i="136"/>
  <c r="DK126" i="136"/>
  <c r="DK196" i="136"/>
  <c r="DN169" i="11"/>
  <c r="DL125" i="136"/>
  <c r="DL126" i="136" s="1"/>
  <c r="DL116" i="136"/>
  <c r="DL117" i="136" s="1"/>
  <c r="DK188" i="136"/>
  <c r="DQ78" i="12"/>
  <c r="DR139" i="12"/>
  <c r="DQ138" i="12"/>
  <c r="DQ208" i="11" s="1"/>
  <c r="DO78" i="12"/>
  <c r="DO138" i="12"/>
  <c r="DL195" i="136"/>
  <c r="DL196" i="136" s="1"/>
  <c r="DL187" i="136"/>
  <c r="DL188" i="136" s="1"/>
  <c r="DM198" i="11"/>
  <c r="DM114" i="136"/>
  <c r="DM185" i="136"/>
  <c r="DO169" i="11" l="1"/>
  <c r="DO208" i="11"/>
  <c r="DK128" i="136"/>
  <c r="DM125" i="136"/>
  <c r="DM116" i="136"/>
  <c r="DM117" i="136" s="1"/>
  <c r="DM187" i="136"/>
  <c r="DM188" i="136" s="1"/>
  <c r="DM195" i="136"/>
  <c r="DM196" i="136" s="1"/>
  <c r="DL198" i="136"/>
  <c r="DQ169" i="11"/>
  <c r="DQ170" i="11" s="1"/>
  <c r="DQ171" i="11" s="1"/>
  <c r="DQ172" i="11" s="1"/>
  <c r="DQ59" i="134"/>
  <c r="DL128" i="136"/>
  <c r="DN198" i="11"/>
  <c r="DN114" i="136"/>
  <c r="DN185" i="136"/>
  <c r="DR78" i="12"/>
  <c r="DR138" i="12"/>
  <c r="DR208" i="11" s="1"/>
  <c r="DS139" i="12"/>
  <c r="DK198" i="136"/>
  <c r="DM198" i="136" l="1"/>
  <c r="DS78" i="12"/>
  <c r="DT139" i="12"/>
  <c r="DW139" i="12" s="1"/>
  <c r="DS138" i="12"/>
  <c r="DS208" i="11" s="1"/>
  <c r="DN116" i="136"/>
  <c r="DN125" i="136"/>
  <c r="DN126" i="136" s="1"/>
  <c r="DQ198" i="11"/>
  <c r="DQ185" i="136"/>
  <c r="DQ114" i="136"/>
  <c r="DM126" i="136"/>
  <c r="DM128" i="136" s="1"/>
  <c r="DR169" i="11"/>
  <c r="DR170" i="11" s="1"/>
  <c r="DR171" i="11" s="1"/>
  <c r="DR172" i="11" s="1"/>
  <c r="DR59" i="134"/>
  <c r="DN195" i="136"/>
  <c r="DN187" i="136"/>
  <c r="DX139" i="12" l="1"/>
  <c r="DW138" i="12"/>
  <c r="DW208" i="11" s="1"/>
  <c r="DW78" i="12"/>
  <c r="DO125" i="136"/>
  <c r="DO126" i="136" s="1"/>
  <c r="DN196" i="136"/>
  <c r="DO195" i="136"/>
  <c r="DQ187" i="136"/>
  <c r="DQ195" i="136"/>
  <c r="DN117" i="136"/>
  <c r="DN128" i="136" s="1"/>
  <c r="DO116" i="136"/>
  <c r="DO117" i="136" s="1"/>
  <c r="DN188" i="136"/>
  <c r="DO187" i="136"/>
  <c r="DO188" i="136" s="1"/>
  <c r="DR198" i="11"/>
  <c r="DR185" i="136"/>
  <c r="DR114" i="136"/>
  <c r="DS169" i="11"/>
  <c r="DS170" i="11" s="1"/>
  <c r="DS171" i="11" s="1"/>
  <c r="DS172" i="11" s="1"/>
  <c r="DS59" i="134"/>
  <c r="DQ116" i="136"/>
  <c r="DQ125" i="136"/>
  <c r="DT78" i="12"/>
  <c r="DU139" i="12"/>
  <c r="DT138" i="12"/>
  <c r="DT208" i="11" s="1"/>
  <c r="DW169" i="11" l="1"/>
  <c r="DW170" i="11" s="1"/>
  <c r="DW171" i="11" s="1"/>
  <c r="DW172" i="11" s="1"/>
  <c r="DW59" i="134"/>
  <c r="DW198" i="11" s="1"/>
  <c r="DY139" i="12"/>
  <c r="DX138" i="12"/>
  <c r="DX208" i="11" s="1"/>
  <c r="DX78" i="12"/>
  <c r="DO128" i="136"/>
  <c r="DT169" i="11"/>
  <c r="DT59" i="134"/>
  <c r="DQ117" i="136"/>
  <c r="DR116" i="136"/>
  <c r="DR117" i="136" s="1"/>
  <c r="DR125" i="136"/>
  <c r="DR126" i="136" s="1"/>
  <c r="DQ188" i="136"/>
  <c r="DU78" i="12"/>
  <c r="DU138" i="12"/>
  <c r="DQ126" i="136"/>
  <c r="DS198" i="11"/>
  <c r="DS114" i="136"/>
  <c r="DS185" i="136"/>
  <c r="DR187" i="136"/>
  <c r="DR188" i="136" s="1"/>
  <c r="DR195" i="136"/>
  <c r="DR196" i="136" s="1"/>
  <c r="DQ196" i="136"/>
  <c r="DN198" i="136"/>
  <c r="DO196" i="136"/>
  <c r="DO198" i="136" s="1"/>
  <c r="DU169" i="11" l="1"/>
  <c r="DU208" i="11"/>
  <c r="DX169" i="11"/>
  <c r="DX170" i="11" s="1"/>
  <c r="DX171" i="11" s="1"/>
  <c r="DX172" i="11" s="1"/>
  <c r="DX59" i="134"/>
  <c r="DX198" i="11" s="1"/>
  <c r="DY138" i="12"/>
  <c r="DY208" i="11" s="1"/>
  <c r="DZ139" i="12"/>
  <c r="EC139" i="12" s="1"/>
  <c r="DY78" i="12"/>
  <c r="DQ128" i="136"/>
  <c r="DQ198" i="136"/>
  <c r="DS116" i="136"/>
  <c r="DS117" i="136" s="1"/>
  <c r="DS125" i="136"/>
  <c r="DR128" i="136"/>
  <c r="DR198" i="136"/>
  <c r="DS195" i="136"/>
  <c r="DS187" i="136"/>
  <c r="DS188" i="136" s="1"/>
  <c r="DT198" i="11"/>
  <c r="DT185" i="136"/>
  <c r="DT114" i="136"/>
  <c r="EC138" i="12" l="1"/>
  <c r="ED139" i="12"/>
  <c r="EC78" i="12"/>
  <c r="DZ138" i="12"/>
  <c r="DZ208" i="11" s="1"/>
  <c r="EA139" i="12"/>
  <c r="DZ78" i="12"/>
  <c r="DY169" i="11"/>
  <c r="DY170" i="11" s="1"/>
  <c r="DY171" i="11" s="1"/>
  <c r="DY172" i="11" s="1"/>
  <c r="DY59" i="134"/>
  <c r="DY198" i="11" s="1"/>
  <c r="DT187" i="136"/>
  <c r="DT188" i="136" s="1"/>
  <c r="DT195" i="136"/>
  <c r="DT196" i="136" s="1"/>
  <c r="DS196" i="136"/>
  <c r="DS126" i="136"/>
  <c r="DS128" i="136" s="1"/>
  <c r="DT116" i="136"/>
  <c r="DT117" i="136" s="1"/>
  <c r="DT125" i="136"/>
  <c r="DT126" i="136" s="1"/>
  <c r="ED138" i="12" l="1"/>
  <c r="EE139" i="12"/>
  <c r="ED78" i="12"/>
  <c r="EC59" i="134"/>
  <c r="EC198" i="11" s="1"/>
  <c r="EC208" i="11"/>
  <c r="EC169" i="11"/>
  <c r="EC170" i="11" s="1"/>
  <c r="EC171" i="11" s="1"/>
  <c r="EC172" i="11" s="1"/>
  <c r="EA138" i="12"/>
  <c r="EA78" i="12"/>
  <c r="DZ169" i="11"/>
  <c r="DZ59" i="134"/>
  <c r="DZ198" i="11" s="1"/>
  <c r="DU195" i="136"/>
  <c r="DT128" i="136"/>
  <c r="DU125" i="136"/>
  <c r="DU126" i="136" s="1"/>
  <c r="DT198" i="136"/>
  <c r="DU187" i="136"/>
  <c r="DU188" i="136" s="1"/>
  <c r="DS198" i="136"/>
  <c r="DU196" i="136"/>
  <c r="DU116" i="136"/>
  <c r="DU117" i="136" s="1"/>
  <c r="EE138" i="12" l="1"/>
  <c r="EF139" i="12"/>
  <c r="EE78" i="12"/>
  <c r="ED59" i="134"/>
  <c r="ED198" i="11" s="1"/>
  <c r="ED208" i="11"/>
  <c r="ED169" i="11"/>
  <c r="ED170" i="11" s="1"/>
  <c r="ED171" i="11" s="1"/>
  <c r="ED172" i="11" s="1"/>
  <c r="EA169" i="11"/>
  <c r="EA208" i="11"/>
  <c r="DU198" i="136"/>
  <c r="DU128" i="136"/>
  <c r="EF138" i="12" l="1"/>
  <c r="EG139" i="12"/>
  <c r="EF78" i="12"/>
  <c r="EE208" i="11"/>
  <c r="EE59" i="134"/>
  <c r="EE198" i="11" s="1"/>
  <c r="EE169" i="11"/>
  <c r="EE170" i="11" s="1"/>
  <c r="EE171" i="11" s="1"/>
  <c r="EE172" i="11" s="1"/>
  <c r="DG226" i="11"/>
  <c r="EG78" i="12" l="1"/>
  <c r="EG138" i="12"/>
  <c r="EF59" i="134"/>
  <c r="EF198" i="11" s="1"/>
  <c r="EF208" i="11"/>
  <c r="EF169" i="11"/>
  <c r="DG21" i="134"/>
  <c r="DG22" i="134" s="1"/>
  <c r="EG208" i="11" l="1"/>
  <c r="EG169" i="11"/>
  <c r="DG58" i="134"/>
  <c r="DG70" i="134"/>
  <c r="DG27" i="12"/>
  <c r="DG151" i="11" l="1"/>
  <c r="DG149" i="11" s="1"/>
  <c r="DH226" i="11"/>
  <c r="DI226" i="11" s="1"/>
  <c r="DI23" i="11"/>
  <c r="DG76" i="12"/>
  <c r="DG29" i="12"/>
  <c r="DG98" i="134"/>
  <c r="DG131" i="12" l="1"/>
  <c r="DG71" i="12"/>
  <c r="DG152" i="11"/>
  <c r="DG71" i="11"/>
  <c r="DG73" i="11"/>
  <c r="DG78" i="135" s="1"/>
  <c r="DG55" i="12"/>
  <c r="DG91" i="11"/>
  <c r="DG90" i="11"/>
  <c r="DG68" i="12"/>
  <c r="DG69" i="12"/>
  <c r="DG61" i="12"/>
  <c r="DG92" i="11"/>
  <c r="DG93" i="11" s="1"/>
  <c r="DG70" i="12"/>
  <c r="DG79" i="12"/>
  <c r="DL152" i="11" l="1"/>
  <c r="DM152" i="11" s="1"/>
  <c r="DN152" i="11" s="1"/>
  <c r="DQ152" i="11" s="1"/>
  <c r="DR152" i="11" s="1"/>
  <c r="DS152" i="11" s="1"/>
  <c r="DT152" i="11" s="1"/>
  <c r="DW152" i="11" s="1"/>
  <c r="DX152" i="11" s="1"/>
  <c r="DY152" i="11" s="1"/>
  <c r="DZ152" i="11" s="1"/>
  <c r="EC152" i="11" s="1"/>
  <c r="ED152" i="11" s="1"/>
  <c r="EE152" i="11" s="1"/>
  <c r="EF152" i="11" s="1"/>
  <c r="DG62" i="12"/>
  <c r="DG64" i="12" s="1"/>
  <c r="DG57" i="12"/>
  <c r="DG59" i="12" s="1"/>
  <c r="DH21" i="134" l="1"/>
  <c r="DH22" i="134" s="1"/>
  <c r="DH56" i="12"/>
  <c r="DG224" i="11"/>
  <c r="DH71" i="11" l="1"/>
  <c r="DH73" i="11"/>
  <c r="DH78" i="135" s="1"/>
  <c r="DH70" i="134"/>
  <c r="DH58" i="134"/>
  <c r="DI19" i="11"/>
  <c r="DH178" i="11"/>
  <c r="DI14" i="12"/>
  <c r="DK226" i="11"/>
  <c r="DG62" i="11"/>
  <c r="DG77" i="135" s="1"/>
  <c r="DG17" i="11"/>
  <c r="DG79" i="11"/>
  <c r="DG80" i="11"/>
  <c r="DG114" i="11"/>
  <c r="DG58" i="12"/>
  <c r="DG115" i="11"/>
  <c r="DI73" i="12" l="1"/>
  <c r="DI178" i="11"/>
  <c r="DG78" i="11"/>
  <c r="DG81" i="11"/>
  <c r="DG74" i="11"/>
  <c r="DG79" i="135" s="1"/>
  <c r="DG63" i="11"/>
  <c r="DL226" i="11" l="1"/>
  <c r="DI23" i="134"/>
  <c r="DH197" i="11" l="1"/>
  <c r="DI27" i="134"/>
  <c r="DM226" i="11" l="1"/>
  <c r="DI197" i="11"/>
  <c r="DI28" i="134"/>
  <c r="DI29" i="134" s="1"/>
  <c r="DH97" i="134"/>
  <c r="DI97" i="134" s="1"/>
  <c r="DI32" i="134" l="1"/>
  <c r="DI36" i="134"/>
  <c r="DI10" i="12"/>
  <c r="DH12" i="12"/>
  <c r="DI59" i="134"/>
  <c r="DI54" i="11" l="1"/>
  <c r="DI55" i="11" s="1"/>
  <c r="DI75" i="11" s="1"/>
  <c r="DH55" i="11"/>
  <c r="DH75" i="11" s="1"/>
  <c r="DI12" i="12"/>
  <c r="DI114" i="136"/>
  <c r="DI198" i="11"/>
  <c r="DI185" i="136"/>
  <c r="DI38" i="134"/>
  <c r="DI37" i="134"/>
  <c r="DH221" i="11" l="1"/>
  <c r="DN226" i="11"/>
  <c r="DO226" i="11" s="1"/>
  <c r="DO23" i="11"/>
  <c r="DH202" i="11"/>
  <c r="DI202" i="11"/>
  <c r="DI221" i="11" l="1"/>
  <c r="DQ226" i="11" l="1"/>
  <c r="DS226" i="11" l="1"/>
  <c r="DT226" i="11" l="1"/>
  <c r="DU226" i="11" s="1"/>
  <c r="DZ226" i="11" l="1"/>
  <c r="EA226" i="11" s="1"/>
  <c r="DG222" i="136" l="1"/>
  <c r="DG320" i="136"/>
  <c r="DG156" i="136"/>
  <c r="DG79" i="136"/>
  <c r="DG391" i="136" l="1"/>
  <c r="DG390" i="136" s="1"/>
  <c r="DG392" i="136" l="1"/>
  <c r="DG393" i="136" s="1"/>
  <c r="DG371" i="136" l="1"/>
  <c r="DG377" i="136" l="1"/>
  <c r="DG376" i="136" l="1"/>
  <c r="DG378" i="136"/>
  <c r="DG379" i="136"/>
  <c r="DG57" i="134" l="1"/>
  <c r="DK123" i="12" l="1"/>
  <c r="DL124" i="12" l="1"/>
  <c r="DK16" i="12"/>
  <c r="DK53" i="11" l="1"/>
  <c r="DL123" i="12"/>
  <c r="DM124" i="12"/>
  <c r="DM123" i="12" l="1"/>
  <c r="DM16" i="12" s="1"/>
  <c r="DN124" i="12"/>
  <c r="DL16" i="12"/>
  <c r="DL53" i="11" l="1"/>
  <c r="DM53" i="11" s="1"/>
  <c r="DY226" i="11" l="1"/>
  <c r="DX226" i="11"/>
  <c r="DW226" i="11"/>
  <c r="DR226" i="11"/>
  <c r="DZ142" i="11" l="1"/>
  <c r="EA142" i="11" s="1"/>
  <c r="EA143" i="11" s="1"/>
  <c r="DT142" i="11"/>
  <c r="DU142" i="11" s="1"/>
  <c r="DU143" i="11" s="1"/>
  <c r="DN142" i="11"/>
  <c r="DH40" i="11"/>
  <c r="DH41" i="11" s="1"/>
  <c r="DI40" i="11" l="1"/>
  <c r="DH215" i="11"/>
  <c r="DH187" i="11"/>
  <c r="DO142" i="11"/>
  <c r="DO143" i="11" s="1"/>
  <c r="DN40" i="11"/>
  <c r="DI215" i="11" l="1"/>
  <c r="DT40" i="11"/>
  <c r="DN187" i="11"/>
  <c r="DO40" i="11"/>
  <c r="DN215" i="11"/>
  <c r="DI187" i="11"/>
  <c r="DZ40" i="11"/>
  <c r="DO187" i="11" l="1"/>
  <c r="EA40" i="11"/>
  <c r="DZ187" i="11"/>
  <c r="DZ215" i="11"/>
  <c r="DU40" i="11"/>
  <c r="DT215" i="11"/>
  <c r="DT187" i="11"/>
  <c r="DO215" i="11"/>
  <c r="EA215" i="11" l="1"/>
  <c r="DU215" i="11"/>
  <c r="EA187" i="11"/>
  <c r="DU187" i="11"/>
  <c r="DO58" i="138" l="1"/>
  <c r="DU58" i="138"/>
  <c r="EA58" i="138"/>
  <c r="DK140" i="11"/>
  <c r="DK21" i="11" s="1"/>
  <c r="DL140" i="11"/>
  <c r="DL21" i="11" s="1"/>
  <c r="DL179" i="11" s="1"/>
  <c r="DM140" i="11"/>
  <c r="DM21" i="11" s="1"/>
  <c r="DM179" i="11" s="1"/>
  <c r="DQ140" i="11"/>
  <c r="DQ21" i="11" s="1"/>
  <c r="DR140" i="11"/>
  <c r="DR21" i="11" s="1"/>
  <c r="DR179" i="11" s="1"/>
  <c r="DS140" i="11"/>
  <c r="DS21" i="11" s="1"/>
  <c r="DS179" i="11" s="1"/>
  <c r="DW140" i="11"/>
  <c r="DW21" i="11" s="1"/>
  <c r="DW179" i="11" s="1"/>
  <c r="DX140" i="11"/>
  <c r="DX21" i="11" s="1"/>
  <c r="DY140" i="11"/>
  <c r="DY21" i="11" s="1"/>
  <c r="DX179" i="11" l="1"/>
  <c r="DQ179" i="11"/>
  <c r="DY179" i="11"/>
  <c r="DK179" i="11"/>
  <c r="DE140" i="11" l="1"/>
  <c r="DE141" i="11" s="1"/>
  <c r="DE179" i="11"/>
  <c r="DE24" i="11"/>
  <c r="DE163" i="11" s="1"/>
  <c r="DE26" i="11" l="1"/>
  <c r="DE28" i="11" s="1"/>
  <c r="DE195" i="11" s="1"/>
  <c r="DF157" i="11"/>
  <c r="DE160" i="11"/>
  <c r="DE181" i="11"/>
  <c r="DE182" i="11" s="1"/>
  <c r="DE67" i="11" l="1"/>
  <c r="DE199" i="11"/>
  <c r="DE161" i="11"/>
  <c r="DE158" i="11"/>
  <c r="DF140" i="11"/>
  <c r="DF141" i="11" s="1"/>
  <c r="DF179" i="11"/>
  <c r="DF24" i="11"/>
  <c r="DF163" i="11" s="1"/>
  <c r="DG157" i="11" l="1"/>
  <c r="DF160" i="11"/>
  <c r="DF181" i="11"/>
  <c r="DF182" i="11" s="1"/>
  <c r="DF26" i="11"/>
  <c r="DF28" i="11" s="1"/>
  <c r="DF161" i="11" l="1"/>
  <c r="DF158" i="11"/>
  <c r="DF196" i="11"/>
  <c r="DF67" i="11"/>
  <c r="DF195" i="11"/>
  <c r="DF199" i="11" l="1"/>
  <c r="DG179" i="11"/>
  <c r="DG140" i="11"/>
  <c r="DG141" i="11" s="1"/>
  <c r="DG24" i="11"/>
  <c r="DG163" i="11" s="1"/>
  <c r="DH157" i="11" s="1"/>
  <c r="DH158" i="11" s="1"/>
  <c r="DG160" i="11" l="1"/>
  <c r="DG181" i="11"/>
  <c r="DG182" i="11" s="1"/>
  <c r="DG26" i="11"/>
  <c r="DG28" i="11" s="1"/>
  <c r="DG196" i="11" l="1"/>
  <c r="DG67" i="11"/>
  <c r="DG195" i="11"/>
  <c r="DG161" i="11"/>
  <c r="DG158" i="11"/>
  <c r="DI158" i="11" s="1"/>
  <c r="DI160" i="11" s="1"/>
  <c r="DI161" i="11" s="1"/>
  <c r="DG199" i="11" l="1"/>
  <c r="DI15" i="12" l="1"/>
  <c r="DH26" i="11"/>
  <c r="DH181" i="11"/>
  <c r="DH182" i="11" s="1"/>
  <c r="DI24" i="11"/>
  <c r="DI163" i="11" s="1"/>
  <c r="DO157" i="11" s="1"/>
  <c r="DO160" i="11" s="1"/>
  <c r="DK157" i="11" l="1"/>
  <c r="DK160" i="11" s="1"/>
  <c r="DH151" i="11"/>
  <c r="DH149" i="11" s="1"/>
  <c r="DI149" i="11" s="1"/>
  <c r="DI151" i="11" s="1"/>
  <c r="DI26" i="11"/>
  <c r="DI181" i="11"/>
  <c r="DI182" i="11" s="1"/>
  <c r="DK162" i="11"/>
  <c r="DK163" i="11" s="1"/>
  <c r="DI21" i="134"/>
  <c r="DH152" i="11" l="1"/>
  <c r="DI152" i="11"/>
  <c r="DI154" i="11"/>
  <c r="DI22" i="134"/>
  <c r="DK24" i="11"/>
  <c r="DL157" i="11"/>
  <c r="DL160" i="11" s="1"/>
  <c r="DK15" i="12"/>
  <c r="DK146" i="11" l="1"/>
  <c r="DK151" i="11" s="1"/>
  <c r="DK153" i="11" s="1"/>
  <c r="DO146" i="11"/>
  <c r="DO151" i="11" s="1"/>
  <c r="DI71" i="11"/>
  <c r="DI73" i="11"/>
  <c r="DI78" i="135" s="1"/>
  <c r="DI70" i="134"/>
  <c r="DI58" i="134"/>
  <c r="DL162" i="11"/>
  <c r="DK181" i="11"/>
  <c r="DK154" i="11" l="1"/>
  <c r="DK14" i="12"/>
  <c r="DK21" i="134" s="1"/>
  <c r="DL76" i="134"/>
  <c r="DL15" i="12"/>
  <c r="DL163" i="11"/>
  <c r="DK22" i="134" l="1"/>
  <c r="DK98" i="134"/>
  <c r="DK73" i="12"/>
  <c r="DK19" i="11"/>
  <c r="DL146" i="11"/>
  <c r="DL151" i="11" s="1"/>
  <c r="DK207" i="11"/>
  <c r="DM157" i="11"/>
  <c r="DM160" i="11" s="1"/>
  <c r="DL24" i="11"/>
  <c r="DL87" i="134"/>
  <c r="DL33" i="134" s="1"/>
  <c r="DL94" i="134"/>
  <c r="DK58" i="134" l="1"/>
  <c r="DK70" i="134"/>
  <c r="DK178" i="11"/>
  <c r="DK182" i="11" s="1"/>
  <c r="DK26" i="11"/>
  <c r="DL153" i="11"/>
  <c r="DL154" i="11" s="1"/>
  <c r="DL181" i="11"/>
  <c r="DM162" i="11"/>
  <c r="DM163" i="11" s="1"/>
  <c r="DK209" i="11"/>
  <c r="DK210" i="11" s="1"/>
  <c r="DL99" i="134"/>
  <c r="DL96" i="134"/>
  <c r="DL14" i="12" l="1"/>
  <c r="DM146" i="11"/>
  <c r="DM151" i="11" s="1"/>
  <c r="DL19" i="11"/>
  <c r="DK71" i="11"/>
  <c r="DK73" i="11"/>
  <c r="DK78" i="135" s="1"/>
  <c r="DK211" i="11"/>
  <c r="DN157" i="11"/>
  <c r="DN160" i="11" s="1"/>
  <c r="DM24" i="11"/>
  <c r="DM15" i="12"/>
  <c r="DM76" i="134"/>
  <c r="DL207" i="11"/>
  <c r="DL73" i="12" l="1"/>
  <c r="DL21" i="134"/>
  <c r="DM153" i="11"/>
  <c r="DM154" i="11" s="1"/>
  <c r="DL178" i="11"/>
  <c r="DL182" i="11" s="1"/>
  <c r="DL26" i="11"/>
  <c r="DM87" i="134"/>
  <c r="DM33" i="134" s="1"/>
  <c r="DM94" i="134"/>
  <c r="DM181" i="11"/>
  <c r="DN162" i="11"/>
  <c r="DL209" i="11"/>
  <c r="DL210" i="11" s="1"/>
  <c r="DM19" i="11" l="1"/>
  <c r="DN146" i="11"/>
  <c r="DN151" i="11" s="1"/>
  <c r="DM14" i="12"/>
  <c r="DL22" i="134"/>
  <c r="DL98" i="134"/>
  <c r="DN163" i="11"/>
  <c r="DN24" i="11" s="1"/>
  <c r="DN181" i="11" s="1"/>
  <c r="DN76" i="134"/>
  <c r="DL211" i="11"/>
  <c r="DN15" i="12"/>
  <c r="DO162" i="11"/>
  <c r="DM99" i="134"/>
  <c r="DM96" i="134"/>
  <c r="DL73" i="11" l="1"/>
  <c r="DL78" i="135" s="1"/>
  <c r="DL58" i="134"/>
  <c r="DL70" i="134"/>
  <c r="DL71" i="11"/>
  <c r="DM73" i="12"/>
  <c r="DM21" i="134"/>
  <c r="DM98" i="134" s="1"/>
  <c r="DN153" i="11"/>
  <c r="DN154" i="11" s="1"/>
  <c r="DN19" i="11" s="1"/>
  <c r="DM178" i="11"/>
  <c r="DM182" i="11" s="1"/>
  <c r="DM26" i="11"/>
  <c r="DO24" i="11"/>
  <c r="DO181" i="11" s="1"/>
  <c r="DM207" i="11"/>
  <c r="DO161" i="11"/>
  <c r="DO163" i="11"/>
  <c r="DO15" i="12"/>
  <c r="DN178" i="11" l="1"/>
  <c r="DO19" i="11"/>
  <c r="DN26" i="11"/>
  <c r="DN14" i="12"/>
  <c r="DO153" i="11"/>
  <c r="DM22" i="134"/>
  <c r="DM209" i="11"/>
  <c r="DM210" i="11" s="1"/>
  <c r="DU157" i="11"/>
  <c r="DU160" i="11" s="1"/>
  <c r="DQ157" i="11"/>
  <c r="DQ160" i="11" s="1"/>
  <c r="DO152" i="11" l="1"/>
  <c r="DO154" i="11"/>
  <c r="DO178" i="11"/>
  <c r="DO26" i="11"/>
  <c r="DM73" i="11"/>
  <c r="DM78" i="135" s="1"/>
  <c r="DM58" i="134"/>
  <c r="DM70" i="134"/>
  <c r="DM71" i="11"/>
  <c r="DN73" i="12"/>
  <c r="DO14" i="12"/>
  <c r="DN21" i="134"/>
  <c r="DM211" i="11"/>
  <c r="DQ162" i="11"/>
  <c r="DO73" i="12" l="1"/>
  <c r="DQ146" i="11"/>
  <c r="DQ151" i="11" s="1"/>
  <c r="DQ153" i="11" s="1"/>
  <c r="DU146" i="11"/>
  <c r="DU151" i="11" s="1"/>
  <c r="DO21" i="134"/>
  <c r="DQ15" i="12"/>
  <c r="DQ76" i="134"/>
  <c r="DQ163" i="11"/>
  <c r="DQ154" i="11" l="1"/>
  <c r="DQ14" i="12"/>
  <c r="DQ21" i="134" s="1"/>
  <c r="DQ24" i="11"/>
  <c r="DR157" i="11"/>
  <c r="DR160" i="11" s="1"/>
  <c r="DQ87" i="134"/>
  <c r="DQ33" i="134" s="1"/>
  <c r="DQ94" i="134"/>
  <c r="DQ73" i="12" l="1"/>
  <c r="DR146" i="11"/>
  <c r="DR151" i="11" s="1"/>
  <c r="DQ19" i="11"/>
  <c r="DQ26" i="11" s="1"/>
  <c r="DQ181" i="11"/>
  <c r="DQ99" i="134"/>
  <c r="DR162" i="11"/>
  <c r="DR163" i="11" s="1"/>
  <c r="DQ22" i="134"/>
  <c r="DQ96" i="134"/>
  <c r="DQ178" i="11" l="1"/>
  <c r="DQ182" i="11" s="1"/>
  <c r="DR153" i="11"/>
  <c r="DR154" i="11" s="1"/>
  <c r="DQ71" i="11"/>
  <c r="DQ58" i="134"/>
  <c r="DQ70" i="134"/>
  <c r="DQ73" i="11"/>
  <c r="DQ78" i="135" s="1"/>
  <c r="DQ207" i="11"/>
  <c r="DQ98" i="134"/>
  <c r="DR24" i="11"/>
  <c r="DS157" i="11"/>
  <c r="DS160" i="11" s="1"/>
  <c r="DR76" i="134"/>
  <c r="DR15" i="12"/>
  <c r="DS146" i="11" l="1"/>
  <c r="DS151" i="11" s="1"/>
  <c r="DR19" i="11"/>
  <c r="DR26" i="11" s="1"/>
  <c r="DR14" i="12"/>
  <c r="DR94" i="134"/>
  <c r="DR87" i="134"/>
  <c r="DR33" i="134" s="1"/>
  <c r="DS162" i="11"/>
  <c r="DS163" i="11" s="1"/>
  <c r="DQ209" i="11"/>
  <c r="DQ210" i="11" s="1"/>
  <c r="DR181" i="11"/>
  <c r="DR21" i="134" l="1"/>
  <c r="DR178" i="11"/>
  <c r="DR182" i="11" s="1"/>
  <c r="DR73" i="12"/>
  <c r="DS153" i="11"/>
  <c r="DS154" i="11" s="1"/>
  <c r="DQ211" i="11"/>
  <c r="DS24" i="11"/>
  <c r="DT157" i="11"/>
  <c r="DT160" i="11" s="1"/>
  <c r="DS76" i="134"/>
  <c r="DS15" i="12"/>
  <c r="DR96" i="134"/>
  <c r="DR99" i="134"/>
  <c r="DR22" i="134" l="1"/>
  <c r="DR73" i="11" s="1"/>
  <c r="DR78" i="135" s="1"/>
  <c r="DS19" i="11"/>
  <c r="DS26" i="11" s="1"/>
  <c r="DT146" i="11"/>
  <c r="DT151" i="11" s="1"/>
  <c r="DS14" i="12"/>
  <c r="DS87" i="134"/>
  <c r="DS94" i="134"/>
  <c r="DR70" i="134"/>
  <c r="DS181" i="11"/>
  <c r="DT162" i="11"/>
  <c r="DT163" i="11" s="1"/>
  <c r="DT24" i="11" s="1"/>
  <c r="DR98" i="134"/>
  <c r="DR207" i="11"/>
  <c r="DR71" i="11" l="1"/>
  <c r="DR58" i="134"/>
  <c r="DS73" i="12"/>
  <c r="DT153" i="11"/>
  <c r="DT154" i="11" s="1"/>
  <c r="DT19" i="11" s="1"/>
  <c r="DS21" i="134"/>
  <c r="DS178" i="11"/>
  <c r="DS182" i="11" s="1"/>
  <c r="DR209" i="11"/>
  <c r="DR210" i="11" s="1"/>
  <c r="DS99" i="134"/>
  <c r="DS96" i="134"/>
  <c r="DU24" i="11"/>
  <c r="DT181" i="11"/>
  <c r="DT15" i="12"/>
  <c r="DT76" i="134"/>
  <c r="DU162" i="11"/>
  <c r="DS33" i="134"/>
  <c r="DS22" i="134" l="1"/>
  <c r="DS71" i="11" s="1"/>
  <c r="DU19" i="11"/>
  <c r="DT178" i="11"/>
  <c r="DT14" i="12"/>
  <c r="DT21" i="134" s="1"/>
  <c r="DU153" i="11"/>
  <c r="DT26" i="11"/>
  <c r="DU26" i="11"/>
  <c r="DU181" i="11"/>
  <c r="DS207" i="11"/>
  <c r="DS98" i="134"/>
  <c r="DT94" i="134"/>
  <c r="DT87" i="134"/>
  <c r="DU76" i="134"/>
  <c r="DR211" i="11"/>
  <c r="DU161" i="11"/>
  <c r="DU163" i="11"/>
  <c r="DU15" i="12"/>
  <c r="DS73" i="11" l="1"/>
  <c r="DS78" i="135" s="1"/>
  <c r="DS70" i="134"/>
  <c r="DS58" i="134"/>
  <c r="DT73" i="12"/>
  <c r="DU14" i="12"/>
  <c r="DU178" i="11"/>
  <c r="DU152" i="11"/>
  <c r="DU154" i="11"/>
  <c r="DU94" i="134"/>
  <c r="DT96" i="134"/>
  <c r="DU96" i="134" s="1"/>
  <c r="DU87" i="134"/>
  <c r="DU33" i="134" s="1"/>
  <c r="EA157" i="11"/>
  <c r="EA160" i="11" s="1"/>
  <c r="DW157" i="11"/>
  <c r="DW160" i="11" s="1"/>
  <c r="DT33" i="134"/>
  <c r="DS209" i="11"/>
  <c r="DS210" i="11" s="1"/>
  <c r="DU21" i="134"/>
  <c r="DU73" i="12" l="1"/>
  <c r="EA146" i="11"/>
  <c r="EA151" i="11" s="1"/>
  <c r="DW146" i="11"/>
  <c r="DW151" i="11" s="1"/>
  <c r="DS211" i="11"/>
  <c r="DW162" i="11"/>
  <c r="DW163" i="11" s="1"/>
  <c r="DW153" i="11" l="1"/>
  <c r="DW154" i="11" s="1"/>
  <c r="DX157" i="11"/>
  <c r="DX160" i="11" s="1"/>
  <c r="DW24" i="11"/>
  <c r="DW15" i="12"/>
  <c r="DW76" i="134"/>
  <c r="DX146" i="11" l="1"/>
  <c r="DX151" i="11" s="1"/>
  <c r="DX153" i="11" s="1"/>
  <c r="DW19" i="11"/>
  <c r="DW14" i="12"/>
  <c r="DW87" i="134"/>
  <c r="DW94" i="134"/>
  <c r="DW26" i="11"/>
  <c r="DW181" i="11"/>
  <c r="DX162" i="11"/>
  <c r="DX163" i="11" s="1"/>
  <c r="DW178" i="11" l="1"/>
  <c r="DW182" i="11" s="1"/>
  <c r="DW73" i="12"/>
  <c r="DW21" i="134"/>
  <c r="DX154" i="11"/>
  <c r="DX14" i="12"/>
  <c r="DX73" i="12" s="1"/>
  <c r="DY157" i="11"/>
  <c r="DY160" i="11" s="1"/>
  <c r="DX24" i="11"/>
  <c r="DX15" i="12"/>
  <c r="DX76" i="134"/>
  <c r="DW99" i="134"/>
  <c r="DW96" i="134"/>
  <c r="DW33" i="134"/>
  <c r="DX19" i="11" l="1"/>
  <c r="DX26" i="11" s="1"/>
  <c r="DY146" i="11"/>
  <c r="DY151" i="11" s="1"/>
  <c r="DY153" i="11" s="1"/>
  <c r="DW22" i="134"/>
  <c r="DW71" i="11" s="1"/>
  <c r="DX181" i="11"/>
  <c r="DX87" i="134"/>
  <c r="DX94" i="134"/>
  <c r="DX21" i="134"/>
  <c r="DY162" i="11"/>
  <c r="DY163" i="11" s="1"/>
  <c r="DW98" i="134"/>
  <c r="DW207" i="11"/>
  <c r="DW73" i="11" l="1"/>
  <c r="DW78" i="135" s="1"/>
  <c r="DW58" i="134"/>
  <c r="DW70" i="134"/>
  <c r="DY154" i="11"/>
  <c r="DY14" i="12"/>
  <c r="DX178" i="11"/>
  <c r="DX182" i="11" s="1"/>
  <c r="DX99" i="134"/>
  <c r="DX96" i="134"/>
  <c r="DW209" i="11"/>
  <c r="DW210" i="11" s="1"/>
  <c r="DY24" i="11"/>
  <c r="DZ157" i="11"/>
  <c r="DZ160" i="11" s="1"/>
  <c r="DY76" i="134"/>
  <c r="DY15" i="12"/>
  <c r="DX33" i="134"/>
  <c r="DX22" i="134"/>
  <c r="DY19" i="11" l="1"/>
  <c r="DY26" i="11" s="1"/>
  <c r="DZ146" i="11"/>
  <c r="DZ151" i="11" s="1"/>
  <c r="DZ153" i="11" s="1"/>
  <c r="DY73" i="12"/>
  <c r="DW211" i="11"/>
  <c r="DX71" i="11"/>
  <c r="DX70" i="134"/>
  <c r="DX73" i="11"/>
  <c r="DX78" i="135" s="1"/>
  <c r="DX58" i="134"/>
  <c r="DY21" i="134"/>
  <c r="DZ162" i="11"/>
  <c r="DY181" i="11"/>
  <c r="DY87" i="134"/>
  <c r="DY33" i="134" s="1"/>
  <c r="DY94" i="134"/>
  <c r="DX98" i="134"/>
  <c r="DX207" i="11"/>
  <c r="DZ154" i="11" l="1"/>
  <c r="DZ19" i="11" s="1"/>
  <c r="DZ14" i="12"/>
  <c r="EA153" i="11"/>
  <c r="DY178" i="11"/>
  <c r="DY182" i="11" s="1"/>
  <c r="DX209" i="11"/>
  <c r="DX210" i="11" s="1"/>
  <c r="DZ15" i="12"/>
  <c r="DZ76" i="134"/>
  <c r="EA162" i="11"/>
  <c r="DY99" i="134"/>
  <c r="DY96" i="134"/>
  <c r="DY22" i="134"/>
  <c r="DZ163" i="11"/>
  <c r="DZ24" i="11" s="1"/>
  <c r="EA152" i="11" l="1"/>
  <c r="EA154" i="11"/>
  <c r="DZ73" i="12"/>
  <c r="EA14" i="12"/>
  <c r="EA73" i="12" s="1"/>
  <c r="EA19" i="11"/>
  <c r="DZ178" i="11"/>
  <c r="DY70" i="134"/>
  <c r="DY73" i="11"/>
  <c r="DY78" i="135" s="1"/>
  <c r="DY71" i="11"/>
  <c r="DY58" i="134"/>
  <c r="DX211" i="11"/>
  <c r="DY207" i="11"/>
  <c r="DY98" i="134"/>
  <c r="EA161" i="11"/>
  <c r="EA163" i="11"/>
  <c r="DZ94" i="134"/>
  <c r="DZ87" i="134"/>
  <c r="EA76" i="134"/>
  <c r="DZ26" i="11"/>
  <c r="EA24" i="11"/>
  <c r="DZ181" i="11"/>
  <c r="DZ21" i="134"/>
  <c r="EA15" i="12"/>
  <c r="EG157" i="11" l="1"/>
  <c r="EG160" i="11" s="1"/>
  <c r="EC157" i="11"/>
  <c r="EC160" i="11" s="1"/>
  <c r="EG146" i="11"/>
  <c r="EG151" i="11" s="1"/>
  <c r="EC146" i="11"/>
  <c r="EC151" i="11" s="1"/>
  <c r="EA178" i="11"/>
  <c r="EA21" i="134"/>
  <c r="EA94" i="134"/>
  <c r="DZ96" i="134"/>
  <c r="EA96" i="134" s="1"/>
  <c r="EA87" i="134"/>
  <c r="EA33" i="134" s="1"/>
  <c r="DZ33" i="134"/>
  <c r="EA26" i="11"/>
  <c r="EA181" i="11"/>
  <c r="DY209" i="11"/>
  <c r="DY210" i="11" s="1"/>
  <c r="EC153" i="11" l="1"/>
  <c r="EC14" i="12" s="1"/>
  <c r="EC73" i="12" s="1"/>
  <c r="EC162" i="11"/>
  <c r="EC15" i="12" s="1"/>
  <c r="DY211" i="11"/>
  <c r="EC154" i="11" l="1"/>
  <c r="ED146" i="11" s="1"/>
  <c r="ED151" i="11" s="1"/>
  <c r="EC76" i="134"/>
  <c r="EC163" i="11"/>
  <c r="DE41" i="11"/>
  <c r="DE188" i="11" s="1"/>
  <c r="DE187" i="11"/>
  <c r="DE189" i="11" s="1"/>
  <c r="DE191" i="11" s="1"/>
  <c r="DE215" i="11"/>
  <c r="DE142" i="11"/>
  <c r="DE143" i="11" s="1"/>
  <c r="EC19" i="11" l="1"/>
  <c r="ED153" i="11"/>
  <c r="ED14" i="12" s="1"/>
  <c r="EC87" i="134"/>
  <c r="EC94" i="134"/>
  <c r="EC99" i="134" s="1"/>
  <c r="EC33" i="134"/>
  <c r="EC24" i="11"/>
  <c r="EC181" i="11" s="1"/>
  <c r="ED157" i="11"/>
  <c r="ED160" i="11" s="1"/>
  <c r="EC21" i="134"/>
  <c r="EC22" i="134" s="1"/>
  <c r="EC58" i="134" s="1"/>
  <c r="DE43" i="11"/>
  <c r="DE45" i="11" s="1"/>
  <c r="DE57" i="11" s="1"/>
  <c r="DE58" i="11" s="1"/>
  <c r="DK142" i="11"/>
  <c r="DK40" i="11" s="1"/>
  <c r="DQ143" i="11"/>
  <c r="DF192" i="11"/>
  <c r="DE216" i="11"/>
  <c r="DE228" i="11" s="1"/>
  <c r="EC26" i="11" l="1"/>
  <c r="EC178" i="11"/>
  <c r="EC182" i="11" s="1"/>
  <c r="EC70" i="134"/>
  <c r="ED73" i="12"/>
  <c r="EC207" i="11"/>
  <c r="EC98" i="134"/>
  <c r="ED162" i="11"/>
  <c r="ED15" i="12" s="1"/>
  <c r="EC96" i="134"/>
  <c r="EC71" i="11"/>
  <c r="EC73" i="11"/>
  <c r="EC78" i="135" s="1"/>
  <c r="ED154" i="11"/>
  <c r="DE231" i="11"/>
  <c r="DE68" i="11" s="1"/>
  <c r="DK20" i="12"/>
  <c r="DK215" i="11"/>
  <c r="DK187" i="11"/>
  <c r="DE227" i="11"/>
  <c r="DF166" i="11"/>
  <c r="DW143" i="11"/>
  <c r="EC143" i="11" s="1"/>
  <c r="EC142" i="11" s="1"/>
  <c r="EC40" i="11" s="1"/>
  <c r="DQ142" i="11"/>
  <c r="DQ40" i="11" s="1"/>
  <c r="ED163" i="11" l="1"/>
  <c r="EC187" i="11"/>
  <c r="EC215" i="11"/>
  <c r="EC20" i="12"/>
  <c r="EE146" i="11"/>
  <c r="EE151" i="11" s="1"/>
  <c r="ED19" i="11"/>
  <c r="ED76" i="134"/>
  <c r="EE157" i="11"/>
  <c r="EE160" i="11" s="1"/>
  <c r="ED24" i="11"/>
  <c r="ED181" i="11" s="1"/>
  <c r="EC209" i="11"/>
  <c r="EC210" i="11" s="1"/>
  <c r="DW142" i="11"/>
  <c r="DW40" i="11" s="1"/>
  <c r="DW187" i="11" s="1"/>
  <c r="DK26" i="12"/>
  <c r="DE230" i="11"/>
  <c r="DQ20" i="12"/>
  <c r="DQ187" i="11"/>
  <c r="DQ215" i="11"/>
  <c r="ED21" i="134" l="1"/>
  <c r="ED22" i="134" s="1"/>
  <c r="EE162" i="11"/>
  <c r="EE15" i="12" s="1"/>
  <c r="ED87" i="134"/>
  <c r="ED33" i="134" s="1"/>
  <c r="ED94" i="134"/>
  <c r="ED99" i="134" s="1"/>
  <c r="EC211" i="11"/>
  <c r="ED26" i="11"/>
  <c r="ED178" i="11"/>
  <c r="ED182" i="11" s="1"/>
  <c r="DW20" i="12"/>
  <c r="EE153" i="11"/>
  <c r="EE14" i="12" s="1"/>
  <c r="DW215" i="11"/>
  <c r="DF41" i="11"/>
  <c r="DF43" i="11" s="1"/>
  <c r="DF45" i="11" s="1"/>
  <c r="DF187" i="11"/>
  <c r="DF215" i="11"/>
  <c r="DF142" i="11"/>
  <c r="DF143" i="11" s="1"/>
  <c r="DR143" i="11" s="1"/>
  <c r="DX143" i="11" s="1"/>
  <c r="ED143" i="11" s="1"/>
  <c r="ED142" i="11" s="1"/>
  <c r="ED40" i="11" s="1"/>
  <c r="ED187" i="11" l="1"/>
  <c r="ED20" i="12"/>
  <c r="ED215" i="11"/>
  <c r="EE73" i="12"/>
  <c r="ED207" i="11"/>
  <c r="ED98" i="134"/>
  <c r="ED96" i="134"/>
  <c r="EE76" i="134"/>
  <c r="EE163" i="11"/>
  <c r="EE154" i="11"/>
  <c r="ED71" i="11"/>
  <c r="ED73" i="11"/>
  <c r="ED78" i="135" s="1"/>
  <c r="ED58" i="134"/>
  <c r="ED70" i="134"/>
  <c r="DX142" i="11"/>
  <c r="DX40" i="11" s="1"/>
  <c r="DX20" i="12" s="1"/>
  <c r="DL142" i="11"/>
  <c r="DL40" i="11" s="1"/>
  <c r="DL20" i="12" s="1"/>
  <c r="DF57" i="11"/>
  <c r="DF58" i="11" s="1"/>
  <c r="DR142" i="11"/>
  <c r="DR40" i="11" s="1"/>
  <c r="DF216" i="11"/>
  <c r="DF227" i="11" s="1"/>
  <c r="DF188" i="11"/>
  <c r="DF189" i="11" s="1"/>
  <c r="DF191" i="11" s="1"/>
  <c r="ED26" i="12" l="1"/>
  <c r="EE21" i="134"/>
  <c r="EF146" i="11"/>
  <c r="EF151" i="11" s="1"/>
  <c r="EE19" i="11"/>
  <c r="EE87" i="134"/>
  <c r="EE33" i="134" s="1"/>
  <c r="EE94" i="134"/>
  <c r="ED209" i="11"/>
  <c r="ED210" i="11" s="1"/>
  <c r="EE24" i="11"/>
  <c r="EE181" i="11" s="1"/>
  <c r="EF157" i="11"/>
  <c r="EF160" i="11" s="1"/>
  <c r="DX187" i="11"/>
  <c r="DX215" i="11"/>
  <c r="DL215" i="11"/>
  <c r="DL187" i="11"/>
  <c r="DF230" i="11"/>
  <c r="DX26" i="12"/>
  <c r="DL26" i="12"/>
  <c r="DR215" i="11"/>
  <c r="DR20" i="12"/>
  <c r="DR187" i="11"/>
  <c r="DG192" i="11"/>
  <c r="DF228" i="11"/>
  <c r="EE96" i="134" l="1"/>
  <c r="EF162" i="11"/>
  <c r="EF15" i="12" s="1"/>
  <c r="EG15" i="12" s="1"/>
  <c r="EE178" i="11"/>
  <c r="EE182" i="11" s="1"/>
  <c r="EE26" i="11"/>
  <c r="EF153" i="11"/>
  <c r="EF14" i="12" s="1"/>
  <c r="ED211" i="11"/>
  <c r="EE22" i="134"/>
  <c r="EE99" i="134"/>
  <c r="DR26" i="12"/>
  <c r="DF231" i="11"/>
  <c r="DF68" i="11" s="1"/>
  <c r="DG166" i="11"/>
  <c r="DG187" i="11"/>
  <c r="DG215" i="11"/>
  <c r="DG41" i="11"/>
  <c r="DG142" i="11"/>
  <c r="DG143" i="11" s="1"/>
  <c r="DM142" i="11" s="1"/>
  <c r="DM40" i="11" s="1"/>
  <c r="DH27" i="12"/>
  <c r="DH76" i="12" s="1"/>
  <c r="DH92" i="11" l="1"/>
  <c r="DH93" i="11" s="1"/>
  <c r="DH69" i="12"/>
  <c r="DH131" i="12"/>
  <c r="DH79" i="12"/>
  <c r="DH70" i="12"/>
  <c r="EF73" i="12"/>
  <c r="EG14" i="12"/>
  <c r="EG73" i="12" s="1"/>
  <c r="EE207" i="11"/>
  <c r="EE98" i="134"/>
  <c r="EE71" i="11"/>
  <c r="EE73" i="11"/>
  <c r="EE78" i="135" s="1"/>
  <c r="EE58" i="134"/>
  <c r="EE70" i="134"/>
  <c r="EF76" i="134"/>
  <c r="EG162" i="11"/>
  <c r="EG153" i="11"/>
  <c r="EF154" i="11"/>
  <c r="EF19" i="11" s="1"/>
  <c r="EF163" i="11"/>
  <c r="EF24" i="11" s="1"/>
  <c r="DG43" i="11"/>
  <c r="DG45" i="11" s="1"/>
  <c r="DG57" i="11" s="1"/>
  <c r="DG58" i="11" s="1"/>
  <c r="DH26" i="12"/>
  <c r="DI20" i="12"/>
  <c r="DK41" i="11"/>
  <c r="DH188" i="11"/>
  <c r="DH189" i="11" s="1"/>
  <c r="DH191" i="11" s="1"/>
  <c r="DK192" i="11" s="1"/>
  <c r="DI41" i="11"/>
  <c r="DH43" i="11"/>
  <c r="DH45" i="11" s="1"/>
  <c r="DH216" i="11"/>
  <c r="DM187" i="11"/>
  <c r="DM215" i="11"/>
  <c r="DM20" i="12"/>
  <c r="DN20" i="12"/>
  <c r="DG188" i="11"/>
  <c r="DG189" i="11" s="1"/>
  <c r="DG191" i="11" s="1"/>
  <c r="DG216" i="11"/>
  <c r="DG228" i="11" s="1"/>
  <c r="DH29" i="12"/>
  <c r="DS143" i="11"/>
  <c r="DH91" i="11" l="1"/>
  <c r="DH68" i="12"/>
  <c r="EF178" i="11"/>
  <c r="EF26" i="11"/>
  <c r="EG19" i="11"/>
  <c r="EF87" i="134"/>
  <c r="EF94" i="134"/>
  <c r="EG76" i="134"/>
  <c r="EF181" i="11"/>
  <c r="EG24" i="11"/>
  <c r="EG181" i="11" s="1"/>
  <c r="EF21" i="134"/>
  <c r="EG152" i="11"/>
  <c r="EG154" i="11"/>
  <c r="EG161" i="11"/>
  <c r="EG163" i="11"/>
  <c r="EE209" i="11"/>
  <c r="EE210" i="11" s="1"/>
  <c r="DG227" i="11"/>
  <c r="DG230" i="11" s="1"/>
  <c r="DI26" i="12"/>
  <c r="DI27" i="12"/>
  <c r="DI76" i="12" s="1"/>
  <c r="DH57" i="11"/>
  <c r="DG231" i="11"/>
  <c r="DG68" i="11" s="1"/>
  <c r="DM26" i="12"/>
  <c r="DO20" i="12"/>
  <c r="DH48" i="12"/>
  <c r="DH90" i="11" s="1"/>
  <c r="DI46" i="12"/>
  <c r="DI48" i="12" s="1"/>
  <c r="DK166" i="11"/>
  <c r="DH192" i="11"/>
  <c r="DI192" i="11"/>
  <c r="DK46" i="12"/>
  <c r="DL41" i="11"/>
  <c r="DK216" i="11"/>
  <c r="DK43" i="11"/>
  <c r="DK45" i="11" s="1"/>
  <c r="DK188" i="11"/>
  <c r="DK189" i="11" s="1"/>
  <c r="DK191" i="11" s="1"/>
  <c r="DH61" i="12"/>
  <c r="DY143" i="11"/>
  <c r="EE143" i="11" s="1"/>
  <c r="EE142" i="11" s="1"/>
  <c r="EE40" i="11" s="1"/>
  <c r="DS142" i="11"/>
  <c r="DS40" i="11" s="1"/>
  <c r="DI216" i="11"/>
  <c r="DI43" i="11"/>
  <c r="DI45" i="11" s="1"/>
  <c r="DI188" i="11"/>
  <c r="DI189" i="11" s="1"/>
  <c r="DI191" i="11" s="1"/>
  <c r="DI92" i="11" l="1"/>
  <c r="DI93" i="11" s="1"/>
  <c r="DI131" i="12"/>
  <c r="DI79" i="12"/>
  <c r="DI69" i="12"/>
  <c r="DI70" i="12"/>
  <c r="EE187" i="11"/>
  <c r="EE20" i="12"/>
  <c r="EF20" i="12"/>
  <c r="EE215" i="11"/>
  <c r="EG94" i="134"/>
  <c r="EF96" i="134"/>
  <c r="EG96" i="134" s="1"/>
  <c r="EG87" i="134"/>
  <c r="EG33" i="134" s="1"/>
  <c r="EF33" i="134"/>
  <c r="EE211" i="11"/>
  <c r="EG178" i="11"/>
  <c r="EG26" i="11"/>
  <c r="EG21" i="134"/>
  <c r="DY142" i="11"/>
  <c r="DY40" i="11" s="1"/>
  <c r="DY20" i="12" s="1"/>
  <c r="DH55" i="12"/>
  <c r="DH57" i="12" s="1"/>
  <c r="DH59" i="12" s="1"/>
  <c r="DI29" i="12"/>
  <c r="DL43" i="11"/>
  <c r="DL45" i="11" s="1"/>
  <c r="DL216" i="11"/>
  <c r="DL46" i="12"/>
  <c r="DL48" i="12" s="1"/>
  <c r="DM41" i="11"/>
  <c r="DL188" i="11"/>
  <c r="DL189" i="11" s="1"/>
  <c r="DL191" i="11" s="1"/>
  <c r="DM192" i="11" s="1"/>
  <c r="DK48" i="12"/>
  <c r="DL192" i="11"/>
  <c r="DI166" i="11"/>
  <c r="DS20" i="12"/>
  <c r="DS215" i="11"/>
  <c r="DT20" i="12"/>
  <c r="DS187" i="11"/>
  <c r="DH166" i="11"/>
  <c r="DI57" i="11"/>
  <c r="DH62" i="12"/>
  <c r="DH64" i="12" s="1"/>
  <c r="DI55" i="12" l="1"/>
  <c r="DI57" i="12" s="1"/>
  <c r="DO56" i="12" s="1"/>
  <c r="DI91" i="11"/>
  <c r="DI90" i="11"/>
  <c r="DI68" i="12"/>
  <c r="DY215" i="11"/>
  <c r="EE26" i="12"/>
  <c r="EG20" i="12"/>
  <c r="DY187" i="11"/>
  <c r="DZ20" i="12"/>
  <c r="EA20" i="12" s="1"/>
  <c r="DI61" i="12"/>
  <c r="DM216" i="11"/>
  <c r="DM188" i="11"/>
  <c r="DM189" i="11" s="1"/>
  <c r="DM191" i="11" s="1"/>
  <c r="DN192" i="11" s="1"/>
  <c r="DM46" i="12"/>
  <c r="DM48" i="12" s="1"/>
  <c r="DN41" i="11"/>
  <c r="DM43" i="11"/>
  <c r="DM45" i="11" s="1"/>
  <c r="DY26" i="12"/>
  <c r="DM166" i="11"/>
  <c r="DL166" i="11"/>
  <c r="DU20" i="12"/>
  <c r="DS26" i="12"/>
  <c r="DK56" i="12"/>
  <c r="DI62" i="12" l="1"/>
  <c r="DN43" i="11"/>
  <c r="DN46" i="12"/>
  <c r="DN188" i="11"/>
  <c r="DQ41" i="11"/>
  <c r="DN216" i="11"/>
  <c r="DO41" i="11"/>
  <c r="DI59" i="12"/>
  <c r="DH58" i="12"/>
  <c r="DH62" i="11"/>
  <c r="DH224" i="11"/>
  <c r="DI11" i="11"/>
  <c r="DH17" i="11"/>
  <c r="DK69" i="135"/>
  <c r="DI70" i="135" l="1"/>
  <c r="DI71" i="135" s="1"/>
  <c r="DI115" i="11"/>
  <c r="DI114" i="11"/>
  <c r="DI120" i="11"/>
  <c r="DH74" i="11"/>
  <c r="DH79" i="135" s="1"/>
  <c r="DH77" i="135"/>
  <c r="DH78" i="11"/>
  <c r="DH81" i="11"/>
  <c r="DI79" i="11"/>
  <c r="DI80" i="11"/>
  <c r="DI64" i="12"/>
  <c r="DI63" i="12"/>
  <c r="DI58" i="12"/>
  <c r="DI62" i="11"/>
  <c r="DO69" i="135"/>
  <c r="DI17" i="11"/>
  <c r="DO188" i="11"/>
  <c r="DO43" i="11"/>
  <c r="DQ46" i="12"/>
  <c r="DQ43" i="11"/>
  <c r="DQ45" i="11" s="1"/>
  <c r="DQ188" i="11"/>
  <c r="DQ189" i="11" s="1"/>
  <c r="DQ191" i="11" s="1"/>
  <c r="DQ216" i="11"/>
  <c r="DR41" i="11"/>
  <c r="DI224" i="11"/>
  <c r="DH227" i="11"/>
  <c r="DH228" i="11"/>
  <c r="DO216" i="11"/>
  <c r="DK72" i="135"/>
  <c r="DN48" i="12"/>
  <c r="DO46" i="12"/>
  <c r="DO48" i="12" s="1"/>
  <c r="DH28" i="11"/>
  <c r="DH63" i="11"/>
  <c r="DI74" i="11" l="1"/>
  <c r="DI79" i="135" s="1"/>
  <c r="DI77" i="135"/>
  <c r="DI81" i="11"/>
  <c r="DI78" i="11"/>
  <c r="DR192" i="11"/>
  <c r="DI28" i="11"/>
  <c r="DQ48" i="12"/>
  <c r="DI228" i="11"/>
  <c r="DR46" i="12"/>
  <c r="DR48" i="12" s="1"/>
  <c r="DR43" i="11"/>
  <c r="DR45" i="11" s="1"/>
  <c r="DR216" i="11"/>
  <c r="DR188" i="11"/>
  <c r="DR189" i="11" s="1"/>
  <c r="DR191" i="11" s="1"/>
  <c r="DS192" i="11" s="1"/>
  <c r="DS41" i="11"/>
  <c r="DH58" i="11"/>
  <c r="DH196" i="11"/>
  <c r="DH195" i="11"/>
  <c r="DI227" i="11"/>
  <c r="DI63" i="11"/>
  <c r="DH199" i="11" l="1"/>
  <c r="DI195" i="11"/>
  <c r="DI196" i="11"/>
  <c r="DI58" i="11"/>
  <c r="DS216" i="11"/>
  <c r="DS188" i="11"/>
  <c r="DS189" i="11" s="1"/>
  <c r="DS191" i="11" s="1"/>
  <c r="DT192" i="11" s="1"/>
  <c r="DS46" i="12"/>
  <c r="DT41" i="11"/>
  <c r="DS43" i="11"/>
  <c r="DS45" i="11" s="1"/>
  <c r="DR166" i="11"/>
  <c r="DS166" i="11"/>
  <c r="DS48" i="12" l="1"/>
  <c r="DK197" i="11"/>
  <c r="DW41" i="11"/>
  <c r="DT46" i="12"/>
  <c r="DT48" i="12" s="1"/>
  <c r="DU41" i="11"/>
  <c r="DT188" i="11"/>
  <c r="DT43" i="11"/>
  <c r="DT216" i="11"/>
  <c r="DI199" i="11"/>
  <c r="DK10" i="12" l="1"/>
  <c r="DW43" i="11"/>
  <c r="DW45" i="11" s="1"/>
  <c r="DW46" i="12"/>
  <c r="DX41" i="11"/>
  <c r="DW188" i="11"/>
  <c r="DW189" i="11" s="1"/>
  <c r="DW191" i="11" s="1"/>
  <c r="DW216" i="11"/>
  <c r="DU216" i="11"/>
  <c r="DU46" i="12"/>
  <c r="DU48" i="12" s="1"/>
  <c r="DU43" i="11"/>
  <c r="DU188" i="11"/>
  <c r="DW48" i="12" l="1"/>
  <c r="DK12" i="12"/>
  <c r="DK27" i="12" s="1"/>
  <c r="DX192" i="11"/>
  <c r="DK54" i="11"/>
  <c r="DX43" i="11"/>
  <c r="DX45" i="11" s="1"/>
  <c r="DX46" i="12"/>
  <c r="DX48" i="12" s="1"/>
  <c r="DX188" i="11"/>
  <c r="DX189" i="11" s="1"/>
  <c r="DX191" i="11" s="1"/>
  <c r="DY192" i="11" s="1"/>
  <c r="DY41" i="11"/>
  <c r="DX216" i="11"/>
  <c r="DY216" i="11" l="1"/>
  <c r="DY46" i="12"/>
  <c r="DY48" i="12" s="1"/>
  <c r="DZ41" i="11"/>
  <c r="EC41" i="11" s="1"/>
  <c r="EC46" i="12" s="1"/>
  <c r="DY188" i="11"/>
  <c r="DY189" i="11" s="1"/>
  <c r="DY191" i="11" s="1"/>
  <c r="DZ192" i="11" s="1"/>
  <c r="DY43" i="11"/>
  <c r="DY45" i="11" s="1"/>
  <c r="DK201" i="11"/>
  <c r="DK55" i="11"/>
  <c r="DK66" i="11" s="1"/>
  <c r="DK76" i="12"/>
  <c r="DK71" i="12" s="1"/>
  <c r="DK29" i="12"/>
  <c r="DY166" i="11"/>
  <c r="DX166" i="11"/>
  <c r="EC48" i="12" l="1"/>
  <c r="EC188" i="11"/>
  <c r="EC189" i="11" s="1"/>
  <c r="EC191" i="11" s="1"/>
  <c r="EC216" i="11"/>
  <c r="ED41" i="11"/>
  <c r="ED46" i="12" s="1"/>
  <c r="ED48" i="12" s="1"/>
  <c r="EC43" i="11"/>
  <c r="EC45" i="11" s="1"/>
  <c r="DK91" i="11"/>
  <c r="DK90" i="11"/>
  <c r="DK68" i="12"/>
  <c r="DK55" i="12"/>
  <c r="DZ216" i="11"/>
  <c r="DZ43" i="11"/>
  <c r="DZ46" i="12"/>
  <c r="DZ188" i="11"/>
  <c r="EA41" i="11"/>
  <c r="DK131" i="12"/>
  <c r="DK70" i="12"/>
  <c r="DK69" i="12"/>
  <c r="DK92" i="11"/>
  <c r="DK93" i="11" s="1"/>
  <c r="DK61" i="12"/>
  <c r="DK79" i="12"/>
  <c r="DK130" i="12"/>
  <c r="DK202" i="11"/>
  <c r="DK203" i="11" s="1"/>
  <c r="DK221" i="11"/>
  <c r="DK75" i="11"/>
  <c r="DK57" i="11"/>
  <c r="ED216" i="11" l="1"/>
  <c r="ED188" i="11"/>
  <c r="ED189" i="11" s="1"/>
  <c r="ED191" i="11" s="1"/>
  <c r="EE192" i="11" s="1"/>
  <c r="EE166" i="11" s="1"/>
  <c r="EE41" i="11"/>
  <c r="EE46" i="12" s="1"/>
  <c r="EE48" i="12" s="1"/>
  <c r="ED43" i="11"/>
  <c r="ED45" i="11" s="1"/>
  <c r="ED192" i="11"/>
  <c r="ED166" i="11" s="1"/>
  <c r="EA43" i="11"/>
  <c r="EA188" i="11"/>
  <c r="DZ48" i="12"/>
  <c r="EA46" i="12"/>
  <c r="EA48" i="12" s="1"/>
  <c r="DK62" i="12"/>
  <c r="DK64" i="12" s="1"/>
  <c r="EA216" i="11"/>
  <c r="DK57" i="12"/>
  <c r="EE216" i="11" l="1"/>
  <c r="EF41" i="11"/>
  <c r="EF46" i="12" s="1"/>
  <c r="EF48" i="12" s="1"/>
  <c r="EE188" i="11"/>
  <c r="EE189" i="11" s="1"/>
  <c r="EE191" i="11" s="1"/>
  <c r="EF192" i="11" s="1"/>
  <c r="EE43" i="11"/>
  <c r="EE45" i="11" s="1"/>
  <c r="DL56" i="12"/>
  <c r="DK11" i="11"/>
  <c r="DK59" i="12"/>
  <c r="EG46" i="12" l="1"/>
  <c r="EG48" i="12" s="1"/>
  <c r="EF216" i="11"/>
  <c r="EF188" i="11"/>
  <c r="EG41" i="11"/>
  <c r="EF43" i="11"/>
  <c r="DK58" i="12"/>
  <c r="DK80" i="11"/>
  <c r="DK120" i="11"/>
  <c r="DK114" i="11"/>
  <c r="DK224" i="11"/>
  <c r="DK70" i="135"/>
  <c r="DK71" i="135" s="1"/>
  <c r="DK115" i="11"/>
  <c r="DK79" i="11"/>
  <c r="DK62" i="11"/>
  <c r="DL69" i="135"/>
  <c r="DK17" i="11"/>
  <c r="EG188" i="11" l="1"/>
  <c r="EG43" i="11"/>
  <c r="EG216" i="11"/>
  <c r="DK81" i="11"/>
  <c r="DK78" i="11"/>
  <c r="DK28" i="11"/>
  <c r="DK63" i="11"/>
  <c r="DK74" i="11"/>
  <c r="DK79" i="135" s="1"/>
  <c r="DK77" i="135"/>
  <c r="DK227" i="11"/>
  <c r="DK228" i="11"/>
  <c r="DL72" i="135"/>
  <c r="DK231" i="11" l="1"/>
  <c r="DK68" i="11" s="1"/>
  <c r="DL23" i="134"/>
  <c r="DK195" i="11"/>
  <c r="DK196" i="11"/>
  <c r="DK58" i="11"/>
  <c r="DK67" i="11"/>
  <c r="DK230" i="11"/>
  <c r="DK199" i="11" l="1"/>
  <c r="DL27" i="134"/>
  <c r="DL197" i="11" l="1"/>
  <c r="DL28" i="134"/>
  <c r="DL29" i="134" s="1"/>
  <c r="DL97" i="134" l="1"/>
  <c r="DL36" i="134"/>
  <c r="DL10" i="12"/>
  <c r="DL32" i="134"/>
  <c r="DL37" i="134" l="1"/>
  <c r="DL38" i="134"/>
  <c r="DL34" i="134"/>
  <c r="DL54" i="11"/>
  <c r="DL12" i="12"/>
  <c r="DL27" i="12" s="1"/>
  <c r="DL71" i="134" l="1"/>
  <c r="DL35" i="134"/>
  <c r="DL60" i="134"/>
  <c r="DL90" i="134"/>
  <c r="DL75" i="134" s="1"/>
  <c r="DL201" i="11"/>
  <c r="DL55" i="11"/>
  <c r="DL29" i="12"/>
  <c r="DL76" i="12"/>
  <c r="DL71" i="12" s="1"/>
  <c r="DL91" i="134" l="1"/>
  <c r="DL91" i="11"/>
  <c r="DL68" i="12"/>
  <c r="DL90" i="11"/>
  <c r="DL55" i="12"/>
  <c r="DL72" i="134"/>
  <c r="DL130" i="12"/>
  <c r="DL75" i="11"/>
  <c r="DL221" i="11"/>
  <c r="DL57" i="11"/>
  <c r="DL202" i="11"/>
  <c r="DL203" i="11" s="1"/>
  <c r="DL70" i="12"/>
  <c r="DL69" i="12"/>
  <c r="DL131" i="12"/>
  <c r="DL92" i="11"/>
  <c r="DL93" i="11" s="1"/>
  <c r="DL79" i="12"/>
  <c r="DL61" i="12"/>
  <c r="DL66" i="11"/>
  <c r="DL62" i="12" l="1"/>
  <c r="DL64" i="12" s="1"/>
  <c r="DL57" i="12"/>
  <c r="DL59" i="12" s="1"/>
  <c r="DM56" i="12" l="1"/>
  <c r="DL11" i="11"/>
  <c r="DL120" i="11" l="1"/>
  <c r="DL58" i="12"/>
  <c r="DL70" i="135"/>
  <c r="DL71" i="135" s="1"/>
  <c r="DL224" i="11"/>
  <c r="DL17" i="11"/>
  <c r="DL62" i="11"/>
  <c r="DL79" i="11"/>
  <c r="DL80" i="11"/>
  <c r="DL114" i="11"/>
  <c r="DM69" i="135"/>
  <c r="DL115" i="11"/>
  <c r="DL81" i="11" l="1"/>
  <c r="DL78" i="11"/>
  <c r="DL28" i="11"/>
  <c r="DL77" i="135"/>
  <c r="DL63" i="11"/>
  <c r="DL74" i="11"/>
  <c r="DL79" i="135" s="1"/>
  <c r="DL227" i="11"/>
  <c r="DL228" i="11"/>
  <c r="DM72" i="135"/>
  <c r="DL231" i="11" l="1"/>
  <c r="DL68" i="11" s="1"/>
  <c r="DM23" i="134"/>
  <c r="DL58" i="11"/>
  <c r="DL196" i="11"/>
  <c r="DL195" i="11"/>
  <c r="DL67" i="11"/>
  <c r="DL230" i="11"/>
  <c r="DL199" i="11" l="1"/>
  <c r="DM27" i="134"/>
  <c r="DM197" i="11" l="1"/>
  <c r="DM28" i="134"/>
  <c r="DM29" i="134" s="1"/>
  <c r="DM97" i="134" l="1"/>
  <c r="DM10" i="12"/>
  <c r="DM32" i="134"/>
  <c r="DM36" i="134"/>
  <c r="DM12" i="12" l="1"/>
  <c r="DM27" i="12" s="1"/>
  <c r="DM37" i="134"/>
  <c r="DM38" i="134"/>
  <c r="DM34" i="134"/>
  <c r="DM54" i="11"/>
  <c r="DM60" i="134" l="1"/>
  <c r="DM35" i="134"/>
  <c r="DM71" i="134"/>
  <c r="DM201" i="11"/>
  <c r="DM90" i="134"/>
  <c r="DM75" i="134" s="1"/>
  <c r="DM29" i="12"/>
  <c r="DM76" i="12"/>
  <c r="DM71" i="12" s="1"/>
  <c r="DM55" i="11"/>
  <c r="DM66" i="11" s="1"/>
  <c r="DM91" i="134" l="1"/>
  <c r="DM70" i="12"/>
  <c r="DM131" i="12"/>
  <c r="DM79" i="12"/>
  <c r="DM69" i="12"/>
  <c r="DM61" i="12"/>
  <c r="DM92" i="11"/>
  <c r="DM93" i="11" s="1"/>
  <c r="DM91" i="11"/>
  <c r="DM90" i="11"/>
  <c r="DM68" i="12"/>
  <c r="DM55" i="12"/>
  <c r="DM75" i="11"/>
  <c r="DM221" i="11"/>
  <c r="DM57" i="11"/>
  <c r="DM202" i="11"/>
  <c r="DM203" i="11" s="1"/>
  <c r="DM130" i="12"/>
  <c r="DM72" i="134"/>
  <c r="DM57" i="12" l="1"/>
  <c r="DM62" i="12"/>
  <c r="DM64" i="12" s="1"/>
  <c r="DN56" i="12" l="1"/>
  <c r="DM11" i="11"/>
  <c r="DM59" i="12"/>
  <c r="DM58" i="12" l="1"/>
  <c r="DM80" i="11"/>
  <c r="DM120" i="11"/>
  <c r="DM115" i="11"/>
  <c r="DM79" i="11"/>
  <c r="DM70" i="135"/>
  <c r="DM71" i="135" s="1"/>
  <c r="DM224" i="11"/>
  <c r="DM114" i="11"/>
  <c r="DM17" i="11"/>
  <c r="DN69" i="135"/>
  <c r="DM62" i="11"/>
  <c r="DM228" i="11" l="1"/>
  <c r="DM227" i="11"/>
  <c r="DN72" i="135"/>
  <c r="DM63" i="11"/>
  <c r="DM77" i="135"/>
  <c r="DM74" i="11"/>
  <c r="DM79" i="135" s="1"/>
  <c r="DM78" i="11"/>
  <c r="DM28" i="11"/>
  <c r="DM81" i="11"/>
  <c r="DN23" i="134" l="1"/>
  <c r="DO72" i="135"/>
  <c r="DM230" i="11"/>
  <c r="DM196" i="11"/>
  <c r="DM195" i="11"/>
  <c r="DM58" i="11"/>
  <c r="DM67" i="11"/>
  <c r="DM231" i="11"/>
  <c r="DM68" i="11" s="1"/>
  <c r="DM199" i="11" l="1"/>
  <c r="DO23" i="134"/>
  <c r="DH33" i="134" l="1"/>
  <c r="DH34" i="134" s="1"/>
  <c r="DH71" i="12" s="1"/>
  <c r="DI78" i="134"/>
  <c r="DI79" i="134"/>
  <c r="DI80" i="134"/>
  <c r="DI81" i="134"/>
  <c r="DI82" i="134"/>
  <c r="DI83" i="134"/>
  <c r="DI84" i="134"/>
  <c r="DI85" i="134"/>
  <c r="DH90" i="134"/>
  <c r="DH93" i="134"/>
  <c r="DI93" i="134" s="1"/>
  <c r="DH94" i="134"/>
  <c r="DI94" i="134" s="1"/>
  <c r="DH95" i="134"/>
  <c r="DI95" i="134" s="1"/>
  <c r="DI99" i="134" l="1"/>
  <c r="DI207" i="11" s="1"/>
  <c r="DI33" i="134"/>
  <c r="DI34" i="134" s="1"/>
  <c r="DH99" i="134"/>
  <c r="DH98" i="134" s="1"/>
  <c r="DH201" i="11"/>
  <c r="DH203" i="11" s="1"/>
  <c r="DH66" i="11"/>
  <c r="DH91" i="134"/>
  <c r="DH71" i="134"/>
  <c r="DH67" i="11"/>
  <c r="DH35" i="134"/>
  <c r="DH130" i="12" s="1"/>
  <c r="DH60" i="134"/>
  <c r="DI90" i="134"/>
  <c r="DI98" i="134" l="1"/>
  <c r="DI71" i="12"/>
  <c r="DH207" i="11"/>
  <c r="DH209" i="11" s="1"/>
  <c r="DH210" i="11" s="1"/>
  <c r="DH72" i="134"/>
  <c r="DI201" i="11"/>
  <c r="DI203" i="11" s="1"/>
  <c r="DI71" i="134"/>
  <c r="DI35" i="134"/>
  <c r="DI66" i="11"/>
  <c r="DI91" i="134"/>
  <c r="DI67" i="11"/>
  <c r="DI60" i="134"/>
  <c r="DI209" i="11"/>
  <c r="DI210" i="11" s="1"/>
  <c r="DI130" i="12" l="1"/>
  <c r="DI230" i="11"/>
  <c r="DI211" i="11"/>
  <c r="DI231" i="11"/>
  <c r="DI68" i="11" s="1"/>
  <c r="DF42" i="134"/>
  <c r="DE47" i="134"/>
  <c r="DI72" i="134"/>
  <c r="DE42" i="134"/>
  <c r="DF47" i="134"/>
  <c r="DG47" i="134"/>
  <c r="DG42" i="134"/>
  <c r="DH47" i="134"/>
  <c r="DH211" i="11"/>
  <c r="DH231" i="11"/>
  <c r="DH68" i="11" s="1"/>
  <c r="DH230" i="11"/>
  <c r="DH42" i="134"/>
  <c r="DO76" i="134" l="1"/>
  <c r="DN87" i="134"/>
  <c r="DO87" i="134" s="1"/>
  <c r="DN94" i="134"/>
  <c r="DO94" i="134" s="1"/>
  <c r="DN96" i="134" l="1"/>
  <c r="DO33" i="134"/>
  <c r="DN33" i="134"/>
  <c r="DO96" i="134" l="1"/>
  <c r="DH74" i="136" l="1"/>
  <c r="DI74" i="136" s="1"/>
  <c r="DH31" i="136"/>
  <c r="DI318" i="136"/>
  <c r="DN318" i="136"/>
  <c r="DN31" i="136" s="1"/>
  <c r="DH319" i="136"/>
  <c r="DH322" i="136" s="1"/>
  <c r="DH326" i="136" s="1"/>
  <c r="DH325" i="136" s="1"/>
  <c r="DH324" i="136" s="1"/>
  <c r="DH381" i="136" s="1"/>
  <c r="DH382" i="136" s="1"/>
  <c r="DH383" i="136" s="1"/>
  <c r="DI368" i="136"/>
  <c r="DI319" i="136" l="1"/>
  <c r="DI322" i="136" s="1"/>
  <c r="DI326" i="136" s="1"/>
  <c r="DI325" i="136" s="1"/>
  <c r="DI324" i="136" s="1"/>
  <c r="DI357" i="136"/>
  <c r="DI358" i="136" s="1"/>
  <c r="DT318" i="136"/>
  <c r="DT31" i="136" s="1"/>
  <c r="DO318" i="136"/>
  <c r="DO319" i="136" s="1"/>
  <c r="DI31" i="136"/>
  <c r="DI41" i="136" s="1"/>
  <c r="DI369" i="136"/>
  <c r="DN357" i="136"/>
  <c r="DN359" i="136" s="1"/>
  <c r="DN319" i="136"/>
  <c r="DN322" i="136" s="1"/>
  <c r="DN326" i="136" s="1"/>
  <c r="DN325" i="136" s="1"/>
  <c r="DN324" i="136" s="1"/>
  <c r="DN381" i="136" s="1"/>
  <c r="DN382" i="136" s="1"/>
  <c r="DN41" i="136"/>
  <c r="DN33" i="136"/>
  <c r="DH350" i="136"/>
  <c r="DH369" i="136"/>
  <c r="DH368" i="136"/>
  <c r="DH321" i="136"/>
  <c r="DH41" i="136"/>
  <c r="DH33" i="136"/>
  <c r="DZ318" i="136" l="1"/>
  <c r="EF318" i="136" s="1"/>
  <c r="EF357" i="136" s="1"/>
  <c r="EF359" i="136" s="1"/>
  <c r="DI33" i="136"/>
  <c r="DI42" i="136" s="1"/>
  <c r="DT357" i="136"/>
  <c r="DT359" i="136" s="1"/>
  <c r="DT368" i="136" s="1"/>
  <c r="DT319" i="136"/>
  <c r="DT322" i="136" s="1"/>
  <c r="DT326" i="136" s="1"/>
  <c r="DT325" i="136" s="1"/>
  <c r="DT324" i="136" s="1"/>
  <c r="DT381" i="136" s="1"/>
  <c r="DT382" i="136" s="1"/>
  <c r="DU318" i="136"/>
  <c r="DU319" i="136" s="1"/>
  <c r="DO31" i="136"/>
  <c r="DO33" i="136" s="1"/>
  <c r="DO357" i="136"/>
  <c r="DO359" i="136" s="1"/>
  <c r="DO368" i="136" s="1"/>
  <c r="DI370" i="136"/>
  <c r="DN383" i="136"/>
  <c r="DN368" i="136"/>
  <c r="DN360" i="136"/>
  <c r="DN369" i="136" s="1"/>
  <c r="DN350" i="136"/>
  <c r="DO322" i="136"/>
  <c r="DO326" i="136" s="1"/>
  <c r="DO325" i="136" s="1"/>
  <c r="DO324" i="136" s="1"/>
  <c r="DT33" i="136"/>
  <c r="DT41" i="136"/>
  <c r="DN42" i="136"/>
  <c r="DN345" i="136"/>
  <c r="DN44" i="136"/>
  <c r="DI381" i="136"/>
  <c r="DI382" i="136" s="1"/>
  <c r="DI383" i="136" s="1"/>
  <c r="DI321" i="136"/>
  <c r="DH370" i="136"/>
  <c r="DH42" i="136"/>
  <c r="DH44" i="136"/>
  <c r="DH345" i="136"/>
  <c r="DZ319" i="136"/>
  <c r="EA318" i="136"/>
  <c r="DH351" i="136"/>
  <c r="DI350" i="136"/>
  <c r="DI351" i="136" s="1"/>
  <c r="DI35" i="136" l="1"/>
  <c r="DI345" i="136"/>
  <c r="DI347" i="136" s="1"/>
  <c r="DI44" i="136"/>
  <c r="DZ357" i="136"/>
  <c r="DZ359" i="136" s="1"/>
  <c r="DZ368" i="136" s="1"/>
  <c r="EF368" i="136"/>
  <c r="EF350" i="136"/>
  <c r="EF360" i="136"/>
  <c r="EF369" i="136" s="1"/>
  <c r="EF31" i="136"/>
  <c r="EF319" i="136"/>
  <c r="EF322" i="136" s="1"/>
  <c r="EF326" i="136" s="1"/>
  <c r="EF325" i="136" s="1"/>
  <c r="EF324" i="136" s="1"/>
  <c r="EF381" i="136" s="1"/>
  <c r="EF382" i="136" s="1"/>
  <c r="EG318" i="136"/>
  <c r="EG357" i="136" s="1"/>
  <c r="EG359" i="136" s="1"/>
  <c r="DZ31" i="136"/>
  <c r="DZ41" i="136" s="1"/>
  <c r="DZ322" i="136"/>
  <c r="DZ326" i="136" s="1"/>
  <c r="DZ325" i="136" s="1"/>
  <c r="DZ324" i="136" s="1"/>
  <c r="DZ381" i="136" s="1"/>
  <c r="DZ382" i="136" s="1"/>
  <c r="DN370" i="136"/>
  <c r="DT360" i="136"/>
  <c r="DT369" i="136" s="1"/>
  <c r="DT350" i="136"/>
  <c r="DU357" i="136"/>
  <c r="DU359" i="136" s="1"/>
  <c r="DU368" i="136" s="1"/>
  <c r="DO41" i="136"/>
  <c r="DU31" i="136"/>
  <c r="DU33" i="136" s="1"/>
  <c r="DT383" i="136"/>
  <c r="DO360" i="136"/>
  <c r="DO369" i="136" s="1"/>
  <c r="DN351" i="136"/>
  <c r="DO350" i="136"/>
  <c r="DO351" i="136" s="1"/>
  <c r="DN13" i="134"/>
  <c r="DO42" i="136"/>
  <c r="DO345" i="136"/>
  <c r="DO44" i="136"/>
  <c r="DT345" i="136"/>
  <c r="DT42" i="136"/>
  <c r="DT44" i="136"/>
  <c r="DO381" i="136"/>
  <c r="DO382" i="136" s="1"/>
  <c r="DO383" i="136" s="1"/>
  <c r="DO321" i="136"/>
  <c r="DI346" i="136"/>
  <c r="DH346" i="136"/>
  <c r="DH347" i="136"/>
  <c r="DN347" i="136"/>
  <c r="DN346" i="136"/>
  <c r="EA319" i="136"/>
  <c r="EA31" i="136"/>
  <c r="EA357" i="136"/>
  <c r="EA359" i="136" s="1"/>
  <c r="DU322" i="136"/>
  <c r="DU326" i="136" s="1"/>
  <c r="DU325" i="136" s="1"/>
  <c r="DU324" i="136" s="1"/>
  <c r="DZ350" i="136" l="1"/>
  <c r="DZ360" i="136"/>
  <c r="DZ369" i="136" s="1"/>
  <c r="EF383" i="136" s="1"/>
  <c r="DZ33" i="136"/>
  <c r="DZ44" i="136" s="1"/>
  <c r="DU41" i="136"/>
  <c r="DT370" i="136"/>
  <c r="EF351" i="136"/>
  <c r="EF13" i="134"/>
  <c r="EG350" i="136"/>
  <c r="EG351" i="136" s="1"/>
  <c r="EG360" i="136"/>
  <c r="EG369" i="136" s="1"/>
  <c r="EG368" i="136"/>
  <c r="EA322" i="136"/>
  <c r="EA326" i="136" s="1"/>
  <c r="EA325" i="136" s="1"/>
  <c r="EA324" i="136" s="1"/>
  <c r="EA381" i="136" s="1"/>
  <c r="EA382" i="136" s="1"/>
  <c r="EG31" i="136"/>
  <c r="EG319" i="136"/>
  <c r="EG322" i="136" s="1"/>
  <c r="EG326" i="136" s="1"/>
  <c r="EG325" i="136" s="1"/>
  <c r="EG324" i="136" s="1"/>
  <c r="EF41" i="136"/>
  <c r="EF33" i="136"/>
  <c r="DO370" i="136"/>
  <c r="DZ383" i="136"/>
  <c r="DT351" i="136"/>
  <c r="DU350" i="136"/>
  <c r="DU351" i="136" s="1"/>
  <c r="DU360" i="136"/>
  <c r="DU369" i="136" s="1"/>
  <c r="DT13" i="134"/>
  <c r="DT20" i="134" s="1"/>
  <c r="DN20" i="134"/>
  <c r="DN51" i="134"/>
  <c r="DO13" i="134"/>
  <c r="DN12" i="134"/>
  <c r="DN50" i="134"/>
  <c r="DU321" i="136"/>
  <c r="DU381" i="136"/>
  <c r="DU382" i="136" s="1"/>
  <c r="DU383" i="136" s="1"/>
  <c r="DT347" i="136"/>
  <c r="DT346" i="136"/>
  <c r="DO347" i="136"/>
  <c r="DO346" i="136"/>
  <c r="EA350" i="136"/>
  <c r="EA351" i="136" s="1"/>
  <c r="DZ351" i="136"/>
  <c r="DZ13" i="134"/>
  <c r="DU42" i="136"/>
  <c r="DU345" i="136"/>
  <c r="DU44" i="136"/>
  <c r="EA368" i="136"/>
  <c r="EA360" i="136"/>
  <c r="EA369" i="136" s="1"/>
  <c r="EA33" i="136"/>
  <c r="EA41" i="136"/>
  <c r="DZ42" i="136" l="1"/>
  <c r="DZ345" i="136"/>
  <c r="DZ347" i="136" s="1"/>
  <c r="DZ370" i="136"/>
  <c r="EF370" i="136"/>
  <c r="EF44" i="136"/>
  <c r="EA321" i="136"/>
  <c r="EG321" i="136"/>
  <c r="EG381" i="136"/>
  <c r="EG382" i="136" s="1"/>
  <c r="EG383" i="136" s="1"/>
  <c r="EF12" i="134"/>
  <c r="EF50" i="134"/>
  <c r="EG13" i="134"/>
  <c r="EF20" i="134"/>
  <c r="EF51" i="134"/>
  <c r="EF42" i="136"/>
  <c r="EF345" i="136"/>
  <c r="EG370" i="136"/>
  <c r="EG41" i="136"/>
  <c r="EG33" i="136"/>
  <c r="EG345" i="136" s="1"/>
  <c r="EA383" i="136"/>
  <c r="DU370" i="136"/>
  <c r="DT50" i="134"/>
  <c r="DT12" i="134"/>
  <c r="DT49" i="134" s="1"/>
  <c r="DO20" i="134"/>
  <c r="DT51" i="134"/>
  <c r="DU13" i="134"/>
  <c r="DN49" i="134"/>
  <c r="DO12" i="134"/>
  <c r="DN93" i="134"/>
  <c r="DN125" i="11"/>
  <c r="DN120" i="12"/>
  <c r="DN122" i="12" s="1"/>
  <c r="DN123" i="12" s="1"/>
  <c r="DN65" i="134"/>
  <c r="DO50" i="134"/>
  <c r="DO51" i="134"/>
  <c r="DN22" i="134"/>
  <c r="DN55" i="134"/>
  <c r="DN69" i="134"/>
  <c r="DN56" i="134"/>
  <c r="DN27" i="134"/>
  <c r="DN168" i="11"/>
  <c r="DN72" i="11"/>
  <c r="DT168" i="11"/>
  <c r="DT72" i="11"/>
  <c r="DT22" i="134"/>
  <c r="DT56" i="134"/>
  <c r="DT69" i="134"/>
  <c r="DT55" i="134"/>
  <c r="EA370" i="136"/>
  <c r="DZ12" i="134"/>
  <c r="DZ50" i="134"/>
  <c r="DZ51" i="134"/>
  <c r="DZ20" i="134"/>
  <c r="EA13" i="134"/>
  <c r="DU346" i="136"/>
  <c r="DU347" i="136"/>
  <c r="EA44" i="136"/>
  <c r="EA345" i="136"/>
  <c r="EA42" i="136"/>
  <c r="DZ346" i="136" l="1"/>
  <c r="EF65" i="134"/>
  <c r="EF168" i="11"/>
  <c r="EF170" i="11" s="1"/>
  <c r="EF171" i="11" s="1"/>
  <c r="EF172" i="11" s="1"/>
  <c r="EF166" i="11" s="1"/>
  <c r="EF55" i="134"/>
  <c r="EF72" i="11"/>
  <c r="EF22" i="134"/>
  <c r="EG12" i="134"/>
  <c r="EF49" i="134"/>
  <c r="EF93" i="134"/>
  <c r="EF120" i="12"/>
  <c r="EF122" i="12" s="1"/>
  <c r="EF125" i="11"/>
  <c r="EG51" i="134"/>
  <c r="EG50" i="134"/>
  <c r="EG20" i="134"/>
  <c r="EF346" i="136"/>
  <c r="EF347" i="136"/>
  <c r="EG347" i="136"/>
  <c r="EG346" i="136"/>
  <c r="EF69" i="134"/>
  <c r="EF56" i="134"/>
  <c r="EG42" i="136"/>
  <c r="EG44" i="136"/>
  <c r="DU12" i="134"/>
  <c r="DU125" i="11" s="1"/>
  <c r="DT65" i="134"/>
  <c r="DT93" i="134"/>
  <c r="DU93" i="134" s="1"/>
  <c r="DU99" i="134" s="1"/>
  <c r="DT120" i="12"/>
  <c r="DT122" i="12" s="1"/>
  <c r="DT125" i="11"/>
  <c r="DY112" i="11" s="1"/>
  <c r="DU51" i="134"/>
  <c r="DU50" i="134"/>
  <c r="DU20" i="134"/>
  <c r="DN16" i="12"/>
  <c r="DO123" i="12"/>
  <c r="DO72" i="11"/>
  <c r="DO35" i="136"/>
  <c r="DO22" i="134"/>
  <c r="DO27" i="134"/>
  <c r="DO56" i="134"/>
  <c r="DO69" i="134"/>
  <c r="DO55" i="134"/>
  <c r="DO168" i="11"/>
  <c r="DS112" i="11"/>
  <c r="DN134" i="11"/>
  <c r="DR112" i="11"/>
  <c r="DN133" i="11"/>
  <c r="DN131" i="11"/>
  <c r="DN73" i="11"/>
  <c r="DN78" i="135" s="1"/>
  <c r="DN58" i="134"/>
  <c r="DN71" i="11"/>
  <c r="DN70" i="134"/>
  <c r="DN170" i="11"/>
  <c r="DN171" i="11" s="1"/>
  <c r="DN172" i="11" s="1"/>
  <c r="DN166" i="11" s="1"/>
  <c r="DO93" i="134"/>
  <c r="DO99" i="134" s="1"/>
  <c r="DN99" i="134"/>
  <c r="DO65" i="134"/>
  <c r="DO49" i="134"/>
  <c r="DO125" i="11"/>
  <c r="DO120" i="12"/>
  <c r="DO122" i="12" s="1"/>
  <c r="DN28" i="134"/>
  <c r="DN29" i="134" s="1"/>
  <c r="DN197" i="11"/>
  <c r="EA346" i="136"/>
  <c r="EA347" i="136"/>
  <c r="EA50" i="134"/>
  <c r="EA51" i="134"/>
  <c r="EA20" i="134"/>
  <c r="DZ168" i="11"/>
  <c r="DZ72" i="11"/>
  <c r="DZ22" i="134"/>
  <c r="DZ56" i="134"/>
  <c r="DZ69" i="134"/>
  <c r="DZ55" i="134"/>
  <c r="DZ125" i="11"/>
  <c r="EA12" i="134"/>
  <c r="DZ49" i="134"/>
  <c r="DZ120" i="12"/>
  <c r="DZ122" i="12" s="1"/>
  <c r="DZ93" i="134"/>
  <c r="DZ65" i="134"/>
  <c r="DT170" i="11"/>
  <c r="DT171" i="11" s="1"/>
  <c r="DT172" i="11" s="1"/>
  <c r="DT166" i="11" s="1"/>
  <c r="DT73" i="11"/>
  <c r="DT78" i="135" s="1"/>
  <c r="DT71" i="11"/>
  <c r="DT58" i="134"/>
  <c r="DT70" i="134"/>
  <c r="EG35" i="136" l="1"/>
  <c r="EF70" i="134"/>
  <c r="DT99" i="134"/>
  <c r="DT207" i="11" s="1"/>
  <c r="EG65" i="134"/>
  <c r="EG93" i="134"/>
  <c r="EG99" i="134" s="1"/>
  <c r="EF99" i="134"/>
  <c r="EG168" i="11"/>
  <c r="EG170" i="11" s="1"/>
  <c r="EG171" i="11" s="1"/>
  <c r="EG172" i="11" s="1"/>
  <c r="EG55" i="134"/>
  <c r="EG72" i="11"/>
  <c r="EG22" i="134"/>
  <c r="EF73" i="11"/>
  <c r="EF78" i="135" s="1"/>
  <c r="EF58" i="134"/>
  <c r="EF71" i="11"/>
  <c r="EG49" i="134"/>
  <c r="EG125" i="11"/>
  <c r="EG120" i="12"/>
  <c r="EG122" i="12" s="1"/>
  <c r="EF131" i="11"/>
  <c r="EF134" i="11"/>
  <c r="EF133" i="11"/>
  <c r="DU168" i="11"/>
  <c r="DU170" i="11" s="1"/>
  <c r="DU171" i="11" s="1"/>
  <c r="DU172" i="11" s="1"/>
  <c r="ED112" i="11"/>
  <c r="EE112" i="11"/>
  <c r="EG69" i="134"/>
  <c r="EG56" i="134"/>
  <c r="DU120" i="12"/>
  <c r="DU122" i="12" s="1"/>
  <c r="DU65" i="134"/>
  <c r="DU49" i="134"/>
  <c r="DU22" i="134"/>
  <c r="DU71" i="11" s="1"/>
  <c r="DU72" i="11"/>
  <c r="DX112" i="11"/>
  <c r="DT133" i="11"/>
  <c r="DU133" i="11" s="1"/>
  <c r="DU55" i="134"/>
  <c r="DT134" i="11"/>
  <c r="DT33" i="11" s="1"/>
  <c r="DU35" i="136"/>
  <c r="DU69" i="134"/>
  <c r="DT131" i="11"/>
  <c r="DU56" i="134"/>
  <c r="DO98" i="134"/>
  <c r="DO207" i="11"/>
  <c r="DO209" i="11" s="1"/>
  <c r="DO210" i="11" s="1"/>
  <c r="DO211" i="11" s="1"/>
  <c r="DO73" i="11"/>
  <c r="DO78" i="135" s="1"/>
  <c r="DO71" i="11"/>
  <c r="DO58" i="134"/>
  <c r="DO70" i="134"/>
  <c r="DO197" i="11"/>
  <c r="DN53" i="11"/>
  <c r="DO53" i="11" s="1"/>
  <c r="DO16" i="12"/>
  <c r="DN207" i="11"/>
  <c r="DN98" i="134"/>
  <c r="DN14" i="11"/>
  <c r="DO131" i="11"/>
  <c r="DN105" i="11"/>
  <c r="DN136" i="11"/>
  <c r="DO124" i="12"/>
  <c r="DQ124" i="12" s="1"/>
  <c r="DO134" i="11"/>
  <c r="DN33" i="11"/>
  <c r="DN10" i="12"/>
  <c r="DN32" i="134"/>
  <c r="DN36" i="134"/>
  <c r="DO170" i="11"/>
  <c r="DO171" i="11" s="1"/>
  <c r="DO172" i="11" s="1"/>
  <c r="DO133" i="11"/>
  <c r="DN32" i="11"/>
  <c r="DO28" i="134"/>
  <c r="DN97" i="134"/>
  <c r="DO97" i="134" s="1"/>
  <c r="EA125" i="11"/>
  <c r="EA120" i="12"/>
  <c r="EA122" i="12" s="1"/>
  <c r="EA49" i="134"/>
  <c r="EA65" i="134"/>
  <c r="DZ170" i="11"/>
  <c r="DZ171" i="11" s="1"/>
  <c r="DZ172" i="11" s="1"/>
  <c r="DZ166" i="11" s="1"/>
  <c r="DZ134" i="11"/>
  <c r="DZ131" i="11"/>
  <c r="DZ133" i="11"/>
  <c r="DZ99" i="134"/>
  <c r="EA93" i="134"/>
  <c r="EA99" i="134" s="1"/>
  <c r="DZ71" i="11"/>
  <c r="DZ73" i="11"/>
  <c r="DZ78" i="135" s="1"/>
  <c r="DZ58" i="134"/>
  <c r="DZ70" i="134"/>
  <c r="DU207" i="11"/>
  <c r="DU98" i="134"/>
  <c r="EA168" i="11"/>
  <c r="EA72" i="11"/>
  <c r="EA35" i="136"/>
  <c r="EA22" i="134"/>
  <c r="EA56" i="134"/>
  <c r="EA69" i="134"/>
  <c r="EA55" i="134"/>
  <c r="DT98" i="134" l="1"/>
  <c r="EG73" i="11"/>
  <c r="EG78" i="135" s="1"/>
  <c r="EG58" i="134"/>
  <c r="EG71" i="11"/>
  <c r="EG70" i="134"/>
  <c r="EG133" i="11"/>
  <c r="EF32" i="11"/>
  <c r="EF33" i="11"/>
  <c r="EG134" i="11"/>
  <c r="EG131" i="11"/>
  <c r="EF14" i="11"/>
  <c r="EF105" i="11"/>
  <c r="EF136" i="11"/>
  <c r="EF207" i="11"/>
  <c r="EF98" i="134"/>
  <c r="EG207" i="11"/>
  <c r="EG98" i="134"/>
  <c r="DU58" i="134"/>
  <c r="DT32" i="11"/>
  <c r="DT23" i="12" s="1"/>
  <c r="DU73" i="11"/>
  <c r="DU78" i="135" s="1"/>
  <c r="DU70" i="134"/>
  <c r="DU134" i="11"/>
  <c r="DT136" i="11"/>
  <c r="DT109" i="11" s="1"/>
  <c r="DT105" i="11"/>
  <c r="DT14" i="11"/>
  <c r="DU131" i="11"/>
  <c r="DU105" i="11" s="1"/>
  <c r="DN137" i="11"/>
  <c r="DN109" i="11"/>
  <c r="DN34" i="134"/>
  <c r="DN54" i="11"/>
  <c r="DN37" i="134"/>
  <c r="DN38" i="134"/>
  <c r="DR124" i="12"/>
  <c r="DQ123" i="12"/>
  <c r="DQ16" i="12" s="1"/>
  <c r="DO10" i="12"/>
  <c r="DN12" i="12"/>
  <c r="DO105" i="11"/>
  <c r="DO136" i="11"/>
  <c r="DO59" i="134"/>
  <c r="DO29" i="134"/>
  <c r="DQ25" i="12"/>
  <c r="DN25" i="12"/>
  <c r="DO25" i="12" s="1"/>
  <c r="DN185" i="11"/>
  <c r="DO33" i="11"/>
  <c r="DN111" i="11"/>
  <c r="DQ112" i="11"/>
  <c r="DO14" i="11"/>
  <c r="DN22" i="12"/>
  <c r="DN112" i="11"/>
  <c r="DN97" i="11"/>
  <c r="DN175" i="11"/>
  <c r="DN182" i="11" s="1"/>
  <c r="DQ22" i="12"/>
  <c r="DN209" i="11"/>
  <c r="DN210" i="11" s="1"/>
  <c r="DN211" i="11" s="1"/>
  <c r="DO32" i="11"/>
  <c r="DN23" i="12"/>
  <c r="DO23" i="12" s="1"/>
  <c r="DN36" i="11"/>
  <c r="DN184" i="11"/>
  <c r="DN98" i="11"/>
  <c r="DQ23" i="12"/>
  <c r="EA207" i="11"/>
  <c r="EA98" i="134"/>
  <c r="EA71" i="11"/>
  <c r="EA73" i="11"/>
  <c r="EA78" i="135" s="1"/>
  <c r="EA58" i="134"/>
  <c r="EA70" i="134"/>
  <c r="DZ32" i="11"/>
  <c r="EC23" i="12" s="1"/>
  <c r="EA133" i="11"/>
  <c r="DW25" i="12"/>
  <c r="DU33" i="11"/>
  <c r="DT185" i="11"/>
  <c r="DT25" i="12"/>
  <c r="DZ136" i="11"/>
  <c r="DZ14" i="11"/>
  <c r="DZ105" i="11"/>
  <c r="EA131" i="11"/>
  <c r="DT209" i="11"/>
  <c r="DT210" i="11" s="1"/>
  <c r="EA170" i="11"/>
  <c r="EA171" i="11" s="1"/>
  <c r="EA172" i="11" s="1"/>
  <c r="DU209" i="11"/>
  <c r="DU210" i="11" s="1"/>
  <c r="EA134" i="11"/>
  <c r="DZ33" i="11"/>
  <c r="EC25" i="12" s="1"/>
  <c r="DZ207" i="11"/>
  <c r="DZ98" i="134"/>
  <c r="DU14" i="11" l="1"/>
  <c r="DW22" i="12"/>
  <c r="DW23" i="12"/>
  <c r="DU32" i="11"/>
  <c r="DU36" i="11" s="1"/>
  <c r="DT36" i="11"/>
  <c r="DT45" i="11" s="1"/>
  <c r="DT98" i="11"/>
  <c r="DT184" i="11"/>
  <c r="DT189" i="11" s="1"/>
  <c r="DT111" i="11"/>
  <c r="DT175" i="11"/>
  <c r="DT182" i="11" s="1"/>
  <c r="DT97" i="11"/>
  <c r="DW112" i="11"/>
  <c r="DT112" i="11"/>
  <c r="EF25" i="12"/>
  <c r="EG33" i="11"/>
  <c r="EF185" i="11"/>
  <c r="EF23" i="12"/>
  <c r="EG23" i="12" s="1"/>
  <c r="EF184" i="11"/>
  <c r="EF98" i="11"/>
  <c r="EG32" i="11"/>
  <c r="EF36" i="11"/>
  <c r="EF45" i="11" s="1"/>
  <c r="EG209" i="11"/>
  <c r="EG210" i="11" s="1"/>
  <c r="EG211" i="11" s="1"/>
  <c r="EF109" i="11"/>
  <c r="EF137" i="11"/>
  <c r="EG14" i="11"/>
  <c r="EG126" i="11" s="1"/>
  <c r="EF22" i="12"/>
  <c r="EF175" i="11"/>
  <c r="EF182" i="11" s="1"/>
  <c r="EF97" i="11"/>
  <c r="EF111" i="11"/>
  <c r="EF112" i="11"/>
  <c r="EF209" i="11"/>
  <c r="EF210" i="11" s="1"/>
  <c r="EF211" i="11" s="1"/>
  <c r="EG105" i="11"/>
  <c r="EG136" i="11"/>
  <c r="DT22" i="12"/>
  <c r="DU22" i="12" s="1"/>
  <c r="EC112" i="11"/>
  <c r="EC22" i="12"/>
  <c r="DT137" i="11"/>
  <c r="DU136" i="11"/>
  <c r="DU137" i="11" s="1"/>
  <c r="DN99" i="11"/>
  <c r="DN100" i="11" s="1"/>
  <c r="DQ53" i="11"/>
  <c r="DQ26" i="12"/>
  <c r="DU25" i="12"/>
  <c r="DO185" i="11"/>
  <c r="DO128" i="11"/>
  <c r="DO109" i="11"/>
  <c r="DO137" i="11"/>
  <c r="DN55" i="11"/>
  <c r="DN66" i="11" s="1"/>
  <c r="DO54" i="11"/>
  <c r="DO55" i="11" s="1"/>
  <c r="DN45" i="11"/>
  <c r="DN35" i="134"/>
  <c r="DN90" i="134"/>
  <c r="DN75" i="134" s="1"/>
  <c r="DO75" i="134" s="1"/>
  <c r="DN71" i="134"/>
  <c r="DN60" i="134"/>
  <c r="DN201" i="11"/>
  <c r="DN27" i="12"/>
  <c r="DO111" i="11"/>
  <c r="DQ111" i="11"/>
  <c r="DO126" i="11"/>
  <c r="DO85" i="11" s="1"/>
  <c r="DO112" i="11"/>
  <c r="DO97" i="11"/>
  <c r="DO175" i="11"/>
  <c r="DO182" i="11" s="1"/>
  <c r="DO36" i="134"/>
  <c r="DO32" i="134"/>
  <c r="DO36" i="11"/>
  <c r="DO127" i="11"/>
  <c r="DO86" i="11" s="1"/>
  <c r="DO184" i="11"/>
  <c r="DO98" i="11"/>
  <c r="DO22" i="12"/>
  <c r="DN26" i="12"/>
  <c r="DO12" i="12"/>
  <c r="DU23" i="12"/>
  <c r="DN189" i="11"/>
  <c r="DN191" i="11" s="1"/>
  <c r="DO185" i="136"/>
  <c r="DO114" i="136"/>
  <c r="DO198" i="11"/>
  <c r="DR123" i="12"/>
  <c r="DS124" i="12"/>
  <c r="DT211" i="11"/>
  <c r="DZ111" i="11"/>
  <c r="EA14" i="11"/>
  <c r="DZ97" i="11"/>
  <c r="DZ22" i="12"/>
  <c r="DZ175" i="11"/>
  <c r="DZ182" i="11" s="1"/>
  <c r="DZ112" i="11"/>
  <c r="DZ185" i="11"/>
  <c r="DZ25" i="12"/>
  <c r="EA25" i="12" s="1"/>
  <c r="EA33" i="11"/>
  <c r="EA128" i="11" s="1"/>
  <c r="DZ109" i="11"/>
  <c r="DZ137" i="11"/>
  <c r="DU128" i="11"/>
  <c r="DU185" i="11"/>
  <c r="DU211" i="11"/>
  <c r="EA209" i="11"/>
  <c r="EA210" i="11" s="1"/>
  <c r="EA136" i="11"/>
  <c r="EA105" i="11"/>
  <c r="DZ209" i="11"/>
  <c r="DZ210" i="11" s="1"/>
  <c r="DZ184" i="11"/>
  <c r="EA32" i="11"/>
  <c r="DZ98" i="11"/>
  <c r="DZ23" i="12"/>
  <c r="DZ36" i="11"/>
  <c r="DU112" i="11" l="1"/>
  <c r="DU111" i="11"/>
  <c r="DU175" i="11"/>
  <c r="DU182" i="11" s="1"/>
  <c r="DW111" i="11"/>
  <c r="DU126" i="11"/>
  <c r="DU85" i="11" s="1"/>
  <c r="DU97" i="11"/>
  <c r="DU98" i="11"/>
  <c r="EA23" i="12"/>
  <c r="DU184" i="11"/>
  <c r="DU189" i="11" s="1"/>
  <c r="DU127" i="11"/>
  <c r="DU86" i="11" s="1"/>
  <c r="DW26" i="12"/>
  <c r="EA22" i="12"/>
  <c r="DT99" i="11"/>
  <c r="DT100" i="11" s="1"/>
  <c r="DU109" i="11"/>
  <c r="DT191" i="11"/>
  <c r="DU192" i="11" s="1"/>
  <c r="EF189" i="11"/>
  <c r="EF191" i="11" s="1"/>
  <c r="DT26" i="12"/>
  <c r="EG137" i="11"/>
  <c r="EG109" i="11"/>
  <c r="EG127" i="11"/>
  <c r="EG86" i="11" s="1"/>
  <c r="EG98" i="11"/>
  <c r="EG184" i="11"/>
  <c r="EG36" i="11"/>
  <c r="EG45" i="11" s="1"/>
  <c r="EG128" i="11"/>
  <c r="EG185" i="11"/>
  <c r="EF99" i="11"/>
  <c r="EF100" i="11" s="1"/>
  <c r="EF26" i="12"/>
  <c r="EG85" i="11"/>
  <c r="EG175" i="11"/>
  <c r="EG182" i="11" s="1"/>
  <c r="EG97" i="11"/>
  <c r="EG25" i="12"/>
  <c r="EG22" i="12"/>
  <c r="EC26" i="12"/>
  <c r="EC111" i="11"/>
  <c r="EG111" i="11"/>
  <c r="EG112" i="11"/>
  <c r="DO189" i="11"/>
  <c r="DO191" i="11" s="1"/>
  <c r="DN91" i="134"/>
  <c r="DO87" i="11"/>
  <c r="DO27" i="12"/>
  <c r="DT124" i="12"/>
  <c r="DT123" i="12" s="1"/>
  <c r="DT16" i="12" s="1"/>
  <c r="DS123" i="12"/>
  <c r="DS16" i="12" s="1"/>
  <c r="DO192" i="11"/>
  <c r="DQ192" i="11"/>
  <c r="DN57" i="11"/>
  <c r="DR16" i="12"/>
  <c r="DO202" i="11"/>
  <c r="DO75" i="11"/>
  <c r="DN76" i="12"/>
  <c r="DN71" i="12" s="1"/>
  <c r="DN29" i="12"/>
  <c r="DN75" i="11"/>
  <c r="DN221" i="11"/>
  <c r="DO221" i="11" s="1"/>
  <c r="DN202" i="11"/>
  <c r="DN203" i="11" s="1"/>
  <c r="DO37" i="134"/>
  <c r="DO34" i="134"/>
  <c r="DO38" i="134"/>
  <c r="DO26" i="12"/>
  <c r="DO45" i="11"/>
  <c r="DZ189" i="11"/>
  <c r="DZ191" i="11" s="1"/>
  <c r="DO99" i="11"/>
  <c r="DO100" i="11" s="1"/>
  <c r="DN130" i="12"/>
  <c r="DN72" i="134"/>
  <c r="EA211" i="11"/>
  <c r="DZ211" i="11"/>
  <c r="DU26" i="12"/>
  <c r="DZ45" i="11"/>
  <c r="EA185" i="11"/>
  <c r="DZ26" i="12"/>
  <c r="EA109" i="11"/>
  <c r="EA137" i="11"/>
  <c r="DU45" i="11"/>
  <c r="DZ99" i="11"/>
  <c r="DZ100" i="11" s="1"/>
  <c r="EA184" i="11"/>
  <c r="EA98" i="11"/>
  <c r="EA36" i="11"/>
  <c r="EA127" i="11"/>
  <c r="EA86" i="11" s="1"/>
  <c r="EA111" i="11"/>
  <c r="EA126" i="11"/>
  <c r="EA85" i="11" s="1"/>
  <c r="EA97" i="11"/>
  <c r="EA175" i="11"/>
  <c r="EA182" i="11" s="1"/>
  <c r="EA112" i="11"/>
  <c r="EG87" i="11" l="1"/>
  <c r="DU191" i="11"/>
  <c r="DU99" i="11"/>
  <c r="DU100" i="11" s="1"/>
  <c r="DU87" i="11"/>
  <c r="EA26" i="12"/>
  <c r="DW192" i="11"/>
  <c r="EG26" i="12"/>
  <c r="EG99" i="11"/>
  <c r="EG100" i="11" s="1"/>
  <c r="EG189" i="11"/>
  <c r="EG191" i="11" s="1"/>
  <c r="EC192" i="11"/>
  <c r="EC166" i="11" s="1"/>
  <c r="EG192" i="11"/>
  <c r="EG166" i="11" s="1"/>
  <c r="EA192" i="11"/>
  <c r="EA166" i="11" s="1"/>
  <c r="DU123" i="12"/>
  <c r="DU124" i="12" s="1"/>
  <c r="DW124" i="12" s="1"/>
  <c r="DX124" i="12" s="1"/>
  <c r="DO76" i="12"/>
  <c r="DO71" i="12" s="1"/>
  <c r="DO29" i="12"/>
  <c r="DN68" i="12"/>
  <c r="DN55" i="12"/>
  <c r="DN91" i="11"/>
  <c r="DN90" i="11"/>
  <c r="EA99" i="11"/>
  <c r="EA100" i="11" s="1"/>
  <c r="DN131" i="12"/>
  <c r="DN61" i="12"/>
  <c r="DN69" i="12"/>
  <c r="DN70" i="12"/>
  <c r="DN92" i="11"/>
  <c r="DN93" i="11" s="1"/>
  <c r="DN79" i="12"/>
  <c r="DO166" i="11"/>
  <c r="DQ166" i="11"/>
  <c r="DR53" i="11"/>
  <c r="DS53" i="11" s="1"/>
  <c r="DT53" i="11" s="1"/>
  <c r="DU53" i="11" s="1"/>
  <c r="DU16" i="12"/>
  <c r="DO35" i="134"/>
  <c r="DO201" i="11"/>
  <c r="DO203" i="11" s="1"/>
  <c r="DO60" i="134"/>
  <c r="DO66" i="11"/>
  <c r="DO71" i="134"/>
  <c r="DO90" i="134"/>
  <c r="DO91" i="134" s="1"/>
  <c r="DO57" i="11"/>
  <c r="DU166" i="11"/>
  <c r="EA45" i="11"/>
  <c r="EA189" i="11"/>
  <c r="EA191" i="11" s="1"/>
  <c r="EA87" i="11"/>
  <c r="DW166" i="11" l="1"/>
  <c r="DW123" i="12"/>
  <c r="DW16" i="12" s="1"/>
  <c r="DO91" i="11"/>
  <c r="DO55" i="12"/>
  <c r="DO90" i="11"/>
  <c r="DO68" i="12"/>
  <c r="DO131" i="12"/>
  <c r="DO61" i="12"/>
  <c r="DO70" i="12"/>
  <c r="DO92" i="11"/>
  <c r="DO93" i="11" s="1"/>
  <c r="DO69" i="12"/>
  <c r="DO79" i="12"/>
  <c r="DN57" i="12"/>
  <c r="DN47" i="134"/>
  <c r="DK47" i="134"/>
  <c r="DL47" i="134"/>
  <c r="DO72" i="134"/>
  <c r="DO130" i="12"/>
  <c r="DM47" i="134"/>
  <c r="DN62" i="12"/>
  <c r="DN64" i="12" s="1"/>
  <c r="DX123" i="12"/>
  <c r="DY124" i="12"/>
  <c r="DW53" i="11" l="1"/>
  <c r="DO62" i="12"/>
  <c r="DO57" i="12"/>
  <c r="DU56" i="12" s="1"/>
  <c r="DX16" i="12"/>
  <c r="DZ124" i="12"/>
  <c r="DZ123" i="12" s="1"/>
  <c r="DZ16" i="12" s="1"/>
  <c r="DY123" i="12"/>
  <c r="DY16" i="12" s="1"/>
  <c r="DN59" i="12"/>
  <c r="DN11" i="11"/>
  <c r="DQ56" i="12"/>
  <c r="DO59" i="12" l="1"/>
  <c r="DO64" i="12"/>
  <c r="DO63" i="12"/>
  <c r="EA123" i="12"/>
  <c r="EA124" i="12" s="1"/>
  <c r="EC124" i="12" s="1"/>
  <c r="DN62" i="11"/>
  <c r="DN58" i="12"/>
  <c r="DO11" i="11"/>
  <c r="DN114" i="11"/>
  <c r="DN17" i="11"/>
  <c r="DN79" i="11"/>
  <c r="DQ69" i="135"/>
  <c r="DQ72" i="135" s="1"/>
  <c r="DN70" i="135"/>
  <c r="DN71" i="135" s="1"/>
  <c r="DN115" i="11"/>
  <c r="DN80" i="11"/>
  <c r="DN120" i="11"/>
  <c r="DN224" i="11"/>
  <c r="EA16" i="12"/>
  <c r="DX53" i="11"/>
  <c r="DY53" i="11" s="1"/>
  <c r="DZ53" i="11" s="1"/>
  <c r="EC123" i="12" l="1"/>
  <c r="ED124" i="12"/>
  <c r="DN74" i="11"/>
  <c r="DN79" i="135" s="1"/>
  <c r="DN63" i="11"/>
  <c r="DN77" i="135"/>
  <c r="DO80" i="11"/>
  <c r="DO70" i="135"/>
  <c r="DO71" i="135" s="1"/>
  <c r="DO115" i="11"/>
  <c r="DO17" i="11"/>
  <c r="DO58" i="12"/>
  <c r="DO114" i="11"/>
  <c r="DO120" i="11"/>
  <c r="DU69" i="135"/>
  <c r="DO62" i="11"/>
  <c r="DO79" i="11"/>
  <c r="DQ23" i="134"/>
  <c r="DQ27" i="134" s="1"/>
  <c r="DN228" i="11"/>
  <c r="DO224" i="11"/>
  <c r="DN227" i="11"/>
  <c r="DN28" i="11"/>
  <c r="DN81" i="11"/>
  <c r="DN78" i="11"/>
  <c r="EA53" i="11"/>
  <c r="ED123" i="12" l="1"/>
  <c r="ED16" i="12" s="1"/>
  <c r="EE124" i="12"/>
  <c r="EC16" i="12"/>
  <c r="DO74" i="11"/>
  <c r="DO79" i="135" s="1"/>
  <c r="DO77" i="135"/>
  <c r="DO63" i="11"/>
  <c r="DN196" i="11"/>
  <c r="DN67" i="11"/>
  <c r="DN195" i="11"/>
  <c r="DN58" i="11"/>
  <c r="DN231" i="11"/>
  <c r="DN68" i="11" s="1"/>
  <c r="DO231" i="11"/>
  <c r="DO68" i="11" s="1"/>
  <c r="DO228" i="11"/>
  <c r="DO78" i="11"/>
  <c r="DO28" i="11"/>
  <c r="DO81" i="11"/>
  <c r="DO230" i="11"/>
  <c r="DO227" i="11"/>
  <c r="DN230" i="11"/>
  <c r="DQ197" i="11"/>
  <c r="DQ28" i="134"/>
  <c r="EE123" i="12" l="1"/>
  <c r="EF124" i="12"/>
  <c r="EF123" i="12" s="1"/>
  <c r="EF16" i="12" s="1"/>
  <c r="EC53" i="11"/>
  <c r="ED53" i="11" s="1"/>
  <c r="DN199" i="11"/>
  <c r="DO196" i="11"/>
  <c r="DO195" i="11"/>
  <c r="DO58" i="11"/>
  <c r="DO67" i="11"/>
  <c r="DQ97" i="134"/>
  <c r="DQ29" i="134"/>
  <c r="EE16" i="12" l="1"/>
  <c r="EG16" i="12" s="1"/>
  <c r="EG123" i="12"/>
  <c r="EG124" i="12" s="1"/>
  <c r="DO199" i="11"/>
  <c r="DQ10" i="12"/>
  <c r="DQ36" i="134"/>
  <c r="DQ32" i="134"/>
  <c r="EE53" i="11" l="1"/>
  <c r="EF53" i="11" s="1"/>
  <c r="EG53" i="11" s="1"/>
  <c r="DQ34" i="134"/>
  <c r="DQ38" i="134"/>
  <c r="DQ37" i="134"/>
  <c r="DQ54" i="11"/>
  <c r="DQ12" i="12"/>
  <c r="DQ27" i="12" s="1"/>
  <c r="DQ55" i="11" l="1"/>
  <c r="DQ66" i="11" s="1"/>
  <c r="DQ29" i="12"/>
  <c r="DQ76" i="12"/>
  <c r="DQ71" i="12" s="1"/>
  <c r="DQ90" i="134"/>
  <c r="DQ75" i="134" s="1"/>
  <c r="DQ60" i="134"/>
  <c r="DQ201" i="11"/>
  <c r="DQ71" i="134"/>
  <c r="DQ35" i="134"/>
  <c r="DQ91" i="134" l="1"/>
  <c r="DQ92" i="11"/>
  <c r="DQ93" i="11" s="1"/>
  <c r="DQ61" i="12"/>
  <c r="DQ69" i="12"/>
  <c r="DQ79" i="12"/>
  <c r="DQ131" i="12"/>
  <c r="DQ70" i="12"/>
  <c r="DQ130" i="12"/>
  <c r="DQ72" i="134"/>
  <c r="DQ90" i="11"/>
  <c r="DQ55" i="12"/>
  <c r="DQ68" i="12"/>
  <c r="DQ91" i="11"/>
  <c r="DQ57" i="11"/>
  <c r="DQ221" i="11"/>
  <c r="DQ75" i="11"/>
  <c r="DQ202" i="11"/>
  <c r="DQ203" i="11" s="1"/>
  <c r="DQ57" i="12" l="1"/>
  <c r="DQ59" i="12" s="1"/>
  <c r="DQ62" i="12"/>
  <c r="DQ64" i="12" s="1"/>
  <c r="DR56" i="12" l="1"/>
  <c r="DQ11" i="11"/>
  <c r="DQ80" i="11" l="1"/>
  <c r="DQ114" i="11"/>
  <c r="DQ120" i="11"/>
  <c r="DQ62" i="11"/>
  <c r="DQ224" i="11"/>
  <c r="DQ58" i="12"/>
  <c r="DQ79" i="11"/>
  <c r="DQ115" i="11"/>
  <c r="DR69" i="135"/>
  <c r="DQ70" i="135"/>
  <c r="DQ71" i="135" s="1"/>
  <c r="DQ17" i="11"/>
  <c r="DQ78" i="11" l="1"/>
  <c r="DQ28" i="11"/>
  <c r="DQ81" i="11"/>
  <c r="DQ74" i="11"/>
  <c r="DQ79" i="135" s="1"/>
  <c r="DQ63" i="11"/>
  <c r="DQ77" i="135"/>
  <c r="DQ227" i="11"/>
  <c r="DQ228" i="11"/>
  <c r="DR72" i="135"/>
  <c r="DR23" i="134" l="1"/>
  <c r="DQ231" i="11"/>
  <c r="DQ68" i="11" s="1"/>
  <c r="DQ195" i="11"/>
  <c r="DQ196" i="11"/>
  <c r="DQ58" i="11"/>
  <c r="DQ67" i="11"/>
  <c r="DQ230" i="11"/>
  <c r="DQ199" i="11" l="1"/>
  <c r="DR27" i="134"/>
  <c r="DR197" i="11" l="1"/>
  <c r="DR28" i="134"/>
  <c r="DR29" i="134" s="1"/>
  <c r="DR10" i="12" l="1"/>
  <c r="DR36" i="134"/>
  <c r="DR32" i="134"/>
  <c r="DR97" i="134"/>
  <c r="DR34" i="134" l="1"/>
  <c r="DR38" i="134"/>
  <c r="DR37" i="134"/>
  <c r="DR54" i="11"/>
  <c r="DR12" i="12"/>
  <c r="DR27" i="12" s="1"/>
  <c r="DR60" i="134" l="1"/>
  <c r="DR90" i="134"/>
  <c r="DR75" i="134" s="1"/>
  <c r="DR201" i="11"/>
  <c r="DR71" i="134"/>
  <c r="DR35" i="134"/>
  <c r="DR29" i="12"/>
  <c r="DR76" i="12"/>
  <c r="DR71" i="12" s="1"/>
  <c r="DR55" i="11"/>
  <c r="DR91" i="134" l="1"/>
  <c r="DR92" i="11"/>
  <c r="DR93" i="11" s="1"/>
  <c r="DR70" i="12"/>
  <c r="DR79" i="12"/>
  <c r="DR61" i="12"/>
  <c r="DR69" i="12"/>
  <c r="DR131" i="12"/>
  <c r="DR57" i="11"/>
  <c r="DR221" i="11"/>
  <c r="DR75" i="11"/>
  <c r="DR202" i="11"/>
  <c r="DR203" i="11" s="1"/>
  <c r="DR90" i="11"/>
  <c r="DR91" i="11"/>
  <c r="DR68" i="12"/>
  <c r="DR55" i="12"/>
  <c r="DR130" i="12"/>
  <c r="DR72" i="134"/>
  <c r="DR66" i="11"/>
  <c r="DR62" i="12" l="1"/>
  <c r="DR64" i="12" s="1"/>
  <c r="DR57" i="12"/>
  <c r="DR59" i="12" s="1"/>
  <c r="DS56" i="12" l="1"/>
  <c r="DR11" i="11"/>
  <c r="DR80" i="11" l="1"/>
  <c r="DR114" i="11"/>
  <c r="DR120" i="11"/>
  <c r="DR62" i="11"/>
  <c r="DR224" i="11"/>
  <c r="DR58" i="12"/>
  <c r="DR79" i="11"/>
  <c r="DS69" i="135"/>
  <c r="DR70" i="135"/>
  <c r="DR71" i="135" s="1"/>
  <c r="DR115" i="11"/>
  <c r="DR17" i="11"/>
  <c r="DR228" i="11" l="1"/>
  <c r="DR227" i="11"/>
  <c r="DR78" i="11"/>
  <c r="DR28" i="11"/>
  <c r="DR81" i="11"/>
  <c r="DR74" i="11"/>
  <c r="DR79" i="135" s="1"/>
  <c r="DR63" i="11"/>
  <c r="DR77" i="135"/>
  <c r="DS72" i="135"/>
  <c r="DS23" i="134" l="1"/>
  <c r="DR230" i="11"/>
  <c r="DR196" i="11"/>
  <c r="DR195" i="11"/>
  <c r="DR58" i="11"/>
  <c r="DR67" i="11"/>
  <c r="DR231" i="11"/>
  <c r="DR68" i="11" s="1"/>
  <c r="DR199" i="11" l="1"/>
  <c r="DS27" i="134"/>
  <c r="DS197" i="11" l="1"/>
  <c r="DS28" i="134"/>
  <c r="DS29" i="134" s="1"/>
  <c r="DS10" i="12" l="1"/>
  <c r="DS36" i="134"/>
  <c r="DS32" i="134"/>
  <c r="DS97" i="134"/>
  <c r="DS34" i="134" l="1"/>
  <c r="DS38" i="134"/>
  <c r="DS37" i="134"/>
  <c r="DS54" i="11"/>
  <c r="DS12" i="12"/>
  <c r="DS27" i="12" s="1"/>
  <c r="DS55" i="11" l="1"/>
  <c r="DS66" i="11" s="1"/>
  <c r="DS201" i="11"/>
  <c r="DS60" i="134"/>
  <c r="DS90" i="134"/>
  <c r="DS75" i="134" s="1"/>
  <c r="DS71" i="134"/>
  <c r="DS35" i="134"/>
  <c r="DS29" i="12"/>
  <c r="DS76" i="12"/>
  <c r="DS71" i="12" s="1"/>
  <c r="DS91" i="134" l="1"/>
  <c r="DS92" i="11"/>
  <c r="DS93" i="11" s="1"/>
  <c r="DS70" i="12"/>
  <c r="DS79" i="12"/>
  <c r="DS61" i="12"/>
  <c r="DS69" i="12"/>
  <c r="DS131" i="12"/>
  <c r="DS90" i="11"/>
  <c r="DS55" i="12"/>
  <c r="DS91" i="11"/>
  <c r="DS68" i="12"/>
  <c r="DS130" i="12"/>
  <c r="DS72" i="134"/>
  <c r="DS75" i="11"/>
  <c r="DS221" i="11"/>
  <c r="DS57" i="11"/>
  <c r="DS202" i="11"/>
  <c r="DS203" i="11" s="1"/>
  <c r="DS57" i="12" l="1"/>
  <c r="DS62" i="12"/>
  <c r="DS64" i="12" s="1"/>
  <c r="DT56" i="12" l="1"/>
  <c r="DS11" i="11"/>
  <c r="DS59" i="12"/>
  <c r="DS17" i="11" l="1"/>
  <c r="DS224" i="11"/>
  <c r="DS80" i="11"/>
  <c r="DS114" i="11"/>
  <c r="DS120" i="11"/>
  <c r="DS62" i="11"/>
  <c r="DS58" i="12"/>
  <c r="DT69" i="135"/>
  <c r="DS79" i="11"/>
  <c r="DS70" i="135"/>
  <c r="DS71" i="135" s="1"/>
  <c r="DS115" i="11"/>
  <c r="DT72" i="135" l="1"/>
  <c r="DS227" i="11"/>
  <c r="DS228" i="11"/>
  <c r="DS63" i="11"/>
  <c r="DS74" i="11"/>
  <c r="DS79" i="135" s="1"/>
  <c r="DS77" i="135"/>
  <c r="DS78" i="11"/>
  <c r="DS81" i="11"/>
  <c r="DS28" i="11"/>
  <c r="DS231" i="11" l="1"/>
  <c r="DS68" i="11" s="1"/>
  <c r="DS230" i="11"/>
  <c r="DT23" i="134"/>
  <c r="DU72" i="135"/>
  <c r="DS58" i="11"/>
  <c r="DS196" i="11"/>
  <c r="DS195" i="11"/>
  <c r="DS67" i="11"/>
  <c r="DS199" i="11" l="1"/>
  <c r="DT27" i="134"/>
  <c r="DU23" i="134"/>
  <c r="DT197" i="11" l="1"/>
  <c r="DT28" i="134"/>
  <c r="DU27" i="134"/>
  <c r="DT97" i="134" l="1"/>
  <c r="DU97" i="134" s="1"/>
  <c r="DU28" i="134"/>
  <c r="DT29" i="134"/>
  <c r="DU197" i="11"/>
  <c r="DT10" i="12" l="1"/>
  <c r="DT36" i="134"/>
  <c r="DT32" i="134"/>
  <c r="DU59" i="134"/>
  <c r="DU29" i="134"/>
  <c r="DU185" i="136" l="1"/>
  <c r="DU198" i="11"/>
  <c r="DU114" i="136"/>
  <c r="DT12" i="12"/>
  <c r="DT27" i="12" s="1"/>
  <c r="DU10" i="12"/>
  <c r="DU32" i="134"/>
  <c r="DU36" i="134"/>
  <c r="DT34" i="134"/>
  <c r="DT38" i="134"/>
  <c r="DT37" i="134"/>
  <c r="DT54" i="11"/>
  <c r="DU12" i="12" l="1"/>
  <c r="DU27" i="12" s="1"/>
  <c r="DT29" i="12"/>
  <c r="DT76" i="12"/>
  <c r="DT71" i="12" s="1"/>
  <c r="DU37" i="134"/>
  <c r="DU34" i="134"/>
  <c r="DU38" i="134"/>
  <c r="DT201" i="11"/>
  <c r="DT71" i="134"/>
  <c r="DT60" i="134"/>
  <c r="DT35" i="134"/>
  <c r="DT90" i="134"/>
  <c r="DT75" i="134" s="1"/>
  <c r="DU75" i="134" s="1"/>
  <c r="DU54" i="11"/>
  <c r="DU55" i="11" s="1"/>
  <c r="DT55" i="11"/>
  <c r="DT66" i="11" s="1"/>
  <c r="DT91" i="134" l="1"/>
  <c r="DU75" i="11"/>
  <c r="DU202" i="11"/>
  <c r="DU57" i="11"/>
  <c r="DT70" i="12"/>
  <c r="DT79" i="12"/>
  <c r="DT61" i="12"/>
  <c r="DT92" i="11"/>
  <c r="DT93" i="11" s="1"/>
  <c r="DT69" i="12"/>
  <c r="DT131" i="12"/>
  <c r="DT91" i="11"/>
  <c r="DT55" i="12"/>
  <c r="DT90" i="11"/>
  <c r="DT68" i="12"/>
  <c r="DT130" i="12"/>
  <c r="DT72" i="134"/>
  <c r="DT75" i="11"/>
  <c r="DT221" i="11"/>
  <c r="DT57" i="11"/>
  <c r="DT202" i="11"/>
  <c r="DT203" i="11" s="1"/>
  <c r="DU201" i="11"/>
  <c r="DU66" i="11"/>
  <c r="DU35" i="134"/>
  <c r="DU71" i="134"/>
  <c r="DU60" i="134"/>
  <c r="DU90" i="134"/>
  <c r="DU91" i="134" s="1"/>
  <c r="DU29" i="12"/>
  <c r="DU76" i="12"/>
  <c r="DU71" i="12" s="1"/>
  <c r="DU203" i="11" l="1"/>
  <c r="DU130" i="12"/>
  <c r="DU72" i="134"/>
  <c r="DT57" i="12"/>
  <c r="DU70" i="12"/>
  <c r="DU79" i="12"/>
  <c r="DU131" i="12"/>
  <c r="DU92" i="11"/>
  <c r="DU93" i="11" s="1"/>
  <c r="DU69" i="12"/>
  <c r="DU61" i="12"/>
  <c r="DU221" i="11"/>
  <c r="DU91" i="11"/>
  <c r="DU55" i="12"/>
  <c r="DU90" i="11"/>
  <c r="DU68" i="12"/>
  <c r="DT62" i="12"/>
  <c r="DT64" i="12" s="1"/>
  <c r="DU62" i="12" l="1"/>
  <c r="DU57" i="12"/>
  <c r="EA56" i="12" s="1"/>
  <c r="DT11" i="11"/>
  <c r="DW56" i="12"/>
  <c r="DT59" i="12"/>
  <c r="DU59" i="12" l="1"/>
  <c r="DU11" i="11"/>
  <c r="DT115" i="11"/>
  <c r="DT17" i="11"/>
  <c r="DT224" i="11"/>
  <c r="DT80" i="11"/>
  <c r="DT120" i="11"/>
  <c r="DT62" i="11"/>
  <c r="DT58" i="12"/>
  <c r="DT79" i="11"/>
  <c r="DT70" i="135"/>
  <c r="DT71" i="135" s="1"/>
  <c r="DT114" i="11"/>
  <c r="DW69" i="135"/>
  <c r="DU63" i="12"/>
  <c r="DU64" i="12"/>
  <c r="DW72" i="135" l="1"/>
  <c r="DU224" i="11"/>
  <c r="DT227" i="11"/>
  <c r="DT228" i="11"/>
  <c r="DT63" i="11"/>
  <c r="DT74" i="11"/>
  <c r="DT79" i="135" s="1"/>
  <c r="DT77" i="135"/>
  <c r="DT78" i="11"/>
  <c r="DT81" i="11"/>
  <c r="DT28" i="11"/>
  <c r="DU79" i="11"/>
  <c r="DU115" i="11"/>
  <c r="DU17" i="11"/>
  <c r="DU80" i="11"/>
  <c r="DU120" i="11"/>
  <c r="DU70" i="135"/>
  <c r="DU71" i="135" s="1"/>
  <c r="EA69" i="135"/>
  <c r="DU62" i="11"/>
  <c r="DU58" i="12"/>
  <c r="DU114" i="11"/>
  <c r="DT58" i="11" l="1"/>
  <c r="DT196" i="11"/>
  <c r="DT195" i="11"/>
  <c r="DT67" i="11"/>
  <c r="DU228" i="11"/>
  <c r="DT231" i="11"/>
  <c r="DT68" i="11" s="1"/>
  <c r="DU231" i="11"/>
  <c r="DU68" i="11" s="1"/>
  <c r="DU81" i="11"/>
  <c r="DU28" i="11"/>
  <c r="DU78" i="11"/>
  <c r="DU227" i="11"/>
  <c r="DT230" i="11"/>
  <c r="DU230" i="11"/>
  <c r="DU63" i="11"/>
  <c r="DU74" i="11"/>
  <c r="DU79" i="135" s="1"/>
  <c r="DU77" i="135"/>
  <c r="DW23" i="134"/>
  <c r="DT199" i="11" l="1"/>
  <c r="DW27" i="134"/>
  <c r="DU58" i="11"/>
  <c r="DU196" i="11"/>
  <c r="DU195" i="11"/>
  <c r="DU67" i="11"/>
  <c r="DU199" i="11" l="1"/>
  <c r="DW197" i="11"/>
  <c r="DW28" i="134"/>
  <c r="DW29" i="134" s="1"/>
  <c r="DW97" i="134" l="1"/>
  <c r="DW32" i="134"/>
  <c r="DW10" i="12"/>
  <c r="DW36" i="134"/>
  <c r="DW37" i="134" l="1"/>
  <c r="DW34" i="134"/>
  <c r="DW38" i="134"/>
  <c r="DW54" i="11"/>
  <c r="DW12" i="12"/>
  <c r="DW27" i="12" s="1"/>
  <c r="DW55" i="11" l="1"/>
  <c r="DW66" i="11" s="1"/>
  <c r="DW76" i="12"/>
  <c r="DW71" i="12" s="1"/>
  <c r="DW29" i="12"/>
  <c r="DW201" i="11"/>
  <c r="DW35" i="134"/>
  <c r="DW71" i="134"/>
  <c r="DW60" i="134"/>
  <c r="DW90" i="134"/>
  <c r="DW75" i="134" s="1"/>
  <c r="DW91" i="11" l="1"/>
  <c r="DW55" i="12"/>
  <c r="DW90" i="11"/>
  <c r="DW68" i="12"/>
  <c r="DW92" i="11"/>
  <c r="DW93" i="11" s="1"/>
  <c r="DW69" i="12"/>
  <c r="DW131" i="12"/>
  <c r="DW79" i="12"/>
  <c r="DW61" i="12"/>
  <c r="DW70" i="12"/>
  <c r="DW75" i="11"/>
  <c r="DW57" i="11"/>
  <c r="DW221" i="11"/>
  <c r="DW202" i="11"/>
  <c r="DW203" i="11" s="1"/>
  <c r="DW91" i="134"/>
  <c r="DW130" i="12"/>
  <c r="DW72" i="134"/>
  <c r="DW57" i="12" l="1"/>
  <c r="DW59" i="12" s="1"/>
  <c r="DW62" i="12"/>
  <c r="DW64" i="12" s="1"/>
  <c r="DW11" i="11" l="1"/>
  <c r="DX56" i="12"/>
  <c r="DW79" i="11" l="1"/>
  <c r="DW115" i="11"/>
  <c r="DW17" i="11"/>
  <c r="DW224" i="11"/>
  <c r="DW114" i="11"/>
  <c r="DW80" i="11"/>
  <c r="DW70" i="135"/>
  <c r="DW71" i="135" s="1"/>
  <c r="DW120" i="11"/>
  <c r="DW62" i="11"/>
  <c r="DW58" i="12"/>
  <c r="DX69" i="135"/>
  <c r="DW81" i="11" l="1"/>
  <c r="DW28" i="11"/>
  <c r="DW78" i="11"/>
  <c r="DX72" i="135"/>
  <c r="DW228" i="11"/>
  <c r="DW227" i="11"/>
  <c r="DW63" i="11"/>
  <c r="DW74" i="11"/>
  <c r="DW79" i="135" s="1"/>
  <c r="DW77" i="135"/>
  <c r="DW230" i="11" l="1"/>
  <c r="DW195" i="11"/>
  <c r="DW58" i="11"/>
  <c r="DW196" i="11"/>
  <c r="DW67" i="11"/>
  <c r="DW231" i="11"/>
  <c r="DW68" i="11" s="1"/>
  <c r="DX23" i="134"/>
  <c r="DW199" i="11" l="1"/>
  <c r="DX27" i="134"/>
  <c r="DX197" i="11" l="1"/>
  <c r="DX28" i="134"/>
  <c r="DX29" i="134" s="1"/>
  <c r="DX10" i="12" l="1"/>
  <c r="DX32" i="134"/>
  <c r="DX36" i="134"/>
  <c r="DX97" i="134"/>
  <c r="DX37" i="134" l="1"/>
  <c r="DX38" i="134"/>
  <c r="DX34" i="134"/>
  <c r="DX54" i="11"/>
  <c r="DX12" i="12"/>
  <c r="DX27" i="12" s="1"/>
  <c r="DX55" i="11" l="1"/>
  <c r="DX66" i="11" s="1"/>
  <c r="DX29" i="12"/>
  <c r="DX76" i="12"/>
  <c r="DX71" i="12" s="1"/>
  <c r="DX201" i="11"/>
  <c r="DX35" i="134"/>
  <c r="DX71" i="134"/>
  <c r="DX60" i="134"/>
  <c r="DX90" i="134"/>
  <c r="DX75" i="134" s="1"/>
  <c r="DX92" i="11" l="1"/>
  <c r="DX93" i="11" s="1"/>
  <c r="DX69" i="12"/>
  <c r="DX61" i="12"/>
  <c r="DX131" i="12"/>
  <c r="DX79" i="12"/>
  <c r="DX70" i="12"/>
  <c r="DX91" i="11"/>
  <c r="DX55" i="12"/>
  <c r="DX90" i="11"/>
  <c r="DX68" i="12"/>
  <c r="DX57" i="11"/>
  <c r="DX221" i="11"/>
  <c r="DX75" i="11"/>
  <c r="DX202" i="11"/>
  <c r="DX203" i="11" s="1"/>
  <c r="DX130" i="12"/>
  <c r="DX72" i="134"/>
  <c r="DX91" i="134"/>
  <c r="DX62" i="12" l="1"/>
  <c r="DX64" i="12" s="1"/>
  <c r="DX57" i="12"/>
  <c r="DX59" i="12" s="1"/>
  <c r="DX11" i="11" l="1"/>
  <c r="DY56" i="12"/>
  <c r="DX62" i="11" l="1"/>
  <c r="DX79" i="11"/>
  <c r="DX115" i="11"/>
  <c r="DX114" i="11"/>
  <c r="DX224" i="11"/>
  <c r="DX17" i="11"/>
  <c r="DX80" i="11"/>
  <c r="DX70" i="135"/>
  <c r="DX71" i="135" s="1"/>
  <c r="DX120" i="11"/>
  <c r="DX58" i="12"/>
  <c r="DY69" i="135"/>
  <c r="DX28" i="11" l="1"/>
  <c r="DX81" i="11"/>
  <c r="DX78" i="11"/>
  <c r="DX227" i="11"/>
  <c r="DX228" i="11"/>
  <c r="DY72" i="135"/>
  <c r="DX63" i="11"/>
  <c r="DX77" i="135"/>
  <c r="DX74" i="11"/>
  <c r="DX79" i="135" s="1"/>
  <c r="DX231" i="11" l="1"/>
  <c r="DX68" i="11" s="1"/>
  <c r="DY23" i="134"/>
  <c r="DX230" i="11"/>
  <c r="DX195" i="11"/>
  <c r="DX196" i="11"/>
  <c r="DX58" i="11"/>
  <c r="DX67" i="11"/>
  <c r="DX199" i="11" l="1"/>
  <c r="DY27" i="134"/>
  <c r="DY197" i="11" l="1"/>
  <c r="DY28" i="134"/>
  <c r="DY97" i="134" l="1"/>
  <c r="DY29" i="134"/>
  <c r="DY10" i="12" l="1"/>
  <c r="DY32" i="134"/>
  <c r="DY36" i="134"/>
  <c r="DY37" i="134" l="1"/>
  <c r="DY38" i="134"/>
  <c r="DY34" i="134"/>
  <c r="DY54" i="11"/>
  <c r="DY12" i="12"/>
  <c r="DY27" i="12" s="1"/>
  <c r="DY55" i="11" l="1"/>
  <c r="DY66" i="11" s="1"/>
  <c r="DY29" i="12"/>
  <c r="DY76" i="12"/>
  <c r="DY71" i="12" s="1"/>
  <c r="DY201" i="11"/>
  <c r="DY90" i="134"/>
  <c r="DY75" i="134" s="1"/>
  <c r="DY35" i="134"/>
  <c r="DY71" i="134"/>
  <c r="DY60" i="134"/>
  <c r="DY92" i="11" l="1"/>
  <c r="DY93" i="11" s="1"/>
  <c r="DY69" i="12"/>
  <c r="DY70" i="12"/>
  <c r="DY61" i="12"/>
  <c r="DY131" i="12"/>
  <c r="DY79" i="12"/>
  <c r="DY90" i="11"/>
  <c r="DY91" i="11"/>
  <c r="DY55" i="12"/>
  <c r="DY68" i="12"/>
  <c r="DY91" i="134"/>
  <c r="DY57" i="11"/>
  <c r="DY221" i="11"/>
  <c r="DY75" i="11"/>
  <c r="DY202" i="11"/>
  <c r="DY203" i="11" s="1"/>
  <c r="DY130" i="12"/>
  <c r="DY72" i="134"/>
  <c r="DY62" i="12" l="1"/>
  <c r="DY64" i="12" s="1"/>
  <c r="DY57" i="12"/>
  <c r="DY11" i="11" l="1"/>
  <c r="DZ56" i="12"/>
  <c r="DY59" i="12"/>
  <c r="DY114" i="11" l="1"/>
  <c r="DY120" i="11"/>
  <c r="DY62" i="11"/>
  <c r="DY79" i="11"/>
  <c r="DY224" i="11"/>
  <c r="DY115" i="11"/>
  <c r="DZ69" i="135"/>
  <c r="DY17" i="11"/>
  <c r="DY80" i="11"/>
  <c r="DY70" i="135"/>
  <c r="DY71" i="135" s="1"/>
  <c r="DY58" i="12"/>
  <c r="DY28" i="11" l="1"/>
  <c r="DY81" i="11"/>
  <c r="DY78" i="11"/>
  <c r="DY228" i="11"/>
  <c r="DY227" i="11"/>
  <c r="DY63" i="11"/>
  <c r="DY77" i="135"/>
  <c r="DY74" i="11"/>
  <c r="DY79" i="135" s="1"/>
  <c r="DZ72" i="135"/>
  <c r="DY231" i="11" l="1"/>
  <c r="DY68" i="11" s="1"/>
  <c r="DZ23" i="134"/>
  <c r="EA72" i="135"/>
  <c r="DY230" i="11"/>
  <c r="DY195" i="11"/>
  <c r="DY58" i="11"/>
  <c r="DY196" i="11"/>
  <c r="DY67" i="11"/>
  <c r="DY199" i="11" l="1"/>
  <c r="DZ27" i="134"/>
  <c r="EA23" i="134"/>
  <c r="DZ197" i="11" l="1"/>
  <c r="DZ28" i="134"/>
  <c r="EA27" i="134"/>
  <c r="EA197" i="11" l="1"/>
  <c r="DZ97" i="134"/>
  <c r="EA97" i="134" s="1"/>
  <c r="EA28" i="134"/>
  <c r="DZ29" i="134"/>
  <c r="DZ10" i="12" l="1"/>
  <c r="DZ36" i="134"/>
  <c r="DZ32" i="134"/>
  <c r="EA59" i="134"/>
  <c r="EA29" i="134"/>
  <c r="EA198" i="11" l="1"/>
  <c r="EA36" i="134"/>
  <c r="EA32" i="134"/>
  <c r="DZ34" i="134"/>
  <c r="DZ38" i="134"/>
  <c r="DZ37" i="134"/>
  <c r="DZ54" i="11"/>
  <c r="DZ12" i="12"/>
  <c r="DZ27" i="12" s="1"/>
  <c r="EA10" i="12"/>
  <c r="EA12" i="12" s="1"/>
  <c r="EA27" i="12" s="1"/>
  <c r="DZ29" i="12" l="1"/>
  <c r="DZ76" i="12"/>
  <c r="DZ71" i="12" s="1"/>
  <c r="EA34" i="134"/>
  <c r="EA38" i="134"/>
  <c r="EA37" i="134"/>
  <c r="DZ201" i="11"/>
  <c r="DZ90" i="134"/>
  <c r="DZ75" i="134" s="1"/>
  <c r="EA75" i="134" s="1"/>
  <c r="DZ35" i="134"/>
  <c r="DZ71" i="134"/>
  <c r="DZ60" i="134"/>
  <c r="EA29" i="12"/>
  <c r="EA76" i="12"/>
  <c r="EA54" i="11"/>
  <c r="EA55" i="11" s="1"/>
  <c r="DZ55" i="11"/>
  <c r="EA71" i="12" l="1"/>
  <c r="EA66" i="11"/>
  <c r="EA201" i="11"/>
  <c r="EA60" i="134"/>
  <c r="EA90" i="134"/>
  <c r="EA91" i="134" s="1"/>
  <c r="EA35" i="134"/>
  <c r="EA71" i="134"/>
  <c r="DZ221" i="11"/>
  <c r="DZ75" i="11"/>
  <c r="DZ57" i="11"/>
  <c r="DZ202" i="11"/>
  <c r="DZ203" i="11" s="1"/>
  <c r="EA202" i="11"/>
  <c r="EA75" i="11"/>
  <c r="EA57" i="11"/>
  <c r="EA92" i="11"/>
  <c r="EA93" i="11" s="1"/>
  <c r="EA70" i="12"/>
  <c r="EA79" i="12"/>
  <c r="EA61" i="12"/>
  <c r="EA69" i="12"/>
  <c r="EA131" i="12"/>
  <c r="DZ66" i="11"/>
  <c r="DZ92" i="11"/>
  <c r="DZ93" i="11" s="1"/>
  <c r="DZ61" i="12"/>
  <c r="DZ69" i="12"/>
  <c r="DZ70" i="12"/>
  <c r="DZ79" i="12"/>
  <c r="DZ131" i="12"/>
  <c r="DZ130" i="12"/>
  <c r="DZ72" i="134"/>
  <c r="EA90" i="11"/>
  <c r="EA68" i="12"/>
  <c r="EA91" i="11"/>
  <c r="EA55" i="12"/>
  <c r="DZ91" i="134"/>
  <c r="DZ90" i="11"/>
  <c r="DZ91" i="11"/>
  <c r="DZ55" i="12"/>
  <c r="DZ68" i="12"/>
  <c r="EA221" i="11" l="1"/>
  <c r="EA57" i="12"/>
  <c r="EG56" i="12" s="1"/>
  <c r="DZ62" i="12"/>
  <c r="DZ64" i="12" s="1"/>
  <c r="EA130" i="12"/>
  <c r="EA72" i="134"/>
  <c r="DZ57" i="12"/>
  <c r="EC56" i="12" s="1"/>
  <c r="EA62" i="12"/>
  <c r="EA203" i="11"/>
  <c r="EA59" i="12" l="1"/>
  <c r="DZ11" i="11"/>
  <c r="EC69" i="135" s="1"/>
  <c r="DZ59" i="12"/>
  <c r="EA63" i="12"/>
  <c r="EA64" i="12"/>
  <c r="DZ17" i="11" l="1"/>
  <c r="DZ28" i="11" s="1"/>
  <c r="DZ62" i="11"/>
  <c r="DZ63" i="11" s="1"/>
  <c r="DZ58" i="12"/>
  <c r="EC72" i="135"/>
  <c r="EC23" i="134" s="1"/>
  <c r="DZ70" i="135"/>
  <c r="DZ71" i="135" s="1"/>
  <c r="DZ120" i="11"/>
  <c r="DZ114" i="11"/>
  <c r="EA11" i="11"/>
  <c r="EG69" i="135" s="1"/>
  <c r="DZ80" i="11"/>
  <c r="DZ115" i="11"/>
  <c r="DZ224" i="11"/>
  <c r="EA224" i="11" s="1"/>
  <c r="DZ79" i="11"/>
  <c r="DZ74" i="11" l="1"/>
  <c r="DZ79" i="135" s="1"/>
  <c r="DZ81" i="11"/>
  <c r="DZ78" i="11"/>
  <c r="DZ77" i="135"/>
  <c r="DZ227" i="11"/>
  <c r="EA227" i="11" s="1"/>
  <c r="EA62" i="11"/>
  <c r="EA74" i="11" s="1"/>
  <c r="EA79" i="135" s="1"/>
  <c r="EA115" i="11"/>
  <c r="EA80" i="11"/>
  <c r="EA70" i="135"/>
  <c r="EA71" i="135" s="1"/>
  <c r="EA120" i="11"/>
  <c r="EA114" i="11"/>
  <c r="EC27" i="134"/>
  <c r="EC197" i="11" s="1"/>
  <c r="EA79" i="11"/>
  <c r="EA58" i="12"/>
  <c r="EA17" i="11"/>
  <c r="EA78" i="11" s="1"/>
  <c r="DZ228" i="11"/>
  <c r="EA228" i="11" s="1"/>
  <c r="DZ195" i="11"/>
  <c r="DZ58" i="11"/>
  <c r="DZ196" i="11"/>
  <c r="DZ67" i="11"/>
  <c r="EA63" i="11" l="1"/>
  <c r="EA77" i="135"/>
  <c r="DZ230" i="11"/>
  <c r="EA230" i="11"/>
  <c r="EA81" i="11"/>
  <c r="EC28" i="134"/>
  <c r="EA28" i="11"/>
  <c r="EA196" i="11" s="1"/>
  <c r="EA231" i="11"/>
  <c r="EA68" i="11" s="1"/>
  <c r="DZ231" i="11"/>
  <c r="DZ68" i="11" s="1"/>
  <c r="DZ199" i="11"/>
  <c r="EA67" i="11" l="1"/>
  <c r="EC97" i="134"/>
  <c r="EC29" i="134"/>
  <c r="EC10" i="12" s="1"/>
  <c r="EA195" i="11"/>
  <c r="EA199" i="11" s="1"/>
  <c r="EA58" i="11"/>
  <c r="EC12" i="12" l="1"/>
  <c r="EC27" i="12" s="1"/>
  <c r="EC32" i="134"/>
  <c r="EC54" i="11" s="1"/>
  <c r="EC36" i="134"/>
  <c r="EC29" i="12" l="1"/>
  <c r="EC76" i="12"/>
  <c r="EC55" i="11"/>
  <c r="EC38" i="134"/>
  <c r="EC37" i="134"/>
  <c r="EC34" i="134"/>
  <c r="EC71" i="12" l="1"/>
  <c r="EC69" i="12"/>
  <c r="EC131" i="12"/>
  <c r="EC61" i="12"/>
  <c r="EC62" i="12" s="1"/>
  <c r="EC64" i="12" s="1"/>
  <c r="EC70" i="12"/>
  <c r="EC79" i="12"/>
  <c r="EC55" i="12"/>
  <c r="EC68" i="12"/>
  <c r="EC92" i="11"/>
  <c r="EC93" i="11" s="1"/>
  <c r="EC90" i="11"/>
  <c r="EC91" i="11"/>
  <c r="EC66" i="11"/>
  <c r="EC201" i="11"/>
  <c r="EC221" i="11"/>
  <c r="EC75" i="11"/>
  <c r="EC57" i="11"/>
  <c r="EC202" i="11"/>
  <c r="EC71" i="134"/>
  <c r="EC60" i="134"/>
  <c r="EC35" i="134"/>
  <c r="EC130" i="12" s="1"/>
  <c r="EC90" i="134"/>
  <c r="EC75" i="134" s="1"/>
  <c r="DH156" i="136"/>
  <c r="DH320" i="136"/>
  <c r="DH222" i="136"/>
  <c r="DI43" i="136"/>
  <c r="DH79" i="136"/>
  <c r="DI79" i="136" l="1"/>
  <c r="EC57" i="12"/>
  <c r="ED56" i="12" s="1"/>
  <c r="EC72" i="134"/>
  <c r="EC203" i="11"/>
  <c r="EC91" i="134"/>
  <c r="DH391" i="136"/>
  <c r="DH390" i="136" s="1"/>
  <c r="DI390" i="136" s="1"/>
  <c r="DI391" i="136" s="1"/>
  <c r="DI392" i="136" s="1"/>
  <c r="DI371" i="136" s="1"/>
  <c r="DI320" i="136"/>
  <c r="DI156" i="136"/>
  <c r="DI222" i="136"/>
  <c r="DK320" i="136" l="1"/>
  <c r="DK79" i="136"/>
  <c r="DK156" i="136"/>
  <c r="DK222" i="136"/>
  <c r="DK393" i="136"/>
  <c r="DH392" i="136"/>
  <c r="DH393" i="136" s="1"/>
  <c r="EC59" i="12"/>
  <c r="EC11" i="11"/>
  <c r="DI393" i="136"/>
  <c r="DI377" i="136"/>
  <c r="DK391" i="136" l="1"/>
  <c r="DM43" i="136"/>
  <c r="DL393" i="136"/>
  <c r="DL79" i="136"/>
  <c r="DL156" i="136"/>
  <c r="DL320" i="136"/>
  <c r="DL222" i="136"/>
  <c r="DH371" i="136"/>
  <c r="EC58" i="12"/>
  <c r="ED69" i="135"/>
  <c r="EC70" i="135"/>
  <c r="EC71" i="135" s="1"/>
  <c r="EC17" i="11"/>
  <c r="EC62" i="11"/>
  <c r="EC77" i="135" s="1"/>
  <c r="EC79" i="11"/>
  <c r="EC115" i="11"/>
  <c r="EC114" i="11"/>
  <c r="EC80" i="11"/>
  <c r="EC224" i="11"/>
  <c r="EC120" i="11"/>
  <c r="DI376" i="136"/>
  <c r="DI378" i="136"/>
  <c r="DI379" i="136"/>
  <c r="DL391" i="136" l="1"/>
  <c r="DL390" i="136" s="1"/>
  <c r="DM393" i="136"/>
  <c r="DN43" i="136"/>
  <c r="DM320" i="136"/>
  <c r="DM79" i="136"/>
  <c r="DM156" i="136"/>
  <c r="DM222" i="136"/>
  <c r="DK390" i="136"/>
  <c r="DK392" i="136"/>
  <c r="DK371" i="136" s="1"/>
  <c r="DH377" i="136"/>
  <c r="ED72" i="135"/>
  <c r="ED23" i="134" s="1"/>
  <c r="EC63" i="11"/>
  <c r="EC74" i="11"/>
  <c r="EC79" i="135" s="1"/>
  <c r="EC227" i="11"/>
  <c r="EC230" i="11" s="1"/>
  <c r="EC228" i="11"/>
  <c r="EC231" i="11" s="1"/>
  <c r="EC68" i="11" s="1"/>
  <c r="EC28" i="11"/>
  <c r="EC78" i="11"/>
  <c r="EC81" i="11"/>
  <c r="DI57" i="134"/>
  <c r="DM391" i="136" l="1"/>
  <c r="DL392" i="136"/>
  <c r="DL371" i="136" s="1"/>
  <c r="DK377" i="136"/>
  <c r="DN393" i="136"/>
  <c r="DN79" i="136"/>
  <c r="DO43" i="136"/>
  <c r="DN156" i="136"/>
  <c r="DN320" i="136"/>
  <c r="DN222" i="136"/>
  <c r="DM390" i="136"/>
  <c r="DM392" i="136"/>
  <c r="DM371" i="136" s="1"/>
  <c r="DH376" i="136"/>
  <c r="DH379" i="136"/>
  <c r="DH378" i="136"/>
  <c r="ED27" i="134"/>
  <c r="EC196" i="11"/>
  <c r="EC195" i="11"/>
  <c r="EC67" i="11"/>
  <c r="EC58" i="11"/>
  <c r="DL377" i="136" l="1"/>
  <c r="DO393" i="136"/>
  <c r="DO222" i="136"/>
  <c r="DQ43" i="136"/>
  <c r="DO320" i="136"/>
  <c r="DO156" i="136"/>
  <c r="DO79" i="136"/>
  <c r="DK376" i="136"/>
  <c r="DK378" i="136"/>
  <c r="DK379" i="136"/>
  <c r="DM377" i="136"/>
  <c r="DN391" i="136"/>
  <c r="DH57" i="134"/>
  <c r="EC199" i="11"/>
  <c r="ED197" i="11"/>
  <c r="ED28" i="134"/>
  <c r="ED29" i="134" s="1"/>
  <c r="ED10" i="12" s="1"/>
  <c r="DL376" i="136" l="1"/>
  <c r="DL379" i="136"/>
  <c r="DL378" i="136"/>
  <c r="DM378" i="136"/>
  <c r="DM376" i="136"/>
  <c r="DM379" i="136"/>
  <c r="DK57" i="134"/>
  <c r="DQ222" i="136"/>
  <c r="DQ320" i="136"/>
  <c r="DQ156" i="136"/>
  <c r="DQ79" i="136"/>
  <c r="DR43" i="136"/>
  <c r="DL57" i="134"/>
  <c r="DN392" i="136"/>
  <c r="DN371" i="136" s="1"/>
  <c r="DN390" i="136"/>
  <c r="DO390" i="136" s="1"/>
  <c r="DO391" i="136" s="1"/>
  <c r="DO392" i="136" s="1"/>
  <c r="DO371" i="136" s="1"/>
  <c r="ED12" i="12"/>
  <c r="ED27" i="12" s="1"/>
  <c r="ED32" i="134"/>
  <c r="ED36" i="134"/>
  <c r="ED97" i="134"/>
  <c r="DQ391" i="136" l="1"/>
  <c r="DQ390" i="136" s="1"/>
  <c r="DN377" i="136"/>
  <c r="DR320" i="136"/>
  <c r="DR156" i="136"/>
  <c r="DS43" i="136"/>
  <c r="DR222" i="136"/>
  <c r="DR79" i="136"/>
  <c r="DM57" i="134"/>
  <c r="DO377" i="136"/>
  <c r="ED29" i="12"/>
  <c r="ED76" i="12"/>
  <c r="ED38" i="134"/>
  <c r="ED37" i="134"/>
  <c r="ED34" i="134"/>
  <c r="ED54" i="11"/>
  <c r="DQ392" i="136" l="1"/>
  <c r="DQ371" i="136" s="1"/>
  <c r="DO379" i="136"/>
  <c r="DO378" i="136"/>
  <c r="DO376" i="136"/>
  <c r="DS320" i="136"/>
  <c r="DT43" i="136"/>
  <c r="DS156" i="136"/>
  <c r="DS79" i="136"/>
  <c r="DS222" i="136"/>
  <c r="DN379" i="136"/>
  <c r="DN376" i="136"/>
  <c r="DN378" i="136"/>
  <c r="DR391" i="136"/>
  <c r="ED71" i="12"/>
  <c r="ED61" i="12"/>
  <c r="ED62" i="12" s="1"/>
  <c r="ED64" i="12" s="1"/>
  <c r="ED70" i="12"/>
  <c r="ED79" i="12"/>
  <c r="ED69" i="12"/>
  <c r="ED131" i="12"/>
  <c r="ED55" i="12"/>
  <c r="ED68" i="12"/>
  <c r="ED55" i="11"/>
  <c r="ED66" i="11" s="1"/>
  <c r="ED71" i="134"/>
  <c r="ED35" i="134"/>
  <c r="ED130" i="12" s="1"/>
  <c r="ED201" i="11"/>
  <c r="ED60" i="134"/>
  <c r="ED90" i="134"/>
  <c r="ED75" i="134" s="1"/>
  <c r="DS391" i="136" l="1"/>
  <c r="DS390" i="136" s="1"/>
  <c r="DQ377" i="136"/>
  <c r="DT222" i="136"/>
  <c r="DT79" i="136"/>
  <c r="DU43" i="136"/>
  <c r="DT156" i="136"/>
  <c r="DT320" i="136"/>
  <c r="DN57" i="134"/>
  <c r="DO57" i="134"/>
  <c r="DR390" i="136"/>
  <c r="DR392" i="136"/>
  <c r="DR371" i="136" s="1"/>
  <c r="ED57" i="12"/>
  <c r="EE56" i="12" s="1"/>
  <c r="ED92" i="11"/>
  <c r="ED93" i="11" s="1"/>
  <c r="ED91" i="11"/>
  <c r="ED90" i="11"/>
  <c r="ED72" i="134"/>
  <c r="ED91" i="134"/>
  <c r="ED202" i="11"/>
  <c r="ED203" i="11" s="1"/>
  <c r="ED75" i="11"/>
  <c r="ED57" i="11"/>
  <c r="ED221" i="11"/>
  <c r="DS392" i="136" l="1"/>
  <c r="DS371" i="136" s="1"/>
  <c r="DS377" i="136" s="1"/>
  <c r="DT391" i="136"/>
  <c r="DT390" i="136" s="1"/>
  <c r="DU390" i="136" s="1"/>
  <c r="DU391" i="136" s="1"/>
  <c r="DU392" i="136" s="1"/>
  <c r="DU371" i="136" s="1"/>
  <c r="DQ379" i="136"/>
  <c r="DQ57" i="134" s="1"/>
  <c r="DQ376" i="136"/>
  <c r="DQ378" i="136"/>
  <c r="DR377" i="136"/>
  <c r="DU320" i="136"/>
  <c r="DU156" i="136"/>
  <c r="DU79" i="136"/>
  <c r="DU222" i="136"/>
  <c r="DW43" i="136"/>
  <c r="DW156" i="136" s="1"/>
  <c r="ED59" i="12"/>
  <c r="DT392" i="136" l="1"/>
  <c r="DT371" i="136" s="1"/>
  <c r="DU377" i="136"/>
  <c r="DR376" i="136"/>
  <c r="DR379" i="136"/>
  <c r="DR378" i="136"/>
  <c r="DW222" i="136"/>
  <c r="DW79" i="136"/>
  <c r="DX43" i="136"/>
  <c r="DX156" i="136" s="1"/>
  <c r="DW320" i="136"/>
  <c r="DS378" i="136"/>
  <c r="DS376" i="136"/>
  <c r="DS379" i="136"/>
  <c r="ED11" i="11"/>
  <c r="DT377" i="136" l="1"/>
  <c r="DW391" i="136"/>
  <c r="DW392" i="136" s="1"/>
  <c r="DW371" i="136" s="1"/>
  <c r="DS57" i="134"/>
  <c r="DR57" i="134"/>
  <c r="DT378" i="136"/>
  <c r="DT376" i="136"/>
  <c r="DT379" i="136"/>
  <c r="DU378" i="136"/>
  <c r="DU379" i="136"/>
  <c r="DU376" i="136"/>
  <c r="DX320" i="136"/>
  <c r="DX222" i="136"/>
  <c r="DY43" i="136"/>
  <c r="DY156" i="136" s="1"/>
  <c r="DX79" i="136"/>
  <c r="ED58" i="12"/>
  <c r="EE69" i="135"/>
  <c r="ED70" i="135"/>
  <c r="ED71" i="135" s="1"/>
  <c r="ED115" i="11"/>
  <c r="ED80" i="11"/>
  <c r="ED120" i="11"/>
  <c r="ED62" i="11"/>
  <c r="ED77" i="135" s="1"/>
  <c r="ED79" i="11"/>
  <c r="ED224" i="11"/>
  <c r="ED17" i="11"/>
  <c r="ED114" i="11"/>
  <c r="DW390" i="136" l="1"/>
  <c r="DZ43" i="136"/>
  <c r="DZ156" i="136" s="1"/>
  <c r="DY320" i="136"/>
  <c r="DY222" i="136"/>
  <c r="DY79" i="136"/>
  <c r="DW377" i="136"/>
  <c r="DT57" i="134"/>
  <c r="DU57" i="134"/>
  <c r="DX391" i="136"/>
  <c r="EE72" i="135"/>
  <c r="ED228" i="11"/>
  <c r="ED227" i="11"/>
  <c r="ED74" i="11"/>
  <c r="ED79" i="135" s="1"/>
  <c r="ED63" i="11"/>
  <c r="ED78" i="11"/>
  <c r="ED81" i="11"/>
  <c r="ED28" i="11"/>
  <c r="DY391" i="136" l="1"/>
  <c r="DY390" i="136" s="1"/>
  <c r="DW378" i="136"/>
  <c r="DW376" i="136"/>
  <c r="DW379" i="136"/>
  <c r="DX392" i="136"/>
  <c r="DX371" i="136" s="1"/>
  <c r="DX390" i="136"/>
  <c r="DZ222" i="136"/>
  <c r="DZ320" i="136"/>
  <c r="EA43" i="136"/>
  <c r="EA156" i="136" s="1"/>
  <c r="DZ79" i="136"/>
  <c r="ED230" i="11"/>
  <c r="ED196" i="11"/>
  <c r="ED195" i="11"/>
  <c r="ED67" i="11"/>
  <c r="ED58" i="11"/>
  <c r="EE23" i="134"/>
  <c r="ED231" i="11"/>
  <c r="ED68" i="11" s="1"/>
  <c r="DY392" i="136" l="1"/>
  <c r="DY371" i="136" s="1"/>
  <c r="DW57" i="134"/>
  <c r="EC43" i="136"/>
  <c r="EC156" i="136" s="1"/>
  <c r="EA79" i="136"/>
  <c r="EA222" i="136"/>
  <c r="EA320" i="136"/>
  <c r="DX377" i="136"/>
  <c r="DZ391" i="136"/>
  <c r="ED199" i="11"/>
  <c r="EE27" i="134"/>
  <c r="DY377" i="136" l="1"/>
  <c r="DY376" i="136" s="1"/>
  <c r="DZ390" i="136"/>
  <c r="EA390" i="136" s="1"/>
  <c r="EA391" i="136" s="1"/>
  <c r="EA392" i="136" s="1"/>
  <c r="EA371" i="136" s="1"/>
  <c r="DZ392" i="136"/>
  <c r="DZ371" i="136" s="1"/>
  <c r="DX378" i="136"/>
  <c r="DX376" i="136"/>
  <c r="DX379" i="136"/>
  <c r="EC320" i="136"/>
  <c r="EC222" i="136"/>
  <c r="EC79" i="136"/>
  <c r="ED43" i="136"/>
  <c r="ED156" i="136" s="1"/>
  <c r="EE197" i="11"/>
  <c r="EE28" i="134"/>
  <c r="DY378" i="136" l="1"/>
  <c r="DY379" i="136"/>
  <c r="EC391" i="136"/>
  <c r="EC392" i="136" s="1"/>
  <c r="EC371" i="136" s="1"/>
  <c r="DY57" i="134"/>
  <c r="EE43" i="136"/>
  <c r="EE156" i="136" s="1"/>
  <c r="ED222" i="136"/>
  <c r="ED320" i="136"/>
  <c r="ED79" i="136"/>
  <c r="DZ377" i="136"/>
  <c r="DX57" i="134"/>
  <c r="EA377" i="136"/>
  <c r="EE97" i="134"/>
  <c r="EE29" i="134"/>
  <c r="EE10" i="12" s="1"/>
  <c r="EC390" i="136" l="1"/>
  <c r="EE320" i="136"/>
  <c r="EE222" i="136"/>
  <c r="EE79" i="136"/>
  <c r="EF43" i="136"/>
  <c r="EF156" i="136" s="1"/>
  <c r="EA376" i="136"/>
  <c r="EA378" i="136"/>
  <c r="EA379" i="136"/>
  <c r="DZ376" i="136"/>
  <c r="DZ378" i="136"/>
  <c r="DZ379" i="136"/>
  <c r="ED391" i="136"/>
  <c r="EC377" i="136"/>
  <c r="EE12" i="12"/>
  <c r="EE27" i="12" s="1"/>
  <c r="EE36" i="134"/>
  <c r="EE32" i="134"/>
  <c r="EA57" i="134" l="1"/>
  <c r="EC376" i="136"/>
  <c r="EC379" i="136"/>
  <c r="EC378" i="136"/>
  <c r="EF79" i="136"/>
  <c r="EG43" i="136"/>
  <c r="EG156" i="136" s="1"/>
  <c r="EF320" i="136"/>
  <c r="EF222" i="136"/>
  <c r="DZ57" i="134"/>
  <c r="ED390" i="136"/>
  <c r="ED392" i="136"/>
  <c r="ED371" i="136" s="1"/>
  <c r="EE391" i="136"/>
  <c r="EE76" i="12"/>
  <c r="EE29" i="12"/>
  <c r="EE34" i="134"/>
  <c r="EE37" i="134"/>
  <c r="EE38" i="134"/>
  <c r="EE54" i="11"/>
  <c r="EE55" i="11" s="1"/>
  <c r="EF391" i="136" l="1"/>
  <c r="EC57" i="134"/>
  <c r="EF392" i="136"/>
  <c r="EF371" i="136" s="1"/>
  <c r="EF390" i="136"/>
  <c r="ED377" i="136"/>
  <c r="EE392" i="136"/>
  <c r="EE371" i="136" s="1"/>
  <c r="EE390" i="136"/>
  <c r="EG79" i="136"/>
  <c r="EG222" i="136"/>
  <c r="EG320" i="136"/>
  <c r="EE71" i="12"/>
  <c r="EE75" i="11"/>
  <c r="EE57" i="11"/>
  <c r="EE221" i="11"/>
  <c r="EE202" i="11"/>
  <c r="EE68" i="12"/>
  <c r="EE55" i="12"/>
  <c r="EE61" i="12"/>
  <c r="EE62" i="12" s="1"/>
  <c r="EE64" i="12" s="1"/>
  <c r="EE70" i="12"/>
  <c r="EE79" i="12"/>
  <c r="EE69" i="12"/>
  <c r="EE131" i="12"/>
  <c r="EE90" i="134"/>
  <c r="EE75" i="134" s="1"/>
  <c r="EE60" i="134"/>
  <c r="EE35" i="134"/>
  <c r="EE130" i="12" s="1"/>
  <c r="EE201" i="11"/>
  <c r="EE66" i="11"/>
  <c r="EE71" i="134"/>
  <c r="EG390" i="136" l="1"/>
  <c r="EE377" i="136"/>
  <c r="EF377" i="136"/>
  <c r="EE203" i="11"/>
  <c r="ED378" i="136"/>
  <c r="ED379" i="136"/>
  <c r="ED376" i="136"/>
  <c r="EE57" i="12"/>
  <c r="EF56" i="12" s="1"/>
  <c r="EE72" i="134"/>
  <c r="EE91" i="11"/>
  <c r="EE90" i="11"/>
  <c r="EE92" i="11"/>
  <c r="EE93" i="11" s="1"/>
  <c r="EE91" i="134"/>
  <c r="EF379" i="136" l="1"/>
  <c r="EF378" i="136"/>
  <c r="EF376" i="136"/>
  <c r="ED57" i="134"/>
  <c r="EE378" i="136"/>
  <c r="EE379" i="136"/>
  <c r="EE376" i="136"/>
  <c r="EE59" i="12"/>
  <c r="EF57" i="134" l="1"/>
  <c r="EE57" i="134"/>
  <c r="EE11" i="11"/>
  <c r="EE58" i="12" l="1"/>
  <c r="EF69" i="135"/>
  <c r="EE70" i="135"/>
  <c r="EE71" i="135" s="1"/>
  <c r="EE62" i="11"/>
  <c r="EE77" i="135" s="1"/>
  <c r="EE115" i="11"/>
  <c r="EE114" i="11"/>
  <c r="EE17" i="11"/>
  <c r="EE120" i="11"/>
  <c r="EE224" i="11"/>
  <c r="EE79" i="11"/>
  <c r="EE80" i="11"/>
  <c r="EE228" i="11" l="1"/>
  <c r="EE227" i="11"/>
  <c r="EF72" i="135"/>
  <c r="EG72" i="135" s="1"/>
  <c r="EE63" i="11"/>
  <c r="EE74" i="11"/>
  <c r="EE79" i="135" s="1"/>
  <c r="EE78" i="11"/>
  <c r="EE28" i="11"/>
  <c r="EE81" i="11"/>
  <c r="EE230" i="11" l="1"/>
  <c r="EE231" i="11"/>
  <c r="EE68" i="11" s="1"/>
  <c r="EE196" i="11"/>
  <c r="EE195" i="11"/>
  <c r="EE58" i="11"/>
  <c r="EE67" i="11"/>
  <c r="EF23" i="134"/>
  <c r="EF27" i="134" l="1"/>
  <c r="EG23" i="134"/>
  <c r="EE199" i="11"/>
  <c r="EG27" i="134" l="1"/>
  <c r="EG197" i="11" s="1"/>
  <c r="EF28" i="134"/>
  <c r="EF29" i="134" s="1"/>
  <c r="EF10" i="12" s="1"/>
  <c r="EF197" i="11"/>
  <c r="EF97" i="134" l="1"/>
  <c r="EG97" i="134" s="1"/>
  <c r="EG28" i="134"/>
  <c r="EF12" i="12"/>
  <c r="EF27" i="12" s="1"/>
  <c r="EF76" i="12" s="1"/>
  <c r="EG10" i="12"/>
  <c r="EG12" i="12" s="1"/>
  <c r="EG27" i="12" s="1"/>
  <c r="EF32" i="134"/>
  <c r="EF36" i="134"/>
  <c r="EF29" i="12" l="1"/>
  <c r="EF55" i="12" s="1"/>
  <c r="EG76" i="12"/>
  <c r="EG29" i="12"/>
  <c r="EG29" i="134"/>
  <c r="EG59" i="134"/>
  <c r="EF70" i="12"/>
  <c r="EF79" i="12"/>
  <c r="EF69" i="12"/>
  <c r="EF61" i="12"/>
  <c r="EF62" i="12" s="1"/>
  <c r="EF64" i="12" s="1"/>
  <c r="EF131" i="12"/>
  <c r="EF38" i="134"/>
  <c r="EF37" i="134"/>
  <c r="EF34" i="134"/>
  <c r="EF71" i="12" s="1"/>
  <c r="EF54" i="11"/>
  <c r="EF68" i="12" l="1"/>
  <c r="EG198" i="11"/>
  <c r="EG391" i="136"/>
  <c r="EG392" i="136" s="1"/>
  <c r="EG371" i="136" s="1"/>
  <c r="EG70" i="12"/>
  <c r="EG36" i="134"/>
  <c r="EG32" i="134"/>
  <c r="EG54" i="11"/>
  <c r="EG55" i="11" s="1"/>
  <c r="EG202" i="11" s="1"/>
  <c r="EF55" i="11"/>
  <c r="EF66" i="11" s="1"/>
  <c r="EG68" i="12"/>
  <c r="EG55" i="12"/>
  <c r="EG57" i="12" s="1"/>
  <c r="EG59" i="12" s="1"/>
  <c r="EG90" i="11"/>
  <c r="EG91" i="11"/>
  <c r="EG61" i="12"/>
  <c r="EG79" i="12"/>
  <c r="EG69" i="12"/>
  <c r="EG131" i="12"/>
  <c r="EG92" i="11"/>
  <c r="EG93" i="11" s="1"/>
  <c r="EF57" i="12"/>
  <c r="EF59" i="12" s="1"/>
  <c r="EF92" i="11"/>
  <c r="EF93" i="11" s="1"/>
  <c r="EF60" i="134"/>
  <c r="EF201" i="11"/>
  <c r="EF90" i="134"/>
  <c r="EF75" i="134" s="1"/>
  <c r="EG75" i="134" s="1"/>
  <c r="EF35" i="134"/>
  <c r="EF130" i="12" s="1"/>
  <c r="EF71" i="134"/>
  <c r="EF91" i="11"/>
  <c r="EF90" i="11"/>
  <c r="EG377" i="136" l="1"/>
  <c r="EG62" i="12"/>
  <c r="EG64" i="12" s="1"/>
  <c r="EG57" i="11"/>
  <c r="EG75" i="11"/>
  <c r="EF57" i="11"/>
  <c r="EF75" i="11"/>
  <c r="EF221" i="11"/>
  <c r="EF202" i="11"/>
  <c r="EF203" i="11" s="1"/>
  <c r="EG37" i="134"/>
  <c r="EG34" i="134"/>
  <c r="EG38" i="134"/>
  <c r="EF72" i="134"/>
  <c r="EF11" i="11"/>
  <c r="EF91" i="134"/>
  <c r="EG378" i="136" l="1"/>
  <c r="EG376" i="136"/>
  <c r="EG63" i="12"/>
  <c r="EG379" i="136"/>
  <c r="EG57" i="134" s="1"/>
  <c r="EG71" i="12"/>
  <c r="EG221" i="11"/>
  <c r="EG66" i="11"/>
  <c r="EG90" i="134"/>
  <c r="EG91" i="134" s="1"/>
  <c r="EG60" i="134"/>
  <c r="EG201" i="11"/>
  <c r="EG203" i="11" s="1"/>
  <c r="EG71" i="134"/>
  <c r="EG35" i="134"/>
  <c r="EF58" i="12"/>
  <c r="EF70" i="135"/>
  <c r="EF71" i="135" s="1"/>
  <c r="EF120" i="11"/>
  <c r="EF62" i="11"/>
  <c r="EF77" i="135" s="1"/>
  <c r="EG11" i="11"/>
  <c r="EF79" i="11"/>
  <c r="EF224" i="11"/>
  <c r="EG224" i="11" s="1"/>
  <c r="EF114" i="11"/>
  <c r="EF115" i="11"/>
  <c r="EF80" i="11"/>
  <c r="EF17" i="11"/>
  <c r="EF228" i="11" l="1"/>
  <c r="EG130" i="12"/>
  <c r="EG72" i="134"/>
  <c r="EF227" i="11"/>
  <c r="EG58" i="12"/>
  <c r="EG70" i="135"/>
  <c r="EG71" i="135" s="1"/>
  <c r="EG114" i="11"/>
  <c r="EG62" i="11"/>
  <c r="EG77" i="135" s="1"/>
  <c r="EG120" i="11"/>
  <c r="EG79" i="11"/>
  <c r="EG17" i="11"/>
  <c r="EG115" i="11"/>
  <c r="EG80" i="11"/>
  <c r="EF63" i="11"/>
  <c r="EF74" i="11"/>
  <c r="EF79" i="135" s="1"/>
  <c r="EF28" i="11"/>
  <c r="EF67" i="11" s="1"/>
  <c r="EF78" i="11"/>
  <c r="EF81" i="11"/>
  <c r="EG227" i="11" l="1"/>
  <c r="EF230" i="11"/>
  <c r="EG230" i="11"/>
  <c r="EG228" i="11"/>
  <c r="EF231" i="11"/>
  <c r="EF68" i="11" s="1"/>
  <c r="EG231" i="11"/>
  <c r="EG68" i="11" s="1"/>
  <c r="EG63" i="11"/>
  <c r="EG74" i="11"/>
  <c r="EG79" i="135" s="1"/>
  <c r="EG28" i="11"/>
  <c r="EG81" i="11"/>
  <c r="EG78" i="11"/>
  <c r="EF196" i="11"/>
  <c r="EF195" i="11"/>
  <c r="EF58" i="11"/>
  <c r="EF199" i="11" l="1"/>
  <c r="EG196" i="11"/>
  <c r="EG195" i="11"/>
  <c r="EG67" i="11"/>
  <c r="EG58" i="11"/>
  <c r="EG199" i="11" l="1"/>
</calcChain>
</file>

<file path=xl/sharedStrings.xml><?xml version="1.0" encoding="utf-8"?>
<sst xmlns="http://schemas.openxmlformats.org/spreadsheetml/2006/main" count="2170" uniqueCount="1097">
  <si>
    <t>Net Shares</t>
  </si>
  <si>
    <t>Assets/Equity</t>
  </si>
  <si>
    <t>Foreign</t>
  </si>
  <si>
    <t>Other</t>
  </si>
  <si>
    <t>GAAP Net Income</t>
  </si>
  <si>
    <t>Other Long Term Liabilities</t>
  </si>
  <si>
    <t>Unlevered Free Cash Flow</t>
  </si>
  <si>
    <t>Interest</t>
  </si>
  <si>
    <t>Tax Shield</t>
  </si>
  <si>
    <t>PP&amp;E (Net)</t>
  </si>
  <si>
    <t>Investments in Affiliates</t>
  </si>
  <si>
    <t>Pricing</t>
  </si>
  <si>
    <t>Negligible</t>
  </si>
  <si>
    <t>Other Current Assets</t>
  </si>
  <si>
    <t>Flat</t>
  </si>
  <si>
    <t>Opening net book value - PP&amp;E</t>
  </si>
  <si>
    <t>Disposals</t>
  </si>
  <si>
    <t>Water Quality</t>
  </si>
  <si>
    <t>Average price</t>
  </si>
  <si>
    <t>Treasury shares bfwd</t>
  </si>
  <si>
    <t>Shares repurchased</t>
  </si>
  <si>
    <t>Treasury shares cfwd</t>
  </si>
  <si>
    <t>Inflow from share issue</t>
  </si>
  <si>
    <t>Capex/Sales</t>
  </si>
  <si>
    <t>DPS</t>
  </si>
  <si>
    <t>Pay-out ratio (EPS)</t>
  </si>
  <si>
    <t>Pay-out ratio (FCF)</t>
  </si>
  <si>
    <t>Deferred Income Taxes</t>
  </si>
  <si>
    <t>Other Assets</t>
  </si>
  <si>
    <t>Intangible Assets &amp; Other Assets</t>
  </si>
  <si>
    <t>Total Non-Current Assets</t>
  </si>
  <si>
    <t>Total Assets</t>
  </si>
  <si>
    <t>Current Liabilities</t>
  </si>
  <si>
    <t>Long Term Liabilities</t>
  </si>
  <si>
    <t>Restructuring Charges</t>
  </si>
  <si>
    <t>Sybron</t>
  </si>
  <si>
    <t>Shares Issued/ Other</t>
  </si>
  <si>
    <t>Retained Earnings</t>
  </si>
  <si>
    <t>Net Income</t>
  </si>
  <si>
    <t>Working Capital</t>
  </si>
  <si>
    <t>FCF Margin</t>
  </si>
  <si>
    <t>Danaher Group (DHR)</t>
  </si>
  <si>
    <t>Free Cash Flow</t>
  </si>
  <si>
    <t>Inventory</t>
  </si>
  <si>
    <t>Accounts Payable</t>
  </si>
  <si>
    <t>% growth</t>
  </si>
  <si>
    <t>% margin</t>
  </si>
  <si>
    <t>SG&amp;A</t>
  </si>
  <si>
    <t>Income from Associates</t>
  </si>
  <si>
    <t>AB Sciex</t>
  </si>
  <si>
    <t>Shares issued bfwd</t>
  </si>
  <si>
    <t>Shares issued cfwd</t>
  </si>
  <si>
    <t>Issued shares</t>
  </si>
  <si>
    <t>Life Sciences</t>
  </si>
  <si>
    <t>Balance Sheet</t>
  </si>
  <si>
    <t>Trade Working Capital</t>
  </si>
  <si>
    <t xml:space="preserve">     % sales</t>
  </si>
  <si>
    <t>Cash/ST Debt</t>
  </si>
  <si>
    <t>Cash/Total Debt</t>
  </si>
  <si>
    <t>ST Debt/LT Debt</t>
  </si>
  <si>
    <t>Asset Turns</t>
  </si>
  <si>
    <t>Pre-Tax Margin</t>
  </si>
  <si>
    <t>(1-tax rate)</t>
  </si>
  <si>
    <t>Current Assets</t>
  </si>
  <si>
    <t>LSD</t>
  </si>
  <si>
    <t>Radiometer</t>
  </si>
  <si>
    <t>Total Liabilities</t>
  </si>
  <si>
    <t>Equity</t>
  </si>
  <si>
    <t>R&amp;D</t>
  </si>
  <si>
    <t>Revenue</t>
  </si>
  <si>
    <t>Share issuance/repurchase</t>
  </si>
  <si>
    <t>Capex/D&amp;A</t>
  </si>
  <si>
    <t>Implants</t>
  </si>
  <si>
    <t>+20%</t>
  </si>
  <si>
    <t>Dividend Schedules</t>
  </si>
  <si>
    <t>Unlevered FCF Reconciliation</t>
  </si>
  <si>
    <t>Opening Intangible assets</t>
  </si>
  <si>
    <t>Dental Consumables</t>
  </si>
  <si>
    <t>Organic Growth</t>
  </si>
  <si>
    <t>Acquisitions</t>
  </si>
  <si>
    <t>Other Current Liabilities</t>
  </si>
  <si>
    <t>Total Current Liabilities</t>
  </si>
  <si>
    <t>Long Term Debt less Current Portion</t>
  </si>
  <si>
    <t>Share Capital Schedules</t>
  </si>
  <si>
    <t>% acquisitions</t>
  </si>
  <si>
    <t>% currency</t>
  </si>
  <si>
    <t>Revenues</t>
  </si>
  <si>
    <t>Diluted Weighted Average Shares</t>
  </si>
  <si>
    <t>JV (Income)/Other</t>
  </si>
  <si>
    <t>Capex</t>
  </si>
  <si>
    <t>Inventory Turns (Sales)</t>
  </si>
  <si>
    <t>Inventory Turns (COGS)</t>
  </si>
  <si>
    <t>Free cash flow</t>
  </si>
  <si>
    <t>Paid-in Capital</t>
  </si>
  <si>
    <t xml:space="preserve"> Total Equity</t>
  </si>
  <si>
    <t>Total Liabilities and Equity</t>
  </si>
  <si>
    <t>Short Term Borrowings</t>
  </si>
  <si>
    <t>Accumulated Other Comprehensive Income</t>
  </si>
  <si>
    <t>Cumulative Currency Translation Adjustment</t>
  </si>
  <si>
    <t>B/S Drivers</t>
  </si>
  <si>
    <t>Cash and Cash Equivalents</t>
  </si>
  <si>
    <t>Short Term Investments</t>
  </si>
  <si>
    <t>Accounts Receivable (net)</t>
  </si>
  <si>
    <t>Inventories</t>
  </si>
  <si>
    <t>Up slightly</t>
  </si>
  <si>
    <t>Product ID</t>
  </si>
  <si>
    <t>Closing net book value - PP&amp;E</t>
  </si>
  <si>
    <t>Dividends</t>
  </si>
  <si>
    <t xml:space="preserve"> </t>
  </si>
  <si>
    <t>% of Depreciation</t>
  </si>
  <si>
    <t>Goodwill in Acquisitions</t>
  </si>
  <si>
    <t>Goodwill in Sale of Businesses</t>
  </si>
  <si>
    <t>Dental Equipment</t>
  </si>
  <si>
    <t>Key Performance Indicators</t>
  </si>
  <si>
    <t>Depreciation</t>
  </si>
  <si>
    <t>Diagnostics</t>
  </si>
  <si>
    <t>Accounts Receivable</t>
  </si>
  <si>
    <t>DHR.N,mscalc:sedolCodeCalc</t>
  </si>
  <si>
    <t>DHR.N,mscalc:closePriceCurrencyCalc</t>
  </si>
  <si>
    <t>DHR.N,mscalc:targetPrice,,,,USD</t>
  </si>
  <si>
    <t>$F$2</t>
  </si>
  <si>
    <t>2250870</t>
  </si>
  <si>
    <t>Organic Revenue Growth</t>
  </si>
  <si>
    <t>SG&amp;A Margin</t>
  </si>
  <si>
    <t>R&amp;D Margin</t>
  </si>
  <si>
    <t>Accrued Expenses</t>
  </si>
  <si>
    <t>KaVo</t>
  </si>
  <si>
    <t>Revenue Growth</t>
  </si>
  <si>
    <t>LSD, little better than equipment</t>
  </si>
  <si>
    <t>Amortization</t>
  </si>
  <si>
    <t>% of Amortization</t>
  </si>
  <si>
    <t>Leica Microsystems</t>
  </si>
  <si>
    <t>Total Long-Term Liabilities</t>
  </si>
  <si>
    <t>Total Current Assets</t>
  </si>
  <si>
    <t>Down YoY</t>
  </si>
  <si>
    <t>Trojan UV</t>
  </si>
  <si>
    <t>Leica Biosystems</t>
  </si>
  <si>
    <t>Molecular Devices</t>
  </si>
  <si>
    <t>Hach-Lange</t>
  </si>
  <si>
    <t>Common dividends</t>
  </si>
  <si>
    <t>Unrecorded goodwill from poolings</t>
  </si>
  <si>
    <t>Statutory tax rate</t>
  </si>
  <si>
    <t>Federal</t>
  </si>
  <si>
    <t>State</t>
  </si>
  <si>
    <t>Change of Accounting</t>
  </si>
  <si>
    <t>Continuing EPS</t>
  </si>
  <si>
    <t>GAAP EPS - Diluted</t>
  </si>
  <si>
    <t>GAAP EPS - Basic</t>
  </si>
  <si>
    <t>Basic Weighted Average Shares</t>
  </si>
  <si>
    <t>Dilution</t>
  </si>
  <si>
    <t>Medical Technologies</t>
  </si>
  <si>
    <t>Issue of equity securities</t>
  </si>
  <si>
    <t>% sales</t>
  </si>
  <si>
    <t>Gross Margin</t>
  </si>
  <si>
    <t>Depreciation &amp; Amortization</t>
  </si>
  <si>
    <t>Interest Expense</t>
  </si>
  <si>
    <t>Interest Income</t>
  </si>
  <si>
    <t>Taxes</t>
  </si>
  <si>
    <t>ROE - DuPont</t>
  </si>
  <si>
    <t>Average Equity</t>
  </si>
  <si>
    <t>Minority Interest</t>
  </si>
  <si>
    <t>Continuing Income</t>
  </si>
  <si>
    <t>Discontinued operations</t>
  </si>
  <si>
    <t>Dental</t>
  </si>
  <si>
    <t>ChemTreat</t>
  </si>
  <si>
    <t>USD</t>
  </si>
  <si>
    <t>Operating Income</t>
  </si>
  <si>
    <t>CFOA Margin</t>
  </si>
  <si>
    <t>Closing Intangible Assets</t>
  </si>
  <si>
    <t>ROE</t>
  </si>
  <si>
    <t>Check</t>
  </si>
  <si>
    <t>% Revenues</t>
  </si>
  <si>
    <t>% COGS</t>
  </si>
  <si>
    <t>Leica</t>
  </si>
  <si>
    <t>Common Stock</t>
  </si>
  <si>
    <t>Nobel Biocare</t>
  </si>
  <si>
    <t>Devicor</t>
  </si>
  <si>
    <t>NetScout split-off math</t>
  </si>
  <si>
    <t>Shares</t>
  </si>
  <si>
    <t>NTCT price</t>
  </si>
  <si>
    <t>Total consideration</t>
  </si>
  <si>
    <t>fixed</t>
  </si>
  <si>
    <t>DHR price</t>
  </si>
  <si>
    <t>Disc on exchange</t>
  </si>
  <si>
    <t>Adj. consideration</t>
  </si>
  <si>
    <t>Shares retired</t>
  </si>
  <si>
    <t>1Q15</t>
  </si>
  <si>
    <t>2Q15</t>
  </si>
  <si>
    <t>3Q15</t>
  </si>
  <si>
    <t>4Q15</t>
  </si>
  <si>
    <t>Up</t>
  </si>
  <si>
    <t>Flattish/LSD</t>
  </si>
  <si>
    <t>2.4 exchange ratio</t>
  </si>
  <si>
    <t>Up Slightly</t>
  </si>
  <si>
    <t>Pall</t>
  </si>
  <si>
    <t>EBITDA Pre Synergies</t>
  </si>
  <si>
    <t>Margin Post-Synergies</t>
  </si>
  <si>
    <t>Less: D&amp;A</t>
  </si>
  <si>
    <t>Core Op Income</t>
  </si>
  <si>
    <t>Add: Cumulative Synergies</t>
  </si>
  <si>
    <t>Less Restructuring</t>
  </si>
  <si>
    <t>Less Intangibles Amort</t>
  </si>
  <si>
    <t>Adj. Core Op Income</t>
  </si>
  <si>
    <t>Incremental EBITDA Margins</t>
  </si>
  <si>
    <t>growth</t>
  </si>
  <si>
    <t>1Q16</t>
  </si>
  <si>
    <t>flattish</t>
  </si>
  <si>
    <t>up slightly</t>
  </si>
  <si>
    <t>solid growth</t>
  </si>
  <si>
    <t>down</t>
  </si>
  <si>
    <t>2Q16</t>
  </si>
  <si>
    <t>Strong Growth</t>
  </si>
  <si>
    <t>Strong Demand</t>
  </si>
  <si>
    <t>3Q16</t>
  </si>
  <si>
    <t>Danaher Working Capital</t>
  </si>
  <si>
    <t>Fortive Working Capital</t>
  </si>
  <si>
    <t>Danaher ex-FTV Working Capital</t>
  </si>
  <si>
    <t>Danaher Trade Working Capital</t>
  </si>
  <si>
    <t>Fortive Trade Working Capital</t>
  </si>
  <si>
    <t>Danaher ex-FTV Trade Working Capital</t>
  </si>
  <si>
    <t>4Q16</t>
  </si>
  <si>
    <t>Down Slightly</t>
  </si>
  <si>
    <t>Steve Beuchaw</t>
  </si>
  <si>
    <t>212 761 6672</t>
  </si>
  <si>
    <t>Org Growth YY</t>
  </si>
  <si>
    <t>2-Year Org Growth</t>
  </si>
  <si>
    <t>Adj. EPS ex-Fortive</t>
  </si>
  <si>
    <t>Quarterly Income Statement</t>
  </si>
  <si>
    <t>Dollars in millions, except per share data</t>
  </si>
  <si>
    <t>Fiscal year ends Dec. 31</t>
  </si>
  <si>
    <t>Cash Flow Statement</t>
  </si>
  <si>
    <t>Environ. &amp; Applied Solutions Stub</t>
  </si>
  <si>
    <t>steve.beuchaw@morganstanley.com</t>
  </si>
  <si>
    <t>Core margin expansion (bps)</t>
  </si>
  <si>
    <t>Other (bps)</t>
  </si>
  <si>
    <t>Acquisitions (bps)</t>
  </si>
  <si>
    <t>Margins</t>
  </si>
  <si>
    <t>Growth</t>
  </si>
  <si>
    <t>COGS</t>
  </si>
  <si>
    <t>Total Sales</t>
  </si>
  <si>
    <t>Operating costs:</t>
  </si>
  <si>
    <t>Total Operating Costs</t>
  </si>
  <si>
    <t>Non-GAAP Adjusted Net Income</t>
  </si>
  <si>
    <t>Incremental Gross Margin</t>
  </si>
  <si>
    <t>Incremental EBIT</t>
  </si>
  <si>
    <t>Income tax rate</t>
  </si>
  <si>
    <t>Net Income (Non-GAAP)</t>
  </si>
  <si>
    <t>SGA</t>
  </si>
  <si>
    <t>EPS (Non-GAAP)</t>
  </si>
  <si>
    <t>Sales</t>
  </si>
  <si>
    <t>Financial Metrics</t>
  </si>
  <si>
    <t>Total Debt</t>
  </si>
  <si>
    <t>Net debt (debt-cash)</t>
  </si>
  <si>
    <t>Net debt / (cash) per share</t>
  </si>
  <si>
    <t>Returns</t>
  </si>
  <si>
    <t>Return on Equity (ROE)</t>
  </si>
  <si>
    <t>Return on Assets (ROA)</t>
  </si>
  <si>
    <t>Return on Invested Capital (ROIC)</t>
  </si>
  <si>
    <t>Debt Coverage/Leverage</t>
  </si>
  <si>
    <t>EBITDA Coverage</t>
  </si>
  <si>
    <t>Gross Debt / EBITDA</t>
  </si>
  <si>
    <t>Net Debt / EBITDA</t>
  </si>
  <si>
    <t>Debt / Capital</t>
  </si>
  <si>
    <t>EBIT Coverage</t>
  </si>
  <si>
    <t>Liquidity</t>
  </si>
  <si>
    <t>Current Ratio (CA/CL)</t>
  </si>
  <si>
    <t>Quick Ratio ((Cash+Mkt Sec+AR)/CL)</t>
  </si>
  <si>
    <t>Cash Ratio</t>
  </si>
  <si>
    <t>Acid-Test Ratio</t>
  </si>
  <si>
    <t>Working Capital Metrics</t>
  </si>
  <si>
    <t>Days Sales Outstanding (DSO)</t>
  </si>
  <si>
    <t>Inventory Days (DIO)</t>
  </si>
  <si>
    <t>Days Payable Outstanding (DPO)</t>
  </si>
  <si>
    <t>Cash Conversion Cycle</t>
  </si>
  <si>
    <t>Summary Cash Flow</t>
  </si>
  <si>
    <t>Net Cash Flow</t>
  </si>
  <si>
    <t>Operating Cash Flow</t>
  </si>
  <si>
    <t>FCF/Share</t>
  </si>
  <si>
    <t>as a % of Sales</t>
  </si>
  <si>
    <t>Working Capital (ex-FTV)</t>
  </si>
  <si>
    <t>Tax rate</t>
  </si>
  <si>
    <t>NOPAT</t>
  </si>
  <si>
    <t>NOPAT margin</t>
  </si>
  <si>
    <t>Operating assets</t>
  </si>
  <si>
    <t>Operating liabilities</t>
  </si>
  <si>
    <t>Net operating assets</t>
  </si>
  <si>
    <t>Asset turnover</t>
  </si>
  <si>
    <t>Free Cash Flow (FCF)</t>
  </si>
  <si>
    <t>FCF per share</t>
  </si>
  <si>
    <t>Free Cash Flow Yield</t>
  </si>
  <si>
    <t>Avg. Share Price</t>
  </si>
  <si>
    <t>ModelWare Required tags</t>
  </si>
  <si>
    <t>Quarterly Income Statement - Pro Forma</t>
  </si>
  <si>
    <t>Quarterly Debt Schedule</t>
  </si>
  <si>
    <t>(Dollars in millions, except per share data)</t>
  </si>
  <si>
    <t>Type</t>
  </si>
  <si>
    <t>Rate</t>
  </si>
  <si>
    <t>Maturity</t>
  </si>
  <si>
    <t>Senior Unsecured Notes</t>
  </si>
  <si>
    <t>Senior Note</t>
  </si>
  <si>
    <t xml:space="preserve">Floating rate </t>
  </si>
  <si>
    <t xml:space="preserve">Senior Note </t>
  </si>
  <si>
    <t>Mature Term Loan</t>
  </si>
  <si>
    <t>Senior Bonds</t>
  </si>
  <si>
    <t xml:space="preserve">Zero-coupon Liquid Yield Option Notes </t>
  </si>
  <si>
    <t>Commercial Paper</t>
  </si>
  <si>
    <t xml:space="preserve">Euro-denominated </t>
  </si>
  <si>
    <t xml:space="preserve">U.S. dollar-denominated </t>
  </si>
  <si>
    <t>Fortive debt:</t>
  </si>
  <si>
    <t>U.S. dollar-denominated commercial paper</t>
  </si>
  <si>
    <t xml:space="preserve">Variable interest rate term loan facility </t>
  </si>
  <si>
    <t xml:space="preserve">Total Debt </t>
  </si>
  <si>
    <t>Total Debt Check</t>
  </si>
  <si>
    <t>Short-Term Debt</t>
  </si>
  <si>
    <t>Total ST Debt</t>
  </si>
  <si>
    <t xml:space="preserve">     (Paydown)</t>
  </si>
  <si>
    <t>ST Debt Check</t>
  </si>
  <si>
    <t>Long-Term Debt</t>
  </si>
  <si>
    <t>Total Debt at Carrying Value</t>
  </si>
  <si>
    <t>LT Debt Check</t>
  </si>
  <si>
    <t>Implied interest expense</t>
  </si>
  <si>
    <t>Reported interest expense</t>
  </si>
  <si>
    <t>Cash Balance (BOP)</t>
  </si>
  <si>
    <t>Implied Interest Rate</t>
  </si>
  <si>
    <t>Stock-based compensation expense</t>
  </si>
  <si>
    <t>Cash dividends from unconsolidated joint venture</t>
  </si>
  <si>
    <t>Pretax loss on early extinguishment of borrowings</t>
  </si>
  <si>
    <t>Pretax gain on sales of investments and a product line</t>
  </si>
  <si>
    <t>Change in deferred income taxes</t>
  </si>
  <si>
    <t>Net Earnings</t>
  </si>
  <si>
    <t>Less:Earnings from Discontinued Operations</t>
  </si>
  <si>
    <t>Net Earnings from continuing operations</t>
  </si>
  <si>
    <t>Change in trade accounts receivable, net</t>
  </si>
  <si>
    <t>Change in inventories</t>
  </si>
  <si>
    <t>Change in trade accounts payable</t>
  </si>
  <si>
    <t>Change in prepaid expenses and other assets</t>
  </si>
  <si>
    <t>Change in accrued expenses and other liabilities</t>
  </si>
  <si>
    <t>Total Operating cash provided by continuing operations</t>
  </si>
  <si>
    <t>Total Operating cash (used in) provided by discontinued operations</t>
  </si>
  <si>
    <t>Net cash provided by operating activities</t>
  </si>
  <si>
    <t>Cash paid for acquisitions</t>
  </si>
  <si>
    <t>Payments for additions to property, plant and equipment</t>
  </si>
  <si>
    <t>Payments for purchases of investments</t>
  </si>
  <si>
    <t>Proceeds from sales of investments and a product line</t>
  </si>
  <si>
    <t>All other investing activities</t>
  </si>
  <si>
    <t>Total investing cash used in continuing operations</t>
  </si>
  <si>
    <t>Total investing cash used in discontinued operations</t>
  </si>
  <si>
    <t>Net cash used in investing activities</t>
  </si>
  <si>
    <t>Net repayments of borrowings (maturities of 90 days or less)</t>
  </si>
  <si>
    <t>Proceeds from borrowings</t>
  </si>
  <si>
    <t>Repayments of borrowings</t>
  </si>
  <si>
    <t>All other financing activities</t>
  </si>
  <si>
    <t>Net cash provided by (used in) financing activities</t>
  </si>
  <si>
    <t>Effect of exchange rate changes on cash and equivalents</t>
  </si>
  <si>
    <t>Net change in cash and equivalents</t>
  </si>
  <si>
    <t>Beginning balance of cash and equivalents</t>
  </si>
  <si>
    <t>Ending balance of cash and equivalents</t>
  </si>
  <si>
    <t>Changes in cash &amp; cash equivalents</t>
  </si>
  <si>
    <t>Stock Repurchase / Issuances</t>
  </si>
  <si>
    <t>Options Outstanding BOP</t>
  </si>
  <si>
    <t>Options Granted</t>
  </si>
  <si>
    <t>Options Exercised</t>
  </si>
  <si>
    <t>Options Cancelled/Forfeited</t>
  </si>
  <si>
    <t>Options Outstanding EOP</t>
  </si>
  <si>
    <t>Wtd Avg Exercise Price (of exercised)</t>
  </si>
  <si>
    <t>Y/Y Growth</t>
  </si>
  <si>
    <t>Exercised shares as a % of outstanding</t>
  </si>
  <si>
    <t>Options lapsed as a % of outstanding</t>
  </si>
  <si>
    <t>Options granted - Y/Y Growth</t>
  </si>
  <si>
    <t>Proceeds from options issuance ($mm)</t>
  </si>
  <si>
    <t>Repurchases</t>
  </si>
  <si>
    <t>Cost of repurchases</t>
  </si>
  <si>
    <t>Avg cost</t>
  </si>
  <si>
    <t>% change</t>
  </si>
  <si>
    <t xml:space="preserve">Adjustment due to Fortive Separation </t>
  </si>
  <si>
    <t>Repurchase of equity securities</t>
  </si>
  <si>
    <t>Revenue Build</t>
  </si>
  <si>
    <t>Life Sciences Solutions</t>
  </si>
  <si>
    <t>Reported Growth</t>
  </si>
  <si>
    <t>FX Impact</t>
  </si>
  <si>
    <t xml:space="preserve">Revenue </t>
  </si>
  <si>
    <t>Segmental Revenue Mix</t>
  </si>
  <si>
    <t>+ MSD</t>
  </si>
  <si>
    <t>+ LSD</t>
  </si>
  <si>
    <t>+ HSD</t>
  </si>
  <si>
    <t>- MSD</t>
  </si>
  <si>
    <t>- LSD</t>
  </si>
  <si>
    <t>+3%</t>
  </si>
  <si>
    <t>+ DD</t>
  </si>
  <si>
    <t>+10%</t>
  </si>
  <si>
    <t>+2%</t>
  </si>
  <si>
    <t xml:space="preserve">Sales by subsegment: </t>
  </si>
  <si>
    <t>+ Sl.</t>
  </si>
  <si>
    <t>+  LSD</t>
  </si>
  <si>
    <t>+ YoY</t>
  </si>
  <si>
    <t>+ LDD</t>
  </si>
  <si>
    <t>- L-Tns</t>
  </si>
  <si>
    <t>- DD</t>
  </si>
  <si>
    <t>- H-Tns</t>
  </si>
  <si>
    <t>- M-Tns</t>
  </si>
  <si>
    <t>- YoY</t>
  </si>
  <si>
    <t>Org Growth by Segment</t>
  </si>
  <si>
    <t>Org 2-yr Stack by Segment</t>
  </si>
  <si>
    <t>Total Net Sales</t>
  </si>
  <si>
    <t>Gross Margin (%)</t>
  </si>
  <si>
    <t xml:space="preserve">Total Gross Profit </t>
  </si>
  <si>
    <t xml:space="preserve">Total Operating Income </t>
  </si>
  <si>
    <t xml:space="preserve">Operating Income </t>
  </si>
  <si>
    <t>% operating margin</t>
  </si>
  <si>
    <t>Other assets, discontinued operations</t>
  </si>
  <si>
    <t>Current liabilities, discontinued operations</t>
  </si>
  <si>
    <t>Long-term liabilities, discontinued operations</t>
  </si>
  <si>
    <t>Make-whole premiums to redeem borrowings prior to maturity</t>
  </si>
  <si>
    <t>Cash distributions to Fortive Corporation, net</t>
  </si>
  <si>
    <t>Other (Net Debt movement)</t>
  </si>
  <si>
    <t>Total Revenues</t>
  </si>
  <si>
    <t>Stacked Growth</t>
  </si>
  <si>
    <t>T2Q Stacked Organic</t>
  </si>
  <si>
    <t>Yr/Yr Organic Rev $</t>
  </si>
  <si>
    <t xml:space="preserve">Yr/Yr Organic Rev Stacked Growth </t>
  </si>
  <si>
    <t>Fixed Assets Schedules</t>
  </si>
  <si>
    <t>% incremental operating margin</t>
  </si>
  <si>
    <t>Consolidated Operating Segments</t>
  </si>
  <si>
    <t>Others</t>
  </si>
  <si>
    <t>GAAP / Non-GAAP Reconciliations</t>
  </si>
  <si>
    <t xml:space="preserve">Pretax amortization of acquisition-related intangible assets </t>
  </si>
  <si>
    <t xml:space="preserve">Pretax charge for early extinguishment of borrowings </t>
  </si>
  <si>
    <t xml:space="preserve">Pretax gains on resolution of acquisition-related matters </t>
  </si>
  <si>
    <t xml:space="preserve">Pretax gain on sales of investments </t>
  </si>
  <si>
    <t xml:space="preserve">Pretax acquisition-related transaction costs deemed significant, change in control payments and restructuring costs and fair value adjustments to inventory and deferred revenue </t>
  </si>
  <si>
    <t xml:space="preserve">Tax effect of all adjustments reflected above </t>
  </si>
  <si>
    <t xml:space="preserve">Discrete tax adjustments and other tax-related adjustments </t>
  </si>
  <si>
    <t xml:space="preserve">Gain on sale of a product line </t>
  </si>
  <si>
    <t xml:space="preserve">Productivity charges </t>
  </si>
  <si>
    <t xml:space="preserve">Fair value adjustments to inventory </t>
  </si>
  <si>
    <t xml:space="preserve">Impairment of intangible assets associated with a technology investment in the communications business </t>
  </si>
  <si>
    <t>Adj. Cost of sales</t>
  </si>
  <si>
    <t>Adj. SG&amp;A</t>
  </si>
  <si>
    <t>Recurring Tax</t>
  </si>
  <si>
    <t>Tax effect of all non-gaap adjustments</t>
  </si>
  <si>
    <t>Adj. Other Income/(Expense)</t>
  </si>
  <si>
    <t>Adj. Operating Income</t>
  </si>
  <si>
    <t>Adj. EBITDA</t>
  </si>
  <si>
    <t>One Time Adjustments</t>
  </si>
  <si>
    <t>DHR.N</t>
  </si>
  <si>
    <t>Danaher</t>
  </si>
  <si>
    <t>Total operating margin</t>
  </si>
  <si>
    <t>Total</t>
  </si>
  <si>
    <t xml:space="preserve">EBIT </t>
  </si>
  <si>
    <t>ND</t>
  </si>
  <si>
    <t>Currency</t>
  </si>
  <si>
    <t>Current Stock Price</t>
  </si>
  <si>
    <t>Count</t>
  </si>
  <si>
    <t>Income Statement - Pro Forma</t>
  </si>
  <si>
    <t>Debt Schedule</t>
  </si>
  <si>
    <t>Segment Sheet</t>
  </si>
  <si>
    <t>Quarterly Balance Sheet</t>
  </si>
  <si>
    <t>Quarterly Cash Flow Statement</t>
  </si>
  <si>
    <t>DANAHER GROUP</t>
  </si>
  <si>
    <t>Click on the following to go to specific sections of our DHR model:</t>
  </si>
  <si>
    <t>Intercompany eliminations as % of revenue</t>
  </si>
  <si>
    <t>Cost of sales</t>
  </si>
  <si>
    <t>Gross Profit</t>
  </si>
  <si>
    <t>Operating Income (EBIT)</t>
  </si>
  <si>
    <t>EBITDA</t>
  </si>
  <si>
    <t>Other Income/(Expense)</t>
  </si>
  <si>
    <t>Environ. &amp; Applied Solutions</t>
  </si>
  <si>
    <t>flat</t>
  </si>
  <si>
    <t>slight growth</t>
  </si>
  <si>
    <t>Modest growth</t>
  </si>
  <si>
    <t>Core unit growth</t>
  </si>
  <si>
    <t>MSD Hach</t>
  </si>
  <si>
    <t>Stronger</t>
  </si>
  <si>
    <t>Hach HSD</t>
  </si>
  <si>
    <t>HSD</t>
  </si>
  <si>
    <t>MSD</t>
  </si>
  <si>
    <t>LDD</t>
  </si>
  <si>
    <t>Up HSD</t>
  </si>
  <si>
    <t>Up LSD</t>
  </si>
  <si>
    <t>Down LSD</t>
  </si>
  <si>
    <t>Up LDD</t>
  </si>
  <si>
    <t>Up MSD</t>
  </si>
  <si>
    <t>up LSD</t>
  </si>
  <si>
    <t>Slight growth</t>
  </si>
  <si>
    <t>Down 2%</t>
  </si>
  <si>
    <t>Midteen</t>
  </si>
  <si>
    <t>Up M-Tns</t>
  </si>
  <si>
    <t>Up Sl.</t>
  </si>
  <si>
    <t>up MSD</t>
  </si>
  <si>
    <t xml:space="preserve">MSD </t>
  </si>
  <si>
    <t>Pro instrument rev</t>
  </si>
  <si>
    <t>% of mix</t>
  </si>
  <si>
    <t>Invetech/Vision goes to FTV</t>
  </si>
  <si>
    <t>% growth rate</t>
  </si>
  <si>
    <t>EBIT %</t>
  </si>
  <si>
    <t>Vision EBIT lost</t>
  </si>
  <si>
    <t>LS&amp;Dx</t>
  </si>
  <si>
    <t>CHECK</t>
  </si>
  <si>
    <t>EAS</t>
  </si>
  <si>
    <t>Total DHRremainCo</t>
  </si>
  <si>
    <t>% reported growth</t>
  </si>
  <si>
    <t>--</t>
  </si>
  <si>
    <t>Environmental &amp; Applied Solutions</t>
  </si>
  <si>
    <t>Reported y/y Growth</t>
  </si>
  <si>
    <t>Acquisitions / Divestures</t>
  </si>
  <si>
    <t>Reported EBIT margin expansion (bps)</t>
  </si>
  <si>
    <t>Dx Core EBIT margin %</t>
  </si>
  <si>
    <t>LS Core EBIT margin %</t>
  </si>
  <si>
    <t>EAS Core EBIT margin %</t>
  </si>
  <si>
    <t>Dental Core EBIT</t>
  </si>
  <si>
    <t>EAS Core EBIT</t>
  </si>
  <si>
    <t>Diagnostics Core EBIT</t>
  </si>
  <si>
    <t>Life Sciences Core EBIT</t>
  </si>
  <si>
    <t>% operating margin reported</t>
  </si>
  <si>
    <t xml:space="preserve">% Core Dental EBIT margin </t>
  </si>
  <si>
    <t>Up L-Tns</t>
  </si>
  <si>
    <t>Up Y/Y</t>
  </si>
  <si>
    <t>Down MSD</t>
  </si>
  <si>
    <t>Down Sl.</t>
  </si>
  <si>
    <t>up mSD</t>
  </si>
  <si>
    <t>Up 10%</t>
  </si>
  <si>
    <t>Down HSD</t>
  </si>
  <si>
    <t>Up 10%+</t>
  </si>
  <si>
    <t>Up DD</t>
  </si>
  <si>
    <t>down LSD</t>
  </si>
  <si>
    <t>50bps</t>
  </si>
  <si>
    <t>Up 4%</t>
  </si>
  <si>
    <t>Corporate exp/Other</t>
  </si>
  <si>
    <t>Net PP&amp;E</t>
  </si>
  <si>
    <t>FCF Conversion/Continuing income</t>
  </si>
  <si>
    <t>Operating Profit Build</t>
  </si>
  <si>
    <t>Gross Profit Build</t>
  </si>
  <si>
    <t xml:space="preserve">    Y/Y Organic Op. Margin</t>
  </si>
  <si>
    <t xml:space="preserve">Underlying incremental </t>
  </si>
  <si>
    <t>EBIT impact</t>
  </si>
  <si>
    <t>FX EPS impact</t>
  </si>
  <si>
    <t>% Reported EBIT margin</t>
  </si>
  <si>
    <t>% EBIT impact</t>
  </si>
  <si>
    <t xml:space="preserve">    Y/Y Reported Op. Margin</t>
  </si>
  <si>
    <t>Margin Pre-Synergies</t>
  </si>
  <si>
    <t>Additional Revenue Synergies</t>
  </si>
  <si>
    <t>Assumed Standalone Gross Margin</t>
  </si>
  <si>
    <t>Assumed Standalone Op Margins</t>
  </si>
  <si>
    <t>Operating Profit</t>
  </si>
  <si>
    <t>Tax Rate</t>
  </si>
  <si>
    <t>Net Operating Income</t>
  </si>
  <si>
    <t>EPS Impact - Operations</t>
  </si>
  <si>
    <t>Cost Synergies</t>
  </si>
  <si>
    <t>% y/y Revenue Growth</t>
  </si>
  <si>
    <t>PF Operating Margin</t>
  </si>
  <si>
    <t>Incremental interest expense</t>
  </si>
  <si>
    <t>EPS Impact - Financing</t>
  </si>
  <si>
    <t>Net income impact</t>
  </si>
  <si>
    <t>EPS Impact - Net accretion</t>
  </si>
  <si>
    <t>Opex % standalone</t>
  </si>
  <si>
    <t>Opex standalone</t>
  </si>
  <si>
    <t>Incremental rev synergy opex</t>
  </si>
  <si>
    <t>Incremental rev synergy EBIT</t>
  </si>
  <si>
    <t>CPHD Revenue</t>
  </si>
  <si>
    <t>Total CPHD incremental EBIT $ synergies</t>
  </si>
  <si>
    <t>Pall incremental EBIT synergies</t>
  </si>
  <si>
    <t>Cepheid incremental EBIT synergies</t>
  </si>
  <si>
    <t>Other/one-time charges</t>
  </si>
  <si>
    <t>Other charges</t>
  </si>
  <si>
    <t>Acquisition impacts</t>
  </si>
  <si>
    <t xml:space="preserve">     FX EBIT impact</t>
  </si>
  <si>
    <t>% core margin inc-FX</t>
  </si>
  <si>
    <t>Core EBIT as stated inc-FX</t>
  </si>
  <si>
    <t>DHR Reported EBIT</t>
  </si>
  <si>
    <t>% Organic EBIT margin</t>
  </si>
  <si>
    <t>Organic EBIT (ex-FX, synergies, M&amp;A, other)</t>
  </si>
  <si>
    <t>Organic growth</t>
  </si>
  <si>
    <t>1Q17</t>
  </si>
  <si>
    <t>Pre-Tax Income</t>
  </si>
  <si>
    <t>Total Pall incremental EBIT $ synergies</t>
  </si>
  <si>
    <t>EBIT Margin Pre-Synergies</t>
  </si>
  <si>
    <t>EBIT Margin Post-Synergies</t>
  </si>
  <si>
    <t>Purchase price</t>
  </si>
  <si>
    <t>Interest income lost on cash</t>
  </si>
  <si>
    <t xml:space="preserve">New debt </t>
  </si>
  <si>
    <t>Assumed interest rate</t>
  </si>
  <si>
    <t>Financing</t>
  </si>
  <si>
    <t>DHR Dx EBIT margin contribution (in bps)</t>
  </si>
  <si>
    <t>DHR LS EBIT margin contribution (in bps)</t>
  </si>
  <si>
    <t>SEGMENT BUILDS</t>
  </si>
  <si>
    <t>DHR Summary</t>
  </si>
  <si>
    <t>Pall Corp Merger Analysis</t>
  </si>
  <si>
    <t>Cepheid Merger Analysis</t>
  </si>
  <si>
    <t>Net Intangibles</t>
  </si>
  <si>
    <t>Net working capital impact</t>
  </si>
  <si>
    <t>Stock-Comp Expense</t>
  </si>
  <si>
    <t>Stock Comp Expense</t>
  </si>
  <si>
    <t>Total Costs</t>
  </si>
  <si>
    <t>Comp Exp as a % of Costs</t>
  </si>
  <si>
    <t>Opex</t>
  </si>
  <si>
    <t>Cash Balance (EOP)</t>
  </si>
  <si>
    <t>Average Cash Balance</t>
  </si>
  <si>
    <t>Leverage</t>
  </si>
  <si>
    <t>Deferred Taxes</t>
  </si>
  <si>
    <t>Deferred tax assets</t>
  </si>
  <si>
    <t xml:space="preserve">Deferred tax liabilities </t>
  </si>
  <si>
    <t xml:space="preserve">Interest income lost </t>
  </si>
  <si>
    <t>Assumed commerical paper rate</t>
  </si>
  <si>
    <t>DHR Dx Ex-CPHD</t>
  </si>
  <si>
    <t>Equipment</t>
  </si>
  <si>
    <t>North America</t>
  </si>
  <si>
    <t>Operating expenses</t>
  </si>
  <si>
    <t>D&amp;A</t>
  </si>
  <si>
    <t>Shareholders Equity</t>
  </si>
  <si>
    <t>% organic incremental operating margin</t>
  </si>
  <si>
    <t>Implied drop-through</t>
  </si>
  <si>
    <t>% implied FX impact to EBIT</t>
  </si>
  <si>
    <t>Assumed FX Dropthrough</t>
  </si>
  <si>
    <t>GM</t>
  </si>
  <si>
    <t>OPEX</t>
  </si>
  <si>
    <t>2Q17</t>
  </si>
  <si>
    <t>3Q17</t>
  </si>
  <si>
    <t>4Q17</t>
  </si>
  <si>
    <t>1Q18</t>
  </si>
  <si>
    <t>Organic Growth (adj. for selling days)</t>
  </si>
  <si>
    <t>"Core" Growth</t>
  </si>
  <si>
    <t>Organic Ex-CPHD</t>
  </si>
  <si>
    <t>Selling days impact</t>
  </si>
  <si>
    <t>% core growth</t>
  </si>
  <si>
    <t>Bridge to Historical Pro-forma Revenues</t>
  </si>
  <si>
    <t>1Q18E</t>
  </si>
  <si>
    <t>2Q18E</t>
  </si>
  <si>
    <t>3Q18E</t>
  </si>
  <si>
    <t>4Q18E</t>
  </si>
  <si>
    <t xml:space="preserve">Environ. &amp; Applied Solutions </t>
  </si>
  <si>
    <t>Europe</t>
  </si>
  <si>
    <t xml:space="preserve">$83.96 </t>
  </si>
  <si>
    <t xml:space="preserve">Y/Y Core margin expansion bps </t>
  </si>
  <si>
    <t>Dental Spec consumables</t>
  </si>
  <si>
    <t>+LSD</t>
  </si>
  <si>
    <t>-LSD</t>
  </si>
  <si>
    <t>Videojet</t>
  </si>
  <si>
    <t>Esko</t>
  </si>
  <si>
    <t>Beckman Life Sciences</t>
  </si>
  <si>
    <t>Beckman Coulter Dx</t>
  </si>
  <si>
    <t>Euronotes</t>
  </si>
  <si>
    <t>Yen notes</t>
  </si>
  <si>
    <t xml:space="preserve">Organic EBIT Bridge </t>
  </si>
  <si>
    <t>Organic Incremental EBIT</t>
  </si>
  <si>
    <t>Diagnostics ex-CPHD</t>
  </si>
  <si>
    <t>% of Total</t>
  </si>
  <si>
    <t>-MSD</t>
  </si>
  <si>
    <t>+MSD</t>
  </si>
  <si>
    <t>Dental Product Revenue Build</t>
  </si>
  <si>
    <t>Traditional Consumables Revenue</t>
  </si>
  <si>
    <t>Equipment Revenue</t>
  </si>
  <si>
    <t>Dental Geographic Revenue Build</t>
  </si>
  <si>
    <t>Geographic Revenue $</t>
  </si>
  <si>
    <t>United States</t>
  </si>
  <si>
    <t>APAC</t>
  </si>
  <si>
    <t>ROW</t>
  </si>
  <si>
    <t>Geographic Growth %</t>
  </si>
  <si>
    <t>Mix %</t>
  </si>
  <si>
    <t>Overall Consumables Mix</t>
  </si>
  <si>
    <t>Overall Equipment Mix</t>
  </si>
  <si>
    <t>Specialty mix</t>
  </si>
  <si>
    <t>Traditional mix</t>
  </si>
  <si>
    <t>Specialty Consumables Revenue</t>
  </si>
  <si>
    <t>NA</t>
  </si>
  <si>
    <t>Strong</t>
  </si>
  <si>
    <t>Overall Consumables</t>
  </si>
  <si>
    <t>International</t>
  </si>
  <si>
    <t>Stong demand</t>
  </si>
  <si>
    <t>Stong demand in China</t>
  </si>
  <si>
    <t>High-growth in China and Middle East</t>
  </si>
  <si>
    <t>Slight declines</t>
  </si>
  <si>
    <t>Sales growth</t>
  </si>
  <si>
    <t>Impacted by destocking</t>
  </si>
  <si>
    <t>Improving</t>
  </si>
  <si>
    <t>Softer demand</t>
  </si>
  <si>
    <t>Weakness</t>
  </si>
  <si>
    <t>Postive gains</t>
  </si>
  <si>
    <t>+DD on China</t>
  </si>
  <si>
    <t>HGM</t>
  </si>
  <si>
    <t>Lower demand</t>
  </si>
  <si>
    <t>Strong in China</t>
  </si>
  <si>
    <t>Mix % (ppt version)</t>
  </si>
  <si>
    <t>Return on net operating assets (RNOA)</t>
  </si>
  <si>
    <t>RNOA</t>
  </si>
  <si>
    <t xml:space="preserve">Adjusted EBIT </t>
  </si>
  <si>
    <t>NOPAT (adjusted)</t>
  </si>
  <si>
    <t>Other Long-Term Liabilities</t>
  </si>
  <si>
    <t>Preferred Equity</t>
  </si>
  <si>
    <t>(Less cash)</t>
  </si>
  <si>
    <t>(Less unconsolidated investments)</t>
  </si>
  <si>
    <t>(Less Goodwill)</t>
  </si>
  <si>
    <t>Net Deferred Tax Liabilities</t>
  </si>
  <si>
    <t>Off-balance sheet operating leases</t>
  </si>
  <si>
    <t>Accumulated Asset write-downs</t>
  </si>
  <si>
    <t>Goodwill</t>
  </si>
  <si>
    <t>Other Intangible assets, net</t>
  </si>
  <si>
    <t>ROIC (ex-Goodwill)</t>
  </si>
  <si>
    <t>ROIC (inc-Goodwill)</t>
  </si>
  <si>
    <t>Total Invested Capital (inc-Goodwill)</t>
  </si>
  <si>
    <t>Total Invested Capital (ex-Goodwill)</t>
  </si>
  <si>
    <t>Debt</t>
  </si>
  <si>
    <t>Cash Taxes</t>
  </si>
  <si>
    <t>Non-performing Assets</t>
  </si>
  <si>
    <t>Return on Invested Capital (ROIC) (Exc. Goodwill)</t>
  </si>
  <si>
    <t>Product Mix</t>
  </si>
  <si>
    <t>2-year growth</t>
  </si>
  <si>
    <t>Total implied core growth</t>
  </si>
  <si>
    <t>Dental Product Organic Growth</t>
  </si>
  <si>
    <t>Specialty Consumables</t>
  </si>
  <si>
    <t>Basic Consumables</t>
  </si>
  <si>
    <t>Total Consumables</t>
  </si>
  <si>
    <t>Total Dental Organic</t>
  </si>
  <si>
    <t>Dental Product Organic</t>
  </si>
  <si>
    <t>Implied Total Dental Organic</t>
  </si>
  <si>
    <t xml:space="preserve">  Growth</t>
  </si>
  <si>
    <t>Overall "DHR core" incremental margins</t>
  </si>
  <si>
    <t>Pro-forma depreciation</t>
  </si>
  <si>
    <t>Pro-forma amortization</t>
  </si>
  <si>
    <t>Total D&amp;A pro-forma</t>
  </si>
  <si>
    <t>Senior Unsecured Yen Notes</t>
  </si>
  <si>
    <t>Declines</t>
  </si>
  <si>
    <t>Phenomenex</t>
  </si>
  <si>
    <t>1Q19E</t>
  </si>
  <si>
    <t>2Q19E</t>
  </si>
  <si>
    <t>3Q19E</t>
  </si>
  <si>
    <t>4Q19E</t>
  </si>
  <si>
    <t>FCF Conversion/non-GAAP NI</t>
  </si>
  <si>
    <t>Geographic and Recurring Mix</t>
  </si>
  <si>
    <t xml:space="preserve">  ex-CPHD</t>
  </si>
  <si>
    <t>112</t>
  </si>
  <si>
    <t>Research</t>
  </si>
  <si>
    <t>NM</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</si>
  <si>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</si>
  <si>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</si>
  <si>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</si>
  <si>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</si>
  <si>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</si>
  <si>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</si>
  <si>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Steve Beuchaw, Zachary Wachter</t>
  </si>
  <si>
    <t>Date: 19 Apr 2018</t>
  </si>
  <si>
    <t>Ticker: DHR.N</t>
  </si>
  <si>
    <t>Stock Rating: Overweight</t>
  </si>
  <si>
    <t>Industry: Life Science Tools &amp; Diagnostics</t>
  </si>
  <si>
    <t>Industry View: In-Line</t>
  </si>
  <si>
    <t>Price as of 19 Apr 2018: 101.50</t>
  </si>
  <si>
    <t>Target Price: 113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</si>
  <si>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</si>
  <si>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</si>
  <si>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</si>
  <si>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</si>
  <si>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Danaher.</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</si>
  <si>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</si>
  <si>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</si>
  <si>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</si>
  <si>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</si>
  <si>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</si>
  <si>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</si>
  <si>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</si>
  <si>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</si>
  <si>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</si>
  <si>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</si>
  <si>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</si>
  <si>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</si>
  <si>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</si>
  <si>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</si>
  <si>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</si>
  <si>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</si>
  <si>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</si>
  <si>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</si>
  <si>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</si>
  <si>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</si>
  <si>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</si>
  <si>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</si>
  <si>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</si>
  <si>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</si>
  <si>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</si>
  <si>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</si>
  <si>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</si>
  <si>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</si>
  <si>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</si>
  <si>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</si>
  <si>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</si>
  <si>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</si>
  <si>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</si>
  <si>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</si>
  <si>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</si>
  <si>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</si>
  <si>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</si>
  <si>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</si>
  <si>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</si>
  <si>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</si>
  <si>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</si>
  <si>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</si>
  <si>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</si>
  <si>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</si>
  <si>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</si>
  <si>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</si>
  <si>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</si>
  <si>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</si>
  <si>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</si>
  <si>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</si>
  <si>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</si>
  <si>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</si>
  <si>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</si>
  <si>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</si>
  <si>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</si>
  <si>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</si>
  <si>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</si>
  <si>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</si>
  <si>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</si>
  <si>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</si>
  <si>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</si>
  <si>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</si>
  <si>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</si>
  <si>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</si>
  <si>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</si>
  <si>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</si>
  <si>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</si>
  <si>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</si>
  <si>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</si>
  <si>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</si>
  <si>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</si>
  <si>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</si>
  <si>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</si>
  <si>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</si>
  <si>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</si>
  <si>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</si>
  <si>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</si>
  <si>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</si>
  <si>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</si>
  <si>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</si>
  <si>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</si>
  <si>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</si>
  <si>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</si>
  <si>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</si>
  <si>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</si>
  <si>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</si>
  <si>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</si>
  <si>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</si>
  <si>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</si>
  <si>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</si>
  <si>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</si>
  <si>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</si>
  <si>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</si>
  <si>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</si>
  <si>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</si>
  <si>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</si>
  <si>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</si>
  <si>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</si>
  <si>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</si>
  <si>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</si>
  <si>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</si>
  <si>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</si>
  <si>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</si>
  <si>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</si>
  <si>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</si>
  <si>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</si>
  <si>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</si>
  <si>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</si>
  <si>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</si>
  <si>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</si>
  <si>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</si>
  <si>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</si>
  <si>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</si>
  <si>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</si>
  <si>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</si>
  <si>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</si>
  <si>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</si>
  <si>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</si>
  <si>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</si>
  <si>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</si>
  <si>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</si>
  <si>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</si>
  <si>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</si>
  <si>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</si>
  <si>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</si>
  <si>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</si>
  <si>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</si>
  <si>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</si>
  <si>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</si>
  <si>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</si>
  <si>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</si>
  <si>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</si>
  <si>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</si>
  <si>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</si>
  <si>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</si>
  <si>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</si>
  <si>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</si>
  <si>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</si>
  <si>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</si>
  <si>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</si>
  <si>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</si>
  <si>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</si>
  <si>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</si>
  <si>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</si>
  <si>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</si>
  <si>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</si>
  <si>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</si>
  <si>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</si>
  <si>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</si>
  <si>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</si>
  <si>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</si>
  <si>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</si>
  <si>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</si>
  <si>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</si>
  <si>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</si>
  <si>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</si>
  <si>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</si>
  <si>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</si>
  <si>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</si>
  <si>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</si>
  <si>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</si>
  <si>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</si>
  <si>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</si>
  <si>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</si>
  <si>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</si>
  <si>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</si>
  <si>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</si>
  <si>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</si>
  <si>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</si>
  <si>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</si>
  <si>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</si>
  <si>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</si>
  <si>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</si>
  <si>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</si>
  <si>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</si>
  <si>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Danaher.</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</si>
  <si>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</si>
  <si>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</si>
  <si>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</si>
  <si>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</si>
  <si>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</si>
  <si>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</si>
  <si>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</si>
  <si>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</si>
  <si>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</si>
  <si>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</si>
  <si>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</si>
  <si>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</si>
  <si>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</si>
  <si>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</si>
  <si>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</si>
  <si>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</si>
  <si>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</si>
  <si>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</si>
  <si>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</si>
  <si>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</si>
  <si>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</si>
  <si>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</si>
  <si>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</si>
  <si>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</si>
  <si>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</si>
  <si>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</si>
  <si>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</si>
  <si>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</si>
  <si>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</si>
  <si>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</si>
  <si>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</si>
  <si>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</si>
  <si>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</si>
  <si>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</si>
  <si>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</si>
  <si>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</si>
  <si>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</si>
  <si>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</si>
  <si>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</si>
  <si>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</si>
  <si>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</si>
  <si>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</si>
  <si>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</si>
  <si>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</si>
  <si>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</si>
  <si>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</si>
  <si>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</si>
  <si>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</si>
  <si>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</si>
  <si>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</si>
  <si>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</si>
  <si>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</si>
  <si>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</si>
  <si>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</si>
  <si>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</si>
  <si>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</si>
  <si>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</si>
  <si>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</si>
  <si>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</si>
  <si>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</si>
  <si>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</si>
  <si>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</si>
  <si>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</si>
  <si>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</si>
  <si>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</si>
  <si>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</si>
  <si>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</si>
  <si>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</si>
  <si>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Danaher.</t>
  </si>
  <si>
    <t>Within the last 12 months, Morgan Stanley has provided or is providing investment banking services to,</t>
  </si>
  <si>
    <t>or has an investment banking client relationship with, the following company: Danaher.</t>
  </si>
  <si>
    <t>Within the last 12 months, Morgan Stanley has received compensation for products and services other than</t>
  </si>
  <si>
    <t>investment banking services from Danaher.</t>
  </si>
  <si>
    <t>In the next 3 months, Morgan Stanley expects to receive or intends to seek compensation for investment</t>
  </si>
  <si>
    <t>banking services from Danaher.</t>
  </si>
  <si>
    <t>As of March 29, 2018, Morgan Stanley beneficially owned 1% or more of a class of common equity</t>
  </si>
  <si>
    <t>securities of the following companies covered in Morgan Stanley Research: Danaher.</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</si>
  <si>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</si>
  <si>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</si>
  <si>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</si>
  <si>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</si>
  <si>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</si>
  <si>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Steve Beuchaw.</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</si>
  <si>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</si>
  <si>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</si>
  <si>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</si>
  <si>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</si>
  <si>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</si>
  <si>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</si>
  <si>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</si>
  <si>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</si>
  <si>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</si>
  <si>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</si>
  <si>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</si>
  <si>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</si>
  <si>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</si>
  <si>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</si>
  <si>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</si>
  <si>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</si>
  <si>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</si>
  <si>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</si>
  <si>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</si>
  <si>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</si>
  <si>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</si>
  <si>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</si>
  <si>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</si>
  <si>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</si>
  <si>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</si>
  <si>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</si>
  <si>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</si>
  <si>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</si>
  <si>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</si>
  <si>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</si>
  <si>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</si>
  <si>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</si>
  <si>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</si>
  <si>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</si>
  <si>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</si>
  <si>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</si>
  <si>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</si>
  <si>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</si>
  <si>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</si>
  <si>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</si>
  <si>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</si>
  <si>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</si>
  <si>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</si>
  <si>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</si>
  <si>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</si>
  <si>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</si>
  <si>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</si>
  <si>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</si>
  <si>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</si>
  <si>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</si>
  <si>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</si>
  <si>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</si>
  <si>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</si>
  <si>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</si>
  <si>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</si>
  <si>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</si>
  <si>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</si>
  <si>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</si>
  <si>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</si>
  <si>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</si>
  <si>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</si>
  <si>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</si>
  <si>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</si>
  <si>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</si>
  <si>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</si>
  <si>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</si>
  <si>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</si>
  <si>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</si>
  <si>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</si>
  <si>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Quarterly Update</t>
  </si>
  <si>
    <t>NorthAmerica</t>
  </si>
  <si>
    <t>wachter</t>
  </si>
  <si>
    <t>MSA12974, MSA15NPP</t>
  </si>
  <si>
    <t>L:\HEALTH\Tools\Models\Published models\DHR_Published.xlsm</t>
  </si>
  <si>
    <t>[BRO MSA]</t>
  </si>
  <si>
    <t>[PRODUCT MODEL]</t>
  </si>
  <si>
    <t>[EMAIL_ALERT YES]</t>
  </si>
  <si>
    <t>[DISCIPLINE Company]</t>
  </si>
  <si>
    <t>[SUPPRESSED NO]</t>
  </si>
  <si>
    <t>[DOCDAT 2018-04-19]</t>
  </si>
  <si>
    <t>[DOCTIME 17:01]</t>
  </si>
  <si>
    <t>[PSYM DHR.N(S&amp;P) (None)]</t>
  </si>
  <si>
    <t>[COU 1]</t>
  </si>
  <si>
    <t>[ANA MSA15NPP]</t>
  </si>
  <si>
    <t>[HL DHR.N Model]</t>
  </si>
  <si>
    <t>[IND HLTHCR]</t>
  </si>
  <si>
    <t>[PANA MSA12974]</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</si>
</sst>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7" formatCode="&quot;$&quot;#,##0.00_);\(&quot;$&quot;#,##0.00\)"/>
    <numFmt numFmtId="44" formatCode="_(&quot;$&quot;* #,##0.00_);_(&quot;$&quot;* \(#,##0.00\);_(&quot;$&quot;* &quot;-&quot;??_);_(@_)"/>
    <numFmt numFmtId="43" formatCode="_(* #,##0.00_);_(* \(#,##0.00\);_(* &quot;-&quot;??_);_(@_)"/>
    <numFmt numFmtId="164" formatCode="_-&quot;£&quot;* #,##0.00_-;\-&quot;£&quot;* #,##0.00_-;_-&quot;£&quot;* &quot;-&quot;??_-;_-@_-"/>
    <numFmt numFmtId="165" formatCode="_-* #,##0.00_-;\-* #,##0.00_-;_-* &quot;-&quot;??_-;_-@_-"/>
    <numFmt numFmtId="166" formatCode="_(* #,##0.0_);_(* \(#,##0.0\);_(* &quot;-&quot;?_);_(@_)"/>
    <numFmt numFmtId="167" formatCode="0.0%"/>
    <numFmt numFmtId="168" formatCode="_(* #,##0.0_);_(* \(#,##0.0\);_(* &quot;-&quot;??_);_(@_)"/>
    <numFmt numFmtId="169" formatCode="_(* #,##0_);_(* \(#,##0\);_(* &quot;-&quot;??_);_(@_)"/>
    <numFmt numFmtId="170" formatCode="0.0"/>
    <numFmt numFmtId="171" formatCode="#,##0.0"/>
    <numFmt numFmtId="172" formatCode="0.0\x"/>
    <numFmt numFmtId="173" formatCode="0_);\(0\)"/>
    <numFmt numFmtId="174" formatCode="#,##0.0_);[Red]\(#,##0.0\)"/>
    <numFmt numFmtId="175" formatCode="[$-409]mmm\-yy;@"/>
    <numFmt numFmtId="176" formatCode="&quot;$&quot;#,##0.00"/>
    <numFmt numFmtId="177" formatCode="0.0_);\(0.0\)"/>
    <numFmt numFmtId="178" formatCode="0.000_);\(0.000\)"/>
    <numFmt numFmtId="179" formatCode="0&quot;E&quot;"/>
    <numFmt numFmtId="180" formatCode="0&quot;A&quot;"/>
    <numFmt numFmtId="181" formatCode="#,##0.0_);\(#,##0.0\)"/>
    <numFmt numFmtId="182" formatCode="mm/dd/yy"/>
    <numFmt numFmtId="183" formatCode="&quot;$&quot;#,##0.0_);\(&quot;$&quot;#,##0.0\)"/>
    <numFmt numFmtId="184" formatCode="0.00_);\(0.00\)"/>
    <numFmt numFmtId="187" formatCode="&quot;$&quot;#,##0.0"/>
    <numFmt numFmtId="191" formatCode="_(&quot;$&quot;* #,##0.0_);_(&quot;$&quot;* \(#,##0.0\);_(&quot;$&quot;* &quot;-&quot;??_);_(@_)"/>
    <numFmt numFmtId="192" formatCode="_(&quot;$&quot;* #,##0.000_);_(&quot;$&quot;* \(#,##0.000\);_(&quot;$&quot;* &quot;-&quot;??_);_(@_)"/>
    <numFmt numFmtId="193" formatCode="_(&quot;$&quot;* #,##0_);_(&quot;$&quot;* \(#,##0\);_(&quot;$&quot;* &quot;-&quot;??_);_(@_)"/>
    <numFmt numFmtId="205" formatCode="#,##0.000_);\(#,##0.000\)"/>
    <numFmt numFmtId="207" formatCode="&quot;$&quot;#,##0"/>
    <numFmt numFmtId="216" formatCode="mm/dd/yy\ hh:mm"/>
  </numFmts>
  <fonts count="93"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sz val="8"/>
      <name val="Arial"/>
      <family val="2"/>
    </font>
    <font>
      <sz val="9"/>
      <name val="Times New Roman"/>
      <family val="1"/>
    </font>
    <font>
      <sz val="10"/>
      <name val="Arial"/>
      <family val="2"/>
    </font>
    <font>
      <sz val="8"/>
      <color indexed="12"/>
      <name val="Arial"/>
      <family val="2"/>
    </font>
    <font>
      <i/>
      <sz val="8"/>
      <name val="Times New Roman"/>
      <family val="1"/>
    </font>
    <font>
      <sz val="10"/>
      <name val="MS Sans Serif"/>
      <family val="2"/>
    </font>
    <font>
      <b/>
      <sz val="10"/>
      <color indexed="8"/>
      <name val="Times New Roman"/>
      <family val="1"/>
    </font>
    <font>
      <b/>
      <sz val="8"/>
      <name val="Arial"/>
      <family val="2"/>
    </font>
    <font>
      <sz val="8"/>
      <name val="Arial"/>
      <family val="2"/>
    </font>
    <font>
      <sz val="10"/>
      <color indexed="8"/>
      <name val="Times New Roman"/>
      <family val="1"/>
    </font>
    <font>
      <i/>
      <sz val="8"/>
      <name val="Arial"/>
      <family val="2"/>
    </font>
    <font>
      <b/>
      <i/>
      <sz val="8"/>
      <name val="Arial"/>
      <family val="2"/>
    </font>
    <font>
      <sz val="10"/>
      <name val="MS Sans Serif"/>
      <family val="2"/>
    </font>
    <font>
      <b/>
      <sz val="10"/>
      <color indexed="8"/>
      <name val="Times New Roman"/>
      <family val="1"/>
    </font>
    <font>
      <sz val="10"/>
      <color indexed="8"/>
      <name val="Times New Roman"/>
      <family val="1"/>
    </font>
    <font>
      <sz val="10"/>
      <name val="MS Sans Serif"/>
      <family val="2"/>
    </font>
    <font>
      <b/>
      <sz val="10"/>
      <color indexed="8"/>
      <name val="Times New Roman"/>
      <family val="1"/>
    </font>
    <font>
      <sz val="10"/>
      <color indexed="8"/>
      <name val="Times New Roman"/>
      <family val="1"/>
    </font>
    <font>
      <sz val="10"/>
      <name val="Arial"/>
      <family val="2"/>
    </font>
    <font>
      <sz val="8"/>
      <color indexed="8"/>
      <name val="Arial"/>
      <family val="2"/>
    </font>
    <font>
      <b/>
      <sz val="8"/>
      <color indexed="12"/>
      <name val="Arial"/>
      <family val="2"/>
    </font>
    <font>
      <b/>
      <sz val="8"/>
      <color indexed="8"/>
      <name val="Arial"/>
      <family val="2"/>
    </font>
    <font>
      <u/>
      <sz val="8"/>
      <name val="Arial"/>
      <family val="2"/>
    </font>
    <font>
      <b/>
      <sz val="8"/>
      <color theme="0"/>
      <name val="Arial"/>
      <family val="2"/>
    </font>
    <font>
      <sz val="8"/>
      <color rgb="FF0070C0"/>
      <name val="Arial"/>
      <family val="2"/>
    </font>
    <font>
      <sz val="8"/>
      <name val="Times"/>
      <family val="1"/>
    </font>
    <font>
      <b/>
      <sz val="8"/>
      <color rgb="FF0070C0"/>
      <name val="Arial"/>
      <family val="2"/>
    </font>
    <font>
      <sz val="8"/>
      <color theme="0"/>
      <name val="Arial"/>
      <family val="2"/>
    </font>
    <font>
      <sz val="8"/>
      <color rgb="FFFF0000"/>
      <name val="Arial"/>
      <family val="2"/>
    </font>
    <font>
      <sz val="8"/>
      <color rgb="FF7030A0"/>
      <name val="Arial"/>
      <family val="2"/>
    </font>
    <font>
      <b/>
      <sz val="8"/>
      <color rgb="FF7030A0"/>
      <name val="Arial"/>
      <family val="2"/>
    </font>
    <font>
      <b/>
      <sz val="8"/>
      <color rgb="FF137CB1"/>
      <name val="Arial"/>
      <family val="2"/>
    </font>
    <font>
      <sz val="8"/>
      <color rgb="FF009A46"/>
      <name val="Arial"/>
      <family val="2"/>
    </font>
    <font>
      <sz val="8"/>
      <color rgb="FF137CB1"/>
      <name val="Arial"/>
      <family val="2"/>
    </font>
    <font>
      <sz val="10"/>
      <name val="Arial"/>
      <family val="2"/>
    </font>
    <font>
      <sz val="8"/>
      <name val="Tms Rmn"/>
    </font>
    <font>
      <b/>
      <sz val="8"/>
      <color indexed="23"/>
      <name val="Arial"/>
      <family val="2"/>
    </font>
    <font>
      <sz val="11"/>
      <name val="Arial"/>
      <family val="2"/>
    </font>
    <font>
      <b/>
      <sz val="10"/>
      <name val="Arial"/>
      <family val="2"/>
    </font>
    <font>
      <sz val="10"/>
      <name val="Times New Roman"/>
      <family val="1"/>
    </font>
    <font>
      <sz val="8"/>
      <name val="Times New Roman"/>
      <family val="1"/>
    </font>
    <font>
      <sz val="10"/>
      <name val="Segoe UI"/>
      <family val="2"/>
    </font>
    <font>
      <sz val="10"/>
      <color indexed="4"/>
      <name val="Segoe UI"/>
      <family val="2"/>
    </font>
    <font>
      <b/>
      <sz val="10"/>
      <color indexed="0"/>
      <name val="Segoe UI"/>
      <family val="2"/>
    </font>
    <font>
      <sz val="10"/>
      <color indexed="2"/>
      <name val="Segoe UI"/>
      <family val="2"/>
    </font>
    <font>
      <b/>
      <i/>
      <sz val="10"/>
      <color indexed="4"/>
      <name val="Segoe UI"/>
      <family val="2"/>
    </font>
    <font>
      <sz val="10"/>
      <name val="Segoe UI"/>
      <family val="2"/>
    </font>
    <font>
      <b/>
      <sz val="8"/>
      <color rgb="FF009A46"/>
      <name val="Arial"/>
      <family val="2"/>
    </font>
    <font>
      <sz val="8"/>
      <color indexed="8"/>
      <name val="Times New Roman"/>
      <family val="1"/>
    </font>
    <font>
      <sz val="10"/>
      <name val="Courier"/>
      <family val="3"/>
    </font>
    <font>
      <b/>
      <sz val="16"/>
      <color indexed="9"/>
      <name val="Arial"/>
      <family val="2"/>
    </font>
    <font>
      <sz val="10"/>
      <color indexed="9"/>
      <name val="Times New Roman"/>
      <family val="1"/>
    </font>
    <font>
      <b/>
      <i/>
      <sz val="10"/>
      <name val="Arial"/>
      <family val="2"/>
    </font>
    <font>
      <b/>
      <i/>
      <sz val="10"/>
      <name val="Times New Roman"/>
      <family val="1"/>
    </font>
    <font>
      <sz val="8"/>
      <color indexed="12"/>
      <name val="Times New Roman"/>
      <family val="1"/>
    </font>
    <font>
      <b/>
      <sz val="12"/>
      <name val="Times New Roman"/>
      <family val="1"/>
    </font>
    <font>
      <b/>
      <u/>
      <sz val="10"/>
      <color indexed="12"/>
      <name val="Arial"/>
      <family val="2"/>
    </font>
    <font>
      <i/>
      <sz val="8"/>
      <color rgb="FF137CB1"/>
      <name val="Arial"/>
      <family val="2"/>
    </font>
    <font>
      <sz val="10"/>
      <name val="Arial"/>
      <family val="2"/>
    </font>
    <font>
      <sz val="11"/>
      <color rgb="FF0070C0"/>
      <name val="Arial"/>
      <family val="2"/>
    </font>
    <font>
      <i/>
      <sz val="8"/>
      <color rgb="FF0070C0"/>
      <name val="Arial"/>
      <family val="2"/>
    </font>
    <font>
      <i/>
      <sz val="9"/>
      <color rgb="FF0070C0"/>
      <name val="Arial"/>
      <family val="2"/>
    </font>
    <font>
      <sz val="11"/>
      <color theme="1"/>
      <name val="Arial"/>
      <family val="2"/>
    </font>
    <font>
      <b/>
      <i/>
      <sz val="8"/>
      <color rgb="FF0070C0"/>
      <name val="Arial"/>
      <family val="2"/>
    </font>
    <font>
      <i/>
      <sz val="8"/>
      <color theme="1"/>
      <name val="Arial"/>
      <family val="2"/>
    </font>
    <font>
      <i/>
      <sz val="8"/>
      <color rgb="FFFF0000"/>
      <name val="Arial"/>
      <family val="2"/>
    </font>
    <font>
      <i/>
      <sz val="8"/>
      <color rgb="FF7030A0"/>
      <name val="Arial"/>
      <family val="2"/>
    </font>
    <font>
      <b/>
      <sz val="8"/>
      <color theme="1"/>
      <name val="Arial"/>
      <family val="2"/>
    </font>
    <font>
      <b/>
      <i/>
      <sz val="8"/>
      <color theme="1"/>
      <name val="Arial"/>
      <family val="2"/>
    </font>
    <font>
      <sz val="9"/>
      <color rgb="FF0070C0"/>
      <name val="Arial"/>
      <family val="2"/>
    </font>
    <font>
      <b/>
      <i/>
      <sz val="8"/>
      <color rgb="FF137CB1"/>
      <name val="Arial"/>
      <family val="2"/>
    </font>
    <font>
      <i/>
      <sz val="8"/>
      <color rgb="FF009A46"/>
      <name val="Arial"/>
      <family val="2"/>
    </font>
    <font>
      <i/>
      <sz val="8"/>
      <color theme="0"/>
      <name val="Arial"/>
      <family val="2"/>
    </font>
    <font>
      <i/>
      <sz val="11"/>
      <color theme="1"/>
      <name val="Arial"/>
      <family val="2"/>
    </font>
    <font>
      <b/>
      <i/>
      <sz val="8"/>
      <color theme="0"/>
      <name val="Arial"/>
      <family val="2"/>
    </font>
    <font>
      <sz val="8"/>
      <color rgb="FF00B050"/>
      <name val="Arial"/>
      <family val="2"/>
    </font>
    <font>
      <i/>
      <sz val="8"/>
      <color rgb="FF00B050"/>
      <name val="Arial"/>
      <family val="2"/>
    </font>
    <font>
      <i/>
      <sz val="10"/>
      <name val="Arial"/>
      <family val="2"/>
    </font>
    <font>
      <b/>
      <i/>
      <u/>
      <sz val="8"/>
      <name val="Arial"/>
      <family val="2"/>
    </font>
    <font>
      <sz val="8"/>
      <color theme="0" tint="-0.499984740745262"/>
      <name val="Arial"/>
      <family val="2"/>
    </font>
    <font>
      <sz val="8"/>
      <color theme="0" tint="-0.34998626667073579"/>
      <name val="Arial"/>
      <family val="2"/>
    </font>
    <font>
      <sz val="10"/>
      <name val="Helv"/>
    </font>
    <font>
      <b/>
      <i/>
      <sz val="8"/>
      <color rgb="FF00B050"/>
      <name val="Arial"/>
      <family val="2"/>
    </font>
    <font>
      <b/>
      <sz val="8"/>
      <color rgb="FF00B050"/>
      <name val="Arial"/>
      <family val="2"/>
    </font>
    <font>
      <sz val="10"/>
      <name val="Arial"/>
      <family val="2"/>
    </font>
    <font>
      <sz val="10"/>
      <color rgb="FF000000"/>
      <name val="Arial"/>
      <family val="2"/>
    </font>
    <font>
      <b/>
      <sz val="12"/>
      <color rgb="FF000080"/>
      <name val="Arial"/>
      <family val="2"/>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1"/>
        <bgColor indexed="64"/>
      </patternFill>
    </fill>
    <fill>
      <patternFill patternType="solid">
        <fgColor rgb="FF000000"/>
        <bgColor indexed="64"/>
      </patternFill>
    </fill>
    <fill>
      <patternFill patternType="solid">
        <fgColor theme="0"/>
        <bgColor indexed="64"/>
      </patternFill>
    </fill>
    <fill>
      <patternFill patternType="solid">
        <fgColor theme="3" tint="0.79998168889431442"/>
        <bgColor indexed="64"/>
      </patternFill>
    </fill>
    <fill>
      <patternFill patternType="solid">
        <fgColor indexed="48"/>
      </patternFill>
    </fill>
    <fill>
      <patternFill patternType="solid">
        <fgColor indexed="8"/>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7" tint="0.59999389629810485"/>
        <bgColor indexed="64"/>
      </patternFill>
    </fill>
    <fill>
      <patternFill patternType="solid">
        <fgColor indexed="65"/>
        <bgColor indexed="64"/>
      </patternFill>
    </fill>
  </fills>
  <borders count="46">
    <border>
      <left/>
      <right/>
      <top/>
      <bottom/>
      <diagonal/>
    </border>
    <border>
      <left/>
      <right/>
      <top/>
      <bottom style="thin">
        <color indexed="8"/>
      </bottom>
      <diagonal/>
    </border>
    <border>
      <left/>
      <right style="thin">
        <color indexed="64"/>
      </right>
      <top style="thin">
        <color indexed="64"/>
      </top>
      <bottom/>
      <diagonal/>
    </border>
    <border>
      <left/>
      <right/>
      <top/>
      <bottom style="medium">
        <color indexed="64"/>
      </bottom>
      <diagonal/>
    </border>
    <border>
      <left/>
      <right/>
      <top style="thin">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64">
    <xf numFmtId="0" fontId="0" fillId="0" borderId="0" applyFont="0" applyFill="0" applyBorder="0" applyAlignment="0" applyProtection="0"/>
    <xf numFmtId="0" fontId="3" fillId="0" borderId="0"/>
    <xf numFmtId="0" fontId="11" fillId="0" borderId="0"/>
    <xf numFmtId="0" fontId="18" fillId="0" borderId="0"/>
    <xf numFmtId="0" fontId="21" fillId="0" borderId="0"/>
    <xf numFmtId="0" fontId="11" fillId="0" borderId="0"/>
    <xf numFmtId="0" fontId="18" fillId="0" borderId="0"/>
    <xf numFmtId="0" fontId="21" fillId="0" borderId="0"/>
    <xf numFmtId="0" fontId="12" fillId="0" borderId="0"/>
    <xf numFmtId="0" fontId="19" fillId="0" borderId="0"/>
    <xf numFmtId="0" fontId="22" fillId="0" borderId="0"/>
    <xf numFmtId="43" fontId="3"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24" fillId="0" borderId="0" applyFont="0" applyFill="0" applyBorder="0" applyAlignment="0" applyProtection="0"/>
    <xf numFmtId="0" fontId="5" fillId="0" borderId="0" applyNumberFormat="0" applyFill="0" applyBorder="0" applyAlignment="0" applyProtection="0">
      <alignment vertical="top"/>
      <protection locked="0"/>
    </xf>
    <xf numFmtId="0" fontId="8" fillId="0" borderId="0"/>
    <xf numFmtId="0" fontId="8" fillId="0" borderId="0"/>
    <xf numFmtId="0" fontId="24" fillId="0" borderId="0"/>
    <xf numFmtId="0" fontId="8" fillId="0" borderId="0" applyFont="0" applyFill="0" applyBorder="0" applyAlignment="0" applyProtection="0"/>
    <xf numFmtId="0" fontId="8" fillId="0" borderId="0" applyFont="0" applyFill="0" applyBorder="0" applyAlignment="0" applyProtection="0"/>
    <xf numFmtId="0" fontId="8" fillId="0" borderId="0" applyNumberFormat="0" applyFill="0" applyBorder="0" applyAlignment="0" applyProtection="0"/>
    <xf numFmtId="0" fontId="7" fillId="0" borderId="0">
      <alignment vertical="center"/>
    </xf>
    <xf numFmtId="9" fontId="3" fillId="0" borderId="0" applyFont="0" applyFill="0" applyBorder="0" applyAlignment="0" applyProtection="0"/>
    <xf numFmtId="9" fontId="8" fillId="0" borderId="0" applyFont="0" applyFill="0" applyBorder="0" applyAlignment="0" applyProtection="0"/>
    <xf numFmtId="0" fontId="8" fillId="2" borderId="0" applyNumberFormat="0" applyFont="0" applyBorder="0" applyAlignment="0" applyProtection="0"/>
    <xf numFmtId="0" fontId="15" fillId="0" borderId="0"/>
    <xf numFmtId="0" fontId="20" fillId="0" borderId="0"/>
    <xf numFmtId="0" fontId="23" fillId="0" borderId="0"/>
    <xf numFmtId="0" fontId="15" fillId="0" borderId="1">
      <alignment horizontal="centerContinuous"/>
    </xf>
    <xf numFmtId="0" fontId="20" fillId="0" borderId="1">
      <alignment horizontal="centerContinuous"/>
    </xf>
    <xf numFmtId="0" fontId="23" fillId="0" borderId="1">
      <alignment horizontal="centerContinuous"/>
    </xf>
    <xf numFmtId="0" fontId="10" fillId="0" borderId="1"/>
    <xf numFmtId="0" fontId="3" fillId="0" borderId="0" applyFont="0" applyFill="0" applyBorder="0" applyAlignment="0" applyProtection="0"/>
    <xf numFmtId="0" fontId="3" fillId="0" borderId="0" applyNumberFormat="0" applyFill="0" applyBorder="0" applyAlignment="0" applyProtection="0"/>
    <xf numFmtId="0" fontId="3" fillId="0" borderId="0" applyFont="0" applyFill="0" applyBorder="0" applyAlignment="0" applyProtection="0"/>
    <xf numFmtId="0" fontId="31" fillId="0" borderId="0"/>
    <xf numFmtId="0" fontId="3" fillId="0" borderId="0" applyNumberFormat="0" applyFill="0" applyBorder="0" applyAlignment="0" applyProtection="0"/>
    <xf numFmtId="0" fontId="3" fillId="0" borderId="0"/>
    <xf numFmtId="0" fontId="3" fillId="0" borderId="0" applyNumberFormat="0" applyFill="0" applyBorder="0" applyAlignment="0" applyProtection="0"/>
    <xf numFmtId="0" fontId="40" fillId="0" borderId="0"/>
    <xf numFmtId="0" fontId="41" fillId="0" borderId="0"/>
    <xf numFmtId="0" fontId="47" fillId="0" borderId="0"/>
    <xf numFmtId="0" fontId="50" fillId="0" borderId="0"/>
    <xf numFmtId="0" fontId="49" fillId="8" borderId="0"/>
    <xf numFmtId="0" fontId="47" fillId="0" borderId="0">
      <alignment wrapText="1"/>
    </xf>
    <xf numFmtId="0" fontId="49" fillId="0" borderId="0"/>
    <xf numFmtId="0" fontId="51" fillId="0" borderId="0"/>
    <xf numFmtId="0" fontId="48" fillId="0" borderId="0"/>
    <xf numFmtId="0" fontId="48" fillId="0" borderId="0"/>
    <xf numFmtId="0" fontId="52" fillId="0" borderId="0"/>
    <xf numFmtId="0" fontId="3" fillId="2" borderId="0" applyNumberFormat="0" applyFont="0" applyBorder="0" applyAlignment="0" applyProtection="0"/>
    <xf numFmtId="164" fontId="3" fillId="0" borderId="0" applyFont="0" applyFill="0" applyBorder="0" applyAlignment="0" applyProtection="0"/>
    <xf numFmtId="0" fontId="46" fillId="0" borderId="0"/>
    <xf numFmtId="44" fontId="64"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9" fontId="1" fillId="0" borderId="0" applyFont="0" applyFill="0" applyBorder="0" applyAlignment="0" applyProtection="0"/>
    <xf numFmtId="0" fontId="90" fillId="0" borderId="0"/>
    <xf numFmtId="44" fontId="90" fillId="0" borderId="0" applyFont="0" applyFill="0" applyBorder="0" applyAlignment="0" applyProtection="0"/>
    <xf numFmtId="0" fontId="55" fillId="0" borderId="0"/>
  </cellStyleXfs>
  <cellXfs count="1358">
    <xf numFmtId="0" fontId="0" fillId="0" borderId="0" xfId="0"/>
    <xf numFmtId="49" fontId="0" fillId="0" borderId="0" xfId="0" applyNumberFormat="1"/>
    <xf numFmtId="0" fontId="4" fillId="0" borderId="0" xfId="0" applyFont="1" applyFill="1" applyBorder="1" applyAlignment="1" applyProtection="1">
      <protection locked="0"/>
    </xf>
    <xf numFmtId="0" fontId="13" fillId="0" borderId="0" xfId="0" applyFont="1" applyFill="1" applyBorder="1" applyAlignment="1" applyProtection="1">
      <protection locked="0"/>
    </xf>
    <xf numFmtId="0" fontId="4" fillId="0" borderId="0" xfId="0" applyFont="1" applyFill="1" applyBorder="1" applyAlignment="1" applyProtection="1">
      <alignment horizontal="centerContinuous"/>
      <protection locked="0"/>
    </xf>
    <xf numFmtId="43" fontId="4" fillId="0" borderId="0" xfId="0" applyNumberFormat="1" applyFont="1" applyFill="1" applyBorder="1" applyAlignment="1" applyProtection="1">
      <protection locked="0"/>
    </xf>
    <xf numFmtId="0" fontId="4" fillId="0" borderId="0" xfId="0" applyFont="1" applyFill="1" applyBorder="1" applyProtection="1">
      <protection locked="0"/>
    </xf>
    <xf numFmtId="0" fontId="4" fillId="0" borderId="0" xfId="0" applyFont="1" applyFill="1" applyBorder="1" applyAlignment="1" applyProtection="1">
      <alignment horizontal="right"/>
      <protection locked="0"/>
    </xf>
    <xf numFmtId="173" fontId="4" fillId="0" borderId="0" xfId="0" applyNumberFormat="1" applyFont="1" applyFill="1" applyBorder="1" applyAlignment="1" applyProtection="1">
      <protection locked="0"/>
    </xf>
    <xf numFmtId="169" fontId="4" fillId="0" borderId="0" xfId="11" applyNumberFormat="1" applyFont="1" applyFill="1" applyBorder="1" applyAlignment="1" applyProtection="1">
      <alignment horizontal="right"/>
      <protection locked="0"/>
    </xf>
    <xf numFmtId="173" fontId="4" fillId="0" borderId="0" xfId="0" applyNumberFormat="1" applyFont="1" applyFill="1" applyBorder="1" applyAlignment="1" applyProtection="1">
      <alignment horizontal="right"/>
      <protection locked="0"/>
    </xf>
    <xf numFmtId="173" fontId="13" fillId="0" borderId="0" xfId="0" applyNumberFormat="1" applyFont="1" applyFill="1" applyBorder="1" applyAlignment="1" applyProtection="1">
      <protection locked="0"/>
    </xf>
    <xf numFmtId="169" fontId="13" fillId="0" borderId="0" xfId="11" applyNumberFormat="1" applyFont="1" applyFill="1" applyBorder="1" applyAlignment="1" applyProtection="1">
      <protection locked="0"/>
    </xf>
    <xf numFmtId="169" fontId="4" fillId="0" borderId="0" xfId="11" applyNumberFormat="1" applyFont="1" applyFill="1" applyBorder="1" applyAlignment="1" applyProtection="1">
      <protection locked="0"/>
    </xf>
    <xf numFmtId="0" fontId="4" fillId="0" borderId="0" xfId="0" applyNumberFormat="1" applyFont="1" applyFill="1" applyBorder="1" applyAlignment="1" applyProtection="1">
      <protection locked="0"/>
    </xf>
    <xf numFmtId="167" fontId="4" fillId="0" borderId="0" xfId="24" applyNumberFormat="1" applyFont="1" applyFill="1" applyBorder="1" applyAlignment="1" applyProtection="1">
      <alignment horizontal="right"/>
      <protection locked="0"/>
    </xf>
    <xf numFmtId="167" fontId="4" fillId="0" borderId="0" xfId="24" applyNumberFormat="1" applyFont="1" applyFill="1" applyBorder="1" applyAlignment="1" applyProtection="1">
      <protection locked="0"/>
    </xf>
    <xf numFmtId="9" fontId="4" fillId="0" borderId="0" xfId="24" applyFont="1" applyFill="1" applyBorder="1" applyAlignment="1" applyProtection="1">
      <protection locked="0"/>
    </xf>
    <xf numFmtId="9" fontId="4" fillId="0" borderId="0" xfId="24" applyFont="1" applyFill="1" applyBorder="1" applyAlignment="1" applyProtection="1">
      <alignment horizontal="right"/>
      <protection locked="0"/>
    </xf>
    <xf numFmtId="173" fontId="4" fillId="0" borderId="0" xfId="0" applyNumberFormat="1" applyFont="1" applyFill="1" applyBorder="1" applyProtection="1">
      <protection locked="0"/>
    </xf>
    <xf numFmtId="173" fontId="28" fillId="0" borderId="0" xfId="0" applyNumberFormat="1" applyFont="1" applyFill="1" applyBorder="1" applyAlignment="1" applyProtection="1">
      <alignment horizontal="right"/>
      <protection locked="0"/>
    </xf>
    <xf numFmtId="0" fontId="4" fillId="0" borderId="0" xfId="0" applyFont="1" applyFill="1" applyBorder="1" applyAlignment="1" applyProtection="1">
      <alignment horizontal="right"/>
    </xf>
    <xf numFmtId="167" fontId="4" fillId="0" borderId="0" xfId="24" applyNumberFormat="1" applyFont="1" applyFill="1" applyBorder="1" applyAlignment="1" applyProtection="1">
      <alignment horizontal="right"/>
    </xf>
    <xf numFmtId="168" fontId="4" fillId="0" borderId="0" xfId="11" applyNumberFormat="1" applyFont="1" applyFill="1" applyBorder="1" applyAlignment="1" applyProtection="1">
      <alignment horizontal="right"/>
    </xf>
    <xf numFmtId="168" fontId="4" fillId="0" borderId="0" xfId="11" applyNumberFormat="1" applyFont="1" applyFill="1" applyBorder="1" applyAlignment="1" applyProtection="1">
      <alignment horizontal="right"/>
      <protection locked="0"/>
    </xf>
    <xf numFmtId="9" fontId="4" fillId="0" borderId="0" xfId="24" applyFont="1" applyFill="1" applyBorder="1" applyAlignment="1" applyProtection="1">
      <alignment horizontal="right"/>
    </xf>
    <xf numFmtId="170" fontId="4" fillId="0" borderId="0" xfId="0" applyNumberFormat="1" applyFont="1" applyFill="1" applyBorder="1" applyAlignment="1" applyProtection="1">
      <protection locked="0"/>
    </xf>
    <xf numFmtId="169" fontId="4" fillId="0" borderId="0" xfId="11" applyNumberFormat="1" applyFont="1" applyFill="1" applyBorder="1" applyProtection="1">
      <protection locked="0"/>
    </xf>
    <xf numFmtId="171" fontId="4" fillId="0" borderId="0" xfId="0" applyNumberFormat="1" applyFont="1" applyFill="1" applyBorder="1" applyAlignment="1" applyProtection="1">
      <alignment horizontal="right"/>
      <protection locked="0"/>
    </xf>
    <xf numFmtId="4" fontId="4" fillId="0" borderId="0" xfId="0" applyNumberFormat="1" applyFont="1" applyFill="1" applyBorder="1" applyAlignment="1" applyProtection="1">
      <alignment horizontal="right"/>
      <protection locked="0"/>
    </xf>
    <xf numFmtId="0" fontId="4" fillId="0" borderId="0" xfId="0" applyFont="1" applyFill="1" applyBorder="1" applyAlignment="1" applyProtection="1">
      <alignment horizontal="left"/>
      <protection locked="0"/>
    </xf>
    <xf numFmtId="174" fontId="4" fillId="0" borderId="0" xfId="0" applyNumberFormat="1" applyFont="1" applyFill="1" applyBorder="1" applyProtection="1">
      <protection locked="0"/>
    </xf>
    <xf numFmtId="9" fontId="4" fillId="0" borderId="0" xfId="0" applyNumberFormat="1" applyFont="1" applyFill="1" applyBorder="1" applyProtection="1">
      <protection locked="0"/>
    </xf>
    <xf numFmtId="167" fontId="13" fillId="0" borderId="0" xfId="24" applyNumberFormat="1" applyFont="1" applyFill="1" applyBorder="1" applyAlignment="1" applyProtection="1">
      <protection locked="0"/>
    </xf>
    <xf numFmtId="167" fontId="16" fillId="0" borderId="0" xfId="24" applyNumberFormat="1" applyFont="1" applyFill="1" applyBorder="1" applyAlignment="1" applyProtection="1">
      <protection locked="0"/>
    </xf>
    <xf numFmtId="166" fontId="4" fillId="0" borderId="0" xfId="0" applyNumberFormat="1" applyFont="1" applyFill="1" applyBorder="1" applyAlignment="1" applyProtection="1">
      <protection locked="0"/>
    </xf>
    <xf numFmtId="167" fontId="4" fillId="0" borderId="0" xfId="24" applyNumberFormat="1" applyFont="1" applyFill="1" applyBorder="1" applyProtection="1">
      <protection locked="0"/>
    </xf>
    <xf numFmtId="0" fontId="4" fillId="0" borderId="0" xfId="0" applyFont="1" applyFill="1" applyBorder="1" applyAlignment="1">
      <alignment horizontal="right"/>
    </xf>
    <xf numFmtId="0" fontId="4" fillId="0" borderId="0" xfId="0" applyFont="1" applyFill="1" applyBorder="1" applyAlignment="1"/>
    <xf numFmtId="0" fontId="13" fillId="0" borderId="0" xfId="0" applyFont="1" applyFill="1" applyBorder="1" applyAlignment="1">
      <alignment horizontal="right"/>
    </xf>
    <xf numFmtId="0" fontId="13" fillId="0" borderId="0" xfId="0" applyFont="1" applyFill="1" applyBorder="1" applyAlignment="1"/>
    <xf numFmtId="0" fontId="13" fillId="0" borderId="0" xfId="0" applyNumberFormat="1" applyFont="1" applyFill="1" applyBorder="1" applyAlignment="1"/>
    <xf numFmtId="167" fontId="4" fillId="0" borderId="0" xfId="24" applyNumberFormat="1" applyFont="1" applyFill="1" applyBorder="1" applyAlignment="1"/>
    <xf numFmtId="167" fontId="4" fillId="0" borderId="0" xfId="24" applyNumberFormat="1" applyFont="1" applyFill="1" applyBorder="1" applyAlignment="1">
      <alignment horizontal="right"/>
    </xf>
    <xf numFmtId="0" fontId="4" fillId="0" borderId="0" xfId="0" applyFont="1" applyFill="1" applyBorder="1" applyAlignment="1">
      <alignment horizontal="left"/>
    </xf>
    <xf numFmtId="0" fontId="4" fillId="0" borderId="0" xfId="0" applyFont="1" applyFill="1" applyBorder="1"/>
    <xf numFmtId="180" fontId="13" fillId="0" borderId="8" xfId="0" applyNumberFormat="1" applyFont="1" applyFill="1" applyBorder="1" applyAlignment="1">
      <alignment horizontal="center"/>
    </xf>
    <xf numFmtId="167" fontId="4" fillId="0" borderId="7" xfId="24" applyNumberFormat="1" applyFont="1" applyFill="1" applyBorder="1" applyAlignment="1" applyProtection="1">
      <alignment horizontal="right"/>
      <protection locked="0"/>
    </xf>
    <xf numFmtId="177" fontId="13" fillId="0" borderId="4" xfId="0" applyNumberFormat="1" applyFont="1" applyFill="1" applyBorder="1" applyAlignment="1">
      <alignment horizontal="centerContinuous"/>
    </xf>
    <xf numFmtId="179" fontId="13" fillId="0" borderId="0" xfId="0" applyNumberFormat="1" applyFont="1" applyFill="1" applyBorder="1" applyAlignment="1">
      <alignment horizontal="center"/>
    </xf>
    <xf numFmtId="0" fontId="13" fillId="0" borderId="7" xfId="0" applyFont="1" applyFill="1" applyBorder="1" applyAlignment="1" applyProtection="1">
      <protection locked="0"/>
    </xf>
    <xf numFmtId="0" fontId="4" fillId="0" borderId="7" xfId="0" applyFont="1" applyFill="1" applyBorder="1" applyAlignment="1" applyProtection="1">
      <protection locked="0"/>
    </xf>
    <xf numFmtId="169" fontId="4" fillId="0" borderId="7" xfId="11" applyNumberFormat="1" applyFont="1" applyFill="1" applyBorder="1" applyProtection="1">
      <protection locked="0"/>
    </xf>
    <xf numFmtId="167" fontId="4" fillId="0" borderId="0" xfId="24" applyNumberFormat="1" applyFont="1" applyFill="1" applyBorder="1"/>
    <xf numFmtId="167" fontId="4" fillId="0" borderId="0" xfId="24" applyNumberFormat="1" applyFont="1" applyFill="1" applyBorder="1" applyAlignment="1">
      <alignment horizontal="left"/>
    </xf>
    <xf numFmtId="4" fontId="4" fillId="0" borderId="0" xfId="37" applyNumberFormat="1" applyFont="1" applyFill="1" applyBorder="1" applyAlignment="1" applyProtection="1">
      <alignment horizontal="left"/>
    </xf>
    <xf numFmtId="44" fontId="4" fillId="0" borderId="0" xfId="0" applyNumberFormat="1" applyFont="1" applyFill="1" applyBorder="1" applyAlignment="1" applyProtection="1">
      <protection locked="0"/>
    </xf>
    <xf numFmtId="0" fontId="4"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vertical="center"/>
      <protection locked="0"/>
    </xf>
    <xf numFmtId="43" fontId="4" fillId="0" borderId="0" xfId="11" applyNumberFormat="1" applyFont="1" applyFill="1" applyBorder="1" applyAlignment="1" applyProtection="1">
      <protection locked="0"/>
    </xf>
    <xf numFmtId="178" fontId="4" fillId="0" borderId="0" xfId="0" applyNumberFormat="1" applyFont="1" applyFill="1" applyBorder="1" applyAlignment="1" applyProtection="1">
      <protection locked="0"/>
    </xf>
    <xf numFmtId="176" fontId="4" fillId="0" borderId="0" xfId="0" applyNumberFormat="1" applyFont="1" applyFill="1" applyBorder="1" applyAlignment="1" applyProtection="1">
      <protection locked="0"/>
    </xf>
    <xf numFmtId="3" fontId="4" fillId="0" borderId="0" xfId="0" applyNumberFormat="1" applyFont="1" applyFill="1" applyBorder="1"/>
    <xf numFmtId="180" fontId="13" fillId="0" borderId="0" xfId="0" applyNumberFormat="1" applyFont="1" applyFill="1" applyBorder="1" applyAlignment="1">
      <alignment horizontal="center"/>
    </xf>
    <xf numFmtId="0" fontId="28" fillId="0" borderId="0" xfId="16" applyFont="1" applyFill="1" applyBorder="1" applyAlignment="1" applyProtection="1">
      <alignment horizontal="right"/>
      <protection locked="0"/>
    </xf>
    <xf numFmtId="0" fontId="4" fillId="0" borderId="0" xfId="0" applyFont="1" applyFill="1" applyBorder="1" applyAlignment="1" applyProtection="1">
      <alignment vertical="center"/>
      <protection locked="0"/>
    </xf>
    <xf numFmtId="175" fontId="33" fillId="5" borderId="0" xfId="0" applyNumberFormat="1" applyFont="1" applyFill="1" applyBorder="1" applyAlignment="1">
      <alignment horizontal="center" vertical="center"/>
    </xf>
    <xf numFmtId="181" fontId="4" fillId="0" borderId="0" xfId="11" applyNumberFormat="1" applyFont="1" applyFill="1" applyBorder="1" applyAlignment="1" applyProtection="1">
      <alignment horizontal="right"/>
      <protection locked="0"/>
    </xf>
    <xf numFmtId="181" fontId="4" fillId="0" borderId="0" xfId="13" applyNumberFormat="1" applyFont="1" applyFill="1" applyBorder="1" applyAlignment="1" applyProtection="1">
      <alignment horizontal="right"/>
      <protection locked="0"/>
    </xf>
    <xf numFmtId="181" fontId="38" fillId="0" borderId="0" xfId="11" applyNumberFormat="1" applyFont="1" applyFill="1" applyBorder="1" applyAlignment="1" applyProtection="1">
      <alignment horizontal="right"/>
      <protection locked="0"/>
    </xf>
    <xf numFmtId="181" fontId="4" fillId="0" borderId="0" xfId="0" applyNumberFormat="1" applyFont="1" applyFill="1" applyBorder="1" applyAlignment="1" applyProtection="1">
      <alignment horizontal="right"/>
      <protection locked="0"/>
    </xf>
    <xf numFmtId="181" fontId="39" fillId="0" borderId="0" xfId="11" applyNumberFormat="1" applyFont="1" applyFill="1" applyBorder="1" applyAlignment="1" applyProtection="1">
      <alignment horizontal="right"/>
      <protection locked="0"/>
    </xf>
    <xf numFmtId="181" fontId="38" fillId="0" borderId="0" xfId="0" applyNumberFormat="1" applyFont="1" applyFill="1" applyBorder="1" applyAlignment="1" applyProtection="1">
      <alignment horizontal="right"/>
      <protection locked="0"/>
    </xf>
    <xf numFmtId="7" fontId="4" fillId="0" borderId="0" xfId="11" applyNumberFormat="1" applyFont="1" applyFill="1" applyBorder="1" applyAlignment="1" applyProtection="1">
      <alignment horizontal="right"/>
      <protection locked="0"/>
    </xf>
    <xf numFmtId="173" fontId="29" fillId="4" borderId="0" xfId="0" applyNumberFormat="1" applyFont="1" applyFill="1" applyBorder="1" applyAlignment="1" applyProtection="1">
      <protection locked="0"/>
    </xf>
    <xf numFmtId="181" fontId="29" fillId="4" borderId="0" xfId="11" applyNumberFormat="1" applyFont="1" applyFill="1" applyBorder="1" applyAlignment="1" applyProtection="1">
      <alignment horizontal="right"/>
      <protection locked="0"/>
    </xf>
    <xf numFmtId="167" fontId="4" fillId="0" borderId="0" xfId="11" applyNumberFormat="1" applyFont="1" applyFill="1" applyBorder="1" applyAlignment="1" applyProtection="1">
      <alignment horizontal="right"/>
      <protection locked="0"/>
    </xf>
    <xf numFmtId="172" fontId="4" fillId="0" borderId="0" xfId="11" applyNumberFormat="1" applyFont="1" applyFill="1" applyBorder="1" applyAlignment="1" applyProtection="1">
      <alignment horizontal="right"/>
      <protection locked="0"/>
    </xf>
    <xf numFmtId="180" fontId="13" fillId="0" borderId="9" xfId="0" applyNumberFormat="1" applyFont="1" applyFill="1" applyBorder="1" applyAlignment="1">
      <alignment horizontal="centerContinuous"/>
    </xf>
    <xf numFmtId="175" fontId="33" fillId="5" borderId="10" xfId="0" applyNumberFormat="1" applyFont="1" applyFill="1" applyBorder="1" applyAlignment="1">
      <alignment horizontal="center" vertical="center"/>
    </xf>
    <xf numFmtId="0" fontId="4" fillId="0" borderId="10" xfId="0" applyFont="1" applyFill="1" applyBorder="1" applyAlignment="1" applyProtection="1">
      <alignment horizontal="right"/>
      <protection locked="0"/>
    </xf>
    <xf numFmtId="181" fontId="38" fillId="0" borderId="10" xfId="11" applyNumberFormat="1" applyFont="1" applyFill="1" applyBorder="1" applyAlignment="1" applyProtection="1">
      <alignment horizontal="right"/>
      <protection locked="0"/>
    </xf>
    <xf numFmtId="181" fontId="4" fillId="0" borderId="10" xfId="11" applyNumberFormat="1" applyFont="1" applyFill="1" applyBorder="1" applyAlignment="1" applyProtection="1">
      <alignment horizontal="right"/>
      <protection locked="0"/>
    </xf>
    <xf numFmtId="181" fontId="4" fillId="0" borderId="10" xfId="0" applyNumberFormat="1" applyFont="1" applyFill="1" applyBorder="1" applyAlignment="1" applyProtection="1">
      <alignment horizontal="right"/>
      <protection locked="0"/>
    </xf>
    <xf numFmtId="181" fontId="39" fillId="0" borderId="10" xfId="11" applyNumberFormat="1" applyFont="1" applyFill="1" applyBorder="1" applyAlignment="1" applyProtection="1">
      <alignment horizontal="right"/>
      <protection locked="0"/>
    </xf>
    <xf numFmtId="7" fontId="4" fillId="0" borderId="10" xfId="11" applyNumberFormat="1" applyFont="1" applyFill="1" applyBorder="1" applyAlignment="1" applyProtection="1">
      <alignment horizontal="right"/>
      <protection locked="0"/>
    </xf>
    <xf numFmtId="181" fontId="4" fillId="0" borderId="11" xfId="11" applyNumberFormat="1" applyFont="1" applyFill="1" applyBorder="1" applyAlignment="1" applyProtection="1">
      <alignment horizontal="right"/>
      <protection locked="0"/>
    </xf>
    <xf numFmtId="181" fontId="4" fillId="0" borderId="12" xfId="11" applyNumberFormat="1" applyFont="1" applyFill="1" applyBorder="1" applyAlignment="1" applyProtection="1">
      <alignment horizontal="right"/>
      <protection locked="0"/>
    </xf>
    <xf numFmtId="179" fontId="13" fillId="0" borderId="9" xfId="0" applyNumberFormat="1" applyFont="1" applyFill="1" applyBorder="1" applyAlignment="1">
      <alignment horizontal="centerContinuous"/>
    </xf>
    <xf numFmtId="0" fontId="4" fillId="0" borderId="7" xfId="0" applyFont="1" applyFill="1" applyBorder="1" applyAlignment="1" applyProtection="1">
      <alignment horizontal="center" vertical="center"/>
      <protection locked="0"/>
    </xf>
    <xf numFmtId="0" fontId="4" fillId="0" borderId="7" xfId="0" applyFont="1" applyFill="1" applyBorder="1" applyAlignment="1" applyProtection="1">
      <alignment horizontal="right"/>
      <protection locked="0"/>
    </xf>
    <xf numFmtId="181" fontId="38" fillId="0" borderId="7" xfId="11" applyNumberFormat="1" applyFont="1" applyFill="1" applyBorder="1" applyAlignment="1" applyProtection="1">
      <alignment horizontal="right"/>
      <protection locked="0"/>
    </xf>
    <xf numFmtId="181" fontId="39" fillId="0" borderId="7" xfId="11" applyNumberFormat="1" applyFont="1" applyFill="1" applyBorder="1" applyAlignment="1" applyProtection="1">
      <alignment horizontal="right"/>
      <protection locked="0"/>
    </xf>
    <xf numFmtId="181" fontId="4" fillId="0" borderId="7" xfId="11" applyNumberFormat="1" applyFont="1" applyFill="1" applyBorder="1" applyAlignment="1" applyProtection="1">
      <alignment horizontal="right"/>
      <protection locked="0"/>
    </xf>
    <xf numFmtId="181" fontId="4" fillId="0" borderId="7" xfId="0" applyNumberFormat="1" applyFont="1" applyFill="1" applyBorder="1" applyAlignment="1" applyProtection="1">
      <alignment horizontal="right"/>
      <protection locked="0"/>
    </xf>
    <xf numFmtId="7" fontId="4" fillId="0" borderId="7" xfId="11" applyNumberFormat="1" applyFont="1" applyFill="1" applyBorder="1" applyAlignment="1" applyProtection="1">
      <alignment horizontal="right"/>
      <protection locked="0"/>
    </xf>
    <xf numFmtId="181" fontId="4" fillId="0" borderId="13" xfId="11" applyNumberFormat="1" applyFont="1" applyFill="1" applyBorder="1" applyAlignment="1" applyProtection="1">
      <alignment horizontal="right"/>
      <protection locked="0"/>
    </xf>
    <xf numFmtId="0" fontId="4" fillId="0" borderId="7" xfId="0" applyFont="1" applyFill="1" applyBorder="1" applyAlignment="1" applyProtection="1">
      <alignment horizontal="right" vertical="center"/>
      <protection locked="0"/>
    </xf>
    <xf numFmtId="179" fontId="13" fillId="0" borderId="8" xfId="0" applyNumberFormat="1" applyFont="1" applyFill="1" applyBorder="1" applyAlignment="1">
      <alignment horizontal="center"/>
    </xf>
    <xf numFmtId="181" fontId="4" fillId="0" borderId="7" xfId="13" applyNumberFormat="1" applyFont="1" applyFill="1" applyBorder="1" applyAlignment="1" applyProtection="1">
      <alignment horizontal="right"/>
      <protection locked="0"/>
    </xf>
    <xf numFmtId="181" fontId="4" fillId="0" borderId="13" xfId="13" applyNumberFormat="1" applyFont="1" applyFill="1" applyBorder="1" applyAlignment="1" applyProtection="1">
      <alignment horizontal="right"/>
      <protection locked="0"/>
    </xf>
    <xf numFmtId="175" fontId="4" fillId="0" borderId="9" xfId="0" applyNumberFormat="1" applyFont="1" applyFill="1" applyBorder="1" applyAlignment="1">
      <alignment horizontal="center" vertical="center"/>
    </xf>
    <xf numFmtId="175" fontId="4" fillId="0" borderId="4" xfId="0" applyNumberFormat="1" applyFont="1" applyFill="1" applyBorder="1" applyAlignment="1">
      <alignment horizontal="center" vertical="center"/>
    </xf>
    <xf numFmtId="175" fontId="4" fillId="0" borderId="2" xfId="0" applyNumberFormat="1" applyFont="1" applyFill="1" applyBorder="1" applyAlignment="1">
      <alignment horizontal="center" vertical="center"/>
    </xf>
    <xf numFmtId="0" fontId="4" fillId="0" borderId="7" xfId="0" applyFont="1" applyFill="1" applyBorder="1" applyAlignment="1" applyProtection="1">
      <alignment horizontal="left" indent="1"/>
      <protection locked="0"/>
    </xf>
    <xf numFmtId="0" fontId="4" fillId="0" borderId="13" xfId="0" applyFont="1" applyFill="1" applyBorder="1" applyAlignment="1" applyProtection="1">
      <protection locked="0"/>
    </xf>
    <xf numFmtId="0" fontId="29" fillId="4" borderId="8" xfId="0" applyFont="1" applyFill="1" applyBorder="1" applyAlignment="1" applyProtection="1">
      <protection locked="0"/>
    </xf>
    <xf numFmtId="181" fontId="29" fillId="4" borderId="8" xfId="11" applyNumberFormat="1" applyFont="1" applyFill="1" applyBorder="1" applyAlignment="1" applyProtection="1">
      <alignment horizontal="right"/>
      <protection locked="0"/>
    </xf>
    <xf numFmtId="167" fontId="4" fillId="0" borderId="13" xfId="24" applyNumberFormat="1" applyFont="1" applyFill="1" applyBorder="1" applyAlignment="1" applyProtection="1">
      <alignment horizontal="right"/>
      <protection locked="0"/>
    </xf>
    <xf numFmtId="181" fontId="29" fillId="4" borderId="9" xfId="11" applyNumberFormat="1" applyFont="1" applyFill="1" applyBorder="1" applyAlignment="1" applyProtection="1">
      <alignment horizontal="right"/>
      <protection locked="0"/>
    </xf>
    <xf numFmtId="181" fontId="29" fillId="4" borderId="4" xfId="11" applyNumberFormat="1" applyFont="1" applyFill="1" applyBorder="1" applyAlignment="1" applyProtection="1">
      <alignment horizontal="right"/>
      <protection locked="0"/>
    </xf>
    <xf numFmtId="167" fontId="4" fillId="0" borderId="10" xfId="24" applyNumberFormat="1" applyFont="1" applyFill="1" applyBorder="1" applyAlignment="1" applyProtection="1">
      <alignment horizontal="right"/>
      <protection locked="0"/>
    </xf>
    <xf numFmtId="167" fontId="4" fillId="0" borderId="11" xfId="24" applyNumberFormat="1" applyFont="1" applyFill="1" applyBorder="1" applyAlignment="1" applyProtection="1">
      <alignment horizontal="right"/>
      <protection locked="0"/>
    </xf>
    <xf numFmtId="167" fontId="4" fillId="0" borderId="12" xfId="24" applyNumberFormat="1" applyFont="1" applyFill="1" applyBorder="1" applyAlignment="1" applyProtection="1">
      <alignment horizontal="right"/>
      <protection locked="0"/>
    </xf>
    <xf numFmtId="172" fontId="4" fillId="0" borderId="7" xfId="11" applyNumberFormat="1" applyFont="1" applyFill="1" applyBorder="1" applyAlignment="1" applyProtection="1">
      <alignment horizontal="right"/>
      <protection locked="0"/>
    </xf>
    <xf numFmtId="172" fontId="4" fillId="0" borderId="13" xfId="11" applyNumberFormat="1" applyFont="1" applyFill="1" applyBorder="1" applyAlignment="1" applyProtection="1">
      <alignment horizontal="right"/>
      <protection locked="0"/>
    </xf>
    <xf numFmtId="172" fontId="4" fillId="0" borderId="10" xfId="11" applyNumberFormat="1" applyFont="1" applyFill="1" applyBorder="1" applyAlignment="1" applyProtection="1">
      <alignment horizontal="right"/>
      <protection locked="0"/>
    </xf>
    <xf numFmtId="172" fontId="4" fillId="0" borderId="11" xfId="11" applyNumberFormat="1" applyFont="1" applyFill="1" applyBorder="1" applyAlignment="1" applyProtection="1">
      <alignment horizontal="right"/>
      <protection locked="0"/>
    </xf>
    <xf numFmtId="172" fontId="4" fillId="0" borderId="12" xfId="11" applyNumberFormat="1" applyFont="1" applyFill="1" applyBorder="1" applyAlignment="1" applyProtection="1">
      <alignment horizontal="right"/>
      <protection locked="0"/>
    </xf>
    <xf numFmtId="169" fontId="4" fillId="0" borderId="0" xfId="0" applyNumberFormat="1" applyFont="1" applyFill="1" applyBorder="1" applyAlignment="1" applyProtection="1">
      <alignment horizontal="right"/>
      <protection locked="0"/>
    </xf>
    <xf numFmtId="0" fontId="4" fillId="0" borderId="0" xfId="0" applyFont="1" applyFill="1" applyBorder="1" applyProtection="1"/>
    <xf numFmtId="167" fontId="4" fillId="0" borderId="0" xfId="24" applyNumberFormat="1" applyFont="1" applyFill="1" applyBorder="1" applyProtection="1"/>
    <xf numFmtId="14" fontId="4" fillId="0" borderId="0" xfId="0" applyNumberFormat="1" applyFont="1" applyFill="1" applyBorder="1" applyAlignment="1" applyProtection="1">
      <alignment horizontal="center"/>
    </xf>
    <xf numFmtId="168" fontId="4" fillId="0" borderId="0" xfId="11" applyNumberFormat="1" applyFont="1" applyFill="1" applyBorder="1" applyProtection="1"/>
    <xf numFmtId="9" fontId="4" fillId="0" borderId="0" xfId="24" applyFont="1" applyFill="1" applyBorder="1" applyProtection="1"/>
    <xf numFmtId="1" fontId="4" fillId="0" borderId="0" xfId="0" applyNumberFormat="1" applyFont="1" applyFill="1" applyBorder="1" applyAlignment="1" applyProtection="1">
      <alignment horizontal="right"/>
      <protection locked="0"/>
    </xf>
    <xf numFmtId="181" fontId="4" fillId="0" borderId="0" xfId="11" applyNumberFormat="1" applyFont="1" applyFill="1" applyBorder="1" applyProtection="1">
      <protection locked="0"/>
    </xf>
    <xf numFmtId="181" fontId="4" fillId="0" borderId="0" xfId="13" applyNumberFormat="1" applyFont="1" applyFill="1" applyBorder="1" applyProtection="1">
      <protection locked="0"/>
    </xf>
    <xf numFmtId="0" fontId="4" fillId="0" borderId="8" xfId="0" applyFont="1" applyFill="1" applyBorder="1" applyAlignment="1" applyProtection="1">
      <protection locked="0"/>
    </xf>
    <xf numFmtId="0" fontId="13" fillId="0" borderId="8" xfId="0" applyFont="1" applyFill="1" applyBorder="1" applyAlignment="1" applyProtection="1">
      <protection locked="0"/>
    </xf>
    <xf numFmtId="175" fontId="4" fillId="0" borderId="10" xfId="0" applyNumberFormat="1" applyFont="1" applyFill="1" applyBorder="1" applyAlignment="1">
      <alignment horizontal="center" vertical="center"/>
    </xf>
    <xf numFmtId="175" fontId="4" fillId="0" borderId="0" xfId="0" applyNumberFormat="1" applyFont="1" applyFill="1" applyBorder="1" applyAlignment="1">
      <alignment horizontal="center" vertical="center"/>
    </xf>
    <xf numFmtId="0" fontId="4" fillId="0" borderId="10" xfId="0" applyFont="1" applyFill="1" applyBorder="1" applyProtection="1">
      <protection locked="0"/>
    </xf>
    <xf numFmtId="181" fontId="4" fillId="0" borderId="10" xfId="13" applyNumberFormat="1" applyFont="1" applyFill="1" applyBorder="1" applyProtection="1">
      <protection locked="0"/>
    </xf>
    <xf numFmtId="4" fontId="4" fillId="0" borderId="10" xfId="0" applyNumberFormat="1" applyFont="1" applyFill="1" applyBorder="1" applyAlignment="1" applyProtection="1">
      <alignment horizontal="right"/>
      <protection locked="0"/>
    </xf>
    <xf numFmtId="0" fontId="4" fillId="0" borderId="7" xfId="0" applyFont="1" applyFill="1" applyBorder="1" applyProtection="1">
      <protection locked="0"/>
    </xf>
    <xf numFmtId="181" fontId="4" fillId="0" borderId="7" xfId="11" applyNumberFormat="1" applyFont="1" applyFill="1" applyBorder="1" applyProtection="1">
      <protection locked="0"/>
    </xf>
    <xf numFmtId="181" fontId="4" fillId="0" borderId="9" xfId="11" applyNumberFormat="1" applyFont="1" applyFill="1" applyBorder="1" applyAlignment="1" applyProtection="1">
      <alignment horizontal="right"/>
      <protection locked="0"/>
    </xf>
    <xf numFmtId="181" fontId="4" fillId="0" borderId="4" xfId="11" applyNumberFormat="1" applyFont="1" applyFill="1" applyBorder="1" applyAlignment="1" applyProtection="1">
      <alignment horizontal="right"/>
      <protection locked="0"/>
    </xf>
    <xf numFmtId="7" fontId="4" fillId="0" borderId="11" xfId="11" applyNumberFormat="1" applyFont="1" applyFill="1" applyBorder="1" applyAlignment="1" applyProtection="1">
      <alignment horizontal="right"/>
      <protection locked="0"/>
    </xf>
    <xf numFmtId="7" fontId="4" fillId="0" borderId="12" xfId="11" applyNumberFormat="1" applyFont="1" applyFill="1" applyBorder="1" applyAlignment="1" applyProtection="1">
      <alignment horizontal="right"/>
      <protection locked="0"/>
    </xf>
    <xf numFmtId="181" fontId="4" fillId="0" borderId="8" xfId="11" applyNumberFormat="1" applyFont="1" applyFill="1" applyBorder="1" applyAlignment="1" applyProtection="1">
      <alignment horizontal="right"/>
      <protection locked="0"/>
    </xf>
    <xf numFmtId="7" fontId="4" fillId="0" borderId="13" xfId="11" applyNumberFormat="1" applyFont="1" applyFill="1" applyBorder="1" applyAlignment="1" applyProtection="1">
      <alignment horizontal="right"/>
      <protection locked="0"/>
    </xf>
    <xf numFmtId="167" fontId="4" fillId="0" borderId="9" xfId="24" applyNumberFormat="1" applyFont="1" applyFill="1" applyBorder="1" applyAlignment="1" applyProtection="1">
      <alignment horizontal="right"/>
      <protection locked="0"/>
    </xf>
    <xf numFmtId="167" fontId="4" fillId="0" borderId="4" xfId="24" applyNumberFormat="1" applyFont="1" applyFill="1" applyBorder="1" applyAlignment="1" applyProtection="1">
      <alignment horizontal="right"/>
      <protection locked="0"/>
    </xf>
    <xf numFmtId="167" fontId="4" fillId="0" borderId="8" xfId="24" applyNumberFormat="1" applyFont="1" applyFill="1" applyBorder="1" applyAlignment="1" applyProtection="1">
      <alignment horizontal="right"/>
      <protection locked="0"/>
    </xf>
    <xf numFmtId="172" fontId="4" fillId="0" borderId="9" xfId="11" applyNumberFormat="1" applyFont="1" applyFill="1" applyBorder="1" applyAlignment="1" applyProtection="1">
      <alignment horizontal="right"/>
      <protection locked="0"/>
    </xf>
    <xf numFmtId="172" fontId="4" fillId="0" borderId="4" xfId="11" applyNumberFormat="1" applyFont="1" applyFill="1" applyBorder="1" applyAlignment="1" applyProtection="1">
      <alignment horizontal="right"/>
      <protection locked="0"/>
    </xf>
    <xf numFmtId="172" fontId="4" fillId="0" borderId="8" xfId="11" applyNumberFormat="1" applyFont="1" applyFill="1" applyBorder="1" applyAlignment="1" applyProtection="1">
      <alignment horizontal="right"/>
      <protection locked="0"/>
    </xf>
    <xf numFmtId="167" fontId="4" fillId="0" borderId="10" xfId="24" applyNumberFormat="1" applyFont="1" applyFill="1" applyBorder="1" applyAlignment="1" applyProtection="1">
      <alignment horizontal="right"/>
    </xf>
    <xf numFmtId="0" fontId="4" fillId="0" borderId="10" xfId="0" applyFont="1" applyFill="1" applyBorder="1"/>
    <xf numFmtId="0" fontId="4" fillId="0" borderId="10" xfId="0" applyFont="1" applyFill="1" applyBorder="1" applyAlignment="1" applyProtection="1">
      <alignment horizontal="right"/>
    </xf>
    <xf numFmtId="167" fontId="4" fillId="0" borderId="7" xfId="24" applyNumberFormat="1" applyFont="1" applyFill="1" applyBorder="1" applyProtection="1"/>
    <xf numFmtId="0" fontId="4" fillId="0" borderId="7" xfId="0" applyFont="1" applyFill="1" applyBorder="1"/>
    <xf numFmtId="14" fontId="4" fillId="0" borderId="7" xfId="0" applyNumberFormat="1" applyFont="1" applyFill="1" applyBorder="1" applyAlignment="1" applyProtection="1">
      <alignment horizontal="center"/>
    </xf>
    <xf numFmtId="169" fontId="4" fillId="0" borderId="10" xfId="11" applyNumberFormat="1" applyFont="1" applyFill="1" applyBorder="1" applyAlignment="1" applyProtection="1">
      <alignment horizontal="right"/>
      <protection locked="0"/>
    </xf>
    <xf numFmtId="167" fontId="4" fillId="0" borderId="11" xfId="24" applyNumberFormat="1" applyFont="1" applyFill="1" applyBorder="1" applyAlignment="1" applyProtection="1">
      <alignment horizontal="right"/>
    </xf>
    <xf numFmtId="167" fontId="4" fillId="0" borderId="12" xfId="24" applyNumberFormat="1" applyFont="1" applyFill="1" applyBorder="1" applyAlignment="1" applyProtection="1">
      <alignment horizontal="right"/>
    </xf>
    <xf numFmtId="167" fontId="4" fillId="0" borderId="7" xfId="24" applyNumberFormat="1" applyFont="1" applyFill="1" applyBorder="1" applyAlignment="1" applyProtection="1">
      <alignment horizontal="right"/>
    </xf>
    <xf numFmtId="1" fontId="4" fillId="0" borderId="7" xfId="0" applyNumberFormat="1" applyFont="1" applyFill="1" applyBorder="1" applyAlignment="1" applyProtection="1">
      <alignment horizontal="right"/>
      <protection locked="0"/>
    </xf>
    <xf numFmtId="167" fontId="4" fillId="0" borderId="13" xfId="24" applyNumberFormat="1" applyFont="1" applyFill="1" applyBorder="1" applyAlignment="1" applyProtection="1">
      <alignment horizontal="right"/>
    </xf>
    <xf numFmtId="9" fontId="4" fillId="0" borderId="10" xfId="24" applyFont="1" applyFill="1" applyBorder="1" applyAlignment="1" applyProtection="1">
      <alignment horizontal="right"/>
    </xf>
    <xf numFmtId="9" fontId="4" fillId="0" borderId="7" xfId="24" applyFont="1" applyFill="1" applyBorder="1" applyProtection="1"/>
    <xf numFmtId="181" fontId="13" fillId="0" borderId="7" xfId="11" applyNumberFormat="1" applyFont="1" applyFill="1" applyBorder="1" applyAlignment="1" applyProtection="1">
      <alignment horizontal="right"/>
      <protection locked="0"/>
    </xf>
    <xf numFmtId="181" fontId="13" fillId="0" borderId="0" xfId="11" applyNumberFormat="1" applyFont="1" applyFill="1" applyBorder="1" applyAlignment="1" applyProtection="1">
      <alignment horizontal="right"/>
      <protection locked="0"/>
    </xf>
    <xf numFmtId="181" fontId="13" fillId="0" borderId="10" xfId="11" applyNumberFormat="1" applyFont="1" applyFill="1" applyBorder="1" applyAlignment="1" applyProtection="1">
      <alignment horizontal="right"/>
      <protection locked="0"/>
    </xf>
    <xf numFmtId="181" fontId="13" fillId="0" borderId="0" xfId="11" applyNumberFormat="1" applyFont="1" applyFill="1" applyBorder="1" applyProtection="1">
      <protection locked="0"/>
    </xf>
    <xf numFmtId="167" fontId="13" fillId="0" borderId="8" xfId="24" applyNumberFormat="1" applyFont="1" applyFill="1" applyBorder="1" applyAlignment="1" applyProtection="1">
      <alignment horizontal="right"/>
      <protection locked="0"/>
    </xf>
    <xf numFmtId="167" fontId="13" fillId="0" borderId="9" xfId="24" applyNumberFormat="1" applyFont="1" applyFill="1" applyBorder="1" applyAlignment="1" applyProtection="1">
      <alignment horizontal="right"/>
      <protection locked="0"/>
    </xf>
    <xf numFmtId="167" fontId="13" fillId="0" borderId="4" xfId="24" applyNumberFormat="1" applyFont="1" applyFill="1" applyBorder="1" applyAlignment="1" applyProtection="1">
      <alignment horizontal="right"/>
      <protection locked="0"/>
    </xf>
    <xf numFmtId="0" fontId="33" fillId="4" borderId="0" xfId="0" applyFont="1" applyFill="1" applyBorder="1" applyAlignment="1" applyProtection="1">
      <protection locked="0"/>
    </xf>
    <xf numFmtId="168" fontId="33" fillId="4" borderId="0" xfId="11" applyNumberFormat="1" applyFont="1" applyFill="1" applyBorder="1" applyProtection="1"/>
    <xf numFmtId="168" fontId="33" fillId="4" borderId="0" xfId="11" applyNumberFormat="1" applyFont="1" applyFill="1" applyBorder="1" applyAlignment="1" applyProtection="1">
      <alignment horizontal="right"/>
    </xf>
    <xf numFmtId="0" fontId="34" fillId="0" borderId="0" xfId="0" applyFont="1" applyFill="1" applyBorder="1" applyAlignment="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center"/>
      <protection locked="0"/>
    </xf>
    <xf numFmtId="0" fontId="4" fillId="0" borderId="0" xfId="37" applyFont="1" applyFill="1" applyBorder="1" applyAlignment="1" applyProtection="1">
      <alignment horizontal="left"/>
    </xf>
    <xf numFmtId="181" fontId="4" fillId="0" borderId="0" xfId="0" applyNumberFormat="1" applyFont="1" applyFill="1" applyBorder="1" applyProtection="1">
      <protection locked="0"/>
    </xf>
    <xf numFmtId="181" fontId="4" fillId="0" borderId="0" xfId="0" applyNumberFormat="1" applyFont="1" applyFill="1" applyBorder="1" applyProtection="1"/>
    <xf numFmtId="181" fontId="38" fillId="0" borderId="0" xfId="11" applyNumberFormat="1" applyFont="1" applyFill="1" applyBorder="1" applyProtection="1">
      <protection locked="0"/>
    </xf>
    <xf numFmtId="172" fontId="4" fillId="0" borderId="8" xfId="11" applyNumberFormat="1" applyFont="1" applyFill="1" applyBorder="1" applyProtection="1"/>
    <xf numFmtId="172" fontId="4" fillId="0" borderId="0" xfId="11" applyNumberFormat="1" applyFont="1" applyFill="1" applyBorder="1" applyProtection="1"/>
    <xf numFmtId="172" fontId="4" fillId="0" borderId="9" xfId="11" applyNumberFormat="1" applyFont="1" applyFill="1" applyBorder="1" applyAlignment="1" applyProtection="1">
      <alignment horizontal="right"/>
    </xf>
    <xf numFmtId="172" fontId="4" fillId="0" borderId="4" xfId="11" applyNumberFormat="1" applyFont="1" applyFill="1" applyBorder="1" applyAlignment="1" applyProtection="1">
      <alignment horizontal="right"/>
    </xf>
    <xf numFmtId="172" fontId="4" fillId="0" borderId="7" xfId="11" applyNumberFormat="1" applyFont="1" applyFill="1" applyBorder="1" applyProtection="1"/>
    <xf numFmtId="172" fontId="4" fillId="0" borderId="10" xfId="11" applyNumberFormat="1" applyFont="1" applyFill="1" applyBorder="1" applyAlignment="1" applyProtection="1">
      <alignment horizontal="right"/>
    </xf>
    <xf numFmtId="172" fontId="4" fillId="0" borderId="0" xfId="11" applyNumberFormat="1" applyFont="1" applyFill="1" applyBorder="1" applyAlignment="1" applyProtection="1">
      <alignment horizontal="right"/>
    </xf>
    <xf numFmtId="181" fontId="4" fillId="0" borderId="7" xfId="11" applyNumberFormat="1" applyFont="1" applyFill="1" applyBorder="1" applyProtection="1"/>
    <xf numFmtId="181" fontId="4" fillId="0" borderId="0" xfId="11" applyNumberFormat="1" applyFont="1" applyFill="1" applyBorder="1" applyProtection="1"/>
    <xf numFmtId="181" fontId="4" fillId="0" borderId="10" xfId="11" applyNumberFormat="1" applyFont="1" applyFill="1" applyBorder="1" applyAlignment="1" applyProtection="1">
      <alignment horizontal="right"/>
    </xf>
    <xf numFmtId="181" fontId="4" fillId="0" borderId="0" xfId="11" applyNumberFormat="1" applyFont="1" applyFill="1" applyBorder="1" applyAlignment="1" applyProtection="1">
      <alignment horizontal="right"/>
    </xf>
    <xf numFmtId="167" fontId="4" fillId="0" borderId="13" xfId="24" applyNumberFormat="1" applyFont="1" applyFill="1" applyBorder="1" applyProtection="1"/>
    <xf numFmtId="7" fontId="39" fillId="0" borderId="0" xfId="11" applyNumberFormat="1" applyFont="1" applyFill="1" applyBorder="1" applyAlignment="1" applyProtection="1">
      <alignment horizontal="right"/>
      <protection locked="0"/>
    </xf>
    <xf numFmtId="167" fontId="39" fillId="0" borderId="0" xfId="24" applyNumberFormat="1" applyFont="1" applyFill="1" applyBorder="1" applyAlignment="1" applyProtection="1">
      <alignment horizontal="right"/>
    </xf>
    <xf numFmtId="181" fontId="4" fillId="0" borderId="10" xfId="0" applyNumberFormat="1" applyFont="1" applyFill="1" applyBorder="1" applyProtection="1">
      <protection locked="0"/>
    </xf>
    <xf numFmtId="181" fontId="38" fillId="0" borderId="10" xfId="11" applyNumberFormat="1" applyFont="1" applyFill="1" applyBorder="1" applyProtection="1">
      <protection locked="0"/>
    </xf>
    <xf numFmtId="181" fontId="4" fillId="0" borderId="15" xfId="11" applyNumberFormat="1" applyFont="1" applyFill="1" applyBorder="1" applyAlignment="1" applyProtection="1">
      <alignment horizontal="right"/>
      <protection locked="0"/>
    </xf>
    <xf numFmtId="181" fontId="4" fillId="0" borderId="16" xfId="11" applyNumberFormat="1" applyFont="1" applyFill="1" applyBorder="1" applyAlignment="1" applyProtection="1">
      <alignment horizontal="right"/>
      <protection locked="0"/>
    </xf>
    <xf numFmtId="181" fontId="38" fillId="0" borderId="7" xfId="11" applyNumberFormat="1" applyFont="1" applyFill="1" applyBorder="1" applyProtection="1">
      <protection locked="0"/>
    </xf>
    <xf numFmtId="0" fontId="4" fillId="0" borderId="15" xfId="0" applyFont="1" applyFill="1" applyBorder="1" applyAlignment="1" applyProtection="1">
      <protection locked="0"/>
    </xf>
    <xf numFmtId="0" fontId="13" fillId="0" borderId="14" xfId="0" applyFont="1" applyFill="1" applyBorder="1" applyAlignment="1" applyProtection="1">
      <protection locked="0"/>
    </xf>
    <xf numFmtId="0" fontId="13" fillId="0" borderId="6" xfId="0" applyFont="1" applyFill="1" applyBorder="1" applyAlignment="1" applyProtection="1">
      <protection locked="0"/>
    </xf>
    <xf numFmtId="181" fontId="13" fillId="0" borderId="14" xfId="11" applyNumberFormat="1" applyFont="1" applyFill="1" applyBorder="1" applyAlignment="1" applyProtection="1">
      <alignment horizontal="right"/>
      <protection locked="0"/>
    </xf>
    <xf numFmtId="181" fontId="13" fillId="0" borderId="6" xfId="11" applyNumberFormat="1" applyFont="1" applyFill="1" applyBorder="1" applyProtection="1">
      <protection locked="0"/>
    </xf>
    <xf numFmtId="181" fontId="13" fillId="0" borderId="17" xfId="11" applyNumberFormat="1" applyFont="1" applyFill="1" applyBorder="1" applyAlignment="1" applyProtection="1">
      <alignment horizontal="right"/>
      <protection locked="0"/>
    </xf>
    <xf numFmtId="181" fontId="13" fillId="0" borderId="6" xfId="11" applyNumberFormat="1" applyFont="1" applyFill="1" applyBorder="1" applyAlignment="1" applyProtection="1">
      <alignment horizontal="right"/>
      <protection locked="0"/>
    </xf>
    <xf numFmtId="181" fontId="13" fillId="0" borderId="14" xfId="11" applyNumberFormat="1" applyFont="1" applyFill="1" applyBorder="1" applyProtection="1">
      <protection locked="0"/>
    </xf>
    <xf numFmtId="181" fontId="13" fillId="0" borderId="17" xfId="11" applyNumberFormat="1" applyFont="1" applyFill="1" applyBorder="1" applyProtection="1">
      <protection locked="0"/>
    </xf>
    <xf numFmtId="7" fontId="4" fillId="0" borderId="16" xfId="11" applyNumberFormat="1" applyFont="1" applyFill="1" applyBorder="1" applyAlignment="1" applyProtection="1">
      <alignment horizontal="right"/>
      <protection locked="0"/>
    </xf>
    <xf numFmtId="7" fontId="4" fillId="0" borderId="15" xfId="11" applyNumberFormat="1" applyFont="1" applyFill="1" applyBorder="1" applyAlignment="1" applyProtection="1">
      <alignment horizontal="right"/>
      <protection locked="0"/>
    </xf>
    <xf numFmtId="167" fontId="4" fillId="0" borderId="9" xfId="24" applyNumberFormat="1" applyFont="1" applyFill="1" applyBorder="1" applyAlignment="1" applyProtection="1">
      <alignment horizontal="right"/>
    </xf>
    <xf numFmtId="167" fontId="4" fillId="0" borderId="4" xfId="24" applyNumberFormat="1" applyFont="1" applyFill="1" applyBorder="1" applyAlignment="1" applyProtection="1">
      <alignment horizontal="right"/>
    </xf>
    <xf numFmtId="167" fontId="4" fillId="0" borderId="16" xfId="24" applyNumberFormat="1" applyFont="1" applyFill="1" applyBorder="1" applyAlignment="1" applyProtection="1">
      <alignment horizontal="right"/>
    </xf>
    <xf numFmtId="167" fontId="4" fillId="0" borderId="8" xfId="24" applyNumberFormat="1" applyFont="1" applyFill="1" applyBorder="1" applyAlignment="1" applyProtection="1">
      <alignment horizontal="right"/>
    </xf>
    <xf numFmtId="167" fontId="4" fillId="0" borderId="15" xfId="24" applyNumberFormat="1" applyFont="1" applyFill="1" applyBorder="1" applyAlignment="1" applyProtection="1">
      <alignment horizontal="right"/>
    </xf>
    <xf numFmtId="7" fontId="39" fillId="0" borderId="16" xfId="11" applyNumberFormat="1" applyFont="1" applyFill="1" applyBorder="1" applyAlignment="1" applyProtection="1">
      <alignment horizontal="right"/>
      <protection locked="0"/>
    </xf>
    <xf numFmtId="7" fontId="39" fillId="0" borderId="12" xfId="11" applyNumberFormat="1" applyFont="1" applyFill="1" applyBorder="1" applyAlignment="1" applyProtection="1">
      <alignment horizontal="right"/>
      <protection locked="0"/>
    </xf>
    <xf numFmtId="7" fontId="39" fillId="0" borderId="15" xfId="11" applyNumberFormat="1" applyFont="1" applyFill="1" applyBorder="1" applyAlignment="1" applyProtection="1">
      <alignment horizontal="right"/>
      <protection locked="0"/>
    </xf>
    <xf numFmtId="7" fontId="39" fillId="0" borderId="10" xfId="11" applyNumberFormat="1" applyFont="1" applyFill="1" applyBorder="1" applyAlignment="1" applyProtection="1">
      <alignment horizontal="right"/>
      <protection locked="0"/>
    </xf>
    <xf numFmtId="171" fontId="4" fillId="0" borderId="10" xfId="0" applyNumberFormat="1" applyFont="1" applyFill="1" applyBorder="1" applyAlignment="1" applyProtection="1">
      <alignment horizontal="right"/>
      <protection locked="0"/>
    </xf>
    <xf numFmtId="167" fontId="39" fillId="0" borderId="7" xfId="24" applyNumberFormat="1" applyFont="1" applyFill="1" applyBorder="1" applyAlignment="1" applyProtection="1">
      <alignment horizontal="right"/>
    </xf>
    <xf numFmtId="171" fontId="4" fillId="0" borderId="7" xfId="0" applyNumberFormat="1" applyFont="1" applyFill="1" applyBorder="1" applyAlignment="1" applyProtection="1">
      <alignment horizontal="right"/>
      <protection locked="0"/>
    </xf>
    <xf numFmtId="181" fontId="39" fillId="0" borderId="12" xfId="11" applyNumberFormat="1" applyFont="1" applyFill="1" applyBorder="1" applyAlignment="1" applyProtection="1">
      <alignment horizontal="right"/>
      <protection locked="0"/>
    </xf>
    <xf numFmtId="7" fontId="39" fillId="0" borderId="7" xfId="11" applyNumberFormat="1" applyFont="1" applyFill="1" applyBorder="1" applyAlignment="1" applyProtection="1">
      <alignment horizontal="right"/>
      <protection locked="0"/>
    </xf>
    <xf numFmtId="181" fontId="39" fillId="0" borderId="8" xfId="11" applyNumberFormat="1" applyFont="1" applyFill="1" applyBorder="1" applyAlignment="1" applyProtection="1">
      <alignment horizontal="right"/>
      <protection locked="0"/>
    </xf>
    <xf numFmtId="167" fontId="39" fillId="0" borderId="15" xfId="24" applyNumberFormat="1" applyFont="1" applyFill="1" applyBorder="1" applyAlignment="1" applyProtection="1">
      <alignment horizontal="right"/>
    </xf>
    <xf numFmtId="0" fontId="4" fillId="0" borderId="0" xfId="0" applyFont="1" applyFill="1" applyBorder="1" applyAlignment="1" applyProtection="1">
      <alignment horizontal="right" vertical="center"/>
      <protection locked="0"/>
    </xf>
    <xf numFmtId="0" fontId="28" fillId="0" borderId="19" xfId="0" applyFont="1" applyFill="1" applyBorder="1" applyProtection="1">
      <protection locked="0"/>
    </xf>
    <xf numFmtId="0" fontId="4" fillId="0" borderId="20" xfId="0" applyFont="1" applyFill="1" applyBorder="1" applyProtection="1">
      <protection locked="0"/>
    </xf>
    <xf numFmtId="0" fontId="4" fillId="0" borderId="21" xfId="0" applyFont="1" applyFill="1" applyBorder="1" applyProtection="1">
      <protection locked="0"/>
    </xf>
    <xf numFmtId="0" fontId="4" fillId="0" borderId="22" xfId="0" applyFont="1" applyFill="1" applyBorder="1" applyProtection="1">
      <protection locked="0"/>
    </xf>
    <xf numFmtId="0" fontId="4" fillId="0" borderId="23" xfId="0" applyFont="1" applyFill="1" applyBorder="1" applyProtection="1">
      <protection locked="0"/>
    </xf>
    <xf numFmtId="14" fontId="4" fillId="0" borderId="23" xfId="0" applyNumberFormat="1" applyFont="1" applyFill="1" applyBorder="1" applyProtection="1">
      <protection locked="0"/>
    </xf>
    <xf numFmtId="0" fontId="4" fillId="0" borderId="23" xfId="0" applyFont="1" applyFill="1" applyBorder="1"/>
    <xf numFmtId="0" fontId="4" fillId="0" borderId="22" xfId="0" applyFont="1" applyFill="1" applyBorder="1"/>
    <xf numFmtId="0" fontId="4" fillId="0" borderId="24" xfId="0" applyFont="1" applyFill="1" applyBorder="1" applyProtection="1">
      <protection locked="0"/>
    </xf>
    <xf numFmtId="7" fontId="4" fillId="0" borderId="3" xfId="11" applyNumberFormat="1" applyFont="1" applyFill="1" applyBorder="1" applyAlignment="1" applyProtection="1">
      <alignment horizontal="right"/>
      <protection locked="0"/>
    </xf>
    <xf numFmtId="14" fontId="4" fillId="0" borderId="25" xfId="0" applyNumberFormat="1" applyFont="1" applyFill="1" applyBorder="1" applyProtection="1">
      <protection locked="0"/>
    </xf>
    <xf numFmtId="0" fontId="29" fillId="4" borderId="0" xfId="0" applyFont="1" applyFill="1" applyBorder="1" applyAlignment="1" applyProtection="1">
      <protection locked="0"/>
    </xf>
    <xf numFmtId="0" fontId="33" fillId="4" borderId="0" xfId="0" applyFont="1" applyFill="1" applyBorder="1" applyProtection="1">
      <protection locked="0"/>
    </xf>
    <xf numFmtId="0" fontId="33" fillId="4" borderId="0" xfId="0" applyFont="1" applyFill="1" applyBorder="1" applyProtection="1"/>
    <xf numFmtId="0" fontId="33" fillId="4" borderId="0" xfId="0" applyFont="1" applyFill="1" applyBorder="1" applyAlignment="1" applyProtection="1">
      <alignment horizontal="right"/>
    </xf>
    <xf numFmtId="0" fontId="33" fillId="4" borderId="0" xfId="0" applyFont="1" applyFill="1" applyBorder="1" applyAlignment="1" applyProtection="1">
      <alignment horizontal="right"/>
      <protection locked="0"/>
    </xf>
    <xf numFmtId="169" fontId="33" fillId="4" borderId="0" xfId="0" applyNumberFormat="1" applyFont="1" applyFill="1" applyBorder="1" applyAlignment="1" applyProtection="1">
      <alignment horizontal="right"/>
      <protection locked="0"/>
    </xf>
    <xf numFmtId="173" fontId="34" fillId="0" borderId="0" xfId="0" applyNumberFormat="1" applyFont="1" applyFill="1" applyBorder="1" applyProtection="1">
      <protection locked="0"/>
    </xf>
    <xf numFmtId="181" fontId="39" fillId="0" borderId="13" xfId="11" applyNumberFormat="1" applyFont="1" applyFill="1" applyBorder="1" applyAlignment="1" applyProtection="1">
      <alignment horizontal="right"/>
      <protection locked="0"/>
    </xf>
    <xf numFmtId="181" fontId="39" fillId="0" borderId="11" xfId="11" applyNumberFormat="1" applyFont="1" applyFill="1" applyBorder="1" applyAlignment="1" applyProtection="1">
      <alignment horizontal="right"/>
      <protection locked="0"/>
    </xf>
    <xf numFmtId="165" fontId="4" fillId="0" borderId="0" xfId="0" applyNumberFormat="1" applyFont="1" applyFill="1" applyBorder="1" applyAlignment="1" applyProtection="1">
      <protection locked="0"/>
    </xf>
    <xf numFmtId="0" fontId="4" fillId="0" borderId="0" xfId="42" applyFont="1" applyFill="1" applyBorder="1" applyAlignment="1">
      <alignment horizontal="left"/>
    </xf>
    <xf numFmtId="1" fontId="4" fillId="0" borderId="7" xfId="24" applyNumberFormat="1" applyFont="1" applyFill="1" applyBorder="1"/>
    <xf numFmtId="37" fontId="4" fillId="0" borderId="0" xfId="24" applyNumberFormat="1" applyFont="1" applyFill="1" applyBorder="1"/>
    <xf numFmtId="37" fontId="4" fillId="0" borderId="7" xfId="24" applyNumberFormat="1" applyFont="1" applyFill="1" applyBorder="1"/>
    <xf numFmtId="37" fontId="4" fillId="0" borderId="10" xfId="24" applyNumberFormat="1" applyFont="1" applyFill="1" applyBorder="1"/>
    <xf numFmtId="37" fontId="13" fillId="0" borderId="0" xfId="24" applyNumberFormat="1" applyFont="1" applyFill="1" applyBorder="1"/>
    <xf numFmtId="37" fontId="13" fillId="0" borderId="7" xfId="24" applyNumberFormat="1" applyFont="1" applyFill="1" applyBorder="1"/>
    <xf numFmtId="1" fontId="13" fillId="0" borderId="7" xfId="24" applyNumberFormat="1" applyFont="1" applyFill="1" applyBorder="1"/>
    <xf numFmtId="37" fontId="13" fillId="0" borderId="10" xfId="24" applyNumberFormat="1" applyFont="1" applyFill="1" applyBorder="1"/>
    <xf numFmtId="0" fontId="4" fillId="0" borderId="0" xfId="41" applyFont="1" applyFill="1" applyBorder="1"/>
    <xf numFmtId="10" fontId="4" fillId="0" borderId="0" xfId="41" applyNumberFormat="1" applyFont="1" applyFill="1" applyBorder="1" applyAlignment="1">
      <alignment horizontal="right"/>
    </xf>
    <xf numFmtId="183" fontId="4" fillId="0" borderId="9" xfId="41" applyNumberFormat="1" applyFont="1" applyFill="1" applyBorder="1"/>
    <xf numFmtId="183" fontId="4" fillId="0" borderId="16" xfId="41" applyNumberFormat="1" applyFont="1" applyFill="1" applyBorder="1"/>
    <xf numFmtId="0" fontId="4" fillId="0" borderId="9" xfId="41" applyFont="1" applyFill="1" applyBorder="1"/>
    <xf numFmtId="0" fontId="4" fillId="0" borderId="10" xfId="41" applyFont="1" applyFill="1" applyBorder="1"/>
    <xf numFmtId="0" fontId="4" fillId="0" borderId="16" xfId="41" applyFont="1" applyFill="1" applyBorder="1"/>
    <xf numFmtId="0" fontId="4" fillId="0" borderId="4" xfId="41" applyFont="1" applyFill="1" applyBorder="1"/>
    <xf numFmtId="0" fontId="4" fillId="0" borderId="12" xfId="41" applyFont="1" applyFill="1" applyBorder="1"/>
    <xf numFmtId="0" fontId="13" fillId="0" borderId="0" xfId="41" applyFont="1" applyFill="1" applyBorder="1"/>
    <xf numFmtId="0" fontId="13" fillId="0" borderId="0" xfId="41" applyFont="1" applyFill="1" applyBorder="1" applyAlignment="1">
      <alignment horizontal="right"/>
    </xf>
    <xf numFmtId="10" fontId="13" fillId="0" borderId="0" xfId="41" applyNumberFormat="1" applyFont="1" applyFill="1" applyBorder="1" applyAlignment="1">
      <alignment horizontal="right"/>
    </xf>
    <xf numFmtId="181" fontId="4" fillId="0" borderId="0" xfId="24" applyNumberFormat="1" applyFont="1" applyFill="1" applyBorder="1"/>
    <xf numFmtId="181" fontId="4" fillId="0" borderId="0" xfId="41" applyNumberFormat="1" applyFont="1" applyFill="1" applyBorder="1"/>
    <xf numFmtId="181" fontId="13" fillId="0" borderId="0" xfId="24" applyNumberFormat="1" applyFont="1" applyFill="1" applyBorder="1"/>
    <xf numFmtId="0" fontId="16" fillId="0" borderId="0" xfId="42" applyFont="1" applyFill="1" applyBorder="1" applyAlignment="1" applyProtection="1">
      <alignment horizontal="left"/>
    </xf>
    <xf numFmtId="43" fontId="4" fillId="0" borderId="0" xfId="11" applyFont="1" applyFill="1" applyBorder="1"/>
    <xf numFmtId="181" fontId="4" fillId="0" borderId="0" xfId="11" applyNumberFormat="1" applyFont="1" applyFill="1" applyBorder="1"/>
    <xf numFmtId="0" fontId="16" fillId="0" borderId="0" xfId="41" applyFont="1" applyFill="1" applyBorder="1"/>
    <xf numFmtId="181" fontId="16" fillId="0" borderId="0" xfId="24" applyNumberFormat="1" applyFont="1" applyFill="1" applyBorder="1"/>
    <xf numFmtId="181" fontId="16" fillId="0" borderId="0" xfId="41" applyNumberFormat="1" applyFont="1" applyFill="1" applyBorder="1"/>
    <xf numFmtId="181" fontId="39" fillId="0" borderId="0" xfId="24" applyNumberFormat="1" applyFont="1" applyFill="1" applyBorder="1"/>
    <xf numFmtId="181" fontId="38" fillId="0" borderId="0" xfId="41" applyNumberFormat="1" applyFont="1" applyFill="1" applyBorder="1"/>
    <xf numFmtId="181" fontId="4" fillId="0" borderId="10" xfId="24" applyNumberFormat="1" applyFont="1" applyFill="1" applyBorder="1"/>
    <xf numFmtId="181" fontId="13" fillId="0" borderId="10" xfId="24" applyNumberFormat="1" applyFont="1" applyFill="1" applyBorder="1"/>
    <xf numFmtId="181" fontId="4" fillId="0" borderId="10" xfId="11" applyNumberFormat="1" applyFont="1" applyFill="1" applyBorder="1"/>
    <xf numFmtId="181" fontId="16" fillId="0" borderId="10" xfId="24" applyNumberFormat="1" applyFont="1" applyFill="1" applyBorder="1"/>
    <xf numFmtId="181" fontId="4" fillId="0" borderId="10" xfId="41" applyNumberFormat="1" applyFont="1" applyFill="1" applyBorder="1"/>
    <xf numFmtId="181" fontId="4" fillId="0" borderId="16" xfId="41" applyNumberFormat="1" applyFont="1" applyFill="1" applyBorder="1" applyAlignment="1">
      <alignment horizontal="right"/>
    </xf>
    <xf numFmtId="181" fontId="4" fillId="0" borderId="12" xfId="41" applyNumberFormat="1" applyFont="1" applyFill="1" applyBorder="1"/>
    <xf numFmtId="181" fontId="4" fillId="0" borderId="7" xfId="24" applyNumberFormat="1" applyFont="1" applyFill="1" applyBorder="1"/>
    <xf numFmtId="181" fontId="13" fillId="0" borderId="7" xfId="24" applyNumberFormat="1" applyFont="1" applyFill="1" applyBorder="1"/>
    <xf numFmtId="181" fontId="4" fillId="0" borderId="7" xfId="11" applyNumberFormat="1" applyFont="1" applyFill="1" applyBorder="1"/>
    <xf numFmtId="181" fontId="16" fillId="0" borderId="7" xfId="24" applyNumberFormat="1" applyFont="1" applyFill="1" applyBorder="1"/>
    <xf numFmtId="181" fontId="4" fillId="0" borderId="7" xfId="41" applyNumberFormat="1" applyFont="1" applyFill="1" applyBorder="1"/>
    <xf numFmtId="181" fontId="4" fillId="0" borderId="15" xfId="41" applyNumberFormat="1" applyFont="1" applyFill="1" applyBorder="1"/>
    <xf numFmtId="181" fontId="39" fillId="0" borderId="10" xfId="24" applyNumberFormat="1" applyFont="1" applyFill="1" applyBorder="1"/>
    <xf numFmtId="181" fontId="38" fillId="0" borderId="10" xfId="41" applyNumberFormat="1" applyFont="1" applyFill="1" applyBorder="1"/>
    <xf numFmtId="181" fontId="4" fillId="0" borderId="15" xfId="24" applyNumberFormat="1" applyFont="1" applyFill="1" applyBorder="1"/>
    <xf numFmtId="0" fontId="4" fillId="0" borderId="2" xfId="41" applyFont="1" applyFill="1" applyBorder="1"/>
    <xf numFmtId="0" fontId="13" fillId="0" borderId="10" xfId="41" applyFont="1" applyFill="1" applyBorder="1"/>
    <xf numFmtId="0" fontId="13" fillId="0" borderId="5" xfId="41" applyFont="1" applyFill="1" applyBorder="1" applyAlignment="1">
      <alignment horizontal="right"/>
    </xf>
    <xf numFmtId="182" fontId="13" fillId="0" borderId="5" xfId="41" applyNumberFormat="1" applyFont="1" applyFill="1" applyBorder="1" applyAlignment="1">
      <alignment horizontal="right"/>
    </xf>
    <xf numFmtId="0" fontId="28" fillId="0" borderId="10" xfId="41" applyFont="1" applyFill="1" applyBorder="1"/>
    <xf numFmtId="182" fontId="4" fillId="0" borderId="5" xfId="41" applyNumberFormat="1" applyFont="1" applyFill="1" applyBorder="1" applyAlignment="1">
      <alignment horizontal="right"/>
    </xf>
    <xf numFmtId="0" fontId="4" fillId="0" borderId="10" xfId="41" applyFont="1" applyFill="1" applyBorder="1" applyAlignment="1">
      <alignment horizontal="left" indent="1"/>
    </xf>
    <xf numFmtId="1" fontId="4" fillId="0" borderId="5" xfId="41" applyNumberFormat="1" applyFont="1" applyFill="1" applyBorder="1" applyAlignment="1">
      <alignment horizontal="right"/>
    </xf>
    <xf numFmtId="43" fontId="16" fillId="0" borderId="10" xfId="11" applyFont="1" applyFill="1" applyBorder="1" applyAlignment="1" applyProtection="1"/>
    <xf numFmtId="43" fontId="4" fillId="0" borderId="5" xfId="11" applyFont="1" applyFill="1" applyBorder="1" applyAlignment="1">
      <alignment horizontal="right"/>
    </xf>
    <xf numFmtId="181" fontId="16" fillId="0" borderId="10" xfId="41" applyNumberFormat="1" applyFont="1" applyFill="1" applyBorder="1" applyAlignment="1" applyProtection="1"/>
    <xf numFmtId="0" fontId="16" fillId="0" borderId="10" xfId="41" applyFont="1" applyFill="1" applyBorder="1"/>
    <xf numFmtId="182" fontId="16" fillId="0" borderId="5" xfId="41" applyNumberFormat="1" applyFont="1" applyFill="1" applyBorder="1" applyAlignment="1">
      <alignment horizontal="right"/>
    </xf>
    <xf numFmtId="0" fontId="4" fillId="0" borderId="5" xfId="41" applyFont="1" applyFill="1" applyBorder="1"/>
    <xf numFmtId="0" fontId="4" fillId="0" borderId="18" xfId="41" applyFont="1" applyFill="1" applyBorder="1"/>
    <xf numFmtId="0" fontId="13" fillId="0" borderId="17" xfId="41" applyFont="1" applyFill="1" applyBorder="1"/>
    <xf numFmtId="167" fontId="4" fillId="0" borderId="6" xfId="24" applyNumberFormat="1" applyFont="1" applyFill="1" applyBorder="1" applyAlignment="1" applyProtection="1">
      <alignment horizontal="right"/>
    </xf>
    <xf numFmtId="182" fontId="13" fillId="0" borderId="26" xfId="41" applyNumberFormat="1" applyFont="1" applyFill="1" applyBorder="1" applyAlignment="1">
      <alignment horizontal="right"/>
    </xf>
    <xf numFmtId="0" fontId="13" fillId="0" borderId="6" xfId="41" applyFont="1" applyFill="1" applyBorder="1"/>
    <xf numFmtId="181" fontId="13" fillId="0" borderId="14" xfId="24" applyNumberFormat="1" applyFont="1" applyFill="1" applyBorder="1"/>
    <xf numFmtId="181" fontId="13" fillId="0" borderId="6" xfId="41" applyNumberFormat="1" applyFont="1" applyFill="1" applyBorder="1"/>
    <xf numFmtId="181" fontId="13" fillId="0" borderId="17" xfId="24" applyNumberFormat="1" applyFont="1" applyFill="1" applyBorder="1"/>
    <xf numFmtId="181" fontId="13" fillId="0" borderId="6" xfId="24" applyNumberFormat="1" applyFont="1" applyFill="1" applyBorder="1"/>
    <xf numFmtId="181" fontId="37" fillId="0" borderId="17" xfId="24" applyNumberFormat="1" applyFont="1" applyFill="1" applyBorder="1"/>
    <xf numFmtId="181" fontId="37" fillId="0" borderId="6" xfId="24" applyNumberFormat="1" applyFont="1" applyFill="1" applyBorder="1"/>
    <xf numFmtId="181" fontId="4" fillId="0" borderId="8" xfId="41" applyNumberFormat="1" applyFont="1" applyFill="1" applyBorder="1" applyAlignment="1">
      <alignment horizontal="right"/>
    </xf>
    <xf numFmtId="181" fontId="4" fillId="0" borderId="4" xfId="41" applyNumberFormat="1" applyFont="1" applyFill="1" applyBorder="1"/>
    <xf numFmtId="181" fontId="4" fillId="0" borderId="9" xfId="41" applyNumberFormat="1" applyFont="1" applyFill="1" applyBorder="1" applyAlignment="1">
      <alignment horizontal="right"/>
    </xf>
    <xf numFmtId="181" fontId="4" fillId="0" borderId="4" xfId="41" applyNumberFormat="1" applyFont="1" applyFill="1" applyBorder="1" applyAlignment="1">
      <alignment horizontal="right"/>
    </xf>
    <xf numFmtId="181" fontId="4" fillId="0" borderId="16" xfId="41" applyNumberFormat="1" applyFont="1" applyFill="1" applyBorder="1"/>
    <xf numFmtId="181" fontId="38" fillId="0" borderId="16" xfId="41" applyNumberFormat="1" applyFont="1" applyFill="1" applyBorder="1"/>
    <xf numFmtId="181" fontId="38" fillId="0" borderId="12" xfId="41" applyNumberFormat="1" applyFont="1" applyFill="1" applyBorder="1"/>
    <xf numFmtId="181" fontId="4" fillId="0" borderId="8" xfId="41" applyNumberFormat="1" applyFont="1" applyFill="1" applyBorder="1"/>
    <xf numFmtId="181" fontId="4" fillId="0" borderId="9" xfId="11" applyNumberFormat="1" applyFont="1" applyFill="1" applyBorder="1"/>
    <xf numFmtId="181" fontId="4" fillId="0" borderId="4" xfId="11" applyNumberFormat="1" applyFont="1" applyFill="1" applyBorder="1"/>
    <xf numFmtId="181" fontId="4" fillId="0" borderId="8" xfId="11" applyNumberFormat="1" applyFont="1" applyFill="1" applyBorder="1"/>
    <xf numFmtId="181" fontId="38" fillId="0" borderId="9" xfId="11" applyNumberFormat="1" applyFont="1" applyFill="1" applyBorder="1"/>
    <xf numFmtId="181" fontId="38" fillId="0" borderId="4" xfId="11" applyNumberFormat="1" applyFont="1" applyFill="1" applyBorder="1"/>
    <xf numFmtId="173" fontId="13" fillId="0" borderId="6" xfId="0" applyNumberFormat="1" applyFont="1" applyFill="1" applyBorder="1" applyProtection="1">
      <protection locked="0"/>
    </xf>
    <xf numFmtId="181" fontId="37" fillId="0" borderId="14" xfId="11" applyNumberFormat="1" applyFont="1" applyFill="1" applyBorder="1" applyAlignment="1" applyProtection="1">
      <alignment horizontal="right"/>
      <protection locked="0"/>
    </xf>
    <xf numFmtId="181" fontId="37" fillId="0" borderId="17" xfId="11" applyNumberFormat="1" applyFont="1" applyFill="1" applyBorder="1" applyAlignment="1" applyProtection="1">
      <alignment horizontal="right"/>
      <protection locked="0"/>
    </xf>
    <xf numFmtId="181" fontId="37" fillId="0" borderId="6" xfId="11" applyNumberFormat="1" applyFont="1" applyFill="1" applyBorder="1" applyAlignment="1" applyProtection="1">
      <alignment horizontal="right"/>
      <protection locked="0"/>
    </xf>
    <xf numFmtId="43" fontId="34" fillId="0" borderId="0" xfId="11" applyFont="1" applyFill="1" applyBorder="1" applyAlignment="1" applyProtection="1">
      <alignment horizontal="right"/>
      <protection locked="0"/>
    </xf>
    <xf numFmtId="0" fontId="4" fillId="0" borderId="15" xfId="0" applyFont="1" applyFill="1" applyBorder="1"/>
    <xf numFmtId="0" fontId="4" fillId="0" borderId="8" xfId="0" applyFont="1" applyFill="1" applyBorder="1"/>
    <xf numFmtId="167" fontId="38" fillId="0" borderId="0" xfId="24" applyNumberFormat="1" applyFont="1" applyFill="1" applyBorder="1" applyAlignment="1" applyProtection="1">
      <alignment horizontal="right"/>
    </xf>
    <xf numFmtId="43" fontId="34" fillId="0" borderId="0" xfId="11" applyFont="1" applyFill="1" applyBorder="1" applyProtection="1">
      <protection locked="0"/>
    </xf>
    <xf numFmtId="0" fontId="13" fillId="0" borderId="0" xfId="0" applyNumberFormat="1" applyFont="1" applyFill="1" applyBorder="1" applyAlignment="1" applyProtection="1">
      <protection locked="0"/>
    </xf>
    <xf numFmtId="181" fontId="37" fillId="0" borderId="0" xfId="11" applyNumberFormat="1" applyFont="1" applyFill="1" applyBorder="1" applyAlignment="1" applyProtection="1">
      <alignment horizontal="right"/>
      <protection locked="0"/>
    </xf>
    <xf numFmtId="167" fontId="13" fillId="0" borderId="0" xfId="24" applyNumberFormat="1" applyFont="1" applyFill="1" applyBorder="1" applyAlignment="1" applyProtection="1">
      <alignment horizontal="right"/>
      <protection locked="0"/>
    </xf>
    <xf numFmtId="0" fontId="29" fillId="0" borderId="0" xfId="0" applyFont="1" applyFill="1" applyBorder="1" applyAlignment="1"/>
    <xf numFmtId="167" fontId="39" fillId="0" borderId="0" xfId="24" applyNumberFormat="1" applyFont="1" applyFill="1" applyBorder="1" applyAlignment="1" applyProtection="1">
      <alignment horizontal="right"/>
      <protection locked="0"/>
    </xf>
    <xf numFmtId="169" fontId="27" fillId="0" borderId="0" xfId="11" applyNumberFormat="1" applyFont="1" applyFill="1" applyBorder="1" applyAlignment="1">
      <alignment horizontal="left"/>
    </xf>
    <xf numFmtId="169" fontId="25" fillId="0" borderId="0" xfId="11" applyNumberFormat="1" applyFont="1" applyFill="1" applyBorder="1" applyAlignment="1">
      <alignment horizontal="left"/>
    </xf>
    <xf numFmtId="169" fontId="13" fillId="0" borderId="0" xfId="0" applyNumberFormat="1" applyFont="1" applyFill="1" applyBorder="1"/>
    <xf numFmtId="167" fontId="25" fillId="0" borderId="0" xfId="0" applyNumberFormat="1" applyFont="1" applyFill="1" applyBorder="1" applyAlignment="1">
      <alignment horizontal="left"/>
    </xf>
    <xf numFmtId="169" fontId="42" fillId="0" borderId="0" xfId="11" applyNumberFormat="1" applyFont="1" applyFill="1" applyBorder="1"/>
    <xf numFmtId="167" fontId="35" fillId="0" borderId="0" xfId="24" applyNumberFormat="1" applyFont="1" applyFill="1" applyBorder="1" applyAlignment="1" applyProtection="1">
      <alignment horizontal="right"/>
    </xf>
    <xf numFmtId="181" fontId="35" fillId="0" borderId="10" xfId="11" applyNumberFormat="1" applyFont="1" applyFill="1" applyBorder="1" applyAlignment="1" applyProtection="1">
      <alignment horizontal="right"/>
      <protection locked="0"/>
    </xf>
    <xf numFmtId="181" fontId="35" fillId="0" borderId="0" xfId="11" applyNumberFormat="1" applyFont="1" applyFill="1" applyBorder="1" applyAlignment="1" applyProtection="1">
      <alignment horizontal="right"/>
      <protection locked="0"/>
    </xf>
    <xf numFmtId="181" fontId="36" fillId="0" borderId="10" xfId="11" applyNumberFormat="1" applyFont="1" applyFill="1" applyBorder="1" applyAlignment="1" applyProtection="1">
      <alignment horizontal="right"/>
      <protection locked="0"/>
    </xf>
    <xf numFmtId="181" fontId="36" fillId="0" borderId="0" xfId="11" applyNumberFormat="1" applyFont="1" applyFill="1" applyBorder="1" applyAlignment="1" applyProtection="1">
      <alignment horizontal="right"/>
      <protection locked="0"/>
    </xf>
    <xf numFmtId="181" fontId="35" fillId="0" borderId="16" xfId="41" applyNumberFormat="1" applyFont="1" applyFill="1" applyBorder="1"/>
    <xf numFmtId="181" fontId="35" fillId="0" borderId="12" xfId="41" applyNumberFormat="1" applyFont="1" applyFill="1" applyBorder="1"/>
    <xf numFmtId="181" fontId="35" fillId="0" borderId="9" xfId="11" applyNumberFormat="1" applyFont="1" applyFill="1" applyBorder="1"/>
    <xf numFmtId="181" fontId="35" fillId="0" borderId="4" xfId="11" applyNumberFormat="1" applyFont="1" applyFill="1" applyBorder="1"/>
    <xf numFmtId="181" fontId="35" fillId="0" borderId="8" xfId="11" applyNumberFormat="1" applyFont="1" applyFill="1" applyBorder="1"/>
    <xf numFmtId="167" fontId="38" fillId="0" borderId="16" xfId="24" applyNumberFormat="1" applyFont="1" applyFill="1" applyBorder="1" applyAlignment="1" applyProtection="1">
      <alignment horizontal="right"/>
    </xf>
    <xf numFmtId="167" fontId="38" fillId="0" borderId="12" xfId="24" applyNumberFormat="1" applyFont="1" applyFill="1" applyBorder="1" applyAlignment="1" applyProtection="1">
      <alignment horizontal="right"/>
    </xf>
    <xf numFmtId="167" fontId="38" fillId="0" borderId="10" xfId="24" applyNumberFormat="1" applyFont="1" applyFill="1" applyBorder="1" applyAlignment="1" applyProtection="1">
      <alignment horizontal="right"/>
    </xf>
    <xf numFmtId="167" fontId="35" fillId="0" borderId="10" xfId="24" applyNumberFormat="1" applyFont="1" applyFill="1" applyBorder="1" applyAlignment="1" applyProtection="1">
      <alignment horizontal="right"/>
      <protection locked="0"/>
    </xf>
    <xf numFmtId="167" fontId="35" fillId="0" borderId="0" xfId="24" applyNumberFormat="1" applyFont="1" applyFill="1" applyBorder="1" applyAlignment="1" applyProtection="1">
      <alignment horizontal="right"/>
      <protection locked="0"/>
    </xf>
    <xf numFmtId="181" fontId="35" fillId="0" borderId="9" xfId="11" applyNumberFormat="1" applyFont="1" applyFill="1" applyBorder="1" applyAlignment="1" applyProtection="1">
      <alignment horizontal="right"/>
      <protection locked="0"/>
    </xf>
    <xf numFmtId="181" fontId="35" fillId="0" borderId="4" xfId="11" applyNumberFormat="1" applyFont="1" applyFill="1" applyBorder="1" applyAlignment="1" applyProtection="1">
      <alignment horizontal="right"/>
      <protection locked="0"/>
    </xf>
    <xf numFmtId="181" fontId="35" fillId="0" borderId="8" xfId="11" applyNumberFormat="1" applyFont="1" applyFill="1" applyBorder="1" applyAlignment="1" applyProtection="1">
      <alignment horizontal="right"/>
      <protection locked="0"/>
    </xf>
    <xf numFmtId="181" fontId="35" fillId="0" borderId="7" xfId="11" applyNumberFormat="1" applyFont="1" applyFill="1" applyBorder="1" applyAlignment="1" applyProtection="1">
      <alignment horizontal="right"/>
      <protection locked="0"/>
    </xf>
    <xf numFmtId="7" fontId="38" fillId="0" borderId="10" xfId="11" applyNumberFormat="1" applyFont="1" applyFill="1" applyBorder="1" applyAlignment="1" applyProtection="1">
      <alignment horizontal="right"/>
      <protection locked="0"/>
    </xf>
    <xf numFmtId="7" fontId="38" fillId="0" borderId="0" xfId="11" applyNumberFormat="1" applyFont="1" applyFill="1" applyBorder="1" applyAlignment="1" applyProtection="1">
      <alignment horizontal="right"/>
      <protection locked="0"/>
    </xf>
    <xf numFmtId="181" fontId="35" fillId="0" borderId="0" xfId="11" applyNumberFormat="1" applyFont="1" applyFill="1" applyBorder="1" applyProtection="1">
      <protection locked="0"/>
    </xf>
    <xf numFmtId="167" fontId="35" fillId="0" borderId="7" xfId="24" applyNumberFormat="1" applyFont="1" applyFill="1" applyBorder="1" applyAlignment="1" applyProtection="1">
      <alignment horizontal="right"/>
      <protection locked="0"/>
    </xf>
    <xf numFmtId="0" fontId="34" fillId="0" borderId="0" xfId="0" applyNumberFormat="1" applyFont="1" applyFill="1" applyBorder="1" applyAlignment="1" applyProtection="1">
      <protection locked="0"/>
    </xf>
    <xf numFmtId="181" fontId="34" fillId="0" borderId="0" xfId="11" applyNumberFormat="1" applyFont="1" applyFill="1" applyBorder="1" applyAlignment="1" applyProtection="1">
      <alignment horizontal="right"/>
      <protection locked="0"/>
    </xf>
    <xf numFmtId="0" fontId="4" fillId="6" borderId="0" xfId="0" applyFont="1" applyFill="1" applyBorder="1"/>
    <xf numFmtId="0" fontId="4" fillId="7" borderId="0" xfId="0" applyFont="1" applyFill="1" applyBorder="1"/>
    <xf numFmtId="167" fontId="4" fillId="6" borderId="0" xfId="24" applyNumberFormat="1" applyFont="1" applyFill="1" applyBorder="1" applyAlignment="1" applyProtection="1">
      <alignment horizontal="right"/>
    </xf>
    <xf numFmtId="167" fontId="4" fillId="7" borderId="0" xfId="24" applyNumberFormat="1" applyFont="1" applyFill="1" applyBorder="1" applyAlignment="1" applyProtection="1">
      <alignment horizontal="right"/>
    </xf>
    <xf numFmtId="43" fontId="34" fillId="0" borderId="10" xfId="11" applyFont="1" applyFill="1" applyBorder="1" applyAlignment="1" applyProtection="1">
      <alignment horizontal="right"/>
      <protection locked="0"/>
    </xf>
    <xf numFmtId="43" fontId="34" fillId="0" borderId="7" xfId="11" applyFont="1" applyFill="1" applyBorder="1" applyAlignment="1" applyProtection="1">
      <alignment horizontal="right"/>
      <protection locked="0"/>
    </xf>
    <xf numFmtId="0" fontId="13" fillId="0" borderId="0" xfId="0" applyFont="1" applyFill="1" applyBorder="1"/>
    <xf numFmtId="167" fontId="39" fillId="0" borderId="0" xfId="24" applyNumberFormat="1" applyFont="1" applyFill="1" applyBorder="1" applyAlignment="1">
      <alignment horizontal="right"/>
    </xf>
    <xf numFmtId="9" fontId="4" fillId="0" borderId="0" xfId="24" applyFont="1" applyFill="1" applyBorder="1" applyAlignment="1">
      <alignment horizontal="right"/>
    </xf>
    <xf numFmtId="167" fontId="30" fillId="0" borderId="0" xfId="24" applyNumberFormat="1" applyFont="1" applyFill="1" applyBorder="1"/>
    <xf numFmtId="167" fontId="30" fillId="0" borderId="0" xfId="24" applyNumberFormat="1" applyFont="1" applyFill="1" applyBorder="1" applyAlignment="1">
      <alignment horizontal="right"/>
    </xf>
    <xf numFmtId="181" fontId="35" fillId="0" borderId="10" xfId="0" applyNumberFormat="1" applyFont="1" applyFill="1" applyBorder="1" applyAlignment="1" applyProtection="1">
      <alignment horizontal="right"/>
      <protection locked="0"/>
    </xf>
    <xf numFmtId="181" fontId="35" fillId="0" borderId="0" xfId="0" applyNumberFormat="1" applyFont="1" applyFill="1" applyBorder="1" applyAlignment="1" applyProtection="1">
      <alignment horizontal="right"/>
      <protection locked="0"/>
    </xf>
    <xf numFmtId="184" fontId="4" fillId="0" borderId="0" xfId="0" applyNumberFormat="1" applyFont="1" applyFill="1" applyBorder="1" applyAlignment="1" applyProtection="1">
      <alignment horizontal="right"/>
      <protection locked="0"/>
    </xf>
    <xf numFmtId="39" fontId="35" fillId="0" borderId="10" xfId="11" applyNumberFormat="1" applyFont="1" applyFill="1" applyBorder="1" applyProtection="1">
      <protection locked="0"/>
    </xf>
    <xf numFmtId="167" fontId="4" fillId="0" borderId="0" xfId="0" applyNumberFormat="1" applyFont="1" applyFill="1" applyBorder="1"/>
    <xf numFmtId="9" fontId="4" fillId="0" borderId="0" xfId="24" applyFont="1" applyFill="1" applyBorder="1"/>
    <xf numFmtId="168" fontId="4" fillId="0" borderId="0" xfId="11" applyNumberFormat="1" applyFont="1" applyFill="1" applyBorder="1"/>
    <xf numFmtId="167" fontId="38" fillId="0" borderId="0" xfId="24" applyNumberFormat="1" applyFont="1" applyFill="1" applyBorder="1" applyAlignment="1" applyProtection="1">
      <alignment horizontal="right"/>
      <protection locked="0"/>
    </xf>
    <xf numFmtId="173" fontId="33" fillId="4" borderId="0" xfId="0" applyNumberFormat="1" applyFont="1" applyFill="1" applyBorder="1" applyAlignment="1" applyProtection="1">
      <protection locked="0"/>
    </xf>
    <xf numFmtId="181" fontId="33" fillId="4" borderId="0" xfId="11" applyNumberFormat="1" applyFont="1" applyFill="1" applyBorder="1" applyAlignment="1" applyProtection="1">
      <alignment horizontal="right"/>
      <protection locked="0"/>
    </xf>
    <xf numFmtId="181" fontId="33" fillId="4" borderId="0" xfId="13" applyNumberFormat="1" applyFont="1" applyFill="1" applyBorder="1" applyAlignment="1" applyProtection="1">
      <alignment horizontal="right"/>
      <protection locked="0"/>
    </xf>
    <xf numFmtId="181" fontId="13" fillId="0" borderId="27" xfId="11" applyNumberFormat="1" applyFont="1" applyFill="1" applyBorder="1" applyAlignment="1" applyProtection="1">
      <alignment horizontal="right"/>
      <protection locked="0"/>
    </xf>
    <xf numFmtId="181" fontId="13" fillId="0" borderId="4" xfId="11" applyNumberFormat="1" applyFont="1" applyFill="1" applyBorder="1" applyAlignment="1" applyProtection="1">
      <alignment horizontal="right"/>
      <protection locked="0"/>
    </xf>
    <xf numFmtId="181" fontId="13" fillId="0" borderId="16" xfId="11" applyNumberFormat="1" applyFont="1" applyFill="1" applyBorder="1" applyAlignment="1" applyProtection="1">
      <alignment horizontal="right"/>
      <protection locked="0"/>
    </xf>
    <xf numFmtId="181" fontId="13" fillId="0" borderId="12" xfId="11" applyNumberFormat="1" applyFont="1" applyFill="1" applyBorder="1" applyAlignment="1" applyProtection="1">
      <alignment horizontal="right"/>
      <protection locked="0"/>
    </xf>
    <xf numFmtId="181" fontId="13" fillId="0" borderId="8" xfId="11" applyNumberFormat="1" applyFont="1" applyFill="1" applyBorder="1" applyAlignment="1" applyProtection="1">
      <alignment horizontal="right"/>
      <protection locked="0"/>
    </xf>
    <xf numFmtId="181" fontId="13" fillId="0" borderId="15" xfId="11" applyNumberFormat="1" applyFont="1" applyFill="1" applyBorder="1" applyAlignment="1" applyProtection="1">
      <alignment horizontal="right"/>
      <protection locked="0"/>
    </xf>
    <xf numFmtId="181" fontId="37" fillId="0" borderId="27" xfId="11" applyNumberFormat="1" applyFont="1" applyFill="1" applyBorder="1" applyAlignment="1" applyProtection="1">
      <alignment horizontal="right"/>
      <protection locked="0"/>
    </xf>
    <xf numFmtId="181" fontId="37" fillId="0" borderId="4" xfId="11" applyNumberFormat="1" applyFont="1" applyFill="1" applyBorder="1" applyAlignment="1" applyProtection="1">
      <alignment horizontal="right"/>
      <protection locked="0"/>
    </xf>
    <xf numFmtId="181" fontId="37" fillId="0" borderId="8" xfId="11" applyNumberFormat="1" applyFont="1" applyFill="1" applyBorder="1" applyAlignment="1" applyProtection="1">
      <alignment horizontal="right"/>
      <protection locked="0"/>
    </xf>
    <xf numFmtId="0" fontId="13" fillId="0" borderId="15" xfId="0" applyFont="1" applyFill="1" applyBorder="1" applyAlignment="1" applyProtection="1">
      <protection locked="0"/>
    </xf>
    <xf numFmtId="167" fontId="38" fillId="0" borderId="10" xfId="24" applyNumberFormat="1" applyFont="1" applyFill="1" applyBorder="1" applyAlignment="1" applyProtection="1">
      <alignment horizontal="right"/>
      <protection locked="0"/>
    </xf>
    <xf numFmtId="167" fontId="38" fillId="0" borderId="27" xfId="24" applyNumberFormat="1" applyFont="1" applyFill="1" applyBorder="1" applyAlignment="1" applyProtection="1">
      <alignment horizontal="right"/>
    </xf>
    <xf numFmtId="167" fontId="38" fillId="0" borderId="4" xfId="24" applyNumberFormat="1" applyFont="1" applyFill="1" applyBorder="1" applyAlignment="1" applyProtection="1">
      <alignment horizontal="right"/>
    </xf>
    <xf numFmtId="167" fontId="4" fillId="0" borderId="27" xfId="24" applyNumberFormat="1" applyFont="1" applyFill="1" applyBorder="1" applyAlignment="1" applyProtection="1">
      <alignment horizontal="right"/>
    </xf>
    <xf numFmtId="167" fontId="38" fillId="0" borderId="8" xfId="24" applyNumberFormat="1" applyFont="1" applyFill="1" applyBorder="1" applyAlignment="1" applyProtection="1">
      <alignment horizontal="right"/>
    </xf>
    <xf numFmtId="181" fontId="39" fillId="0" borderId="27" xfId="11" applyNumberFormat="1" applyFont="1" applyFill="1" applyBorder="1" applyAlignment="1" applyProtection="1">
      <alignment horizontal="right"/>
      <protection locked="0"/>
    </xf>
    <xf numFmtId="181" fontId="39" fillId="0" borderId="4" xfId="11" applyNumberFormat="1" applyFont="1" applyFill="1" applyBorder="1" applyAlignment="1" applyProtection="1">
      <alignment horizontal="right"/>
      <protection locked="0"/>
    </xf>
    <xf numFmtId="0" fontId="34" fillId="0" borderId="7" xfId="0" applyFont="1" applyFill="1" applyBorder="1" applyAlignment="1" applyProtection="1">
      <protection locked="0"/>
    </xf>
    <xf numFmtId="181" fontId="4" fillId="0" borderId="27" xfId="11" applyNumberFormat="1" applyFont="1" applyFill="1" applyBorder="1" applyAlignment="1" applyProtection="1">
      <alignment horizontal="right"/>
      <protection locked="0"/>
    </xf>
    <xf numFmtId="181" fontId="39" fillId="0" borderId="16" xfId="11" applyNumberFormat="1" applyFont="1" applyFill="1" applyBorder="1" applyAlignment="1" applyProtection="1">
      <alignment horizontal="right"/>
      <protection locked="0"/>
    </xf>
    <xf numFmtId="181" fontId="38" fillId="0" borderId="4" xfId="11" applyNumberFormat="1" applyFont="1" applyFill="1" applyBorder="1" applyAlignment="1" applyProtection="1">
      <alignment horizontal="right"/>
      <protection locked="0"/>
    </xf>
    <xf numFmtId="181" fontId="38" fillId="0" borderId="8" xfId="11" applyNumberFormat="1" applyFont="1" applyFill="1" applyBorder="1" applyAlignment="1" applyProtection="1">
      <alignment horizontal="right"/>
      <protection locked="0"/>
    </xf>
    <xf numFmtId="167" fontId="4" fillId="0" borderId="27" xfId="24" applyNumberFormat="1" applyFont="1" applyFill="1" applyBorder="1" applyAlignment="1" applyProtection="1">
      <alignment horizontal="right"/>
      <protection locked="0"/>
    </xf>
    <xf numFmtId="167" fontId="13" fillId="0" borderId="16" xfId="24" applyNumberFormat="1" applyFont="1" applyFill="1" applyBorder="1" applyAlignment="1" applyProtection="1">
      <alignment horizontal="right"/>
      <protection locked="0"/>
    </xf>
    <xf numFmtId="167" fontId="13" fillId="0" borderId="12" xfId="24" applyNumberFormat="1" applyFont="1" applyFill="1" applyBorder="1" applyAlignment="1" applyProtection="1">
      <alignment horizontal="right"/>
      <protection locked="0"/>
    </xf>
    <xf numFmtId="167" fontId="13" fillId="0" borderId="15" xfId="24" applyNumberFormat="1" applyFont="1" applyFill="1" applyBorder="1" applyAlignment="1" applyProtection="1">
      <alignment horizontal="right"/>
      <protection locked="0"/>
    </xf>
    <xf numFmtId="167" fontId="4" fillId="0" borderId="16" xfId="24" applyNumberFormat="1" applyFont="1" applyFill="1" applyBorder="1" applyAlignment="1" applyProtection="1">
      <alignment horizontal="right"/>
      <protection locked="0"/>
    </xf>
    <xf numFmtId="167" fontId="4" fillId="0" borderId="15" xfId="24" applyNumberFormat="1" applyFont="1" applyFill="1" applyBorder="1" applyAlignment="1" applyProtection="1">
      <alignment horizontal="right"/>
      <protection locked="0"/>
    </xf>
    <xf numFmtId="0" fontId="29" fillId="0" borderId="27" xfId="0" applyFont="1" applyFill="1" applyBorder="1" applyAlignment="1"/>
    <xf numFmtId="0" fontId="29" fillId="0" borderId="4" xfId="0" applyFont="1" applyFill="1" applyBorder="1" applyAlignment="1"/>
    <xf numFmtId="0" fontId="13" fillId="0" borderId="10" xfId="0" applyFont="1" applyFill="1" applyBorder="1" applyAlignment="1"/>
    <xf numFmtId="0" fontId="4" fillId="0" borderId="10" xfId="0" applyFont="1" applyFill="1" applyBorder="1" applyAlignment="1">
      <alignment horizontal="right"/>
    </xf>
    <xf numFmtId="0" fontId="4" fillId="0" borderId="10" xfId="0" applyFont="1" applyFill="1" applyBorder="1" applyAlignment="1">
      <alignment horizontal="left"/>
    </xf>
    <xf numFmtId="0" fontId="4" fillId="0" borderId="10" xfId="0" applyFont="1" applyFill="1" applyBorder="1" applyAlignment="1"/>
    <xf numFmtId="167" fontId="4" fillId="0" borderId="10" xfId="24" applyNumberFormat="1" applyFont="1" applyFill="1" applyBorder="1" applyAlignment="1">
      <alignment horizontal="right"/>
    </xf>
    <xf numFmtId="0" fontId="29" fillId="0" borderId="8" xfId="0" applyFont="1" applyFill="1" applyBorder="1" applyAlignment="1"/>
    <xf numFmtId="0" fontId="13" fillId="0" borderId="7" xfId="0" applyFont="1" applyFill="1" applyBorder="1" applyAlignment="1"/>
    <xf numFmtId="0" fontId="4" fillId="0" borderId="7" xfId="0" applyFont="1" applyFill="1" applyBorder="1" applyAlignment="1">
      <alignment horizontal="right"/>
    </xf>
    <xf numFmtId="167" fontId="4" fillId="0" borderId="7" xfId="24" applyNumberFormat="1" applyFont="1" applyFill="1" applyBorder="1" applyAlignment="1">
      <alignment horizontal="right"/>
    </xf>
    <xf numFmtId="0" fontId="33" fillId="0" borderId="27" xfId="0" applyFont="1" applyFill="1" applyBorder="1" applyAlignment="1">
      <alignment horizontal="right"/>
    </xf>
    <xf numFmtId="0" fontId="33" fillId="0" borderId="4" xfId="0" applyFont="1" applyFill="1" applyBorder="1" applyAlignment="1">
      <alignment horizontal="right"/>
    </xf>
    <xf numFmtId="0" fontId="13" fillId="0" borderId="10" xfId="0" applyFont="1" applyFill="1" applyBorder="1" applyAlignment="1">
      <alignment horizontal="right"/>
    </xf>
    <xf numFmtId="167" fontId="39" fillId="0" borderId="10" xfId="24" applyNumberFormat="1" applyFont="1" applyFill="1" applyBorder="1" applyAlignment="1" applyProtection="1">
      <alignment horizontal="right"/>
      <protection locked="0"/>
    </xf>
    <xf numFmtId="167" fontId="39" fillId="0" borderId="16" xfId="24" applyNumberFormat="1" applyFont="1" applyFill="1" applyBorder="1" applyAlignment="1" applyProtection="1">
      <alignment horizontal="right"/>
      <protection locked="0"/>
    </xf>
    <xf numFmtId="167" fontId="39" fillId="0" borderId="12" xfId="24" applyNumberFormat="1" applyFont="1" applyFill="1" applyBorder="1" applyAlignment="1" applyProtection="1">
      <alignment horizontal="right"/>
      <protection locked="0"/>
    </xf>
    <xf numFmtId="167" fontId="39" fillId="0" borderId="7" xfId="24" applyNumberFormat="1" applyFont="1" applyFill="1" applyBorder="1" applyAlignment="1" applyProtection="1">
      <alignment horizontal="right"/>
      <protection locked="0"/>
    </xf>
    <xf numFmtId="0" fontId="13" fillId="0" borderId="7" xfId="0" applyFont="1" applyFill="1" applyBorder="1" applyAlignment="1">
      <alignment horizontal="right"/>
    </xf>
    <xf numFmtId="0" fontId="29" fillId="0" borderId="4" xfId="0" applyFont="1" applyFill="1" applyBorder="1" applyAlignment="1">
      <alignment horizontal="right"/>
    </xf>
    <xf numFmtId="43" fontId="33" fillId="0" borderId="4" xfId="0" applyNumberFormat="1" applyFont="1" applyFill="1" applyBorder="1" applyAlignment="1">
      <alignment horizontal="right"/>
    </xf>
    <xf numFmtId="0" fontId="13" fillId="0" borderId="7" xfId="0" applyFont="1" applyFill="1" applyBorder="1" applyAlignment="1">
      <alignment horizontal="left"/>
    </xf>
    <xf numFmtId="0" fontId="4" fillId="0" borderId="7" xfId="0" applyFont="1" applyFill="1" applyBorder="1" applyAlignment="1">
      <alignment horizontal="left"/>
    </xf>
    <xf numFmtId="167" fontId="4" fillId="0" borderId="10" xfId="24" applyNumberFormat="1" applyFont="1" applyFill="1" applyBorder="1" applyAlignment="1">
      <alignment horizontal="left"/>
    </xf>
    <xf numFmtId="0" fontId="4" fillId="0" borderId="7" xfId="0" applyFont="1" applyFill="1" applyBorder="1" applyAlignment="1"/>
    <xf numFmtId="167" fontId="4" fillId="0" borderId="7" xfId="24" applyNumberFormat="1" applyFont="1" applyFill="1" applyBorder="1" applyAlignment="1">
      <alignment horizontal="left"/>
    </xf>
    <xf numFmtId="0" fontId="13" fillId="0" borderId="8" xfId="0" applyFont="1" applyFill="1" applyBorder="1" applyAlignment="1"/>
    <xf numFmtId="0" fontId="28" fillId="0" borderId="7" xfId="0" applyFont="1" applyFill="1" applyBorder="1" applyAlignment="1"/>
    <xf numFmtId="167" fontId="13" fillId="0" borderId="10" xfId="24" applyNumberFormat="1" applyFont="1" applyFill="1" applyBorder="1" applyAlignment="1" applyProtection="1">
      <alignment horizontal="right"/>
      <protection locked="0"/>
    </xf>
    <xf numFmtId="181" fontId="4" fillId="0" borderId="7" xfId="0" applyNumberFormat="1" applyFont="1" applyFill="1" applyBorder="1"/>
    <xf numFmtId="167" fontId="13" fillId="0" borderId="7" xfId="24" applyNumberFormat="1" applyFont="1" applyFill="1" applyBorder="1" applyAlignment="1" applyProtection="1">
      <alignment horizontal="right"/>
      <protection locked="0"/>
    </xf>
    <xf numFmtId="0" fontId="13" fillId="0" borderId="10" xfId="0" applyFont="1" applyFill="1" applyBorder="1"/>
    <xf numFmtId="0" fontId="13" fillId="0" borderId="7" xfId="0" applyFont="1" applyFill="1" applyBorder="1"/>
    <xf numFmtId="167" fontId="35" fillId="0" borderId="27" xfId="24" applyNumberFormat="1" applyFont="1" applyFill="1" applyBorder="1" applyAlignment="1" applyProtection="1">
      <alignment horizontal="right"/>
    </xf>
    <xf numFmtId="167" fontId="35" fillId="0" borderId="4" xfId="24" applyNumberFormat="1" applyFont="1" applyFill="1" applyBorder="1" applyAlignment="1" applyProtection="1">
      <alignment horizontal="right"/>
    </xf>
    <xf numFmtId="167" fontId="35" fillId="0" borderId="10" xfId="24" applyNumberFormat="1" applyFont="1" applyFill="1" applyBorder="1" applyAlignment="1" applyProtection="1">
      <alignment horizontal="right"/>
    </xf>
    <xf numFmtId="167" fontId="35" fillId="0" borderId="8" xfId="24" applyNumberFormat="1" applyFont="1" applyFill="1" applyBorder="1" applyAlignment="1" applyProtection="1">
      <alignment horizontal="right"/>
    </xf>
    <xf numFmtId="167" fontId="35" fillId="0" borderId="7" xfId="24" applyNumberFormat="1" applyFont="1" applyFill="1" applyBorder="1" applyAlignment="1" applyProtection="1">
      <alignment horizontal="right"/>
    </xf>
    <xf numFmtId="181" fontId="29" fillId="4" borderId="7" xfId="11" applyNumberFormat="1" applyFont="1" applyFill="1" applyBorder="1" applyAlignment="1" applyProtection="1">
      <alignment horizontal="right"/>
      <protection locked="0"/>
    </xf>
    <xf numFmtId="181" fontId="35" fillId="0" borderId="27" xfId="11" applyNumberFormat="1" applyFont="1" applyFill="1" applyBorder="1" applyAlignment="1" applyProtection="1">
      <alignment horizontal="right"/>
      <protection locked="0"/>
    </xf>
    <xf numFmtId="181" fontId="35" fillId="0" borderId="16" xfId="11" applyNumberFormat="1" applyFont="1" applyFill="1" applyBorder="1" applyAlignment="1" applyProtection="1">
      <alignment horizontal="right"/>
      <protection locked="0"/>
    </xf>
    <xf numFmtId="181" fontId="35" fillId="0" borderId="12" xfId="11" applyNumberFormat="1" applyFont="1" applyFill="1" applyBorder="1" applyAlignment="1" applyProtection="1">
      <alignment horizontal="right"/>
      <protection locked="0"/>
    </xf>
    <xf numFmtId="181" fontId="35" fillId="0" borderId="15" xfId="11" applyNumberFormat="1" applyFont="1" applyFill="1" applyBorder="1" applyAlignment="1" applyProtection="1">
      <alignment horizontal="right"/>
      <protection locked="0"/>
    </xf>
    <xf numFmtId="181" fontId="36" fillId="0" borderId="27" xfId="11" applyNumberFormat="1" applyFont="1" applyFill="1" applyBorder="1" applyAlignment="1" applyProtection="1">
      <alignment horizontal="right"/>
      <protection locked="0"/>
    </xf>
    <xf numFmtId="181" fontId="36" fillId="0" borderId="4" xfId="11" applyNumberFormat="1" applyFont="1" applyFill="1" applyBorder="1" applyAlignment="1" applyProtection="1">
      <alignment horizontal="right"/>
      <protection locked="0"/>
    </xf>
    <xf numFmtId="181" fontId="36" fillId="0" borderId="8" xfId="11" applyNumberFormat="1" applyFont="1" applyFill="1" applyBorder="1" applyAlignment="1" applyProtection="1">
      <alignment horizontal="right"/>
      <protection locked="0"/>
    </xf>
    <xf numFmtId="181" fontId="36" fillId="0" borderId="7" xfId="11" applyNumberFormat="1" applyFont="1" applyFill="1" applyBorder="1" applyAlignment="1" applyProtection="1">
      <alignment horizontal="right"/>
      <protection locked="0"/>
    </xf>
    <xf numFmtId="181" fontId="37" fillId="0" borderId="10" xfId="11" applyNumberFormat="1" applyFont="1" applyFill="1" applyBorder="1" applyAlignment="1" applyProtection="1">
      <alignment horizontal="right"/>
      <protection locked="0"/>
    </xf>
    <xf numFmtId="181" fontId="37" fillId="0" borderId="7" xfId="11" applyNumberFormat="1" applyFont="1" applyFill="1" applyBorder="1" applyAlignment="1" applyProtection="1">
      <alignment horizontal="right"/>
      <protection locked="0"/>
    </xf>
    <xf numFmtId="0" fontId="38" fillId="0" borderId="10" xfId="0" applyFont="1" applyFill="1" applyBorder="1"/>
    <xf numFmtId="0" fontId="38" fillId="0" borderId="0" xfId="0" applyFont="1" applyFill="1" applyBorder="1"/>
    <xf numFmtId="0" fontId="38" fillId="0" borderId="7" xfId="0" applyFont="1" applyFill="1" applyBorder="1"/>
    <xf numFmtId="173" fontId="13" fillId="0" borderId="0" xfId="0" applyNumberFormat="1" applyFont="1" applyFill="1" applyBorder="1" applyProtection="1">
      <protection locked="0"/>
    </xf>
    <xf numFmtId="0" fontId="39" fillId="0" borderId="0" xfId="0" applyFont="1" applyFill="1" applyBorder="1"/>
    <xf numFmtId="0" fontId="39" fillId="0" borderId="0" xfId="0" applyFont="1" applyFill="1" applyBorder="1" applyAlignment="1" applyProtection="1">
      <alignment horizontal="right"/>
      <protection locked="0"/>
    </xf>
    <xf numFmtId="9" fontId="39" fillId="0" borderId="0" xfId="24" applyFont="1" applyFill="1" applyBorder="1" applyAlignment="1" applyProtection="1">
      <alignment horizontal="right"/>
      <protection locked="0"/>
    </xf>
    <xf numFmtId="173" fontId="39" fillId="0" borderId="0" xfId="0" applyNumberFormat="1" applyFont="1" applyFill="1" applyBorder="1" applyAlignment="1" applyProtection="1">
      <alignment horizontal="right"/>
      <protection locked="0"/>
    </xf>
    <xf numFmtId="184" fontId="39" fillId="0" borderId="0" xfId="0" applyNumberFormat="1" applyFont="1" applyFill="1" applyBorder="1" applyAlignment="1" applyProtection="1">
      <alignment horizontal="right"/>
      <protection locked="0"/>
    </xf>
    <xf numFmtId="169" fontId="39" fillId="0" borderId="0" xfId="11" applyNumberFormat="1" applyFont="1" applyFill="1" applyBorder="1" applyAlignment="1" applyProtection="1">
      <alignment horizontal="right"/>
      <protection locked="0"/>
    </xf>
    <xf numFmtId="0" fontId="39" fillId="0" borderId="0" xfId="0" applyFont="1" applyFill="1" applyBorder="1" applyProtection="1">
      <protection locked="0"/>
    </xf>
    <xf numFmtId="0" fontId="39" fillId="0" borderId="0" xfId="0" applyFont="1" applyFill="1" applyBorder="1" applyProtection="1"/>
    <xf numFmtId="0" fontId="39" fillId="0" borderId="0" xfId="0" applyFont="1" applyFill="1" applyBorder="1" applyAlignment="1" applyProtection="1">
      <alignment horizontal="left"/>
      <protection locked="0"/>
    </xf>
    <xf numFmtId="0" fontId="13" fillId="0" borderId="29" xfId="0" applyFont="1" applyFill="1" applyBorder="1" applyAlignment="1" applyProtection="1">
      <protection locked="0"/>
    </xf>
    <xf numFmtId="173" fontId="13" fillId="0" borderId="28" xfId="0" applyNumberFormat="1" applyFont="1" applyFill="1" applyBorder="1" applyProtection="1">
      <protection locked="0"/>
    </xf>
    <xf numFmtId="181" fontId="13" fillId="0" borderId="29" xfId="11" applyNumberFormat="1" applyFont="1" applyFill="1" applyBorder="1" applyAlignment="1" applyProtection="1">
      <alignment horizontal="right"/>
      <protection locked="0"/>
    </xf>
    <xf numFmtId="181" fontId="13" fillId="0" borderId="28" xfId="11" applyNumberFormat="1" applyFont="1" applyFill="1" applyBorder="1" applyAlignment="1" applyProtection="1">
      <alignment horizontal="right"/>
      <protection locked="0"/>
    </xf>
    <xf numFmtId="181" fontId="13" fillId="0" borderId="30" xfId="11" applyNumberFormat="1" applyFont="1" applyFill="1" applyBorder="1" applyAlignment="1" applyProtection="1">
      <alignment horizontal="right"/>
      <protection locked="0"/>
    </xf>
    <xf numFmtId="0" fontId="13" fillId="0" borderId="15" xfId="0" applyFont="1" applyFill="1" applyBorder="1"/>
    <xf numFmtId="181" fontId="53" fillId="0" borderId="10" xfId="11" applyNumberFormat="1" applyFont="1" applyFill="1" applyBorder="1" applyAlignment="1" applyProtection="1">
      <alignment horizontal="right"/>
      <protection locked="0"/>
    </xf>
    <xf numFmtId="181" fontId="53" fillId="0" borderId="0" xfId="11" applyNumberFormat="1" applyFont="1" applyFill="1" applyBorder="1" applyAlignment="1" applyProtection="1">
      <alignment horizontal="right"/>
      <protection locked="0"/>
    </xf>
    <xf numFmtId="0" fontId="13" fillId="0" borderId="9" xfId="41" applyFont="1" applyFill="1" applyBorder="1"/>
    <xf numFmtId="167" fontId="4" fillId="0" borderId="10" xfId="24" applyNumberFormat="1" applyFont="1" applyFill="1" applyBorder="1"/>
    <xf numFmtId="167" fontId="4" fillId="0" borderId="7" xfId="24" applyNumberFormat="1" applyFont="1" applyFill="1" applyBorder="1" applyAlignment="1"/>
    <xf numFmtId="167" fontId="39" fillId="0" borderId="10" xfId="24" applyNumberFormat="1" applyFont="1" applyFill="1" applyBorder="1" applyAlignment="1">
      <alignment horizontal="right"/>
    </xf>
    <xf numFmtId="9" fontId="4" fillId="0" borderId="10" xfId="24" applyFont="1" applyFill="1" applyBorder="1" applyAlignment="1">
      <alignment horizontal="right"/>
    </xf>
    <xf numFmtId="167" fontId="30" fillId="0" borderId="10" xfId="24" applyNumberFormat="1" applyFont="1" applyFill="1" applyBorder="1"/>
    <xf numFmtId="167" fontId="30" fillId="0" borderId="10" xfId="24" applyNumberFormat="1" applyFont="1" applyFill="1" applyBorder="1" applyAlignment="1">
      <alignment horizontal="right"/>
    </xf>
    <xf numFmtId="167" fontId="16" fillId="0" borderId="10" xfId="24" applyNumberFormat="1" applyFont="1" applyFill="1" applyBorder="1" applyAlignment="1"/>
    <xf numFmtId="37" fontId="39" fillId="0" borderId="10" xfId="11" applyNumberFormat="1" applyFont="1" applyFill="1" applyBorder="1" applyAlignment="1" applyProtection="1">
      <alignment horizontal="right"/>
      <protection locked="0"/>
    </xf>
    <xf numFmtId="37" fontId="39" fillId="0" borderId="0" xfId="11" applyNumberFormat="1" applyFont="1" applyFill="1" applyBorder="1" applyAlignment="1" applyProtection="1">
      <alignment horizontal="right"/>
      <protection locked="0"/>
    </xf>
    <xf numFmtId="37" fontId="4" fillId="0" borderId="7" xfId="11" applyNumberFormat="1" applyFont="1" applyFill="1" applyBorder="1" applyAlignment="1" applyProtection="1">
      <alignment horizontal="right"/>
      <protection locked="0"/>
    </xf>
    <xf numFmtId="37" fontId="4" fillId="0" borderId="0" xfId="11" applyNumberFormat="1" applyFont="1" applyFill="1" applyBorder="1" applyAlignment="1" applyProtection="1">
      <alignment horizontal="right"/>
      <protection locked="0"/>
    </xf>
    <xf numFmtId="37" fontId="4" fillId="0" borderId="10" xfId="11" applyNumberFormat="1" applyFont="1" applyFill="1" applyBorder="1" applyAlignment="1" applyProtection="1">
      <alignment horizontal="right"/>
      <protection locked="0"/>
    </xf>
    <xf numFmtId="37" fontId="39" fillId="0" borderId="16" xfId="11" applyNumberFormat="1" applyFont="1" applyFill="1" applyBorder="1" applyAlignment="1" applyProtection="1">
      <alignment horizontal="right"/>
      <protection locked="0"/>
    </xf>
    <xf numFmtId="37" fontId="39" fillId="0" borderId="12" xfId="11" applyNumberFormat="1" applyFont="1" applyFill="1" applyBorder="1" applyAlignment="1" applyProtection="1">
      <alignment horizontal="right"/>
      <protection locked="0"/>
    </xf>
    <xf numFmtId="37" fontId="4" fillId="0" borderId="15" xfId="11" applyNumberFormat="1" applyFont="1" applyFill="1" applyBorder="1" applyAlignment="1" applyProtection="1">
      <alignment horizontal="right"/>
      <protection locked="0"/>
    </xf>
    <xf numFmtId="37" fontId="4" fillId="0" borderId="16" xfId="11" applyNumberFormat="1" applyFont="1" applyFill="1" applyBorder="1" applyAlignment="1" applyProtection="1">
      <alignment horizontal="right"/>
      <protection locked="0"/>
    </xf>
    <xf numFmtId="37" fontId="4" fillId="0" borderId="12" xfId="11" applyNumberFormat="1" applyFont="1" applyFill="1" applyBorder="1" applyAlignment="1" applyProtection="1">
      <alignment horizontal="right"/>
      <protection locked="0"/>
    </xf>
    <xf numFmtId="0" fontId="54" fillId="3" borderId="0" xfId="54" applyFont="1" applyFill="1"/>
    <xf numFmtId="0" fontId="46" fillId="3" borderId="0" xfId="54" applyFill="1"/>
    <xf numFmtId="0" fontId="3" fillId="0" borderId="0" xfId="0" applyFont="1"/>
    <xf numFmtId="0" fontId="55" fillId="3" borderId="0" xfId="54" applyFont="1" applyFill="1"/>
    <xf numFmtId="0" fontId="55" fillId="3" borderId="0" xfId="54" applyFont="1" applyFill="1" applyBorder="1" applyAlignment="1">
      <alignment horizontal="center"/>
    </xf>
    <xf numFmtId="0" fontId="56" fillId="9" borderId="30" xfId="54" applyFont="1" applyFill="1" applyBorder="1" applyAlignment="1">
      <alignment vertical="center" wrapText="1"/>
    </xf>
    <xf numFmtId="0" fontId="57" fillId="9" borderId="28" xfId="0" applyFont="1" applyFill="1" applyBorder="1"/>
    <xf numFmtId="0" fontId="56" fillId="9" borderId="30" xfId="54" applyFont="1" applyFill="1" applyBorder="1" applyAlignment="1">
      <alignment horizontal="right"/>
    </xf>
    <xf numFmtId="0" fontId="45" fillId="3" borderId="0" xfId="0" applyFont="1" applyFill="1"/>
    <xf numFmtId="0" fontId="58" fillId="3" borderId="0" xfId="54" applyFont="1" applyFill="1" applyAlignment="1">
      <alignment horizontal="left"/>
    </xf>
    <xf numFmtId="0" fontId="45" fillId="3" borderId="0" xfId="54" applyFont="1" applyFill="1"/>
    <xf numFmtId="0" fontId="59" fillId="3" borderId="0" xfId="54" applyFont="1" applyFill="1" applyAlignment="1">
      <alignment horizontal="left"/>
    </xf>
    <xf numFmtId="0" fontId="44" fillId="3" borderId="0" xfId="54" applyFont="1" applyFill="1"/>
    <xf numFmtId="0" fontId="60" fillId="3" borderId="0" xfId="54" applyFont="1" applyFill="1"/>
    <xf numFmtId="0" fontId="61" fillId="3" borderId="0" xfId="54" applyFont="1" applyFill="1"/>
    <xf numFmtId="0" fontId="62" fillId="3" borderId="0" xfId="0" applyFont="1" applyFill="1"/>
    <xf numFmtId="0" fontId="5" fillId="0" borderId="0" xfId="16" applyAlignment="1" applyProtection="1"/>
    <xf numFmtId="0" fontId="13" fillId="10" borderId="8" xfId="0" applyFont="1" applyFill="1" applyBorder="1" applyAlignment="1" applyProtection="1">
      <protection locked="0"/>
    </xf>
    <xf numFmtId="173" fontId="13" fillId="10" borderId="4" xfId="0" applyNumberFormat="1" applyFont="1" applyFill="1" applyBorder="1" applyAlignment="1" applyProtection="1">
      <protection locked="0"/>
    </xf>
    <xf numFmtId="7" fontId="13" fillId="10" borderId="8" xfId="11" applyNumberFormat="1" applyFont="1" applyFill="1" applyBorder="1" applyAlignment="1" applyProtection="1">
      <alignment horizontal="right"/>
      <protection locked="0"/>
    </xf>
    <xf numFmtId="7" fontId="13" fillId="10" borderId="4" xfId="11" applyNumberFormat="1" applyFont="1" applyFill="1" applyBorder="1" applyAlignment="1" applyProtection="1">
      <alignment horizontal="right"/>
      <protection locked="0"/>
    </xf>
    <xf numFmtId="7" fontId="13" fillId="10" borderId="9" xfId="11" applyNumberFormat="1" applyFont="1" applyFill="1" applyBorder="1" applyAlignment="1" applyProtection="1">
      <alignment horizontal="right"/>
      <protection locked="0"/>
    </xf>
    <xf numFmtId="0" fontId="16" fillId="0" borderId="7" xfId="0" applyFont="1" applyFill="1" applyBorder="1" applyAlignment="1" applyProtection="1">
      <protection locked="0"/>
    </xf>
    <xf numFmtId="0" fontId="16" fillId="0" borderId="0" xfId="0" applyNumberFormat="1" applyFont="1" applyFill="1" applyBorder="1" applyAlignment="1" applyProtection="1">
      <protection locked="0"/>
    </xf>
    <xf numFmtId="167" fontId="16" fillId="0" borderId="7" xfId="24" applyNumberFormat="1" applyFont="1" applyFill="1" applyBorder="1" applyAlignment="1" applyProtection="1">
      <alignment horizontal="right"/>
    </xf>
    <xf numFmtId="181" fontId="63" fillId="0" borderId="0" xfId="11" applyNumberFormat="1" applyFont="1" applyFill="1" applyBorder="1" applyAlignment="1" applyProtection="1">
      <alignment horizontal="right"/>
      <protection locked="0"/>
    </xf>
    <xf numFmtId="167" fontId="16" fillId="0" borderId="10" xfId="24" applyNumberFormat="1" applyFont="1" applyFill="1" applyBorder="1" applyAlignment="1" applyProtection="1">
      <alignment horizontal="right"/>
    </xf>
    <xf numFmtId="167" fontId="16" fillId="0" borderId="0" xfId="24" applyNumberFormat="1" applyFont="1" applyFill="1" applyBorder="1" applyAlignment="1" applyProtection="1">
      <alignment horizontal="right"/>
    </xf>
    <xf numFmtId="0" fontId="16" fillId="0" borderId="15" xfId="0" applyFont="1" applyFill="1" applyBorder="1" applyAlignment="1" applyProtection="1">
      <protection locked="0"/>
    </xf>
    <xf numFmtId="167" fontId="16" fillId="0" borderId="15" xfId="24" applyNumberFormat="1" applyFont="1" applyFill="1" applyBorder="1" applyAlignment="1" applyProtection="1">
      <alignment horizontal="right"/>
    </xf>
    <xf numFmtId="167" fontId="16" fillId="0" borderId="16" xfId="24" applyNumberFormat="1" applyFont="1" applyFill="1" applyBorder="1" applyAlignment="1" applyProtection="1">
      <alignment horizontal="right"/>
    </xf>
    <xf numFmtId="167" fontId="16" fillId="0" borderId="12" xfId="24" applyNumberFormat="1" applyFont="1" applyFill="1" applyBorder="1" applyAlignment="1" applyProtection="1">
      <alignment horizontal="right"/>
    </xf>
    <xf numFmtId="181" fontId="30" fillId="0" borderId="7" xfId="11" applyNumberFormat="1" applyFont="1" applyFill="1" applyBorder="1" applyAlignment="1" applyProtection="1">
      <alignment horizontal="right"/>
      <protection locked="0"/>
    </xf>
    <xf numFmtId="181" fontId="30" fillId="0" borderId="0" xfId="11" applyNumberFormat="1" applyFont="1" applyFill="1" applyBorder="1" applyAlignment="1" applyProtection="1">
      <alignment horizontal="right"/>
      <protection locked="0"/>
    </xf>
    <xf numFmtId="181" fontId="30" fillId="0" borderId="10" xfId="11" applyNumberFormat="1" applyFont="1" applyFill="1" applyBorder="1" applyAlignment="1" applyProtection="1">
      <alignment horizontal="right"/>
      <protection locked="0"/>
    </xf>
    <xf numFmtId="0" fontId="30" fillId="0" borderId="0" xfId="0" applyFont="1" applyFill="1" applyAlignment="1"/>
    <xf numFmtId="0" fontId="13" fillId="0" borderId="0" xfId="0" applyFont="1" applyFill="1" applyAlignment="1"/>
    <xf numFmtId="0" fontId="30" fillId="0" borderId="0" xfId="0" applyFont="1" applyFill="1" applyBorder="1" applyAlignment="1">
      <alignment horizontal="right"/>
    </xf>
    <xf numFmtId="0" fontId="30" fillId="0" borderId="0" xfId="0" applyFont="1" applyFill="1" applyBorder="1" applyAlignment="1"/>
    <xf numFmtId="9" fontId="30" fillId="0" borderId="0" xfId="0" applyNumberFormat="1" applyFont="1" applyFill="1" applyBorder="1" applyAlignment="1"/>
    <xf numFmtId="0" fontId="65" fillId="0" borderId="0" xfId="0" applyFont="1" applyFill="1" applyBorder="1"/>
    <xf numFmtId="0" fontId="30" fillId="0" borderId="10" xfId="0" applyFont="1" applyFill="1" applyBorder="1" applyAlignment="1"/>
    <xf numFmtId="0" fontId="30" fillId="0" borderId="7" xfId="0" applyFont="1" applyFill="1" applyBorder="1" applyAlignment="1"/>
    <xf numFmtId="0" fontId="30" fillId="0" borderId="7" xfId="0" applyFont="1" applyFill="1" applyBorder="1" applyAlignment="1">
      <alignment horizontal="right"/>
    </xf>
    <xf numFmtId="0" fontId="30" fillId="0" borderId="10" xfId="0" applyFont="1" applyFill="1" applyBorder="1" applyAlignment="1">
      <alignment horizontal="right"/>
    </xf>
    <xf numFmtId="9" fontId="30" fillId="0" borderId="0" xfId="24" applyFont="1" applyFill="1" applyAlignment="1"/>
    <xf numFmtId="9" fontId="4" fillId="0" borderId="0" xfId="0" applyNumberFormat="1" applyFont="1" applyFill="1" applyBorder="1"/>
    <xf numFmtId="9" fontId="9" fillId="0" borderId="0" xfId="0" applyNumberFormat="1" applyFont="1" applyFill="1" applyBorder="1"/>
    <xf numFmtId="9" fontId="39" fillId="0" borderId="0" xfId="0" applyNumberFormat="1" applyFont="1" applyFill="1" applyBorder="1"/>
    <xf numFmtId="0" fontId="26" fillId="0" borderId="0" xfId="0" applyNumberFormat="1" applyFont="1" applyFill="1" applyBorder="1" applyAlignment="1"/>
    <xf numFmtId="191" fontId="30" fillId="0" borderId="0" xfId="55" applyNumberFormat="1" applyFont="1" applyFill="1" applyAlignment="1"/>
    <xf numFmtId="191" fontId="30" fillId="0" borderId="0" xfId="0" applyNumberFormat="1" applyFont="1" applyFill="1" applyBorder="1" applyAlignment="1"/>
    <xf numFmtId="191" fontId="4" fillId="0" borderId="0" xfId="55" applyNumberFormat="1" applyFont="1" applyFill="1" applyAlignment="1"/>
    <xf numFmtId="43" fontId="13" fillId="0" borderId="0" xfId="0" applyNumberFormat="1" applyFont="1" applyFill="1" applyBorder="1" applyAlignment="1">
      <alignment horizontal="right"/>
    </xf>
    <xf numFmtId="9" fontId="30" fillId="0" borderId="0" xfId="24" applyFont="1" applyFill="1" applyAlignment="1">
      <alignment horizontal="right"/>
    </xf>
    <xf numFmtId="9" fontId="30" fillId="0" borderId="0" xfId="24" applyFont="1" applyFill="1" applyBorder="1" applyAlignment="1">
      <alignment horizontal="right"/>
    </xf>
    <xf numFmtId="44" fontId="30" fillId="0" borderId="0" xfId="55" applyFont="1" applyFill="1" applyAlignment="1"/>
    <xf numFmtId="44" fontId="4" fillId="0" borderId="0" xfId="55" applyFont="1" applyFill="1" applyAlignment="1"/>
    <xf numFmtId="191" fontId="13" fillId="0" borderId="0" xfId="55" applyNumberFormat="1" applyFont="1" applyFill="1" applyAlignment="1"/>
    <xf numFmtId="44" fontId="30" fillId="0" borderId="0" xfId="55" applyFont="1" applyFill="1" applyAlignment="1">
      <alignment horizontal="right"/>
    </xf>
    <xf numFmtId="44" fontId="30" fillId="0" borderId="0" xfId="55" applyFont="1" applyFill="1" applyBorder="1" applyAlignment="1">
      <alignment horizontal="right"/>
    </xf>
    <xf numFmtId="44" fontId="4" fillId="0" borderId="0" xfId="55" applyFont="1" applyFill="1" applyAlignment="1">
      <alignment horizontal="right"/>
    </xf>
    <xf numFmtId="9" fontId="4" fillId="0" borderId="0" xfId="24" applyFont="1" applyFill="1" applyAlignment="1">
      <alignment horizontal="right"/>
    </xf>
    <xf numFmtId="167" fontId="69" fillId="0" borderId="0" xfId="24" quotePrefix="1" applyNumberFormat="1" applyFont="1" applyFill="1" applyAlignment="1">
      <alignment horizontal="right"/>
    </xf>
    <xf numFmtId="167" fontId="69" fillId="0" borderId="0" xfId="24" applyNumberFormat="1" applyFont="1" applyFill="1" applyAlignment="1"/>
    <xf numFmtId="167" fontId="17" fillId="0" borderId="0" xfId="24" applyNumberFormat="1" applyFont="1" applyFill="1" applyAlignment="1"/>
    <xf numFmtId="0" fontId="32" fillId="0" borderId="0" xfId="0" applyFont="1" applyFill="1" applyAlignment="1"/>
    <xf numFmtId="167" fontId="32" fillId="0" borderId="0" xfId="24" applyNumberFormat="1" applyFont="1" applyFill="1" applyAlignment="1"/>
    <xf numFmtId="191" fontId="13" fillId="0" borderId="0" xfId="55" applyNumberFormat="1" applyFont="1" applyFill="1" applyAlignment="1">
      <alignment horizontal="right"/>
    </xf>
    <xf numFmtId="191" fontId="32" fillId="0" borderId="0" xfId="55" applyNumberFormat="1" applyFont="1" applyFill="1" applyAlignment="1"/>
    <xf numFmtId="191" fontId="32" fillId="0" borderId="0" xfId="55" applyNumberFormat="1" applyFont="1" applyFill="1" applyBorder="1" applyAlignment="1">
      <alignment horizontal="right"/>
    </xf>
    <xf numFmtId="0" fontId="4" fillId="0" borderId="0" xfId="0" applyFont="1" applyFill="1" applyAlignment="1">
      <alignment horizontal="right"/>
    </xf>
    <xf numFmtId="167" fontId="66" fillId="0" borderId="0" xfId="0" applyNumberFormat="1" applyFont="1" applyFill="1"/>
    <xf numFmtId="9" fontId="66" fillId="0" borderId="0" xfId="0" applyNumberFormat="1" applyFont="1" applyFill="1"/>
    <xf numFmtId="167" fontId="70" fillId="0" borderId="0" xfId="0" applyNumberFormat="1" applyFont="1" applyFill="1"/>
    <xf numFmtId="167" fontId="30" fillId="0" borderId="0" xfId="24" applyNumberFormat="1" applyFont="1" applyFill="1" applyAlignment="1">
      <alignment horizontal="right"/>
    </xf>
    <xf numFmtId="167" fontId="4" fillId="0" borderId="0" xfId="24" applyNumberFormat="1" applyFont="1" applyFill="1" applyAlignment="1">
      <alignment horizontal="right"/>
    </xf>
    <xf numFmtId="167" fontId="66" fillId="0" borderId="0" xfId="0" applyNumberFormat="1" applyFont="1" applyFill="1" applyAlignment="1"/>
    <xf numFmtId="167" fontId="66" fillId="0" borderId="0" xfId="0" applyNumberFormat="1" applyFont="1" applyFill="1" applyAlignment="1">
      <alignment horizontal="right"/>
    </xf>
    <xf numFmtId="167" fontId="66" fillId="0" borderId="0" xfId="0" applyNumberFormat="1" applyFont="1" applyFill="1" applyBorder="1" applyAlignment="1">
      <alignment horizontal="right"/>
    </xf>
    <xf numFmtId="167" fontId="66" fillId="0" borderId="0" xfId="0" quotePrefix="1" applyNumberFormat="1" applyFont="1" applyFill="1" applyAlignment="1">
      <alignment horizontal="right"/>
    </xf>
    <xf numFmtId="167" fontId="16" fillId="0" borderId="0" xfId="0" applyNumberFormat="1" applyFont="1" applyFill="1" applyAlignment="1"/>
    <xf numFmtId="44" fontId="66" fillId="0" borderId="0" xfId="55" applyFont="1" applyFill="1" applyBorder="1" applyAlignment="1">
      <alignment horizontal="right"/>
    </xf>
    <xf numFmtId="191" fontId="66" fillId="0" borderId="0" xfId="55" applyNumberFormat="1" applyFont="1" applyFill="1" applyAlignment="1"/>
    <xf numFmtId="191" fontId="16" fillId="0" borderId="0" xfId="55" applyNumberFormat="1" applyFont="1" applyFill="1" applyAlignment="1"/>
    <xf numFmtId="44" fontId="16" fillId="0" borderId="0" xfId="55" applyFont="1" applyFill="1" applyAlignment="1"/>
    <xf numFmtId="44" fontId="13" fillId="0" borderId="0" xfId="55" applyFont="1" applyFill="1" applyAlignment="1"/>
    <xf numFmtId="167" fontId="32" fillId="0" borderId="0" xfId="0" applyNumberFormat="1" applyFont="1" applyFill="1" applyAlignment="1"/>
    <xf numFmtId="167" fontId="16" fillId="0" borderId="0" xfId="0" applyNumberFormat="1" applyFont="1" applyFill="1"/>
    <xf numFmtId="167" fontId="13" fillId="0" borderId="0" xfId="24" applyNumberFormat="1" applyFont="1" applyFill="1" applyAlignment="1"/>
    <xf numFmtId="167" fontId="66" fillId="0" borderId="0" xfId="24" applyNumberFormat="1" applyFont="1"/>
    <xf numFmtId="167" fontId="29" fillId="0" borderId="0" xfId="24" applyNumberFormat="1" applyFont="1" applyFill="1" applyAlignment="1"/>
    <xf numFmtId="167" fontId="16" fillId="0" borderId="0" xfId="0" applyNumberFormat="1" applyFont="1" applyFill="1" applyBorder="1" applyAlignment="1">
      <alignment horizontal="right"/>
    </xf>
    <xf numFmtId="44" fontId="71" fillId="0" borderId="0" xfId="55" applyFont="1" applyFill="1" applyAlignment="1">
      <alignment horizontal="right"/>
    </xf>
    <xf numFmtId="191" fontId="71" fillId="0" borderId="0" xfId="55" applyNumberFormat="1" applyFont="1" applyFill="1" applyAlignment="1">
      <alignment horizontal="right"/>
    </xf>
    <xf numFmtId="167" fontId="71" fillId="0" borderId="0" xfId="0" applyNumberFormat="1" applyFont="1" applyFill="1" applyAlignment="1">
      <alignment horizontal="right"/>
    </xf>
    <xf numFmtId="192" fontId="71" fillId="0" borderId="0" xfId="55" applyNumberFormat="1" applyFont="1" applyFill="1" applyAlignment="1">
      <alignment horizontal="right"/>
    </xf>
    <xf numFmtId="0" fontId="4" fillId="0" borderId="0" xfId="0" applyFont="1" applyFill="1" applyAlignment="1"/>
    <xf numFmtId="167" fontId="16" fillId="0" borderId="0" xfId="24" applyNumberFormat="1" applyFont="1" applyFill="1" applyAlignment="1"/>
    <xf numFmtId="167" fontId="35" fillId="0" borderId="0" xfId="24" applyNumberFormat="1" applyFont="1"/>
    <xf numFmtId="167" fontId="35" fillId="0" borderId="0" xfId="24" applyNumberFormat="1" applyFont="1" applyFill="1"/>
    <xf numFmtId="0" fontId="68" fillId="11" borderId="0" xfId="0" applyFont="1" applyFill="1"/>
    <xf numFmtId="2" fontId="4" fillId="11" borderId="0" xfId="0" applyNumberFormat="1" applyFont="1" applyFill="1" applyAlignment="1"/>
    <xf numFmtId="0" fontId="32" fillId="11" borderId="0" xfId="0" applyFont="1" applyFill="1"/>
    <xf numFmtId="167" fontId="66" fillId="11" borderId="0" xfId="0" applyNumberFormat="1" applyFont="1" applyFill="1"/>
    <xf numFmtId="167" fontId="16" fillId="11" borderId="0" xfId="0" applyNumberFormat="1" applyFont="1" applyFill="1"/>
    <xf numFmtId="9" fontId="66" fillId="11" borderId="0" xfId="0" applyNumberFormat="1" applyFont="1" applyFill="1"/>
    <xf numFmtId="167" fontId="74" fillId="11" borderId="0" xfId="24" applyNumberFormat="1" applyFont="1" applyFill="1"/>
    <xf numFmtId="2" fontId="4" fillId="11" borderId="0" xfId="0" applyNumberFormat="1" applyFont="1" applyFill="1" applyAlignment="1">
      <alignment horizontal="right"/>
    </xf>
    <xf numFmtId="167" fontId="16" fillId="11" borderId="0" xfId="24" applyNumberFormat="1" applyFont="1" applyFill="1" applyAlignment="1"/>
    <xf numFmtId="167" fontId="72" fillId="11" borderId="0" xfId="24" applyNumberFormat="1" applyFont="1" applyFill="1" applyAlignment="1"/>
    <xf numFmtId="0" fontId="13" fillId="0" borderId="10" xfId="0" applyNumberFormat="1" applyFont="1" applyFill="1" applyBorder="1" applyAlignment="1"/>
    <xf numFmtId="44" fontId="30" fillId="0" borderId="10" xfId="55" applyFont="1" applyFill="1" applyBorder="1" applyAlignment="1"/>
    <xf numFmtId="167" fontId="69" fillId="0" borderId="10" xfId="24" quotePrefix="1" applyNumberFormat="1" applyFont="1" applyFill="1" applyBorder="1" applyAlignment="1">
      <alignment horizontal="right"/>
    </xf>
    <xf numFmtId="167" fontId="66" fillId="0" borderId="10" xfId="0" quotePrefix="1" applyNumberFormat="1" applyFont="1" applyFill="1" applyBorder="1" applyAlignment="1">
      <alignment horizontal="right"/>
    </xf>
    <xf numFmtId="167" fontId="66" fillId="0" borderId="10" xfId="0" applyNumberFormat="1" applyFont="1" applyFill="1" applyBorder="1" applyAlignment="1"/>
    <xf numFmtId="191" fontId="30" fillId="0" borderId="10" xfId="55" applyNumberFormat="1" applyFont="1" applyFill="1" applyBorder="1" applyAlignment="1"/>
    <xf numFmtId="167" fontId="32" fillId="0" borderId="10" xfId="24" applyNumberFormat="1" applyFont="1" applyFill="1" applyBorder="1" applyAlignment="1"/>
    <xf numFmtId="167" fontId="66" fillId="0" borderId="10" xfId="0" applyNumberFormat="1" applyFont="1" applyFill="1" applyBorder="1"/>
    <xf numFmtId="191" fontId="4" fillId="0" borderId="10" xfId="55" applyNumberFormat="1" applyFont="1" applyFill="1" applyBorder="1" applyAlignment="1"/>
    <xf numFmtId="167" fontId="16" fillId="0" borderId="10" xfId="0" applyNumberFormat="1" applyFont="1" applyFill="1" applyBorder="1" applyAlignment="1">
      <alignment horizontal="right"/>
    </xf>
    <xf numFmtId="167" fontId="35" fillId="0" borderId="10" xfId="24" applyNumberFormat="1" applyFont="1" applyBorder="1"/>
    <xf numFmtId="0" fontId="68" fillId="11" borderId="10" xfId="0" applyFont="1" applyFill="1" applyBorder="1"/>
    <xf numFmtId="167" fontId="74" fillId="11" borderId="10" xfId="24" applyNumberFormat="1" applyFont="1" applyFill="1" applyBorder="1"/>
    <xf numFmtId="167" fontId="16" fillId="11" borderId="10" xfId="0" applyNumberFormat="1" applyFont="1" applyFill="1" applyBorder="1"/>
    <xf numFmtId="167" fontId="16" fillId="11" borderId="10" xfId="24" applyNumberFormat="1" applyFont="1" applyFill="1" applyBorder="1" applyAlignment="1"/>
    <xf numFmtId="167" fontId="72" fillId="11" borderId="10" xfId="24" applyNumberFormat="1" applyFont="1" applyFill="1" applyBorder="1" applyAlignment="1"/>
    <xf numFmtId="9" fontId="68" fillId="0" borderId="0" xfId="24" applyFont="1" applyFill="1"/>
    <xf numFmtId="0" fontId="70" fillId="0" borderId="0" xfId="0" applyFont="1" applyFill="1"/>
    <xf numFmtId="167" fontId="16" fillId="0" borderId="0" xfId="24" applyNumberFormat="1" applyFont="1" applyFill="1"/>
    <xf numFmtId="10" fontId="70" fillId="0" borderId="0" xfId="0" applyNumberFormat="1" applyFont="1" applyFill="1"/>
    <xf numFmtId="44" fontId="66" fillId="0" borderId="0" xfId="55" applyFont="1" applyFill="1"/>
    <xf numFmtId="0" fontId="68" fillId="0" borderId="0" xfId="0" applyFont="1" applyFill="1"/>
    <xf numFmtId="191" fontId="16" fillId="0" borderId="0" xfId="55" applyNumberFormat="1" applyFont="1" applyFill="1"/>
    <xf numFmtId="44" fontId="16" fillId="0" borderId="0" xfId="55" applyFont="1" applyFill="1"/>
    <xf numFmtId="191" fontId="30" fillId="0" borderId="0" xfId="55" applyNumberFormat="1" applyFont="1" applyFill="1"/>
    <xf numFmtId="167" fontId="66" fillId="0" borderId="0" xfId="24" applyNumberFormat="1" applyFont="1" applyFill="1"/>
    <xf numFmtId="0" fontId="73" fillId="0" borderId="0" xfId="0" applyFont="1" applyFill="1"/>
    <xf numFmtId="181" fontId="4" fillId="0" borderId="31" xfId="11" applyNumberFormat="1" applyFont="1" applyFill="1" applyBorder="1" applyAlignment="1" applyProtection="1">
      <alignment horizontal="right"/>
      <protection locked="0"/>
    </xf>
    <xf numFmtId="167" fontId="16" fillId="0" borderId="10" xfId="0" applyNumberFormat="1" applyFont="1" applyFill="1" applyBorder="1" applyAlignment="1"/>
    <xf numFmtId="0" fontId="13" fillId="0" borderId="7" xfId="0" applyNumberFormat="1" applyFont="1" applyFill="1" applyBorder="1" applyAlignment="1"/>
    <xf numFmtId="191" fontId="30" fillId="0" borderId="7" xfId="55" applyNumberFormat="1" applyFont="1" applyFill="1" applyBorder="1" applyAlignment="1"/>
    <xf numFmtId="167" fontId="69" fillId="0" borderId="7" xfId="24" applyNumberFormat="1" applyFont="1" applyFill="1" applyBorder="1" applyAlignment="1">
      <alignment horizontal="right"/>
    </xf>
    <xf numFmtId="168" fontId="4" fillId="0" borderId="7" xfId="0" applyNumberFormat="1" applyFont="1" applyFill="1" applyBorder="1" applyAlignment="1"/>
    <xf numFmtId="167" fontId="66" fillId="0" borderId="7" xfId="0" applyNumberFormat="1" applyFont="1" applyFill="1" applyBorder="1" applyAlignment="1"/>
    <xf numFmtId="44" fontId="30" fillId="0" borderId="7" xfId="55" applyFont="1" applyFill="1" applyBorder="1" applyAlignment="1"/>
    <xf numFmtId="191" fontId="4" fillId="0" borderId="7" xfId="55" applyNumberFormat="1" applyFont="1" applyFill="1" applyBorder="1" applyAlignment="1"/>
    <xf numFmtId="167" fontId="32" fillId="0" borderId="7" xfId="24" applyNumberFormat="1" applyFont="1" applyFill="1" applyBorder="1" applyAlignment="1"/>
    <xf numFmtId="167" fontId="66" fillId="0" borderId="7" xfId="0" applyNumberFormat="1" applyFont="1" applyFill="1" applyBorder="1"/>
    <xf numFmtId="167" fontId="16" fillId="0" borderId="7" xfId="0" applyNumberFormat="1" applyFont="1" applyFill="1" applyBorder="1" applyAlignment="1"/>
    <xf numFmtId="44" fontId="66" fillId="0" borderId="7" xfId="55" applyFont="1" applyFill="1" applyBorder="1"/>
    <xf numFmtId="169" fontId="32" fillId="0" borderId="7" xfId="11" applyNumberFormat="1" applyFont="1" applyFill="1" applyBorder="1" applyAlignment="1"/>
    <xf numFmtId="167" fontId="72" fillId="0" borderId="7" xfId="24" applyNumberFormat="1" applyFont="1" applyFill="1" applyBorder="1"/>
    <xf numFmtId="2" fontId="4" fillId="11" borderId="7" xfId="0" applyNumberFormat="1" applyFont="1" applyFill="1" applyBorder="1" applyAlignment="1"/>
    <xf numFmtId="167" fontId="17" fillId="11" borderId="7" xfId="24" applyNumberFormat="1" applyFont="1" applyFill="1" applyBorder="1" applyAlignment="1"/>
    <xf numFmtId="167" fontId="72" fillId="11" borderId="7" xfId="24" applyNumberFormat="1" applyFont="1" applyFill="1" applyBorder="1" applyAlignment="1"/>
    <xf numFmtId="9" fontId="30" fillId="0" borderId="7" xfId="24" applyFont="1" applyFill="1" applyBorder="1" applyAlignment="1"/>
    <xf numFmtId="167" fontId="69" fillId="0" borderId="7" xfId="24" applyNumberFormat="1" applyFont="1" applyFill="1" applyBorder="1"/>
    <xf numFmtId="167" fontId="30" fillId="0" borderId="7" xfId="0" applyNumberFormat="1" applyFont="1" applyFill="1" applyBorder="1" applyAlignment="1"/>
    <xf numFmtId="44" fontId="16" fillId="0" borderId="7" xfId="55" applyFont="1" applyFill="1" applyBorder="1" applyAlignment="1"/>
    <xf numFmtId="167" fontId="16" fillId="11" borderId="7" xfId="0" applyNumberFormat="1" applyFont="1" applyFill="1" applyBorder="1"/>
    <xf numFmtId="167" fontId="16" fillId="11" borderId="7" xfId="24" applyNumberFormat="1" applyFont="1" applyFill="1" applyBorder="1" applyAlignment="1"/>
    <xf numFmtId="9" fontId="66" fillId="0" borderId="7" xfId="0" applyNumberFormat="1" applyFont="1" applyFill="1" applyBorder="1"/>
    <xf numFmtId="191" fontId="66" fillId="0" borderId="7" xfId="55" applyNumberFormat="1" applyFont="1" applyFill="1" applyBorder="1" applyAlignment="1"/>
    <xf numFmtId="191" fontId="16" fillId="0" borderId="7" xfId="55" applyNumberFormat="1" applyFont="1" applyFill="1" applyBorder="1" applyAlignment="1"/>
    <xf numFmtId="167" fontId="16" fillId="0" borderId="7" xfId="0" applyNumberFormat="1" applyFont="1" applyFill="1" applyBorder="1"/>
    <xf numFmtId="9" fontId="66" fillId="0" borderId="7" xfId="24" applyFont="1" applyFill="1" applyBorder="1" applyAlignment="1"/>
    <xf numFmtId="191" fontId="34" fillId="0" borderId="7" xfId="55" applyNumberFormat="1" applyFont="1" applyFill="1" applyBorder="1" applyAlignment="1"/>
    <xf numFmtId="167" fontId="66" fillId="11" borderId="7" xfId="0" applyNumberFormat="1" applyFont="1" applyFill="1" applyBorder="1"/>
    <xf numFmtId="191" fontId="4" fillId="0" borderId="7" xfId="55" applyNumberFormat="1" applyFont="1" applyFill="1" applyBorder="1" applyAlignment="1">
      <alignment horizontal="right"/>
    </xf>
    <xf numFmtId="44" fontId="71" fillId="0" borderId="7" xfId="55" applyFont="1" applyFill="1" applyBorder="1" applyAlignment="1">
      <alignment horizontal="right"/>
    </xf>
    <xf numFmtId="9" fontId="30" fillId="0" borderId="7" xfId="24" applyFont="1" applyFill="1" applyBorder="1" applyAlignment="1">
      <alignment horizontal="right"/>
    </xf>
    <xf numFmtId="44" fontId="30" fillId="0" borderId="7" xfId="55" applyFont="1" applyFill="1" applyBorder="1" applyAlignment="1">
      <alignment horizontal="right"/>
    </xf>
    <xf numFmtId="191" fontId="32" fillId="0" borderId="7" xfId="55" applyNumberFormat="1" applyFont="1" applyFill="1" applyBorder="1" applyAlignment="1"/>
    <xf numFmtId="167" fontId="66" fillId="0" borderId="7" xfId="0" applyNumberFormat="1" applyFont="1" applyFill="1" applyBorder="1" applyAlignment="1">
      <alignment horizontal="right"/>
    </xf>
    <xf numFmtId="191" fontId="13" fillId="0" borderId="7" xfId="55" applyNumberFormat="1" applyFont="1" applyFill="1" applyBorder="1" applyAlignment="1"/>
    <xf numFmtId="44" fontId="4" fillId="0" borderId="7" xfId="55" applyFont="1" applyFill="1" applyBorder="1" applyAlignment="1">
      <alignment horizontal="right"/>
    </xf>
    <xf numFmtId="167" fontId="30" fillId="0" borderId="7" xfId="24" applyNumberFormat="1" applyFont="1" applyFill="1" applyBorder="1" applyAlignment="1">
      <alignment horizontal="right"/>
    </xf>
    <xf numFmtId="9" fontId="4" fillId="0" borderId="7" xfId="24" applyFont="1" applyFill="1" applyBorder="1" applyAlignment="1">
      <alignment horizontal="right"/>
    </xf>
    <xf numFmtId="191" fontId="13" fillId="0" borderId="7" xfId="55" applyNumberFormat="1" applyFont="1" applyFill="1" applyBorder="1" applyAlignment="1">
      <alignment horizontal="right"/>
    </xf>
    <xf numFmtId="9" fontId="16" fillId="0" borderId="7" xfId="24" applyFont="1" applyFill="1" applyBorder="1" applyAlignment="1"/>
    <xf numFmtId="167" fontId="17" fillId="0" borderId="7" xfId="24" applyNumberFormat="1" applyFont="1" applyFill="1" applyBorder="1"/>
    <xf numFmtId="167" fontId="16" fillId="0" borderId="7" xfId="24" applyNumberFormat="1" applyFont="1" applyFill="1" applyBorder="1"/>
    <xf numFmtId="192" fontId="71" fillId="0" borderId="7" xfId="55" applyNumberFormat="1" applyFont="1" applyFill="1" applyBorder="1" applyAlignment="1">
      <alignment horizontal="right"/>
    </xf>
    <xf numFmtId="9" fontId="30" fillId="0" borderId="10" xfId="24" applyFont="1" applyFill="1" applyBorder="1" applyAlignment="1">
      <alignment horizontal="right"/>
    </xf>
    <xf numFmtId="44" fontId="30" fillId="0" borderId="10" xfId="55" applyFont="1" applyFill="1" applyBorder="1" applyAlignment="1">
      <alignment horizontal="right"/>
    </xf>
    <xf numFmtId="191" fontId="32" fillId="0" borderId="10" xfId="55" applyNumberFormat="1" applyFont="1" applyFill="1" applyBorder="1" applyAlignment="1"/>
    <xf numFmtId="167" fontId="66" fillId="0" borderId="10" xfId="0" applyNumberFormat="1" applyFont="1" applyFill="1" applyBorder="1" applyAlignment="1">
      <alignment horizontal="right"/>
    </xf>
    <xf numFmtId="191" fontId="66" fillId="0" borderId="10" xfId="55" applyNumberFormat="1" applyFont="1" applyFill="1" applyBorder="1" applyAlignment="1"/>
    <xf numFmtId="44" fontId="16" fillId="0" borderId="10" xfId="55" applyFont="1" applyFill="1" applyBorder="1" applyAlignment="1"/>
    <xf numFmtId="167" fontId="69" fillId="0" borderId="10" xfId="24" applyNumberFormat="1" applyFont="1" applyFill="1" applyBorder="1" applyAlignment="1"/>
    <xf numFmtId="167" fontId="16" fillId="0" borderId="10" xfId="0" applyNumberFormat="1" applyFont="1" applyFill="1" applyBorder="1"/>
    <xf numFmtId="191" fontId="16" fillId="0" borderId="10" xfId="55" applyNumberFormat="1" applyFont="1" applyFill="1" applyBorder="1"/>
    <xf numFmtId="167" fontId="13" fillId="0" borderId="10" xfId="24" applyNumberFormat="1" applyFont="1" applyFill="1" applyBorder="1" applyAlignment="1"/>
    <xf numFmtId="44" fontId="71" fillId="0" borderId="10" xfId="55" applyFont="1" applyFill="1" applyBorder="1" applyAlignment="1">
      <alignment horizontal="right"/>
    </xf>
    <xf numFmtId="167" fontId="35" fillId="0" borderId="10" xfId="24" applyNumberFormat="1" applyFont="1" applyFill="1" applyBorder="1"/>
    <xf numFmtId="167" fontId="66" fillId="11" borderId="10" xfId="0" applyNumberFormat="1" applyFont="1" applyFill="1" applyBorder="1"/>
    <xf numFmtId="167" fontId="16" fillId="0" borderId="7" xfId="24" applyNumberFormat="1" applyFont="1" applyFill="1" applyBorder="1" applyAlignment="1"/>
    <xf numFmtId="191" fontId="32" fillId="0" borderId="10" xfId="55" applyNumberFormat="1" applyFont="1" applyFill="1" applyBorder="1" applyAlignment="1">
      <alignment horizontal="right"/>
    </xf>
    <xf numFmtId="44" fontId="66" fillId="0" borderId="10" xfId="55" applyFont="1" applyFill="1" applyBorder="1" applyAlignment="1">
      <alignment horizontal="right"/>
    </xf>
    <xf numFmtId="191" fontId="30" fillId="0" borderId="10" xfId="55" applyNumberFormat="1" applyFont="1" applyFill="1" applyBorder="1"/>
    <xf numFmtId="167" fontId="66" fillId="0" borderId="10" xfId="24" applyNumberFormat="1" applyFont="1" applyFill="1" applyBorder="1"/>
    <xf numFmtId="191" fontId="71" fillId="0" borderId="10" xfId="55" applyNumberFormat="1" applyFont="1" applyFill="1" applyBorder="1" applyAlignment="1">
      <alignment horizontal="right"/>
    </xf>
    <xf numFmtId="9" fontId="30" fillId="0" borderId="10" xfId="24" applyFont="1" applyFill="1" applyBorder="1" applyAlignment="1"/>
    <xf numFmtId="191" fontId="13" fillId="0" borderId="10" xfId="55" applyNumberFormat="1" applyFont="1" applyFill="1" applyBorder="1" applyAlignment="1"/>
    <xf numFmtId="9" fontId="66" fillId="0" borderId="10" xfId="0" applyNumberFormat="1" applyFont="1" applyFill="1" applyBorder="1"/>
    <xf numFmtId="44" fontId="4" fillId="0" borderId="10" xfId="55" applyFont="1" applyFill="1" applyBorder="1" applyAlignment="1"/>
    <xf numFmtId="167" fontId="29" fillId="0" borderId="10" xfId="24" applyNumberFormat="1" applyFont="1" applyFill="1" applyBorder="1" applyAlignment="1"/>
    <xf numFmtId="0" fontId="68" fillId="0" borderId="10" xfId="0" applyFont="1" applyFill="1" applyBorder="1"/>
    <xf numFmtId="0" fontId="66" fillId="0" borderId="0" xfId="0" applyFont="1" applyFill="1" applyAlignment="1"/>
    <xf numFmtId="167" fontId="30" fillId="0" borderId="10" xfId="24" applyNumberFormat="1" applyFont="1" applyBorder="1"/>
    <xf numFmtId="167" fontId="30" fillId="0" borderId="0" xfId="24" applyNumberFormat="1" applyFont="1"/>
    <xf numFmtId="167" fontId="66" fillId="0" borderId="7" xfId="24" applyNumberFormat="1" applyFont="1" applyFill="1" applyBorder="1"/>
    <xf numFmtId="0" fontId="32" fillId="0" borderId="0" xfId="0" applyFont="1" applyFill="1"/>
    <xf numFmtId="167" fontId="30" fillId="0" borderId="0" xfId="24" applyNumberFormat="1" applyFont="1" applyFill="1"/>
    <xf numFmtId="167" fontId="75" fillId="0" borderId="0" xfId="24" applyNumberFormat="1" applyFont="1" applyFill="1"/>
    <xf numFmtId="192" fontId="71" fillId="0" borderId="10" xfId="55" applyNumberFormat="1" applyFont="1" applyFill="1" applyBorder="1" applyAlignment="1">
      <alignment horizontal="right"/>
    </xf>
    <xf numFmtId="187" fontId="32" fillId="0" borderId="10" xfId="0" applyNumberFormat="1" applyFont="1" applyFill="1" applyBorder="1" applyAlignment="1">
      <alignment horizontal="right"/>
    </xf>
    <xf numFmtId="187" fontId="32" fillId="0" borderId="0" xfId="0" applyNumberFormat="1" applyFont="1" applyFill="1" applyBorder="1" applyAlignment="1">
      <alignment horizontal="right"/>
    </xf>
    <xf numFmtId="187" fontId="32" fillId="0" borderId="7" xfId="55" applyNumberFormat="1" applyFont="1" applyFill="1" applyBorder="1"/>
    <xf numFmtId="187" fontId="66" fillId="0" borderId="0" xfId="0" applyNumberFormat="1" applyFont="1" applyFill="1"/>
    <xf numFmtId="187" fontId="66" fillId="0" borderId="0" xfId="0" applyNumberFormat="1" applyFont="1" applyFill="1" applyAlignment="1"/>
    <xf numFmtId="187" fontId="66" fillId="0" borderId="0" xfId="0" applyNumberFormat="1" applyFont="1" applyFill="1" applyAlignment="1">
      <alignment horizontal="right"/>
    </xf>
    <xf numFmtId="187" fontId="32" fillId="0" borderId="7" xfId="0" applyNumberFormat="1" applyFont="1" applyFill="1" applyBorder="1"/>
    <xf numFmtId="187" fontId="13" fillId="11" borderId="10" xfId="0" applyNumberFormat="1" applyFont="1" applyFill="1" applyBorder="1"/>
    <xf numFmtId="187" fontId="13" fillId="11" borderId="0" xfId="0" applyNumberFormat="1" applyFont="1" applyFill="1"/>
    <xf numFmtId="187" fontId="13" fillId="11" borderId="7" xfId="55" applyNumberFormat="1" applyFont="1" applyFill="1" applyBorder="1"/>
    <xf numFmtId="187" fontId="73" fillId="11" borderId="0" xfId="0" applyNumberFormat="1" applyFont="1" applyFill="1"/>
    <xf numFmtId="187" fontId="69" fillId="11" borderId="0" xfId="0" applyNumberFormat="1" applyFont="1" applyFill="1"/>
    <xf numFmtId="0" fontId="13" fillId="11" borderId="7" xfId="0" applyFont="1" applyFill="1" applyBorder="1" applyAlignment="1" applyProtection="1">
      <protection locked="0"/>
    </xf>
    <xf numFmtId="0" fontId="4" fillId="11" borderId="0" xfId="0" applyNumberFormat="1" applyFont="1" applyFill="1" applyBorder="1" applyAlignment="1" applyProtection="1">
      <protection locked="0"/>
    </xf>
    <xf numFmtId="181" fontId="4" fillId="11" borderId="7" xfId="11" applyNumberFormat="1" applyFont="1" applyFill="1" applyBorder="1" applyAlignment="1" applyProtection="1">
      <alignment horizontal="right"/>
      <protection locked="0"/>
    </xf>
    <xf numFmtId="181" fontId="4" fillId="11" borderId="0" xfId="11" applyNumberFormat="1" applyFont="1" applyFill="1" applyBorder="1" applyAlignment="1" applyProtection="1">
      <alignment horizontal="right"/>
      <protection locked="0"/>
    </xf>
    <xf numFmtId="181" fontId="4" fillId="11" borderId="10" xfId="11" applyNumberFormat="1" applyFont="1" applyFill="1" applyBorder="1" applyAlignment="1" applyProtection="1">
      <alignment horizontal="right"/>
      <protection locked="0"/>
    </xf>
    <xf numFmtId="187" fontId="4" fillId="11" borderId="7" xfId="0" applyNumberFormat="1" applyFont="1" applyFill="1" applyBorder="1" applyAlignment="1" applyProtection="1">
      <protection locked="0"/>
    </xf>
    <xf numFmtId="187" fontId="4" fillId="11" borderId="0" xfId="0" applyNumberFormat="1" applyFont="1" applyFill="1" applyBorder="1" applyAlignment="1" applyProtection="1">
      <protection locked="0"/>
    </xf>
    <xf numFmtId="187" fontId="4" fillId="11" borderId="7" xfId="11" applyNumberFormat="1" applyFont="1" applyFill="1" applyBorder="1" applyAlignment="1" applyProtection="1">
      <alignment horizontal="right"/>
      <protection locked="0"/>
    </xf>
    <xf numFmtId="187" fontId="4" fillId="11" borderId="0" xfId="11" applyNumberFormat="1" applyFont="1" applyFill="1" applyBorder="1" applyAlignment="1" applyProtection="1">
      <alignment horizontal="right"/>
      <protection locked="0"/>
    </xf>
    <xf numFmtId="187" fontId="4" fillId="11" borderId="10" xfId="11" applyNumberFormat="1" applyFont="1" applyFill="1" applyBorder="1" applyAlignment="1" applyProtection="1">
      <alignment horizontal="right"/>
      <protection locked="0"/>
    </xf>
    <xf numFmtId="0" fontId="4" fillId="11" borderId="7" xfId="0" applyFont="1" applyFill="1" applyBorder="1" applyAlignment="1" applyProtection="1">
      <protection locked="0"/>
    </xf>
    <xf numFmtId="167" fontId="66" fillId="0" borderId="10" xfId="24" applyNumberFormat="1" applyFont="1" applyFill="1" applyBorder="1" applyAlignment="1"/>
    <xf numFmtId="167" fontId="30" fillId="0" borderId="10" xfId="11" applyNumberFormat="1" applyFont="1" applyFill="1" applyBorder="1" applyAlignment="1" applyProtection="1">
      <alignment horizontal="right"/>
      <protection locked="0"/>
    </xf>
    <xf numFmtId="167" fontId="30" fillId="0" borderId="0" xfId="11" applyNumberFormat="1" applyFont="1" applyFill="1" applyBorder="1" applyAlignment="1" applyProtection="1">
      <alignment horizontal="right"/>
      <protection locked="0"/>
    </xf>
    <xf numFmtId="167" fontId="30" fillId="0" borderId="7" xfId="11" applyNumberFormat="1" applyFont="1" applyFill="1" applyBorder="1" applyAlignment="1" applyProtection="1">
      <alignment horizontal="right"/>
      <protection locked="0"/>
    </xf>
    <xf numFmtId="191" fontId="32" fillId="0" borderId="10" xfId="11" applyNumberFormat="1" applyFont="1" applyFill="1" applyBorder="1" applyAlignment="1" applyProtection="1">
      <alignment horizontal="right"/>
      <protection locked="0"/>
    </xf>
    <xf numFmtId="191" fontId="32" fillId="0" borderId="0" xfId="11" applyNumberFormat="1" applyFont="1" applyFill="1" applyBorder="1" applyAlignment="1" applyProtection="1">
      <alignment horizontal="right"/>
      <protection locked="0"/>
    </xf>
    <xf numFmtId="191" fontId="32" fillId="0" borderId="7" xfId="11" applyNumberFormat="1" applyFont="1" applyFill="1" applyBorder="1" applyAlignment="1" applyProtection="1">
      <alignment horizontal="right"/>
      <protection locked="0"/>
    </xf>
    <xf numFmtId="167" fontId="32" fillId="0" borderId="10" xfId="11" applyNumberFormat="1" applyFont="1" applyFill="1" applyBorder="1" applyAlignment="1" applyProtection="1">
      <alignment horizontal="right"/>
      <protection locked="0"/>
    </xf>
    <xf numFmtId="167" fontId="32" fillId="0" borderId="0" xfId="11" applyNumberFormat="1" applyFont="1" applyFill="1" applyBorder="1" applyAlignment="1" applyProtection="1">
      <alignment horizontal="right"/>
      <protection locked="0"/>
    </xf>
    <xf numFmtId="167" fontId="32" fillId="0" borderId="7" xfId="11" applyNumberFormat="1" applyFont="1" applyFill="1" applyBorder="1" applyAlignment="1" applyProtection="1">
      <alignment horizontal="right"/>
      <protection locked="0"/>
    </xf>
    <xf numFmtId="168" fontId="30" fillId="0" borderId="10" xfId="11" applyNumberFormat="1" applyFont="1" applyFill="1" applyBorder="1" applyAlignment="1"/>
    <xf numFmtId="168" fontId="30" fillId="0" borderId="0" xfId="11" applyNumberFormat="1" applyFont="1" applyFill="1" applyAlignment="1"/>
    <xf numFmtId="168" fontId="66" fillId="0" borderId="0" xfId="11" applyNumberFormat="1" applyFont="1" applyFill="1"/>
    <xf numFmtId="168" fontId="4" fillId="0" borderId="7" xfId="11" applyNumberFormat="1" applyFont="1" applyFill="1" applyBorder="1" applyAlignment="1"/>
    <xf numFmtId="168" fontId="32" fillId="0" borderId="0" xfId="11" applyNumberFormat="1" applyFont="1" applyFill="1" applyAlignment="1"/>
    <xf numFmtId="168" fontId="34" fillId="0" borderId="10" xfId="11" applyNumberFormat="1" applyFont="1" applyFill="1" applyBorder="1" applyAlignment="1" applyProtection="1">
      <alignment horizontal="right"/>
      <protection locked="0"/>
    </xf>
    <xf numFmtId="168" fontId="34" fillId="0" borderId="0" xfId="11" applyNumberFormat="1" applyFont="1" applyFill="1" applyBorder="1" applyAlignment="1" applyProtection="1">
      <alignment horizontal="right"/>
      <protection locked="0"/>
    </xf>
    <xf numFmtId="168" fontId="34" fillId="0" borderId="7" xfId="11" applyNumberFormat="1" applyFont="1" applyFill="1" applyBorder="1" applyAlignment="1" applyProtection="1">
      <alignment horizontal="right"/>
      <protection locked="0"/>
    </xf>
    <xf numFmtId="168" fontId="34" fillId="0" borderId="0" xfId="11" applyNumberFormat="1" applyFont="1" applyFill="1" applyBorder="1" applyProtection="1">
      <protection locked="0"/>
    </xf>
    <xf numFmtId="167" fontId="66" fillId="0" borderId="0" xfId="24" applyNumberFormat="1" applyFont="1" applyFill="1" applyAlignment="1"/>
    <xf numFmtId="181" fontId="16" fillId="0" borderId="7" xfId="11" applyNumberFormat="1" applyFont="1" applyFill="1" applyBorder="1" applyAlignment="1" applyProtection="1">
      <alignment horizontal="right"/>
      <protection locked="0"/>
    </xf>
    <xf numFmtId="167" fontId="63" fillId="0" borderId="7" xfId="24" applyNumberFormat="1" applyFont="1" applyFill="1" applyBorder="1" applyAlignment="1" applyProtection="1">
      <alignment horizontal="right"/>
    </xf>
    <xf numFmtId="167" fontId="63" fillId="0" borderId="10" xfId="24" applyNumberFormat="1" applyFont="1" applyFill="1" applyBorder="1" applyAlignment="1" applyProtection="1">
      <alignment horizontal="right"/>
    </xf>
    <xf numFmtId="167" fontId="63" fillId="0" borderId="0" xfId="24" applyNumberFormat="1" applyFont="1" applyFill="1" applyBorder="1" applyAlignment="1" applyProtection="1">
      <alignment horizontal="right"/>
    </xf>
    <xf numFmtId="0" fontId="17" fillId="0" borderId="7" xfId="0" applyFont="1" applyFill="1" applyBorder="1" applyAlignment="1" applyProtection="1">
      <protection locked="0"/>
    </xf>
    <xf numFmtId="181" fontId="63" fillId="0" borderId="7" xfId="11" applyNumberFormat="1" applyFont="1" applyFill="1" applyBorder="1" applyAlignment="1" applyProtection="1">
      <alignment horizontal="right"/>
      <protection locked="0"/>
    </xf>
    <xf numFmtId="181" fontId="63" fillId="0" borderId="10" xfId="11" applyNumberFormat="1" applyFont="1" applyFill="1" applyBorder="1" applyAlignment="1" applyProtection="1">
      <alignment horizontal="right"/>
      <protection locked="0"/>
    </xf>
    <xf numFmtId="0" fontId="16" fillId="0" borderId="0" xfId="0" applyFont="1" applyFill="1" applyBorder="1"/>
    <xf numFmtId="0" fontId="17" fillId="0" borderId="0" xfId="0" applyNumberFormat="1" applyFont="1" applyFill="1" applyBorder="1" applyAlignment="1" applyProtection="1">
      <protection locked="0"/>
    </xf>
    <xf numFmtId="167" fontId="17" fillId="0" borderId="15" xfId="24" applyNumberFormat="1" applyFont="1" applyFill="1" applyBorder="1" applyAlignment="1" applyProtection="1">
      <alignment horizontal="right"/>
    </xf>
    <xf numFmtId="181" fontId="76" fillId="0" borderId="0" xfId="11" applyNumberFormat="1" applyFont="1" applyFill="1" applyBorder="1" applyAlignment="1" applyProtection="1">
      <alignment horizontal="right"/>
      <protection locked="0"/>
    </xf>
    <xf numFmtId="167" fontId="17" fillId="0" borderId="16" xfId="24" applyNumberFormat="1" applyFont="1" applyFill="1" applyBorder="1" applyAlignment="1" applyProtection="1">
      <alignment horizontal="right"/>
    </xf>
    <xf numFmtId="167" fontId="17" fillId="0" borderId="12" xfId="24" applyNumberFormat="1" applyFont="1" applyFill="1" applyBorder="1" applyAlignment="1" applyProtection="1">
      <alignment horizontal="right"/>
    </xf>
    <xf numFmtId="167" fontId="17" fillId="0" borderId="0" xfId="24" applyNumberFormat="1" applyFont="1" applyFill="1" applyBorder="1" applyAlignment="1" applyProtection="1">
      <alignment horizontal="right"/>
    </xf>
    <xf numFmtId="181" fontId="4" fillId="0" borderId="10" xfId="11" quotePrefix="1" applyNumberFormat="1" applyFont="1" applyFill="1" applyBorder="1" applyAlignment="1" applyProtection="1">
      <alignment horizontal="right"/>
      <protection locked="0"/>
    </xf>
    <xf numFmtId="191" fontId="4" fillId="4" borderId="7" xfId="55" applyNumberFormat="1" applyFont="1" applyFill="1" applyBorder="1" applyAlignment="1"/>
    <xf numFmtId="9" fontId="4" fillId="0" borderId="7" xfId="24" applyFont="1" applyFill="1" applyBorder="1" applyAlignment="1" applyProtection="1">
      <alignment horizontal="right"/>
      <protection locked="0"/>
    </xf>
    <xf numFmtId="2" fontId="63" fillId="0" borderId="0" xfId="11" applyNumberFormat="1" applyFont="1" applyFill="1" applyBorder="1" applyAlignment="1" applyProtection="1">
      <alignment horizontal="right"/>
      <protection locked="0"/>
    </xf>
    <xf numFmtId="0" fontId="63" fillId="0" borderId="0" xfId="11" applyNumberFormat="1" applyFont="1" applyFill="1" applyBorder="1" applyAlignment="1" applyProtection="1">
      <alignment horizontal="right"/>
      <protection locked="0"/>
    </xf>
    <xf numFmtId="167" fontId="77" fillId="0" borderId="10" xfId="24" applyNumberFormat="1" applyFont="1" applyFill="1" applyBorder="1" applyAlignment="1" applyProtection="1">
      <alignment horizontal="right"/>
    </xf>
    <xf numFmtId="167" fontId="77" fillId="0" borderId="0" xfId="24" applyNumberFormat="1" applyFont="1" applyFill="1" applyBorder="1" applyAlignment="1" applyProtection="1">
      <alignment horizontal="right"/>
    </xf>
    <xf numFmtId="167" fontId="77" fillId="0" borderId="7" xfId="24" applyNumberFormat="1" applyFont="1" applyFill="1" applyBorder="1" applyAlignment="1" applyProtection="1">
      <alignment horizontal="right"/>
    </xf>
    <xf numFmtId="167" fontId="66" fillId="0" borderId="10" xfId="24" applyNumberFormat="1" applyFont="1" applyFill="1" applyBorder="1" applyAlignment="1" applyProtection="1">
      <alignment horizontal="right"/>
    </xf>
    <xf numFmtId="167" fontId="66" fillId="0" borderId="0" xfId="24" applyNumberFormat="1" applyFont="1" applyFill="1" applyBorder="1" applyAlignment="1" applyProtection="1">
      <alignment horizontal="right"/>
    </xf>
    <xf numFmtId="167" fontId="66" fillId="0" borderId="7" xfId="24" applyNumberFormat="1" applyFont="1" applyFill="1" applyBorder="1" applyAlignment="1" applyProtection="1">
      <alignment horizontal="right"/>
    </xf>
    <xf numFmtId="181" fontId="30" fillId="0" borderId="15" xfId="11" applyNumberFormat="1" applyFont="1" applyFill="1" applyBorder="1" applyAlignment="1" applyProtection="1">
      <alignment horizontal="right"/>
      <protection locked="0"/>
    </xf>
    <xf numFmtId="169" fontId="4" fillId="0" borderId="7" xfId="11" applyNumberFormat="1" applyFont="1" applyFill="1" applyBorder="1" applyAlignment="1" applyProtection="1">
      <alignment horizontal="right"/>
    </xf>
    <xf numFmtId="169" fontId="4" fillId="0" borderId="10" xfId="11" applyNumberFormat="1" applyFont="1" applyFill="1" applyBorder="1" applyAlignment="1" applyProtection="1">
      <alignment horizontal="right"/>
    </xf>
    <xf numFmtId="169" fontId="4" fillId="0" borderId="0" xfId="11" applyNumberFormat="1" applyFont="1" applyFill="1" applyBorder="1" applyAlignment="1" applyProtection="1">
      <alignment horizontal="right"/>
    </xf>
    <xf numFmtId="169" fontId="30" fillId="0" borderId="7" xfId="11" applyNumberFormat="1" applyFont="1" applyFill="1" applyBorder="1" applyAlignment="1" applyProtection="1">
      <alignment horizontal="right"/>
    </xf>
    <xf numFmtId="37" fontId="30" fillId="0" borderId="7" xfId="11" applyNumberFormat="1" applyFont="1" applyFill="1" applyBorder="1" applyAlignment="1" applyProtection="1">
      <alignment horizontal="right"/>
      <protection locked="0"/>
    </xf>
    <xf numFmtId="37" fontId="30" fillId="0" borderId="0" xfId="11" applyNumberFormat="1" applyFont="1" applyFill="1" applyBorder="1" applyAlignment="1" applyProtection="1">
      <alignment horizontal="right"/>
      <protection locked="0"/>
    </xf>
    <xf numFmtId="9" fontId="16" fillId="0" borderId="10" xfId="24" applyFont="1" applyFill="1" applyBorder="1" applyAlignment="1" applyProtection="1">
      <alignment horizontal="right"/>
      <protection locked="0"/>
    </xf>
    <xf numFmtId="9" fontId="16" fillId="0" borderId="0" xfId="24" applyFont="1" applyFill="1" applyBorder="1" applyAlignment="1" applyProtection="1">
      <alignment horizontal="right"/>
      <protection locked="0"/>
    </xf>
    <xf numFmtId="167" fontId="16" fillId="0" borderId="7" xfId="24" applyNumberFormat="1" applyFont="1" applyFill="1" applyBorder="1" applyAlignment="1" applyProtection="1">
      <alignment horizontal="right"/>
      <protection locked="0"/>
    </xf>
    <xf numFmtId="169" fontId="66" fillId="0" borderId="7" xfId="11" applyNumberFormat="1" applyFont="1" applyFill="1" applyBorder="1" applyAlignment="1"/>
    <xf numFmtId="167" fontId="66" fillId="0" borderId="7" xfId="24" applyNumberFormat="1" applyFont="1" applyFill="1" applyBorder="1" applyAlignment="1"/>
    <xf numFmtId="0" fontId="17" fillId="0" borderId="0" xfId="0" applyFont="1" applyFill="1" applyAlignment="1"/>
    <xf numFmtId="167" fontId="78" fillId="0" borderId="10" xfId="24" applyNumberFormat="1" applyFont="1" applyFill="1" applyBorder="1" applyAlignment="1"/>
    <xf numFmtId="167" fontId="78" fillId="0" borderId="0" xfId="24" applyNumberFormat="1" applyFont="1" applyFill="1" applyAlignment="1"/>
    <xf numFmtId="0" fontId="79" fillId="0" borderId="10" xfId="0" applyFont="1" applyFill="1" applyBorder="1"/>
    <xf numFmtId="0" fontId="79" fillId="0" borderId="0" xfId="0" applyFont="1" applyFill="1"/>
    <xf numFmtId="167" fontId="80" fillId="0" borderId="10" xfId="24" applyNumberFormat="1" applyFont="1" applyFill="1" applyBorder="1" applyAlignment="1"/>
    <xf numFmtId="167" fontId="80" fillId="0" borderId="0" xfId="24" applyNumberFormat="1" applyFont="1" applyFill="1" applyAlignment="1"/>
    <xf numFmtId="167" fontId="69" fillId="0" borderId="7" xfId="24" applyNumberFormat="1" applyFont="1" applyFill="1" applyBorder="1" applyAlignment="1"/>
    <xf numFmtId="167" fontId="16" fillId="0" borderId="10" xfId="24" applyNumberFormat="1" applyFont="1" applyFill="1" applyBorder="1" applyAlignment="1" applyProtection="1">
      <alignment horizontal="right"/>
      <protection locked="0"/>
    </xf>
    <xf numFmtId="167" fontId="16" fillId="0" borderId="0" xfId="24" applyNumberFormat="1" applyFont="1" applyFill="1" applyBorder="1" applyAlignment="1" applyProtection="1">
      <alignment horizontal="right"/>
      <protection locked="0"/>
    </xf>
    <xf numFmtId="167" fontId="77" fillId="0" borderId="10" xfId="24" applyNumberFormat="1" applyFont="1" applyFill="1" applyBorder="1" applyAlignment="1" applyProtection="1">
      <alignment horizontal="right"/>
      <protection locked="0"/>
    </xf>
    <xf numFmtId="167" fontId="77" fillId="0" borderId="0" xfId="24" applyNumberFormat="1" applyFont="1" applyFill="1" applyBorder="1" applyAlignment="1" applyProtection="1">
      <alignment horizontal="right"/>
      <protection locked="0"/>
    </xf>
    <xf numFmtId="167" fontId="66" fillId="0" borderId="10" xfId="11" applyNumberFormat="1" applyFont="1" applyFill="1" applyBorder="1" applyAlignment="1" applyProtection="1">
      <alignment horizontal="right"/>
      <protection locked="0"/>
    </xf>
    <xf numFmtId="167" fontId="66" fillId="0" borderId="0" xfId="11" applyNumberFormat="1" applyFont="1" applyFill="1" applyBorder="1" applyAlignment="1" applyProtection="1">
      <alignment horizontal="right"/>
      <protection locked="0"/>
    </xf>
    <xf numFmtId="167" fontId="66" fillId="0" borderId="7" xfId="11" applyNumberFormat="1" applyFont="1" applyFill="1" applyBorder="1" applyAlignment="1" applyProtection="1">
      <alignment horizontal="right"/>
      <protection locked="0"/>
    </xf>
    <xf numFmtId="181" fontId="16" fillId="0" borderId="0" xfId="11" applyNumberFormat="1" applyFont="1" applyFill="1" applyBorder="1" applyAlignment="1" applyProtection="1">
      <alignment horizontal="right"/>
      <protection locked="0"/>
    </xf>
    <xf numFmtId="167" fontId="66" fillId="0" borderId="10" xfId="24" applyNumberFormat="1" applyFont="1" applyBorder="1"/>
    <xf numFmtId="0" fontId="69" fillId="0" borderId="0" xfId="0" applyFont="1" applyFill="1"/>
    <xf numFmtId="167" fontId="67" fillId="0" borderId="0" xfId="24" applyNumberFormat="1" applyFont="1" applyFill="1"/>
    <xf numFmtId="167" fontId="63" fillId="0" borderId="0" xfId="11" applyNumberFormat="1" applyFont="1" applyFill="1" applyBorder="1" applyAlignment="1" applyProtection="1">
      <alignment horizontal="right"/>
      <protection locked="0"/>
    </xf>
    <xf numFmtId="37" fontId="4" fillId="0" borderId="10" xfId="11" applyNumberFormat="1" applyFont="1" applyFill="1" applyBorder="1" applyAlignment="1" applyProtection="1">
      <alignment horizontal="right"/>
    </xf>
    <xf numFmtId="37" fontId="30" fillId="0" borderId="10" xfId="11" applyNumberFormat="1" applyFont="1" applyFill="1" applyBorder="1" applyAlignment="1" applyProtection="1">
      <alignment horizontal="right"/>
      <protection locked="0"/>
    </xf>
    <xf numFmtId="37" fontId="30" fillId="0" borderId="16" xfId="11" applyNumberFormat="1" applyFont="1" applyFill="1" applyBorder="1" applyAlignment="1" applyProtection="1">
      <alignment horizontal="right"/>
      <protection locked="0"/>
    </xf>
    <xf numFmtId="37" fontId="30" fillId="0" borderId="12" xfId="11" applyNumberFormat="1" applyFont="1" applyFill="1" applyBorder="1" applyAlignment="1" applyProtection="1">
      <alignment horizontal="right"/>
      <protection locked="0"/>
    </xf>
    <xf numFmtId="37" fontId="30" fillId="0" borderId="15" xfId="11" applyNumberFormat="1" applyFont="1" applyFill="1" applyBorder="1" applyAlignment="1" applyProtection="1">
      <alignment horizontal="right"/>
      <protection locked="0"/>
    </xf>
    <xf numFmtId="37" fontId="32" fillId="0" borderId="7" xfId="11" applyNumberFormat="1" applyFont="1" applyFill="1" applyBorder="1" applyAlignment="1" applyProtection="1">
      <alignment horizontal="right"/>
      <protection locked="0"/>
    </xf>
    <xf numFmtId="181" fontId="32" fillId="0" borderId="10" xfId="11" applyNumberFormat="1" applyFont="1" applyFill="1" applyBorder="1" applyAlignment="1" applyProtection="1">
      <alignment horizontal="right"/>
      <protection locked="0"/>
    </xf>
    <xf numFmtId="181" fontId="32" fillId="0" borderId="0" xfId="11" applyNumberFormat="1" applyFont="1" applyFill="1" applyBorder="1" applyAlignment="1" applyProtection="1">
      <alignment horizontal="right"/>
      <protection locked="0"/>
    </xf>
    <xf numFmtId="181" fontId="32" fillId="0" borderId="7" xfId="11" applyNumberFormat="1" applyFont="1" applyFill="1" applyBorder="1" applyAlignment="1" applyProtection="1">
      <alignment horizontal="right"/>
      <protection locked="0"/>
    </xf>
    <xf numFmtId="168" fontId="13" fillId="0" borderId="10" xfId="11" applyNumberFormat="1" applyFont="1" applyFill="1" applyBorder="1" applyAlignment="1"/>
    <xf numFmtId="168" fontId="13" fillId="0" borderId="0" xfId="11" applyNumberFormat="1" applyFont="1" applyFill="1" applyAlignment="1"/>
    <xf numFmtId="168" fontId="13" fillId="0" borderId="7" xfId="11" applyNumberFormat="1" applyFont="1" applyFill="1" applyBorder="1" applyAlignment="1"/>
    <xf numFmtId="168" fontId="69" fillId="0" borderId="0" xfId="11" applyNumberFormat="1" applyFont="1" applyFill="1"/>
    <xf numFmtId="168" fontId="37" fillId="0" borderId="0" xfId="11" applyNumberFormat="1" applyFont="1" applyFill="1" applyBorder="1" applyAlignment="1" applyProtection="1">
      <alignment horizontal="right"/>
      <protection locked="0"/>
    </xf>
    <xf numFmtId="168" fontId="37" fillId="0" borderId="27" xfId="11" applyNumberFormat="1" applyFont="1" applyFill="1" applyBorder="1" applyAlignment="1" applyProtection="1">
      <alignment horizontal="right"/>
      <protection locked="0"/>
    </xf>
    <xf numFmtId="168" fontId="37" fillId="0" borderId="4" xfId="11" applyNumberFormat="1" applyFont="1" applyFill="1" applyBorder="1" applyAlignment="1" applyProtection="1">
      <alignment horizontal="right"/>
      <protection locked="0"/>
    </xf>
    <xf numFmtId="168" fontId="13" fillId="0" borderId="8" xfId="11" applyNumberFormat="1" applyFont="1" applyFill="1" applyBorder="1" applyAlignment="1" applyProtection="1">
      <alignment horizontal="right"/>
      <protection locked="0"/>
    </xf>
    <xf numFmtId="168" fontId="32" fillId="0" borderId="10" xfId="11" applyNumberFormat="1" applyFont="1" applyFill="1" applyBorder="1" applyAlignment="1"/>
    <xf numFmtId="168" fontId="32" fillId="0" borderId="7" xfId="11" applyNumberFormat="1" applyFont="1" applyFill="1" applyBorder="1" applyAlignment="1"/>
    <xf numFmtId="181" fontId="53" fillId="0" borderId="8" xfId="11" applyNumberFormat="1" applyFont="1" applyFill="1" applyBorder="1" applyAlignment="1" applyProtection="1">
      <alignment horizontal="right"/>
      <protection locked="0"/>
    </xf>
    <xf numFmtId="181" fontId="53" fillId="0" borderId="27" xfId="11" applyNumberFormat="1" applyFont="1" applyFill="1" applyBorder="1" applyAlignment="1" applyProtection="1">
      <alignment horizontal="right"/>
      <protection locked="0"/>
    </xf>
    <xf numFmtId="181" fontId="53" fillId="0" borderId="4" xfId="11" applyNumberFormat="1" applyFont="1" applyFill="1" applyBorder="1" applyAlignment="1" applyProtection="1">
      <alignment horizontal="right"/>
      <protection locked="0"/>
    </xf>
    <xf numFmtId="168" fontId="32" fillId="0" borderId="10" xfId="11" applyNumberFormat="1" applyFont="1" applyFill="1" applyBorder="1" applyAlignment="1" applyProtection="1">
      <alignment horizontal="right"/>
      <protection locked="0"/>
    </xf>
    <xf numFmtId="168" fontId="32" fillId="0" borderId="0" xfId="11" applyNumberFormat="1" applyFont="1" applyFill="1" applyBorder="1" applyAlignment="1" applyProtection="1">
      <alignment horizontal="right"/>
      <protection locked="0"/>
    </xf>
    <xf numFmtId="168" fontId="32" fillId="0" borderId="7" xfId="11" applyNumberFormat="1" applyFont="1" applyFill="1" applyBorder="1" applyAlignment="1" applyProtection="1">
      <alignment horizontal="right"/>
      <protection locked="0"/>
    </xf>
    <xf numFmtId="168" fontId="13" fillId="0" borderId="0" xfId="11" applyNumberFormat="1" applyFont="1" applyFill="1" applyBorder="1" applyAlignment="1" applyProtection="1">
      <alignment horizontal="right"/>
      <protection locked="0"/>
    </xf>
    <xf numFmtId="168" fontId="32" fillId="0" borderId="10" xfId="11" applyNumberFormat="1" applyFont="1" applyFill="1" applyBorder="1" applyAlignment="1">
      <alignment horizontal="right"/>
    </xf>
    <xf numFmtId="168" fontId="32" fillId="0" borderId="0" xfId="11" applyNumberFormat="1" applyFont="1" applyFill="1" applyBorder="1" applyAlignment="1">
      <alignment horizontal="right"/>
    </xf>
    <xf numFmtId="168" fontId="32" fillId="0" borderId="7" xfId="11" applyNumberFormat="1" applyFont="1" applyFill="1" applyBorder="1"/>
    <xf numFmtId="168" fontId="69" fillId="0" borderId="0" xfId="11" applyNumberFormat="1" applyFont="1" applyFill="1" applyAlignment="1"/>
    <xf numFmtId="168" fontId="69" fillId="0" borderId="0" xfId="11" applyNumberFormat="1" applyFont="1" applyFill="1" applyAlignment="1">
      <alignment horizontal="right"/>
    </xf>
    <xf numFmtId="37" fontId="37" fillId="0" borderId="0" xfId="11" applyNumberFormat="1" applyFont="1" applyFill="1" applyBorder="1" applyAlignment="1" applyProtection="1">
      <alignment horizontal="right"/>
      <protection locked="0"/>
    </xf>
    <xf numFmtId="37" fontId="32" fillId="0" borderId="0" xfId="11" applyNumberFormat="1" applyFont="1" applyFill="1" applyBorder="1" applyAlignment="1" applyProtection="1">
      <alignment horizontal="right"/>
      <protection locked="0"/>
    </xf>
    <xf numFmtId="168" fontId="30" fillId="0" borderId="7" xfId="11" applyNumberFormat="1" applyFont="1" applyFill="1" applyBorder="1" applyAlignment="1" applyProtection="1">
      <alignment horizontal="right"/>
    </xf>
    <xf numFmtId="168" fontId="32" fillId="0" borderId="10" xfId="11" applyNumberFormat="1" applyFont="1" applyFill="1" applyBorder="1"/>
    <xf numFmtId="168" fontId="32" fillId="0" borderId="0" xfId="11" applyNumberFormat="1" applyFont="1" applyFill="1" applyBorder="1"/>
    <xf numFmtId="37" fontId="13" fillId="0" borderId="7" xfId="11" applyNumberFormat="1" applyFont="1" applyFill="1" applyBorder="1" applyAlignment="1" applyProtection="1">
      <alignment horizontal="right"/>
      <protection locked="0"/>
    </xf>
    <xf numFmtId="0" fontId="39" fillId="0" borderId="0" xfId="11" applyNumberFormat="1" applyFont="1" applyFill="1" applyBorder="1" applyAlignment="1" applyProtection="1">
      <alignment horizontal="right"/>
      <protection locked="0"/>
    </xf>
    <xf numFmtId="169" fontId="39" fillId="0" borderId="12" xfId="11" applyNumberFormat="1" applyFont="1" applyFill="1" applyBorder="1" applyAlignment="1" applyProtection="1">
      <alignment horizontal="right"/>
      <protection locked="0"/>
    </xf>
    <xf numFmtId="181" fontId="13" fillId="0" borderId="0" xfId="0" applyNumberFormat="1" applyFont="1" applyFill="1" applyBorder="1"/>
    <xf numFmtId="168" fontId="32" fillId="0" borderId="10" xfId="0" applyNumberFormat="1" applyFont="1" applyFill="1" applyBorder="1"/>
    <xf numFmtId="168" fontId="32" fillId="0" borderId="0" xfId="0" applyNumberFormat="1" applyFont="1" applyFill="1" applyBorder="1"/>
    <xf numFmtId="168" fontId="13" fillId="0" borderId="10" xfId="11" applyNumberFormat="1" applyFont="1" applyFill="1" applyBorder="1"/>
    <xf numFmtId="168" fontId="13" fillId="0" borderId="0" xfId="11" applyNumberFormat="1" applyFont="1" applyFill="1" applyBorder="1"/>
    <xf numFmtId="181" fontId="34" fillId="0" borderId="7" xfId="11" applyNumberFormat="1" applyFont="1" applyFill="1" applyBorder="1" applyAlignment="1" applyProtection="1">
      <alignment horizontal="right"/>
      <protection locked="0"/>
    </xf>
    <xf numFmtId="181" fontId="34" fillId="0" borderId="10" xfId="11" applyNumberFormat="1" applyFont="1" applyFill="1" applyBorder="1" applyAlignment="1" applyProtection="1">
      <alignment horizontal="right"/>
      <protection locked="0"/>
    </xf>
    <xf numFmtId="181" fontId="34" fillId="0" borderId="0" xfId="0" applyNumberFormat="1" applyFont="1" applyFill="1" applyBorder="1"/>
    <xf numFmtId="167" fontId="63" fillId="0" borderId="10" xfId="24" applyNumberFormat="1" applyFont="1" applyFill="1" applyBorder="1" applyAlignment="1" applyProtection="1">
      <alignment horizontal="right"/>
      <protection locked="0"/>
    </xf>
    <xf numFmtId="167" fontId="63" fillId="0" borderId="0" xfId="24" applyNumberFormat="1" applyFont="1" applyFill="1" applyBorder="1" applyAlignment="1" applyProtection="1">
      <alignment horizontal="right"/>
      <protection locked="0"/>
    </xf>
    <xf numFmtId="167" fontId="38" fillId="0" borderId="16" xfId="24" applyNumberFormat="1" applyFont="1" applyFill="1" applyBorder="1" applyAlignment="1" applyProtection="1">
      <alignment horizontal="right"/>
      <protection locked="0"/>
    </xf>
    <xf numFmtId="167" fontId="38" fillId="0" borderId="12" xfId="24" applyNumberFormat="1" applyFont="1" applyFill="1" applyBorder="1" applyAlignment="1" applyProtection="1">
      <alignment horizontal="right"/>
      <protection locked="0"/>
    </xf>
    <xf numFmtId="0" fontId="13" fillId="0" borderId="31" xfId="0" applyFont="1" applyFill="1" applyBorder="1" applyAlignment="1" applyProtection="1">
      <protection locked="0"/>
    </xf>
    <xf numFmtId="181" fontId="13" fillId="0" borderId="31" xfId="11" applyNumberFormat="1" applyFont="1" applyFill="1" applyBorder="1" applyAlignment="1" applyProtection="1">
      <alignment horizontal="right"/>
      <protection locked="0"/>
    </xf>
    <xf numFmtId="181" fontId="13" fillId="0" borderId="32" xfId="11" applyNumberFormat="1" applyFont="1" applyFill="1" applyBorder="1" applyAlignment="1" applyProtection="1">
      <alignment horizontal="right"/>
      <protection locked="0"/>
    </xf>
    <xf numFmtId="9" fontId="4" fillId="0" borderId="10" xfId="0" applyNumberFormat="1" applyFont="1" applyFill="1" applyBorder="1"/>
    <xf numFmtId="9" fontId="39" fillId="0" borderId="10" xfId="0" applyNumberFormat="1" applyFont="1" applyFill="1" applyBorder="1"/>
    <xf numFmtId="9" fontId="9" fillId="0" borderId="10" xfId="0" applyNumberFormat="1" applyFont="1" applyFill="1" applyBorder="1"/>
    <xf numFmtId="167" fontId="38" fillId="0" borderId="7" xfId="24" applyNumberFormat="1" applyFont="1" applyFill="1" applyBorder="1" applyAlignment="1" applyProtection="1">
      <alignment horizontal="right"/>
      <protection locked="0"/>
    </xf>
    <xf numFmtId="37" fontId="30" fillId="0" borderId="5" xfId="11" applyNumberFormat="1" applyFont="1" applyFill="1" applyBorder="1" applyAlignment="1" applyProtection="1">
      <alignment horizontal="right"/>
      <protection locked="0"/>
    </xf>
    <xf numFmtId="0" fontId="4" fillId="0" borderId="4" xfId="0" applyFont="1" applyFill="1" applyBorder="1" applyAlignment="1"/>
    <xf numFmtId="167" fontId="39" fillId="0" borderId="4" xfId="24" applyNumberFormat="1" applyFont="1" applyFill="1" applyBorder="1" applyAlignment="1" applyProtection="1">
      <alignment horizontal="right"/>
      <protection locked="0"/>
    </xf>
    <xf numFmtId="0" fontId="16" fillId="0" borderId="0" xfId="0" applyFont="1" applyFill="1" applyBorder="1" applyAlignment="1" applyProtection="1">
      <protection locked="0"/>
    </xf>
    <xf numFmtId="167" fontId="13" fillId="0" borderId="28" xfId="24" applyNumberFormat="1" applyFont="1" applyFill="1" applyBorder="1" applyAlignment="1" applyProtection="1">
      <alignment horizontal="right"/>
      <protection locked="0"/>
    </xf>
    <xf numFmtId="167" fontId="30" fillId="0" borderId="7" xfId="24" applyNumberFormat="1" applyFont="1" applyFill="1" applyBorder="1"/>
    <xf numFmtId="37" fontId="81" fillId="0" borderId="10" xfId="11" applyNumberFormat="1" applyFont="1" applyFill="1" applyBorder="1" applyAlignment="1" applyProtection="1">
      <alignment horizontal="right"/>
      <protection locked="0"/>
    </xf>
    <xf numFmtId="37" fontId="81" fillId="0" borderId="0" xfId="11" applyNumberFormat="1" applyFont="1" applyFill="1" applyBorder="1" applyAlignment="1" applyProtection="1">
      <alignment horizontal="right"/>
      <protection locked="0"/>
    </xf>
    <xf numFmtId="37" fontId="81" fillId="0" borderId="12" xfId="11" applyNumberFormat="1" applyFont="1" applyFill="1" applyBorder="1" applyAlignment="1" applyProtection="1">
      <alignment horizontal="right"/>
      <protection locked="0"/>
    </xf>
    <xf numFmtId="37" fontId="81" fillId="0" borderId="16" xfId="11" applyNumberFormat="1" applyFont="1" applyFill="1" applyBorder="1" applyAlignment="1" applyProtection="1">
      <alignment horizontal="right"/>
      <protection locked="0"/>
    </xf>
    <xf numFmtId="44" fontId="4" fillId="0" borderId="0" xfId="55" applyFont="1" applyFill="1" applyBorder="1" applyAlignment="1" applyProtection="1">
      <alignment horizontal="right"/>
      <protection locked="0"/>
    </xf>
    <xf numFmtId="167" fontId="17" fillId="0" borderId="10" xfId="24" applyNumberFormat="1" applyFont="1" applyFill="1" applyBorder="1" applyAlignment="1" applyProtection="1">
      <alignment horizontal="right"/>
    </xf>
    <xf numFmtId="167" fontId="17" fillId="0" borderId="7" xfId="24" applyNumberFormat="1" applyFont="1" applyFill="1" applyBorder="1" applyAlignment="1" applyProtection="1">
      <alignment horizontal="right"/>
    </xf>
    <xf numFmtId="167" fontId="82" fillId="0" borderId="0" xfId="24" applyNumberFormat="1" applyFont="1" applyFill="1" applyBorder="1" applyAlignment="1" applyProtection="1">
      <alignment horizontal="right"/>
    </xf>
    <xf numFmtId="7" fontId="4" fillId="0" borderId="0" xfId="0" applyNumberFormat="1" applyFont="1" applyFill="1" applyBorder="1" applyAlignment="1" applyProtection="1">
      <protection locked="0"/>
    </xf>
    <xf numFmtId="9" fontId="16" fillId="0" borderId="7" xfId="24" applyFont="1" applyFill="1" applyBorder="1" applyAlignment="1" applyProtection="1">
      <alignment horizontal="right"/>
      <protection locked="0"/>
    </xf>
    <xf numFmtId="0" fontId="13" fillId="0" borderId="5" xfId="0" applyFont="1" applyBorder="1"/>
    <xf numFmtId="0" fontId="13" fillId="0" borderId="18" xfId="0" applyFont="1" applyBorder="1"/>
    <xf numFmtId="0" fontId="4" fillId="0" borderId="5" xfId="0" applyFont="1" applyBorder="1" applyAlignment="1">
      <alignment horizontal="left" indent="1"/>
    </xf>
    <xf numFmtId="0" fontId="4" fillId="0" borderId="5" xfId="0" applyFont="1" applyBorder="1" applyAlignment="1">
      <alignment horizontal="left" indent="2"/>
    </xf>
    <xf numFmtId="44" fontId="4" fillId="0" borderId="0" xfId="0" applyNumberFormat="1" applyFont="1" applyFill="1" applyBorder="1"/>
    <xf numFmtId="168" fontId="4" fillId="0" borderId="10" xfId="11" applyNumberFormat="1" applyFont="1" applyFill="1" applyBorder="1" applyAlignment="1" applyProtection="1">
      <alignment horizontal="right"/>
      <protection locked="0"/>
    </xf>
    <xf numFmtId="168" fontId="13" fillId="0" borderId="10" xfId="11" applyNumberFormat="1" applyFont="1" applyFill="1" applyBorder="1" applyAlignment="1" applyProtection="1">
      <alignment horizontal="right"/>
      <protection locked="0"/>
    </xf>
    <xf numFmtId="0" fontId="16" fillId="0" borderId="7" xfId="0" applyFont="1" applyFill="1" applyBorder="1" applyAlignment="1" applyProtection="1">
      <alignment horizontal="left" indent="1"/>
      <protection locked="0"/>
    </xf>
    <xf numFmtId="9" fontId="13" fillId="0" borderId="33" xfId="0" applyNumberFormat="1" applyFont="1" applyBorder="1"/>
    <xf numFmtId="9" fontId="13" fillId="0" borderId="35" xfId="0" applyNumberFormat="1" applyFont="1" applyBorder="1"/>
    <xf numFmtId="9" fontId="13" fillId="0" borderId="34" xfId="0" applyNumberFormat="1" applyFont="1" applyBorder="1"/>
    <xf numFmtId="191" fontId="4" fillId="0" borderId="0" xfId="0" applyNumberFormat="1" applyFont="1" applyFill="1" applyBorder="1"/>
    <xf numFmtId="191" fontId="35" fillId="0" borderId="0" xfId="0" applyNumberFormat="1" applyFont="1" applyFill="1" applyBorder="1"/>
    <xf numFmtId="168" fontId="30" fillId="0" borderId="10" xfId="11" applyNumberFormat="1" applyFont="1" applyFill="1" applyBorder="1" applyAlignment="1" applyProtection="1">
      <alignment horizontal="right"/>
      <protection locked="0"/>
    </xf>
    <xf numFmtId="168" fontId="30" fillId="0" borderId="0" xfId="11" applyNumberFormat="1" applyFont="1" applyFill="1" applyBorder="1" applyAlignment="1" applyProtection="1">
      <alignment horizontal="right"/>
      <protection locked="0"/>
    </xf>
    <xf numFmtId="168" fontId="30" fillId="0" borderId="7" xfId="11" applyNumberFormat="1" applyFont="1" applyFill="1" applyBorder="1" applyAlignment="1" applyProtection="1">
      <alignment horizontal="right"/>
      <protection locked="0"/>
    </xf>
    <xf numFmtId="168" fontId="81" fillId="0" borderId="10" xfId="11" applyNumberFormat="1" applyFont="1" applyFill="1" applyBorder="1" applyAlignment="1" applyProtection="1">
      <alignment horizontal="right"/>
      <protection locked="0"/>
    </xf>
    <xf numFmtId="168" fontId="81" fillId="0" borderId="0" xfId="11" applyNumberFormat="1" applyFont="1" applyFill="1" applyBorder="1" applyAlignment="1" applyProtection="1">
      <alignment horizontal="right"/>
      <protection locked="0"/>
    </xf>
    <xf numFmtId="168" fontId="4" fillId="0" borderId="7" xfId="11" applyNumberFormat="1" applyFont="1" applyFill="1" applyBorder="1" applyAlignment="1" applyProtection="1">
      <alignment horizontal="right"/>
      <protection locked="0"/>
    </xf>
    <xf numFmtId="167" fontId="82" fillId="0" borderId="10" xfId="24" applyNumberFormat="1" applyFont="1" applyFill="1" applyBorder="1" applyAlignment="1" applyProtection="1">
      <alignment horizontal="right"/>
    </xf>
    <xf numFmtId="0" fontId="16" fillId="0" borderId="7" xfId="0" applyFont="1" applyFill="1" applyBorder="1"/>
    <xf numFmtId="0" fontId="16" fillId="0" borderId="5" xfId="0" applyFont="1" applyBorder="1" applyAlignment="1">
      <alignment horizontal="left" indent="2"/>
    </xf>
    <xf numFmtId="37" fontId="66" fillId="0" borderId="10" xfId="11" applyNumberFormat="1" applyFont="1" applyFill="1" applyBorder="1" applyAlignment="1" applyProtection="1">
      <alignment horizontal="right"/>
      <protection locked="0"/>
    </xf>
    <xf numFmtId="37" fontId="66" fillId="0" borderId="0" xfId="11" applyNumberFormat="1" applyFont="1" applyFill="1" applyBorder="1" applyAlignment="1" applyProtection="1">
      <alignment horizontal="right"/>
      <protection locked="0"/>
    </xf>
    <xf numFmtId="37" fontId="16" fillId="0" borderId="7" xfId="11" applyNumberFormat="1" applyFont="1" applyFill="1" applyBorder="1" applyAlignment="1" applyProtection="1">
      <alignment horizontal="right"/>
      <protection locked="0"/>
    </xf>
    <xf numFmtId="37" fontId="63" fillId="0" borderId="0" xfId="11" applyNumberFormat="1" applyFont="1" applyFill="1" applyBorder="1" applyAlignment="1" applyProtection="1">
      <alignment horizontal="right"/>
      <protection locked="0"/>
    </xf>
    <xf numFmtId="167" fontId="82" fillId="0" borderId="10" xfId="11" applyNumberFormat="1" applyFont="1" applyFill="1" applyBorder="1" applyAlignment="1" applyProtection="1">
      <alignment horizontal="right"/>
      <protection locked="0"/>
    </xf>
    <xf numFmtId="167" fontId="82" fillId="0" borderId="0" xfId="11" applyNumberFormat="1" applyFont="1" applyFill="1" applyBorder="1" applyAlignment="1" applyProtection="1">
      <alignment horizontal="right"/>
      <protection locked="0"/>
    </xf>
    <xf numFmtId="167" fontId="16" fillId="0" borderId="7" xfId="11" applyNumberFormat="1" applyFont="1" applyFill="1" applyBorder="1" applyAlignment="1" applyProtection="1">
      <alignment horizontal="right"/>
      <protection locked="0"/>
    </xf>
    <xf numFmtId="167" fontId="82" fillId="0" borderId="10" xfId="24" applyNumberFormat="1" applyFont="1" applyFill="1" applyBorder="1" applyAlignment="1" applyProtection="1">
      <alignment horizontal="right"/>
      <protection locked="0"/>
    </xf>
    <xf numFmtId="167" fontId="82" fillId="0" borderId="0" xfId="24" applyNumberFormat="1" applyFont="1" applyFill="1" applyBorder="1" applyAlignment="1" applyProtection="1">
      <alignment horizontal="right"/>
      <protection locked="0"/>
    </xf>
    <xf numFmtId="167" fontId="82" fillId="0" borderId="7" xfId="24" applyNumberFormat="1" applyFont="1" applyFill="1" applyBorder="1" applyAlignment="1" applyProtection="1">
      <alignment horizontal="right"/>
      <protection locked="0"/>
    </xf>
    <xf numFmtId="181" fontId="82" fillId="0" borderId="0" xfId="11" applyNumberFormat="1" applyFont="1" applyFill="1" applyBorder="1" applyAlignment="1" applyProtection="1">
      <alignment horizontal="right"/>
      <protection locked="0"/>
    </xf>
    <xf numFmtId="37" fontId="16" fillId="0" borderId="0" xfId="11" applyNumberFormat="1" applyFont="1" applyFill="1" applyBorder="1" applyAlignment="1" applyProtection="1">
      <alignment horizontal="right"/>
      <protection locked="0"/>
    </xf>
    <xf numFmtId="9" fontId="16" fillId="0" borderId="5" xfId="24" applyFont="1" applyBorder="1" applyAlignment="1">
      <alignment horizontal="left" indent="2"/>
    </xf>
    <xf numFmtId="9" fontId="16" fillId="0" borderId="0" xfId="24" applyFont="1" applyFill="1" applyBorder="1" applyAlignment="1" applyProtection="1">
      <protection locked="0"/>
    </xf>
    <xf numFmtId="9" fontId="16" fillId="0" borderId="0" xfId="24" applyFont="1" applyFill="1" applyBorder="1"/>
    <xf numFmtId="167" fontId="72" fillId="0" borderId="5" xfId="24" applyNumberFormat="1" applyFont="1" applyBorder="1" applyAlignment="1">
      <alignment horizontal="left" indent="1"/>
    </xf>
    <xf numFmtId="167" fontId="72" fillId="0" borderId="0" xfId="24" applyNumberFormat="1" applyFont="1" applyFill="1" applyBorder="1" applyAlignment="1" applyProtection="1">
      <protection locked="0"/>
    </xf>
    <xf numFmtId="167" fontId="72" fillId="0" borderId="7" xfId="24" applyNumberFormat="1" applyFont="1" applyFill="1" applyBorder="1" applyAlignment="1" applyProtection="1">
      <alignment horizontal="right"/>
      <protection locked="0"/>
    </xf>
    <xf numFmtId="167" fontId="72" fillId="0" borderId="0" xfId="24" applyNumberFormat="1" applyFont="1" applyFill="1" applyBorder="1" applyAlignment="1" applyProtection="1">
      <alignment horizontal="right"/>
      <protection locked="0"/>
    </xf>
    <xf numFmtId="167" fontId="72" fillId="0" borderId="10" xfId="24" applyNumberFormat="1" applyFont="1" applyFill="1" applyBorder="1" applyAlignment="1" applyProtection="1">
      <alignment horizontal="right"/>
      <protection locked="0"/>
    </xf>
    <xf numFmtId="167" fontId="72" fillId="0" borderId="0" xfId="24" applyNumberFormat="1" applyFont="1" applyFill="1" applyBorder="1"/>
    <xf numFmtId="43" fontId="4" fillId="0" borderId="7" xfId="11" applyFont="1" applyFill="1" applyBorder="1" applyAlignment="1" applyProtection="1">
      <alignment horizontal="right"/>
      <protection locked="0"/>
    </xf>
    <xf numFmtId="168" fontId="4" fillId="0" borderId="5" xfId="11" applyNumberFormat="1" applyFont="1" applyBorder="1" applyAlignment="1">
      <alignment horizontal="left" indent="1"/>
    </xf>
    <xf numFmtId="168" fontId="4" fillId="0" borderId="0" xfId="11" applyNumberFormat="1" applyFont="1" applyFill="1" applyBorder="1" applyAlignment="1" applyProtection="1">
      <protection locked="0"/>
    </xf>
    <xf numFmtId="44" fontId="36" fillId="0" borderId="10" xfId="55" applyFont="1" applyFill="1" applyBorder="1" applyAlignment="1" applyProtection="1">
      <alignment horizontal="right"/>
      <protection locked="0"/>
    </xf>
    <xf numFmtId="44" fontId="36" fillId="0" borderId="0" xfId="55" applyFont="1" applyFill="1" applyBorder="1" applyAlignment="1" applyProtection="1">
      <protection locked="0"/>
    </xf>
    <xf numFmtId="44" fontId="36" fillId="0" borderId="7" xfId="55" applyFont="1" applyFill="1" applyBorder="1" applyAlignment="1" applyProtection="1">
      <alignment horizontal="right"/>
      <protection locked="0"/>
    </xf>
    <xf numFmtId="44" fontId="36" fillId="0" borderId="0" xfId="55" applyFont="1" applyFill="1" applyBorder="1" applyAlignment="1" applyProtection="1">
      <alignment horizontal="right"/>
      <protection locked="0"/>
    </xf>
    <xf numFmtId="44" fontId="36" fillId="0" borderId="0" xfId="55" applyFont="1" applyFill="1" applyBorder="1"/>
    <xf numFmtId="44" fontId="36" fillId="0" borderId="5" xfId="55" applyFont="1" applyFill="1" applyBorder="1" applyAlignment="1">
      <alignment horizontal="left" indent="1"/>
    </xf>
    <xf numFmtId="44" fontId="13" fillId="0" borderId="10" xfId="55" applyFont="1" applyFill="1" applyBorder="1" applyAlignment="1" applyProtection="1">
      <alignment horizontal="right"/>
      <protection locked="0"/>
    </xf>
    <xf numFmtId="44" fontId="13" fillId="0" borderId="0" xfId="55" applyFont="1" applyFill="1" applyBorder="1" applyAlignment="1" applyProtection="1">
      <alignment horizontal="right"/>
      <protection locked="0"/>
    </xf>
    <xf numFmtId="44" fontId="13" fillId="0" borderId="7" xfId="55" applyFont="1" applyFill="1" applyBorder="1" applyAlignment="1" applyProtection="1">
      <alignment horizontal="right"/>
      <protection locked="0"/>
    </xf>
    <xf numFmtId="168" fontId="35" fillId="0" borderId="10" xfId="11" applyNumberFormat="1" applyFont="1" applyFill="1" applyBorder="1" applyAlignment="1" applyProtection="1">
      <alignment horizontal="right"/>
      <protection locked="0"/>
    </xf>
    <xf numFmtId="168" fontId="35" fillId="0" borderId="0" xfId="11" applyNumberFormat="1" applyFont="1" applyFill="1" applyBorder="1" applyAlignment="1" applyProtection="1">
      <alignment horizontal="right"/>
      <protection locked="0"/>
    </xf>
    <xf numFmtId="168" fontId="35" fillId="0" borderId="7" xfId="11" applyNumberFormat="1" applyFont="1" applyFill="1" applyBorder="1" applyAlignment="1" applyProtection="1">
      <alignment horizontal="right"/>
      <protection locked="0"/>
    </xf>
    <xf numFmtId="44" fontId="35" fillId="0" borderId="0" xfId="55" applyFont="1" applyFill="1" applyBorder="1" applyAlignment="1" applyProtection="1">
      <alignment horizontal="right"/>
      <protection locked="0"/>
    </xf>
    <xf numFmtId="193" fontId="30" fillId="0" borderId="7" xfId="55" applyNumberFormat="1" applyFont="1" applyFill="1" applyBorder="1" applyAlignment="1" applyProtection="1">
      <alignment horizontal="right"/>
      <protection locked="0"/>
    </xf>
    <xf numFmtId="44" fontId="13" fillId="0" borderId="5" xfId="55" applyFont="1" applyFill="1" applyBorder="1" applyAlignment="1" applyProtection="1">
      <alignment horizontal="right"/>
      <protection locked="0"/>
    </xf>
    <xf numFmtId="37" fontId="4" fillId="0" borderId="5" xfId="11" applyNumberFormat="1" applyFont="1" applyFill="1" applyBorder="1" applyAlignment="1" applyProtection="1">
      <alignment horizontal="right"/>
      <protection locked="0"/>
    </xf>
    <xf numFmtId="44" fontId="13" fillId="12" borderId="5" xfId="55" applyFont="1" applyFill="1" applyBorder="1" applyAlignment="1">
      <alignment horizontal="left" indent="1"/>
    </xf>
    <xf numFmtId="0" fontId="4" fillId="12" borderId="0" xfId="0" applyNumberFormat="1" applyFont="1" applyFill="1" applyBorder="1" applyAlignment="1" applyProtection="1">
      <protection locked="0"/>
    </xf>
    <xf numFmtId="181" fontId="4" fillId="12" borderId="7" xfId="11" applyNumberFormat="1" applyFont="1" applyFill="1" applyBorder="1" applyAlignment="1" applyProtection="1">
      <alignment horizontal="right"/>
      <protection locked="0"/>
    </xf>
    <xf numFmtId="181" fontId="39" fillId="12" borderId="0" xfId="11" applyNumberFormat="1" applyFont="1" applyFill="1" applyBorder="1" applyAlignment="1" applyProtection="1">
      <alignment horizontal="right"/>
      <protection locked="0"/>
    </xf>
    <xf numFmtId="181" fontId="39" fillId="12" borderId="10" xfId="11" applyNumberFormat="1" applyFont="1" applyFill="1" applyBorder="1" applyAlignment="1" applyProtection="1">
      <alignment horizontal="right"/>
      <protection locked="0"/>
    </xf>
    <xf numFmtId="37" fontId="30" fillId="12" borderId="10" xfId="11" applyNumberFormat="1" applyFont="1" applyFill="1" applyBorder="1" applyAlignment="1" applyProtection="1">
      <alignment horizontal="right"/>
      <protection locked="0"/>
    </xf>
    <xf numFmtId="37" fontId="30" fillId="12" borderId="0" xfId="11" applyNumberFormat="1" applyFont="1" applyFill="1" applyBorder="1" applyAlignment="1" applyProtection="1">
      <alignment horizontal="right"/>
      <protection locked="0"/>
    </xf>
    <xf numFmtId="37" fontId="4" fillId="12" borderId="7" xfId="11" applyNumberFormat="1" applyFont="1" applyFill="1" applyBorder="1" applyAlignment="1" applyProtection="1">
      <alignment horizontal="right"/>
      <protection locked="0"/>
    </xf>
    <xf numFmtId="37" fontId="39" fillId="12" borderId="0" xfId="11" applyNumberFormat="1" applyFont="1" applyFill="1" applyBorder="1" applyAlignment="1" applyProtection="1">
      <alignment horizontal="right"/>
      <protection locked="0"/>
    </xf>
    <xf numFmtId="37" fontId="30" fillId="12" borderId="7" xfId="11" applyNumberFormat="1" applyFont="1" applyFill="1" applyBorder="1" applyAlignment="1" applyProtection="1">
      <alignment horizontal="right"/>
      <protection locked="0"/>
    </xf>
    <xf numFmtId="37" fontId="4" fillId="12" borderId="0" xfId="11" applyNumberFormat="1" applyFont="1" applyFill="1" applyBorder="1" applyAlignment="1" applyProtection="1">
      <alignment horizontal="right"/>
      <protection locked="0"/>
    </xf>
    <xf numFmtId="44" fontId="13" fillId="12" borderId="7" xfId="55" applyFont="1" applyFill="1" applyBorder="1" applyAlignment="1" applyProtection="1">
      <alignment horizontal="right"/>
      <protection locked="0"/>
    </xf>
    <xf numFmtId="44" fontId="13" fillId="0" borderId="5" xfId="55" applyFont="1" applyFill="1" applyBorder="1" applyAlignment="1">
      <alignment horizontal="left" indent="1"/>
    </xf>
    <xf numFmtId="0" fontId="16" fillId="0" borderId="5" xfId="0" applyFont="1" applyBorder="1" applyAlignment="1">
      <alignment horizontal="left" indent="1"/>
    </xf>
    <xf numFmtId="167" fontId="16" fillId="0" borderId="5" xfId="24" applyNumberFormat="1" applyFont="1" applyFill="1" applyBorder="1" applyAlignment="1" applyProtection="1">
      <alignment horizontal="right"/>
      <protection locked="0"/>
    </xf>
    <xf numFmtId="37" fontId="32" fillId="0" borderId="10" xfId="11" applyNumberFormat="1" applyFont="1" applyFill="1" applyBorder="1" applyAlignment="1" applyProtection="1">
      <alignment horizontal="right"/>
      <protection locked="0"/>
    </xf>
    <xf numFmtId="37" fontId="13" fillId="0" borderId="0" xfId="11" applyNumberFormat="1" applyFont="1" applyFill="1" applyBorder="1" applyAlignment="1" applyProtection="1">
      <alignment horizontal="right"/>
      <protection locked="0"/>
    </xf>
    <xf numFmtId="37" fontId="13" fillId="0" borderId="10" xfId="11" applyNumberFormat="1" applyFont="1" applyFill="1" applyBorder="1" applyAlignment="1" applyProtection="1">
      <alignment horizontal="right"/>
      <protection locked="0"/>
    </xf>
    <xf numFmtId="191" fontId="13" fillId="0" borderId="0" xfId="55" applyNumberFormat="1" applyFont="1" applyFill="1" applyBorder="1" applyAlignment="1" applyProtection="1">
      <alignment horizontal="right"/>
      <protection locked="0"/>
    </xf>
    <xf numFmtId="0" fontId="13" fillId="0" borderId="0" xfId="0" applyFont="1" applyBorder="1"/>
    <xf numFmtId="9" fontId="13" fillId="0" borderId="0" xfId="0" applyNumberFormat="1" applyFont="1" applyBorder="1"/>
    <xf numFmtId="168" fontId="13" fillId="0" borderId="7" xfId="11" applyNumberFormat="1" applyFont="1" applyFill="1" applyBorder="1" applyAlignment="1" applyProtection="1">
      <alignment horizontal="right"/>
      <protection locked="0"/>
    </xf>
    <xf numFmtId="168" fontId="13" fillId="0" borderId="0" xfId="11" applyNumberFormat="1" applyFont="1" applyFill="1" applyBorder="1" applyAlignment="1" applyProtection="1">
      <alignment horizontal="right"/>
    </xf>
    <xf numFmtId="167" fontId="16" fillId="0" borderId="7" xfId="24" applyNumberFormat="1" applyFont="1" applyFill="1" applyBorder="1" applyAlignment="1" applyProtection="1">
      <alignment horizontal="left" indent="1"/>
      <protection locked="0"/>
    </xf>
    <xf numFmtId="167" fontId="16" fillId="0" borderId="0" xfId="24" applyNumberFormat="1" applyFont="1" applyFill="1" applyBorder="1"/>
    <xf numFmtId="44" fontId="4" fillId="12" borderId="10" xfId="55" applyFont="1" applyFill="1" applyBorder="1" applyAlignment="1" applyProtection="1">
      <alignment horizontal="right"/>
      <protection locked="0"/>
    </xf>
    <xf numFmtId="44" fontId="4" fillId="12" borderId="0" xfId="55" applyFont="1" applyFill="1" applyBorder="1" applyAlignment="1" applyProtection="1">
      <alignment horizontal="right"/>
      <protection locked="0"/>
    </xf>
    <xf numFmtId="181" fontId="72" fillId="0" borderId="0" xfId="11" applyNumberFormat="1" applyFont="1" applyFill="1" applyBorder="1" applyAlignment="1" applyProtection="1">
      <alignment horizontal="right"/>
      <protection locked="0"/>
    </xf>
    <xf numFmtId="0" fontId="4" fillId="0" borderId="5" xfId="0" applyFont="1" applyBorder="1" applyAlignment="1">
      <alignment horizontal="left" indent="3"/>
    </xf>
    <xf numFmtId="191" fontId="13" fillId="0" borderId="32" xfId="55" applyNumberFormat="1" applyFont="1" applyFill="1" applyBorder="1" applyAlignment="1" applyProtection="1">
      <alignment horizontal="right"/>
      <protection locked="0"/>
    </xf>
    <xf numFmtId="191" fontId="13" fillId="0" borderId="4" xfId="55" applyNumberFormat="1" applyFont="1" applyFill="1" applyBorder="1" applyAlignment="1" applyProtection="1">
      <alignment horizontal="right"/>
      <protection locked="0"/>
    </xf>
    <xf numFmtId="191" fontId="13" fillId="0" borderId="31" xfId="55" applyNumberFormat="1" applyFont="1" applyFill="1" applyBorder="1" applyAlignment="1" applyProtection="1">
      <alignment horizontal="right"/>
      <protection locked="0"/>
    </xf>
    <xf numFmtId="167" fontId="4" fillId="0" borderId="7" xfId="24" applyNumberFormat="1" applyFont="1" applyFill="1" applyBorder="1"/>
    <xf numFmtId="168" fontId="81" fillId="0" borderId="7" xfId="11" applyNumberFormat="1" applyFont="1" applyFill="1" applyBorder="1" applyAlignment="1" applyProtection="1">
      <alignment horizontal="right"/>
      <protection locked="0"/>
    </xf>
    <xf numFmtId="0" fontId="4" fillId="0" borderId="7" xfId="0" applyFont="1" applyFill="1" applyBorder="1" applyAlignment="1">
      <alignment horizontal="left" indent="2"/>
    </xf>
    <xf numFmtId="0" fontId="4" fillId="0" borderId="5" xfId="0" applyFont="1" applyFill="1" applyBorder="1" applyAlignment="1">
      <alignment horizontal="left" indent="2"/>
    </xf>
    <xf numFmtId="44" fontId="4" fillId="0" borderId="5" xfId="55" applyFont="1" applyFill="1" applyBorder="1" applyAlignment="1">
      <alignment horizontal="left"/>
    </xf>
    <xf numFmtId="0" fontId="35" fillId="0" borderId="7" xfId="0" applyFont="1" applyFill="1" applyBorder="1" applyAlignment="1" applyProtection="1">
      <alignment horizontal="left" indent="1"/>
      <protection locked="0"/>
    </xf>
    <xf numFmtId="173" fontId="35" fillId="0" borderId="0" xfId="0" applyNumberFormat="1" applyFont="1" applyFill="1" applyBorder="1" applyAlignment="1" applyProtection="1">
      <protection locked="0"/>
    </xf>
    <xf numFmtId="176" fontId="35" fillId="0" borderId="0" xfId="0" applyNumberFormat="1" applyFont="1" applyFill="1" applyBorder="1" applyAlignment="1" applyProtection="1">
      <protection locked="0"/>
    </xf>
    <xf numFmtId="0" fontId="35" fillId="0" borderId="0" xfId="0" applyFont="1" applyFill="1" applyBorder="1"/>
    <xf numFmtId="9" fontId="85" fillId="0" borderId="0" xfId="24" applyFont="1" applyFill="1" applyBorder="1" applyAlignment="1" applyProtection="1">
      <alignment horizontal="right"/>
      <protection locked="0"/>
    </xf>
    <xf numFmtId="181" fontId="85" fillId="0" borderId="0" xfId="11" applyNumberFormat="1" applyFont="1" applyFill="1" applyBorder="1" applyAlignment="1" applyProtection="1">
      <alignment horizontal="right"/>
      <protection locked="0"/>
    </xf>
    <xf numFmtId="44" fontId="4" fillId="12" borderId="7" xfId="55" applyFont="1" applyFill="1" applyBorder="1" applyAlignment="1" applyProtection="1">
      <alignment horizontal="right"/>
      <protection locked="0"/>
    </xf>
    <xf numFmtId="173" fontId="29" fillId="0" borderId="0" xfId="0" applyNumberFormat="1" applyFont="1" applyFill="1" applyBorder="1" applyAlignment="1" applyProtection="1">
      <protection locked="0"/>
    </xf>
    <xf numFmtId="181" fontId="29" fillId="0" borderId="0" xfId="11" applyNumberFormat="1" applyFont="1" applyFill="1" applyBorder="1" applyAlignment="1" applyProtection="1">
      <alignment horizontal="right"/>
      <protection locked="0"/>
    </xf>
    <xf numFmtId="0" fontId="29" fillId="4" borderId="7" xfId="0" applyFont="1" applyFill="1" applyBorder="1" applyAlignment="1" applyProtection="1">
      <protection locked="0"/>
    </xf>
    <xf numFmtId="181" fontId="29" fillId="4" borderId="10" xfId="11" applyNumberFormat="1" applyFont="1" applyFill="1" applyBorder="1" applyAlignment="1" applyProtection="1">
      <alignment horizontal="right"/>
      <protection locked="0"/>
    </xf>
    <xf numFmtId="0" fontId="29" fillId="0" borderId="0" xfId="0" applyFont="1" applyFill="1" applyBorder="1" applyAlignment="1" applyProtection="1">
      <protection locked="0"/>
    </xf>
    <xf numFmtId="10" fontId="39" fillId="0" borderId="7" xfId="24" applyNumberFormat="1" applyFont="1" applyFill="1" applyBorder="1" applyAlignment="1" applyProtection="1">
      <alignment horizontal="right"/>
      <protection locked="0"/>
    </xf>
    <xf numFmtId="10" fontId="37" fillId="0" borderId="7" xfId="24" applyNumberFormat="1" applyFont="1" applyFill="1" applyBorder="1" applyAlignment="1" applyProtection="1">
      <alignment horizontal="right"/>
      <protection locked="0"/>
    </xf>
    <xf numFmtId="0" fontId="4" fillId="0" borderId="7" xfId="0" applyFont="1" applyFill="1" applyBorder="1" applyAlignment="1">
      <alignment horizontal="left" indent="1"/>
    </xf>
    <xf numFmtId="181" fontId="13" fillId="0" borderId="0" xfId="0" applyNumberFormat="1" applyFont="1" applyFill="1" applyBorder="1" applyProtection="1">
      <protection locked="0"/>
    </xf>
    <xf numFmtId="0" fontId="16" fillId="0" borderId="15" xfId="0" applyFont="1" applyFill="1" applyBorder="1" applyAlignment="1" applyProtection="1">
      <alignment horizontal="left" indent="1"/>
      <protection locked="0"/>
    </xf>
    <xf numFmtId="168" fontId="4" fillId="0" borderId="7" xfId="11" applyNumberFormat="1" applyFont="1" applyFill="1" applyBorder="1" applyAlignment="1" applyProtection="1">
      <alignment horizontal="right"/>
    </xf>
    <xf numFmtId="168" fontId="4" fillId="0" borderId="10" xfId="11" applyNumberFormat="1" applyFont="1" applyFill="1" applyBorder="1" applyAlignment="1" applyProtection="1">
      <alignment horizontal="right"/>
    </xf>
    <xf numFmtId="0" fontId="16" fillId="0" borderId="0" xfId="0" applyFont="1" applyFill="1" applyBorder="1" applyProtection="1">
      <protection locked="0"/>
    </xf>
    <xf numFmtId="167" fontId="82" fillId="0" borderId="16" xfId="24" applyNumberFormat="1" applyFont="1" applyFill="1" applyBorder="1" applyAlignment="1" applyProtection="1">
      <alignment horizontal="right"/>
    </xf>
    <xf numFmtId="167" fontId="82" fillId="0" borderId="12" xfId="24" applyNumberFormat="1" applyFont="1" applyFill="1" applyBorder="1" applyAlignment="1" applyProtection="1">
      <alignment horizontal="right"/>
    </xf>
    <xf numFmtId="181" fontId="38" fillId="0" borderId="10" xfId="11" applyNumberFormat="1" applyFont="1" applyFill="1" applyBorder="1"/>
    <xf numFmtId="181" fontId="38" fillId="0" borderId="0" xfId="11" applyNumberFormat="1" applyFont="1" applyFill="1" applyBorder="1"/>
    <xf numFmtId="181" fontId="35" fillId="0" borderId="10" xfId="11" applyNumberFormat="1" applyFont="1" applyFill="1" applyBorder="1"/>
    <xf numFmtId="181" fontId="35" fillId="0" borderId="0" xfId="11" applyNumberFormat="1" applyFont="1" applyFill="1" applyBorder="1"/>
    <xf numFmtId="181" fontId="35" fillId="0" borderId="7" xfId="11" applyNumberFormat="1" applyFont="1" applyFill="1" applyBorder="1"/>
    <xf numFmtId="181" fontId="35" fillId="0" borderId="0" xfId="41" applyNumberFormat="1" applyFont="1" applyFill="1" applyBorder="1"/>
    <xf numFmtId="172" fontId="35" fillId="0" borderId="7" xfId="11" applyNumberFormat="1" applyFont="1" applyFill="1" applyBorder="1" applyAlignment="1" applyProtection="1">
      <alignment horizontal="right"/>
      <protection locked="0"/>
    </xf>
    <xf numFmtId="172" fontId="35" fillId="0" borderId="10" xfId="11" applyNumberFormat="1" applyFont="1" applyFill="1" applyBorder="1" applyAlignment="1" applyProtection="1">
      <alignment horizontal="right"/>
      <protection locked="0"/>
    </xf>
    <xf numFmtId="172" fontId="35" fillId="0" borderId="0" xfId="11" applyNumberFormat="1" applyFont="1" applyFill="1" applyBorder="1" applyAlignment="1" applyProtection="1">
      <alignment horizontal="right"/>
      <protection locked="0"/>
    </xf>
    <xf numFmtId="172" fontId="35" fillId="0" borderId="5" xfId="11" applyNumberFormat="1" applyFont="1" applyFill="1" applyBorder="1" applyAlignment="1" applyProtection="1">
      <alignment horizontal="right"/>
      <protection locked="0"/>
    </xf>
    <xf numFmtId="181" fontId="35" fillId="0" borderId="10" xfId="41" applyNumberFormat="1" applyFont="1" applyFill="1" applyBorder="1"/>
    <xf numFmtId="0" fontId="16" fillId="0" borderId="13" xfId="0" applyFont="1" applyFill="1" applyBorder="1" applyAlignment="1" applyProtection="1">
      <protection locked="0"/>
    </xf>
    <xf numFmtId="181" fontId="30" fillId="0" borderId="8" xfId="11" applyNumberFormat="1" applyFont="1" applyFill="1" applyBorder="1" applyAlignment="1" applyProtection="1">
      <alignment horizontal="right"/>
      <protection locked="0"/>
    </xf>
    <xf numFmtId="181" fontId="16" fillId="0" borderId="0" xfId="11" applyNumberFormat="1" applyFont="1" applyFill="1" applyBorder="1" applyProtection="1">
      <protection locked="0"/>
    </xf>
    <xf numFmtId="181" fontId="72" fillId="0" borderId="10" xfId="11" applyNumberFormat="1" applyFont="1" applyFill="1" applyBorder="1" applyAlignment="1" applyProtection="1">
      <alignment horizontal="right"/>
      <protection locked="0"/>
    </xf>
    <xf numFmtId="167" fontId="16" fillId="0" borderId="37" xfId="24" applyNumberFormat="1" applyFont="1" applyFill="1" applyBorder="1" applyAlignment="1" applyProtection="1">
      <alignment horizontal="right"/>
      <protection locked="0"/>
    </xf>
    <xf numFmtId="167" fontId="16" fillId="0" borderId="11" xfId="24" applyNumberFormat="1" applyFont="1" applyFill="1" applyBorder="1" applyAlignment="1" applyProtection="1">
      <alignment horizontal="right"/>
    </xf>
    <xf numFmtId="167" fontId="16" fillId="0" borderId="13" xfId="24" applyNumberFormat="1" applyFont="1" applyFill="1" applyBorder="1" applyAlignment="1" applyProtection="1">
      <alignment horizontal="right"/>
    </xf>
    <xf numFmtId="167" fontId="82" fillId="0" borderId="11" xfId="24" applyNumberFormat="1" applyFont="1" applyFill="1" applyBorder="1" applyAlignment="1" applyProtection="1">
      <alignment horizontal="right"/>
    </xf>
    <xf numFmtId="167" fontId="66" fillId="0" borderId="15" xfId="24" applyNumberFormat="1" applyFont="1" applyFill="1" applyBorder="1" applyAlignment="1" applyProtection="1">
      <alignment horizontal="right"/>
    </xf>
    <xf numFmtId="9" fontId="33" fillId="0" borderId="0" xfId="24" applyFont="1" applyFill="1" applyBorder="1" applyAlignment="1" applyProtection="1">
      <alignment horizontal="right"/>
      <protection locked="0"/>
    </xf>
    <xf numFmtId="167" fontId="69" fillId="0" borderId="7" xfId="24" applyNumberFormat="1" applyFont="1" applyFill="1" applyBorder="1" applyAlignment="1" applyProtection="1">
      <alignment horizontal="right"/>
    </xf>
    <xf numFmtId="44" fontId="35" fillId="0" borderId="0" xfId="0" applyNumberFormat="1" applyFont="1" applyFill="1" applyBorder="1"/>
    <xf numFmtId="167" fontId="9" fillId="0" borderId="0" xfId="0" applyNumberFormat="1" applyFont="1" applyFill="1" applyBorder="1"/>
    <xf numFmtId="167" fontId="30" fillId="0" borderId="36" xfId="24" applyNumberFormat="1" applyFont="1" applyFill="1" applyBorder="1"/>
    <xf numFmtId="43" fontId="39" fillId="0" borderId="7" xfId="11" applyFont="1" applyFill="1" applyBorder="1" applyAlignment="1" applyProtection="1">
      <alignment horizontal="right"/>
      <protection locked="0"/>
    </xf>
    <xf numFmtId="43" fontId="4" fillId="0" borderId="10" xfId="11" applyFont="1" applyFill="1" applyBorder="1" applyAlignment="1" applyProtection="1">
      <alignment horizontal="right"/>
      <protection locked="0"/>
    </xf>
    <xf numFmtId="43" fontId="4" fillId="0" borderId="10" xfId="0" applyNumberFormat="1" applyFont="1" applyFill="1" applyBorder="1"/>
    <xf numFmtId="181" fontId="53" fillId="0" borderId="15" xfId="11" applyNumberFormat="1" applyFont="1" applyFill="1" applyBorder="1" applyAlignment="1" applyProtection="1">
      <alignment horizontal="right"/>
      <protection locked="0"/>
    </xf>
    <xf numFmtId="167" fontId="36" fillId="0" borderId="15" xfId="24" applyNumberFormat="1" applyFont="1" applyFill="1" applyBorder="1" applyAlignment="1" applyProtection="1">
      <alignment horizontal="right"/>
    </xf>
    <xf numFmtId="167" fontId="36" fillId="0" borderId="16" xfId="24" applyNumberFormat="1" applyFont="1" applyFill="1" applyBorder="1" applyAlignment="1" applyProtection="1">
      <alignment horizontal="right"/>
    </xf>
    <xf numFmtId="167" fontId="36" fillId="0" borderId="12" xfId="24" applyNumberFormat="1" applyFont="1" applyFill="1" applyBorder="1" applyAlignment="1" applyProtection="1">
      <alignment horizontal="right"/>
    </xf>
    <xf numFmtId="167" fontId="13" fillId="0" borderId="15" xfId="24" applyNumberFormat="1" applyFont="1" applyFill="1" applyBorder="1" applyAlignment="1" applyProtection="1">
      <alignment horizontal="right"/>
    </xf>
    <xf numFmtId="167" fontId="13" fillId="0" borderId="0" xfId="24" applyNumberFormat="1" applyFont="1" applyFill="1" applyBorder="1" applyAlignment="1" applyProtection="1">
      <alignment horizontal="right"/>
    </xf>
    <xf numFmtId="167" fontId="13" fillId="0" borderId="16" xfId="24" applyNumberFormat="1" applyFont="1" applyFill="1" applyBorder="1" applyAlignment="1" applyProtection="1">
      <alignment horizontal="right"/>
    </xf>
    <xf numFmtId="167" fontId="13" fillId="0" borderId="12" xfId="24" applyNumberFormat="1" applyFont="1" applyFill="1" applyBorder="1" applyAlignment="1" applyProtection="1">
      <alignment horizontal="right"/>
    </xf>
    <xf numFmtId="43" fontId="39" fillId="0" borderId="0" xfId="11" applyFont="1" applyFill="1" applyBorder="1" applyAlignment="1" applyProtection="1">
      <alignment horizontal="right"/>
      <protection locked="0"/>
    </xf>
    <xf numFmtId="10" fontId="39" fillId="0" borderId="0" xfId="24" applyNumberFormat="1" applyFont="1" applyFill="1" applyBorder="1" applyAlignment="1" applyProtection="1">
      <alignment horizontal="right"/>
      <protection locked="0"/>
    </xf>
    <xf numFmtId="167" fontId="16" fillId="0" borderId="10" xfId="24" applyNumberFormat="1" applyFont="1" applyFill="1" applyBorder="1"/>
    <xf numFmtId="0" fontId="29" fillId="13" borderId="0" xfId="0" applyFont="1" applyFill="1" applyBorder="1"/>
    <xf numFmtId="0" fontId="33" fillId="13" borderId="0" xfId="0" applyFont="1" applyFill="1" applyBorder="1"/>
    <xf numFmtId="0" fontId="29" fillId="13" borderId="0" xfId="0" applyFont="1" applyFill="1" applyBorder="1" applyAlignment="1">
      <alignment horizontal="right"/>
    </xf>
    <xf numFmtId="181" fontId="30" fillId="0" borderId="11" xfId="11" applyNumberFormat="1" applyFont="1" applyFill="1" applyBorder="1" applyAlignment="1" applyProtection="1">
      <alignment horizontal="right"/>
      <protection locked="0"/>
    </xf>
    <xf numFmtId="167" fontId="30" fillId="0" borderId="10" xfId="24" applyNumberFormat="1" applyFont="1" applyFill="1" applyBorder="1" applyAlignment="1" applyProtection="1">
      <alignment horizontal="right"/>
      <protection locked="0"/>
    </xf>
    <xf numFmtId="10" fontId="4" fillId="0" borderId="0" xfId="24" applyNumberFormat="1" applyFont="1" applyFill="1" applyBorder="1" applyAlignment="1" applyProtection="1">
      <protection locked="0"/>
    </xf>
    <xf numFmtId="1" fontId="4" fillId="0" borderId="0" xfId="0" applyNumberFormat="1" applyFont="1" applyFill="1" applyBorder="1" applyAlignment="1" applyProtection="1">
      <protection locked="0"/>
    </xf>
    <xf numFmtId="39" fontId="39" fillId="0" borderId="7" xfId="11" applyNumberFormat="1" applyFont="1" applyFill="1" applyBorder="1" applyAlignment="1" applyProtection="1">
      <alignment horizontal="right"/>
      <protection locked="0"/>
    </xf>
    <xf numFmtId="39" fontId="4" fillId="0" borderId="7" xfId="11" applyNumberFormat="1" applyFont="1" applyFill="1" applyBorder="1" applyAlignment="1" applyProtection="1">
      <alignment horizontal="right"/>
      <protection locked="0"/>
    </xf>
    <xf numFmtId="167" fontId="32" fillId="0" borderId="0" xfId="24" applyNumberFormat="1" applyFont="1" applyFill="1" applyBorder="1" applyAlignment="1" applyProtection="1">
      <alignment horizontal="right"/>
      <protection locked="0"/>
    </xf>
    <xf numFmtId="172" fontId="35" fillId="0" borderId="10" xfId="11" applyNumberFormat="1" applyFont="1" applyFill="1" applyBorder="1" applyAlignment="1" applyProtection="1">
      <alignment horizontal="right"/>
    </xf>
    <xf numFmtId="172" fontId="35" fillId="0" borderId="0" xfId="11" applyNumberFormat="1" applyFont="1" applyFill="1" applyBorder="1" applyAlignment="1" applyProtection="1">
      <alignment horizontal="right"/>
    </xf>
    <xf numFmtId="181" fontId="35" fillId="0" borderId="10" xfId="11" applyNumberFormat="1" applyFont="1" applyFill="1" applyBorder="1" applyAlignment="1" applyProtection="1">
      <alignment horizontal="right"/>
    </xf>
    <xf numFmtId="181" fontId="35" fillId="0" borderId="0" xfId="11" applyNumberFormat="1" applyFont="1" applyFill="1" applyBorder="1" applyAlignment="1" applyProtection="1">
      <alignment horizontal="right"/>
    </xf>
    <xf numFmtId="167" fontId="35" fillId="0" borderId="11" xfId="24" applyNumberFormat="1" applyFont="1" applyFill="1" applyBorder="1" applyAlignment="1" applyProtection="1">
      <alignment horizontal="right"/>
    </xf>
    <xf numFmtId="167" fontId="35" fillId="0" borderId="12" xfId="24" applyNumberFormat="1" applyFont="1" applyFill="1" applyBorder="1" applyAlignment="1" applyProtection="1">
      <alignment horizontal="right"/>
    </xf>
    <xf numFmtId="9" fontId="35" fillId="0" borderId="10" xfId="24" applyFont="1" applyFill="1" applyBorder="1" applyAlignment="1" applyProtection="1">
      <alignment horizontal="right"/>
    </xf>
    <xf numFmtId="9" fontId="35" fillId="0" borderId="0" xfId="24" applyFont="1" applyFill="1" applyBorder="1" applyAlignment="1" applyProtection="1">
      <alignment horizontal="right"/>
    </xf>
    <xf numFmtId="181" fontId="35" fillId="14" borderId="0" xfId="11" applyNumberFormat="1" applyFont="1" applyFill="1" applyBorder="1" applyAlignment="1" applyProtection="1">
      <alignment horizontal="right"/>
      <protection locked="0"/>
    </xf>
    <xf numFmtId="167" fontId="35" fillId="14" borderId="0" xfId="24" applyNumberFormat="1" applyFont="1" applyFill="1" applyBorder="1" applyAlignment="1" applyProtection="1">
      <alignment horizontal="right"/>
      <protection locked="0"/>
    </xf>
    <xf numFmtId="167" fontId="16" fillId="0" borderId="28" xfId="24" applyNumberFormat="1" applyFont="1" applyFill="1" applyBorder="1" applyAlignment="1" applyProtection="1">
      <alignment horizontal="right"/>
    </xf>
    <xf numFmtId="10" fontId="4" fillId="0" borderId="0" xfId="24" applyNumberFormat="1" applyFont="1" applyFill="1" applyBorder="1" applyAlignment="1" applyProtection="1">
      <alignment horizontal="right"/>
      <protection locked="0"/>
    </xf>
    <xf numFmtId="7" fontId="30" fillId="0" borderId="16" xfId="11" applyNumberFormat="1" applyFont="1" applyFill="1" applyBorder="1" applyAlignment="1" applyProtection="1">
      <alignment horizontal="right"/>
      <protection locked="0"/>
    </xf>
    <xf numFmtId="9" fontId="86" fillId="0" borderId="0" xfId="24" applyFont="1" applyFill="1" applyBorder="1" applyAlignment="1" applyProtection="1">
      <alignment horizontal="right"/>
      <protection locked="0"/>
    </xf>
    <xf numFmtId="193" fontId="4" fillId="0" borderId="7" xfId="55" applyNumberFormat="1" applyFont="1" applyFill="1" applyBorder="1" applyAlignment="1"/>
    <xf numFmtId="193" fontId="30" fillId="0" borderId="0" xfId="55" applyNumberFormat="1" applyFont="1" applyFill="1" applyAlignment="1"/>
    <xf numFmtId="193" fontId="30" fillId="0" borderId="10" xfId="55" applyNumberFormat="1" applyFont="1" applyFill="1" applyBorder="1" applyAlignment="1"/>
    <xf numFmtId="193" fontId="4" fillId="0" borderId="10" xfId="55" applyNumberFormat="1" applyFont="1" applyFill="1" applyBorder="1" applyAlignment="1"/>
    <xf numFmtId="193" fontId="4" fillId="0" borderId="0" xfId="55" applyNumberFormat="1" applyFont="1" applyFill="1" applyAlignment="1"/>
    <xf numFmtId="191" fontId="66" fillId="0" borderId="10" xfId="55" applyNumberFormat="1" applyFont="1" applyFill="1" applyBorder="1" applyAlignment="1">
      <alignment horizontal="right"/>
    </xf>
    <xf numFmtId="191" fontId="66" fillId="0" borderId="0" xfId="55" applyNumberFormat="1" applyFont="1" applyFill="1" applyBorder="1" applyAlignment="1">
      <alignment horizontal="right"/>
    </xf>
    <xf numFmtId="9" fontId="16" fillId="0" borderId="7" xfId="0" applyNumberFormat="1" applyFont="1" applyFill="1" applyBorder="1" applyAlignment="1"/>
    <xf numFmtId="9" fontId="16" fillId="0" borderId="10" xfId="0" applyNumberFormat="1" applyFont="1" applyFill="1" applyBorder="1"/>
    <xf numFmtId="9" fontId="16" fillId="0" borderId="0" xfId="0" applyNumberFormat="1" applyFont="1" applyFill="1"/>
    <xf numFmtId="9" fontId="16" fillId="0" borderId="0" xfId="55" applyNumberFormat="1" applyFont="1" applyFill="1"/>
    <xf numFmtId="9" fontId="30" fillId="0" borderId="10" xfId="55" applyNumberFormat="1" applyFont="1" applyFill="1" applyBorder="1"/>
    <xf numFmtId="9" fontId="30" fillId="0" borderId="0" xfId="55" applyNumberFormat="1" applyFont="1" applyFill="1"/>
    <xf numFmtId="193" fontId="66" fillId="0" borderId="0" xfId="0" applyNumberFormat="1" applyFont="1" applyFill="1"/>
    <xf numFmtId="193" fontId="30" fillId="0" borderId="7" xfId="55" applyNumberFormat="1" applyFont="1" applyFill="1" applyBorder="1" applyAlignment="1"/>
    <xf numFmtId="193" fontId="30" fillId="0" borderId="0" xfId="55" applyNumberFormat="1" applyFont="1" applyFill="1"/>
    <xf numFmtId="193" fontId="30" fillId="0" borderId="10" xfId="55" applyNumberFormat="1" applyFont="1" applyFill="1" applyBorder="1"/>
    <xf numFmtId="207" fontId="13" fillId="11" borderId="7" xfId="55" applyNumberFormat="1" applyFont="1" applyFill="1" applyBorder="1"/>
    <xf numFmtId="207" fontId="69" fillId="11" borderId="0" xfId="0" applyNumberFormat="1" applyFont="1" applyFill="1"/>
    <xf numFmtId="207" fontId="13" fillId="11" borderId="10" xfId="0" applyNumberFormat="1" applyFont="1" applyFill="1" applyBorder="1"/>
    <xf numFmtId="207" fontId="13" fillId="11" borderId="0" xfId="0" applyNumberFormat="1" applyFont="1" applyFill="1"/>
    <xf numFmtId="169" fontId="30" fillId="0" borderId="7" xfId="11" applyNumberFormat="1" applyFont="1" applyFill="1" applyBorder="1" applyAlignment="1"/>
    <xf numFmtId="169" fontId="30" fillId="0" borderId="0" xfId="11" applyNumberFormat="1" applyFont="1" applyFill="1"/>
    <xf numFmtId="169" fontId="30" fillId="0" borderId="10" xfId="11" applyNumberFormat="1" applyFont="1" applyFill="1" applyBorder="1"/>
    <xf numFmtId="0" fontId="4" fillId="10" borderId="7" xfId="0" applyFont="1" applyFill="1" applyBorder="1" applyAlignment="1" applyProtection="1">
      <protection locked="0"/>
    </xf>
    <xf numFmtId="0" fontId="4" fillId="10" borderId="0" xfId="0" applyFont="1" applyFill="1" applyBorder="1" applyAlignment="1" applyProtection="1">
      <protection locked="0"/>
    </xf>
    <xf numFmtId="181" fontId="4" fillId="10" borderId="8" xfId="11" applyNumberFormat="1" applyFont="1" applyFill="1" applyBorder="1" applyAlignment="1" applyProtection="1">
      <alignment horizontal="right"/>
      <protection locked="0"/>
    </xf>
    <xf numFmtId="181" fontId="4" fillId="10" borderId="0" xfId="11" applyNumberFormat="1" applyFont="1" applyFill="1" applyBorder="1" applyProtection="1">
      <protection locked="0"/>
    </xf>
    <xf numFmtId="181" fontId="4" fillId="10" borderId="9" xfId="11" applyNumberFormat="1" applyFont="1" applyFill="1" applyBorder="1" applyAlignment="1" applyProtection="1">
      <alignment horizontal="right"/>
      <protection locked="0"/>
    </xf>
    <xf numFmtId="181" fontId="4" fillId="10" borderId="4" xfId="11" applyNumberFormat="1" applyFont="1" applyFill="1" applyBorder="1" applyAlignment="1" applyProtection="1">
      <alignment horizontal="right"/>
      <protection locked="0"/>
    </xf>
    <xf numFmtId="181" fontId="4" fillId="10" borderId="7" xfId="11" applyNumberFormat="1" applyFont="1" applyFill="1" applyBorder="1" applyAlignment="1" applyProtection="1">
      <alignment horizontal="right"/>
      <protection locked="0"/>
    </xf>
    <xf numFmtId="181" fontId="4" fillId="10" borderId="10" xfId="11" applyNumberFormat="1" applyFont="1" applyFill="1" applyBorder="1" applyAlignment="1" applyProtection="1">
      <alignment horizontal="right"/>
      <protection locked="0"/>
    </xf>
    <xf numFmtId="181" fontId="4" fillId="10" borderId="0" xfId="11" applyNumberFormat="1" applyFont="1" applyFill="1" applyBorder="1" applyAlignment="1" applyProtection="1">
      <alignment horizontal="right"/>
      <protection locked="0"/>
    </xf>
    <xf numFmtId="0" fontId="4" fillId="10" borderId="13" xfId="0" applyFont="1" applyFill="1" applyBorder="1" applyAlignment="1" applyProtection="1">
      <protection locked="0"/>
    </xf>
    <xf numFmtId="7" fontId="4" fillId="10" borderId="13" xfId="11" applyNumberFormat="1" applyFont="1" applyFill="1" applyBorder="1" applyAlignment="1" applyProtection="1">
      <alignment horizontal="right"/>
      <protection locked="0"/>
    </xf>
    <xf numFmtId="7" fontId="4" fillId="10" borderId="11" xfId="11" applyNumberFormat="1" applyFont="1" applyFill="1" applyBorder="1" applyAlignment="1" applyProtection="1">
      <alignment horizontal="right"/>
      <protection locked="0"/>
    </xf>
    <xf numFmtId="7" fontId="4" fillId="10" borderId="12" xfId="11" applyNumberFormat="1" applyFont="1" applyFill="1" applyBorder="1" applyAlignment="1" applyProtection="1">
      <alignment horizontal="right"/>
      <protection locked="0"/>
    </xf>
    <xf numFmtId="7" fontId="39" fillId="14" borderId="10" xfId="11" applyNumberFormat="1" applyFont="1" applyFill="1" applyBorder="1" applyAlignment="1" applyProtection="1">
      <alignment horizontal="right"/>
      <protection locked="0"/>
    </xf>
    <xf numFmtId="181" fontId="4" fillId="14" borderId="10" xfId="11" applyNumberFormat="1" applyFont="1" applyFill="1" applyBorder="1" applyAlignment="1" applyProtection="1">
      <alignment horizontal="right"/>
      <protection locked="0"/>
    </xf>
    <xf numFmtId="181" fontId="38" fillId="14" borderId="10" xfId="11" applyNumberFormat="1" applyFont="1" applyFill="1" applyBorder="1" applyAlignment="1" applyProtection="1">
      <alignment horizontal="right"/>
      <protection locked="0"/>
    </xf>
    <xf numFmtId="181" fontId="13" fillId="14" borderId="10" xfId="11" applyNumberFormat="1" applyFont="1" applyFill="1" applyBorder="1" applyAlignment="1" applyProtection="1">
      <alignment horizontal="right"/>
      <protection locked="0"/>
    </xf>
    <xf numFmtId="167" fontId="4" fillId="14" borderId="10" xfId="24" applyNumberFormat="1" applyFont="1" applyFill="1" applyBorder="1" applyAlignment="1" applyProtection="1">
      <alignment horizontal="right"/>
    </xf>
    <xf numFmtId="167" fontId="38" fillId="14" borderId="10" xfId="24" applyNumberFormat="1" applyFont="1" applyFill="1" applyBorder="1" applyAlignment="1" applyProtection="1">
      <alignment horizontal="right"/>
    </xf>
    <xf numFmtId="181" fontId="13" fillId="14" borderId="16" xfId="11" applyNumberFormat="1" applyFont="1" applyFill="1" applyBorder="1" applyAlignment="1" applyProtection="1">
      <alignment horizontal="right"/>
      <protection locked="0"/>
    </xf>
    <xf numFmtId="7" fontId="4" fillId="15" borderId="0" xfId="11" applyNumberFormat="1" applyFont="1" applyFill="1" applyBorder="1" applyAlignment="1" applyProtection="1">
      <alignment horizontal="right"/>
      <protection locked="0"/>
    </xf>
    <xf numFmtId="181" fontId="30" fillId="0" borderId="12" xfId="11" applyNumberFormat="1" applyFont="1" applyFill="1" applyBorder="1" applyAlignment="1" applyProtection="1">
      <alignment horizontal="right"/>
      <protection locked="0"/>
    </xf>
    <xf numFmtId="0" fontId="30" fillId="0" borderId="0" xfId="0" applyFont="1" applyFill="1" applyBorder="1" applyAlignment="1">
      <alignment horizontal="left"/>
    </xf>
    <xf numFmtId="0" fontId="30" fillId="0" borderId="7" xfId="0" applyFont="1" applyFill="1" applyBorder="1" applyAlignment="1">
      <alignment horizontal="left"/>
    </xf>
    <xf numFmtId="0" fontId="30" fillId="0" borderId="10" xfId="0" applyFont="1" applyFill="1" applyBorder="1" applyAlignment="1">
      <alignment horizontal="left"/>
    </xf>
    <xf numFmtId="0" fontId="4" fillId="0" borderId="37" xfId="0" applyFont="1" applyFill="1" applyBorder="1" applyAlignment="1"/>
    <xf numFmtId="0" fontId="4" fillId="0" borderId="36" xfId="0" applyFont="1" applyFill="1" applyBorder="1" applyAlignment="1"/>
    <xf numFmtId="0" fontId="4" fillId="0" borderId="38" xfId="0" applyFont="1" applyFill="1" applyBorder="1" applyAlignment="1"/>
    <xf numFmtId="0" fontId="30" fillId="0" borderId="37" xfId="0" applyFont="1" applyFill="1" applyBorder="1" applyAlignment="1"/>
    <xf numFmtId="0" fontId="30" fillId="0" borderId="36" xfId="0" applyFont="1" applyFill="1" applyBorder="1" applyAlignment="1"/>
    <xf numFmtId="0" fontId="30" fillId="0" borderId="38" xfId="0" applyFont="1" applyFill="1" applyBorder="1" applyAlignment="1"/>
    <xf numFmtId="167" fontId="39" fillId="0" borderId="37" xfId="24" applyNumberFormat="1" applyFont="1" applyFill="1" applyBorder="1" applyAlignment="1" applyProtection="1">
      <alignment horizontal="right"/>
      <protection locked="0"/>
    </xf>
    <xf numFmtId="0" fontId="4" fillId="0" borderId="36" xfId="0" applyFont="1" applyFill="1" applyBorder="1" applyAlignment="1">
      <alignment horizontal="left"/>
    </xf>
    <xf numFmtId="0" fontId="4" fillId="0" borderId="36" xfId="0" applyFont="1" applyFill="1" applyBorder="1" applyAlignment="1">
      <alignment horizontal="right"/>
    </xf>
    <xf numFmtId="0" fontId="4" fillId="0" borderId="37" xfId="0" applyFont="1" applyFill="1" applyBorder="1" applyAlignment="1">
      <alignment horizontal="right"/>
    </xf>
    <xf numFmtId="0" fontId="4" fillId="0" borderId="38" xfId="0" applyFont="1" applyFill="1" applyBorder="1" applyAlignment="1">
      <alignment horizontal="right"/>
    </xf>
    <xf numFmtId="167" fontId="39" fillId="0" borderId="7" xfId="24" applyNumberFormat="1" applyFont="1" applyFill="1" applyBorder="1" applyAlignment="1">
      <alignment horizontal="right"/>
    </xf>
    <xf numFmtId="167" fontId="30" fillId="0" borderId="10" xfId="0" applyNumberFormat="1" applyFont="1" applyFill="1" applyBorder="1" applyAlignment="1" applyProtection="1">
      <alignment horizontal="right"/>
      <protection locked="0"/>
    </xf>
    <xf numFmtId="167" fontId="4" fillId="0" borderId="0" xfId="0" applyNumberFormat="1" applyFont="1" applyFill="1" applyBorder="1" applyAlignment="1" applyProtection="1">
      <alignment horizontal="right"/>
      <protection locked="0"/>
    </xf>
    <xf numFmtId="167" fontId="4" fillId="0" borderId="10" xfId="0" applyNumberFormat="1" applyFont="1" applyFill="1" applyBorder="1" applyAlignment="1" applyProtection="1">
      <alignment horizontal="right"/>
      <protection locked="0"/>
    </xf>
    <xf numFmtId="0" fontId="13" fillId="0" borderId="37" xfId="0" applyFont="1" applyFill="1" applyBorder="1" applyAlignment="1"/>
    <xf numFmtId="169" fontId="16" fillId="0" borderId="0" xfId="11" applyNumberFormat="1" applyFont="1" applyFill="1" applyBorder="1" applyAlignment="1" applyProtection="1">
      <alignment horizontal="right"/>
      <protection locked="0"/>
    </xf>
    <xf numFmtId="167" fontId="39" fillId="0" borderId="0" xfId="24" quotePrefix="1" applyNumberFormat="1" applyFont="1" applyFill="1" applyBorder="1" applyAlignment="1" applyProtection="1">
      <alignment horizontal="right"/>
      <protection locked="0"/>
    </xf>
    <xf numFmtId="0" fontId="30" fillId="0" borderId="0" xfId="0" quotePrefix="1" applyFont="1" applyFill="1" applyBorder="1" applyAlignment="1">
      <alignment horizontal="right"/>
    </xf>
    <xf numFmtId="181" fontId="30" fillId="0" borderId="0" xfId="24" applyNumberFormat="1" applyFont="1" applyFill="1" applyBorder="1"/>
    <xf numFmtId="167" fontId="4" fillId="0" borderId="0" xfId="0" applyNumberFormat="1" applyFont="1" applyFill="1" applyBorder="1" applyAlignment="1">
      <alignment horizontal="left"/>
    </xf>
    <xf numFmtId="0" fontId="30" fillId="0" borderId="0" xfId="0" applyFont="1" applyFill="1" applyBorder="1"/>
    <xf numFmtId="167" fontId="30" fillId="0" borderId="0" xfId="24" applyNumberFormat="1" applyFont="1" applyFill="1" applyBorder="1" applyAlignment="1" applyProtection="1">
      <alignment horizontal="right"/>
      <protection locked="0"/>
    </xf>
    <xf numFmtId="167" fontId="30" fillId="0" borderId="7" xfId="24" applyNumberFormat="1" applyFont="1" applyFill="1" applyBorder="1" applyAlignment="1" applyProtection="1">
      <alignment horizontal="right"/>
      <protection locked="0"/>
    </xf>
    <xf numFmtId="167" fontId="30" fillId="0" borderId="36" xfId="0" applyNumberFormat="1" applyFont="1" applyFill="1" applyBorder="1" applyAlignment="1">
      <alignment horizontal="right"/>
    </xf>
    <xf numFmtId="167" fontId="30" fillId="0" borderId="37" xfId="24" applyNumberFormat="1" applyFont="1" applyFill="1" applyBorder="1"/>
    <xf numFmtId="0" fontId="30" fillId="0" borderId="36" xfId="0" applyFont="1" applyFill="1" applyBorder="1"/>
    <xf numFmtId="167" fontId="30" fillId="0" borderId="38" xfId="24" applyNumberFormat="1" applyFont="1" applyFill="1" applyBorder="1" applyAlignment="1" applyProtection="1">
      <alignment horizontal="right"/>
      <protection locked="0"/>
    </xf>
    <xf numFmtId="167" fontId="30" fillId="0" borderId="36" xfId="24" applyNumberFormat="1" applyFont="1" applyFill="1" applyBorder="1" applyAlignment="1" applyProtection="1">
      <alignment horizontal="right"/>
      <protection locked="0"/>
    </xf>
    <xf numFmtId="167" fontId="30" fillId="0" borderId="37" xfId="24" applyNumberFormat="1" applyFont="1" applyFill="1" applyBorder="1" applyAlignment="1" applyProtection="1">
      <alignment horizontal="right"/>
      <protection locked="0"/>
    </xf>
    <xf numFmtId="167" fontId="30" fillId="0" borderId="38" xfId="0" applyNumberFormat="1" applyFont="1" applyFill="1" applyBorder="1" applyAlignment="1">
      <alignment horizontal="right"/>
    </xf>
    <xf numFmtId="167" fontId="4" fillId="0" borderId="36" xfId="0" applyNumberFormat="1" applyFont="1" applyFill="1" applyBorder="1" applyAlignment="1">
      <alignment horizontal="right"/>
    </xf>
    <xf numFmtId="9" fontId="39" fillId="0" borderId="7" xfId="24" applyFont="1" applyFill="1" applyBorder="1" applyAlignment="1" applyProtection="1">
      <alignment horizontal="right"/>
      <protection locked="0"/>
    </xf>
    <xf numFmtId="205" fontId="39" fillId="0" borderId="7" xfId="11" applyNumberFormat="1" applyFont="1" applyFill="1" applyBorder="1" applyAlignment="1" applyProtection="1">
      <alignment horizontal="right"/>
      <protection locked="0"/>
    </xf>
    <xf numFmtId="7" fontId="30" fillId="0" borderId="12" xfId="11" applyNumberFormat="1" applyFont="1" applyFill="1" applyBorder="1" applyAlignment="1" applyProtection="1">
      <alignment horizontal="right"/>
      <protection locked="0"/>
    </xf>
    <xf numFmtId="9" fontId="4" fillId="0" borderId="10" xfId="24" applyNumberFormat="1" applyFont="1" applyFill="1" applyBorder="1" applyAlignment="1" applyProtection="1">
      <alignment horizontal="right"/>
      <protection locked="0"/>
    </xf>
    <xf numFmtId="9" fontId="4" fillId="0" borderId="0" xfId="24" applyNumberFormat="1" applyFont="1" applyFill="1" applyBorder="1" applyAlignment="1" applyProtection="1">
      <alignment horizontal="right"/>
      <protection locked="0"/>
    </xf>
    <xf numFmtId="9" fontId="4" fillId="0" borderId="7" xfId="24" applyNumberFormat="1" applyFont="1" applyFill="1" applyBorder="1" applyAlignment="1" applyProtection="1">
      <alignment horizontal="right"/>
      <protection locked="0"/>
    </xf>
    <xf numFmtId="9" fontId="4" fillId="14" borderId="10" xfId="24" applyNumberFormat="1" applyFont="1" applyFill="1" applyBorder="1" applyAlignment="1" applyProtection="1">
      <alignment horizontal="right"/>
      <protection locked="0"/>
    </xf>
    <xf numFmtId="7" fontId="39" fillId="14" borderId="0" xfId="11" applyNumberFormat="1" applyFont="1" applyFill="1" applyBorder="1" applyAlignment="1" applyProtection="1">
      <alignment horizontal="right"/>
      <protection locked="0"/>
    </xf>
    <xf numFmtId="181" fontId="4" fillId="14" borderId="0" xfId="11" applyNumberFormat="1" applyFont="1" applyFill="1" applyBorder="1" applyAlignment="1" applyProtection="1">
      <alignment horizontal="right"/>
      <protection locked="0"/>
    </xf>
    <xf numFmtId="167" fontId="4" fillId="0" borderId="36" xfId="24" applyNumberFormat="1" applyFont="1" applyFill="1" applyBorder="1" applyAlignment="1" applyProtection="1">
      <alignment horizontal="right"/>
    </xf>
    <xf numFmtId="172" fontId="4" fillId="0" borderId="32" xfId="11" applyNumberFormat="1" applyFont="1" applyFill="1" applyBorder="1" applyAlignment="1" applyProtection="1">
      <alignment horizontal="right"/>
    </xf>
    <xf numFmtId="167" fontId="4" fillId="0" borderId="38" xfId="24" applyNumberFormat="1" applyFont="1" applyFill="1" applyBorder="1" applyAlignment="1" applyProtection="1">
      <alignment horizontal="right"/>
    </xf>
    <xf numFmtId="181" fontId="38" fillId="14" borderId="0" xfId="11" applyNumberFormat="1" applyFont="1" applyFill="1" applyBorder="1" applyAlignment="1" applyProtection="1">
      <alignment horizontal="right"/>
      <protection locked="0"/>
    </xf>
    <xf numFmtId="181" fontId="13" fillId="14" borderId="0" xfId="11" applyNumberFormat="1" applyFont="1" applyFill="1" applyBorder="1" applyAlignment="1" applyProtection="1">
      <alignment horizontal="right"/>
      <protection locked="0"/>
    </xf>
    <xf numFmtId="167" fontId="4" fillId="14" borderId="0" xfId="24" applyNumberFormat="1" applyFont="1" applyFill="1" applyBorder="1" applyAlignment="1" applyProtection="1">
      <alignment horizontal="right"/>
    </xf>
    <xf numFmtId="167" fontId="38" fillId="14" borderId="0" xfId="24" applyNumberFormat="1" applyFont="1" applyFill="1" applyBorder="1" applyAlignment="1" applyProtection="1">
      <alignment horizontal="right"/>
    </xf>
    <xf numFmtId="181" fontId="13" fillId="14" borderId="12" xfId="11" applyNumberFormat="1" applyFont="1" applyFill="1" applyBorder="1" applyAlignment="1" applyProtection="1">
      <alignment horizontal="right"/>
      <protection locked="0"/>
    </xf>
    <xf numFmtId="167" fontId="32" fillId="0" borderId="10" xfId="24" applyNumberFormat="1" applyFont="1" applyFill="1" applyBorder="1" applyAlignment="1" applyProtection="1">
      <alignment horizontal="right"/>
      <protection locked="0"/>
    </xf>
    <xf numFmtId="167" fontId="35" fillId="0" borderId="0" xfId="11" applyNumberFormat="1" applyFont="1" applyFill="1" applyBorder="1" applyAlignment="1" applyProtection="1">
      <alignment horizontal="right"/>
      <protection locked="0"/>
    </xf>
    <xf numFmtId="39" fontId="4" fillId="0" borderId="0" xfId="11" applyNumberFormat="1" applyFont="1" applyFill="1" applyBorder="1" applyProtection="1">
      <protection locked="0"/>
    </xf>
    <xf numFmtId="187" fontId="13" fillId="0" borderId="10" xfId="55" applyNumberFormat="1" applyFont="1" applyFill="1" applyBorder="1" applyAlignment="1" applyProtection="1">
      <alignment horizontal="right"/>
      <protection locked="0"/>
    </xf>
    <xf numFmtId="187" fontId="13" fillId="0" borderId="0" xfId="55" applyNumberFormat="1" applyFont="1" applyFill="1" applyBorder="1" applyAlignment="1" applyProtection="1">
      <alignment horizontal="right"/>
      <protection locked="0"/>
    </xf>
    <xf numFmtId="187" fontId="13" fillId="0" borderId="7" xfId="55" applyNumberFormat="1" applyFont="1" applyFill="1" applyBorder="1" applyAlignment="1" applyProtection="1">
      <alignment horizontal="right"/>
      <protection locked="0"/>
    </xf>
    <xf numFmtId="187" fontId="13" fillId="0" borderId="0" xfId="11" applyNumberFormat="1" applyFont="1" applyFill="1" applyBorder="1" applyAlignment="1" applyProtection="1">
      <alignment horizontal="right"/>
      <protection locked="0"/>
    </xf>
    <xf numFmtId="0" fontId="16" fillId="0" borderId="7" xfId="0" applyFont="1" applyFill="1" applyBorder="1" applyAlignment="1" applyProtection="1">
      <alignment horizontal="left" indent="2"/>
      <protection locked="0"/>
    </xf>
    <xf numFmtId="165" fontId="4" fillId="0" borderId="0" xfId="0" applyNumberFormat="1" applyFont="1" applyFill="1" applyBorder="1" applyAlignment="1" applyProtection="1">
      <alignment horizontal="center" vertical="center"/>
      <protection locked="0"/>
    </xf>
    <xf numFmtId="37" fontId="16" fillId="0" borderId="10" xfId="11" applyNumberFormat="1" applyFont="1" applyFill="1" applyBorder="1" applyAlignment="1" applyProtection="1">
      <alignment horizontal="right"/>
      <protection locked="0"/>
    </xf>
    <xf numFmtId="9" fontId="63" fillId="0" borderId="0" xfId="24" applyFont="1" applyFill="1" applyBorder="1" applyAlignment="1" applyProtection="1">
      <alignment horizontal="right"/>
      <protection locked="0"/>
    </xf>
    <xf numFmtId="9" fontId="88" fillId="0" borderId="0" xfId="24" applyFont="1" applyFill="1" applyBorder="1" applyAlignment="1" applyProtection="1">
      <alignment horizontal="right"/>
      <protection locked="0"/>
    </xf>
    <xf numFmtId="9" fontId="16" fillId="0" borderId="38" xfId="24" applyFont="1" applyFill="1" applyBorder="1" applyAlignment="1" applyProtection="1">
      <alignment horizontal="right"/>
      <protection locked="0"/>
    </xf>
    <xf numFmtId="167" fontId="63" fillId="0" borderId="0" xfId="24" quotePrefix="1" applyNumberFormat="1" applyFont="1" applyFill="1" applyBorder="1" applyAlignment="1" applyProtection="1">
      <alignment horizontal="right"/>
    </xf>
    <xf numFmtId="167" fontId="66" fillId="0" borderId="7" xfId="24" quotePrefix="1" applyNumberFormat="1" applyFont="1" applyFill="1" applyBorder="1" applyAlignment="1" applyProtection="1">
      <alignment horizontal="right"/>
    </xf>
    <xf numFmtId="9" fontId="29" fillId="4" borderId="9" xfId="24" applyFont="1" applyFill="1" applyBorder="1" applyAlignment="1" applyProtection="1">
      <alignment horizontal="right"/>
      <protection locked="0"/>
    </xf>
    <xf numFmtId="0" fontId="4" fillId="0" borderId="7" xfId="0" applyFont="1" applyFill="1" applyBorder="1" applyAlignment="1" applyProtection="1">
      <alignment horizontal="left"/>
      <protection locked="0"/>
    </xf>
    <xf numFmtId="181" fontId="4" fillId="0" borderId="0" xfId="24" applyNumberFormat="1" applyFont="1" applyFill="1" applyBorder="1" applyAlignment="1" applyProtection="1">
      <alignment horizontal="right"/>
    </xf>
    <xf numFmtId="181" fontId="4" fillId="0" borderId="7" xfId="24" applyNumberFormat="1" applyFont="1" applyFill="1" applyBorder="1" applyProtection="1"/>
    <xf numFmtId="181" fontId="35" fillId="0" borderId="4" xfId="11" applyNumberFormat="1" applyFont="1" applyFill="1" applyBorder="1" applyAlignment="1" applyProtection="1">
      <alignment horizontal="right"/>
    </xf>
    <xf numFmtId="181" fontId="35" fillId="0" borderId="8" xfId="11" applyNumberFormat="1" applyFont="1" applyFill="1" applyBorder="1" applyProtection="1"/>
    <xf numFmtId="181" fontId="35" fillId="0" borderId="7" xfId="11" applyNumberFormat="1" applyFont="1" applyFill="1" applyBorder="1" applyProtection="1"/>
    <xf numFmtId="167" fontId="35" fillId="0" borderId="7" xfId="24" applyNumberFormat="1" applyFont="1" applyFill="1" applyBorder="1" applyProtection="1"/>
    <xf numFmtId="167" fontId="13" fillId="0" borderId="7" xfId="24" applyNumberFormat="1" applyFont="1" applyFill="1" applyBorder="1" applyProtection="1"/>
    <xf numFmtId="167" fontId="13" fillId="0" borderId="0" xfId="24" applyNumberFormat="1" applyFont="1" applyFill="1" applyBorder="1" applyProtection="1"/>
    <xf numFmtId="181" fontId="13" fillId="0" borderId="0" xfId="24" applyNumberFormat="1" applyFont="1" applyFill="1" applyBorder="1" applyAlignment="1" applyProtection="1">
      <alignment horizontal="right"/>
    </xf>
    <xf numFmtId="181" fontId="13" fillId="0" borderId="7" xfId="24" applyNumberFormat="1" applyFont="1" applyFill="1" applyBorder="1" applyProtection="1"/>
    <xf numFmtId="9" fontId="13" fillId="0" borderId="7" xfId="24" applyFont="1" applyFill="1" applyBorder="1" applyProtection="1"/>
    <xf numFmtId="9" fontId="13" fillId="0" borderId="0" xfId="24" applyFont="1" applyFill="1" applyBorder="1" applyProtection="1"/>
    <xf numFmtId="168" fontId="4" fillId="0" borderId="7" xfId="11" applyNumberFormat="1" applyFont="1" applyFill="1" applyBorder="1" applyProtection="1"/>
    <xf numFmtId="168" fontId="13" fillId="0" borderId="7" xfId="11" applyNumberFormat="1" applyFont="1" applyFill="1" applyBorder="1" applyProtection="1"/>
    <xf numFmtId="167" fontId="13" fillId="0" borderId="10" xfId="24" applyNumberFormat="1" applyFont="1" applyFill="1" applyBorder="1" applyAlignment="1" applyProtection="1">
      <alignment horizontal="right"/>
    </xf>
    <xf numFmtId="169" fontId="4" fillId="0" borderId="7" xfId="11" applyNumberFormat="1" applyFont="1" applyFill="1" applyBorder="1" applyProtection="1"/>
    <xf numFmtId="169" fontId="4" fillId="0" borderId="0" xfId="24" applyNumberFormat="1" applyFont="1" applyFill="1" applyBorder="1" applyProtection="1"/>
    <xf numFmtId="169" fontId="13" fillId="0" borderId="10" xfId="11" applyNumberFormat="1" applyFont="1" applyFill="1" applyBorder="1" applyAlignment="1" applyProtection="1">
      <alignment horizontal="right"/>
      <protection locked="0"/>
    </xf>
    <xf numFmtId="169" fontId="13" fillId="0" borderId="0" xfId="11" applyNumberFormat="1" applyFont="1" applyFill="1" applyBorder="1" applyAlignment="1" applyProtection="1">
      <alignment horizontal="right"/>
    </xf>
    <xf numFmtId="169" fontId="13" fillId="0" borderId="7" xfId="11" applyNumberFormat="1" applyFont="1" applyFill="1" applyBorder="1" applyProtection="1"/>
    <xf numFmtId="167" fontId="16" fillId="0" borderId="38" xfId="24" applyNumberFormat="1" applyFont="1" applyFill="1" applyBorder="1" applyAlignment="1" applyProtection="1">
      <alignment horizontal="right"/>
      <protection locked="0"/>
    </xf>
    <xf numFmtId="167" fontId="16" fillId="0" borderId="36" xfId="24" applyNumberFormat="1" applyFont="1" applyFill="1" applyBorder="1" applyAlignment="1" applyProtection="1">
      <alignment horizontal="right"/>
      <protection locked="0"/>
    </xf>
    <xf numFmtId="167" fontId="66" fillId="0" borderId="0" xfId="24" quotePrefix="1" applyNumberFormat="1" applyFont="1" applyFill="1" applyBorder="1" applyAlignment="1" applyProtection="1">
      <alignment horizontal="right"/>
    </xf>
    <xf numFmtId="167" fontId="16" fillId="0" borderId="10" xfId="24" quotePrefix="1" applyNumberFormat="1" applyFont="1" applyFill="1" applyBorder="1" applyAlignment="1" applyProtection="1">
      <alignment horizontal="right"/>
    </xf>
    <xf numFmtId="167" fontId="63" fillId="0" borderId="10" xfId="24" quotePrefix="1" applyNumberFormat="1" applyFont="1" applyFill="1" applyBorder="1" applyAlignment="1" applyProtection="1">
      <alignment horizontal="right"/>
    </xf>
    <xf numFmtId="167" fontId="63" fillId="0" borderId="0" xfId="24" quotePrefix="1" applyNumberFormat="1" applyFont="1" applyFill="1" applyBorder="1" applyAlignment="1" applyProtection="1">
      <alignment horizontal="left" indent="1"/>
    </xf>
    <xf numFmtId="9" fontId="66" fillId="0" borderId="10" xfId="24" applyFont="1" applyFill="1" applyBorder="1" applyAlignment="1" applyProtection="1">
      <alignment horizontal="right"/>
      <protection locked="0"/>
    </xf>
    <xf numFmtId="9" fontId="66" fillId="0" borderId="0" xfId="24" applyFont="1" applyFill="1" applyBorder="1" applyAlignment="1" applyProtection="1">
      <alignment horizontal="right"/>
      <protection locked="0"/>
    </xf>
    <xf numFmtId="9" fontId="63" fillId="0" borderId="10" xfId="24" applyFont="1" applyFill="1" applyBorder="1" applyAlignment="1" applyProtection="1">
      <alignment horizontal="right"/>
      <protection locked="0"/>
    </xf>
    <xf numFmtId="167" fontId="16" fillId="0" borderId="10" xfId="24" applyNumberFormat="1" applyFont="1" applyFill="1" applyBorder="1" applyAlignment="1" applyProtection="1">
      <protection locked="0"/>
    </xf>
    <xf numFmtId="167" fontId="4" fillId="0" borderId="10" xfId="24" applyNumberFormat="1" applyFont="1" applyFill="1" applyBorder="1" applyAlignment="1" applyProtection="1">
      <protection locked="0"/>
    </xf>
    <xf numFmtId="167" fontId="66" fillId="0" borderId="10" xfId="24" applyNumberFormat="1" applyFont="1" applyFill="1" applyBorder="1" applyAlignment="1" applyProtection="1">
      <protection locked="0"/>
    </xf>
    <xf numFmtId="167" fontId="66" fillId="0" borderId="0" xfId="24" applyNumberFormat="1" applyFont="1" applyFill="1" applyBorder="1" applyAlignment="1" applyProtection="1">
      <protection locked="0"/>
    </xf>
    <xf numFmtId="167" fontId="13" fillId="0" borderId="10" xfId="24" applyNumberFormat="1" applyFont="1" applyFill="1" applyBorder="1" applyAlignment="1" applyProtection="1">
      <protection locked="0"/>
    </xf>
    <xf numFmtId="167" fontId="66" fillId="0" borderId="10" xfId="24" quotePrefix="1" applyNumberFormat="1" applyFont="1" applyFill="1" applyBorder="1" applyAlignment="1" applyProtection="1">
      <protection locked="0"/>
    </xf>
    <xf numFmtId="167" fontId="66" fillId="0" borderId="0" xfId="24" quotePrefix="1" applyNumberFormat="1" applyFont="1" applyFill="1" applyBorder="1" applyAlignment="1" applyProtection="1">
      <protection locked="0"/>
    </xf>
    <xf numFmtId="167" fontId="66" fillId="0" borderId="10" xfId="24" applyNumberFormat="1" applyFont="1" applyFill="1" applyBorder="1" applyAlignment="1" applyProtection="1"/>
    <xf numFmtId="167" fontId="66" fillId="0" borderId="0" xfId="24" applyNumberFormat="1" applyFont="1" applyFill="1" applyBorder="1" applyAlignment="1"/>
    <xf numFmtId="167" fontId="66" fillId="0" borderId="10" xfId="24" quotePrefix="1" applyNumberFormat="1" applyFont="1" applyFill="1" applyBorder="1" applyAlignment="1" applyProtection="1"/>
    <xf numFmtId="168" fontId="13" fillId="0" borderId="10" xfId="11" applyNumberFormat="1" applyFont="1" applyFill="1" applyBorder="1" applyAlignment="1" applyProtection="1">
      <protection locked="0"/>
    </xf>
    <xf numFmtId="168" fontId="13" fillId="0" borderId="0" xfId="11" applyNumberFormat="1" applyFont="1" applyFill="1" applyBorder="1" applyAlignment="1" applyProtection="1">
      <protection locked="0"/>
    </xf>
    <xf numFmtId="9" fontId="13" fillId="0" borderId="7" xfId="24" applyFont="1" applyFill="1" applyBorder="1" applyAlignment="1" applyProtection="1">
      <alignment horizontal="right"/>
      <protection locked="0"/>
    </xf>
    <xf numFmtId="9" fontId="16" fillId="0" borderId="7" xfId="24" applyFont="1" applyFill="1" applyBorder="1" applyAlignment="1" applyProtection="1">
      <alignment horizontal="right"/>
    </xf>
    <xf numFmtId="168" fontId="39" fillId="0" borderId="0" xfId="11" applyNumberFormat="1" applyFont="1" applyFill="1" applyBorder="1" applyAlignment="1" applyProtection="1">
      <alignment horizontal="right"/>
      <protection locked="0"/>
    </xf>
    <xf numFmtId="167" fontId="66" fillId="0" borderId="10" xfId="24" quotePrefix="1" applyNumberFormat="1" applyFont="1" applyFill="1" applyBorder="1" applyAlignment="1" applyProtection="1">
      <alignment horizontal="right"/>
      <protection locked="0"/>
    </xf>
    <xf numFmtId="167" fontId="66" fillId="0" borderId="0" xfId="24" quotePrefix="1" applyNumberFormat="1" applyFont="1" applyFill="1" applyBorder="1" applyAlignment="1" applyProtection="1">
      <alignment horizontal="right"/>
      <protection locked="0"/>
    </xf>
    <xf numFmtId="167" fontId="66" fillId="0" borderId="0" xfId="24" applyNumberFormat="1" applyFont="1" applyFill="1" applyBorder="1" applyAlignment="1" applyProtection="1">
      <alignment horizontal="right"/>
      <protection locked="0"/>
    </xf>
    <xf numFmtId="167" fontId="66" fillId="0" borderId="7" xfId="24" quotePrefix="1" applyNumberFormat="1" applyFont="1" applyFill="1" applyBorder="1" applyAlignment="1" applyProtection="1">
      <alignment horizontal="right"/>
      <protection locked="0"/>
    </xf>
    <xf numFmtId="167" fontId="66" fillId="0" borderId="10" xfId="24" applyNumberFormat="1" applyFont="1" applyFill="1" applyBorder="1" applyAlignment="1" applyProtection="1">
      <alignment horizontal="right"/>
      <protection locked="0"/>
    </xf>
    <xf numFmtId="167" fontId="66" fillId="0" borderId="7" xfId="24" applyNumberFormat="1" applyFont="1" applyFill="1" applyBorder="1" applyAlignment="1" applyProtection="1">
      <alignment horizontal="right"/>
      <protection locked="0"/>
    </xf>
    <xf numFmtId="9" fontId="66" fillId="0" borderId="5" xfId="24" applyFont="1" applyFill="1" applyBorder="1" applyAlignment="1" applyProtection="1">
      <alignment horizontal="right"/>
      <protection locked="0"/>
    </xf>
    <xf numFmtId="9" fontId="66" fillId="0" borderId="7" xfId="24" applyFont="1" applyFill="1" applyBorder="1" applyAlignment="1" applyProtection="1">
      <alignment horizontal="right"/>
      <protection locked="0"/>
    </xf>
    <xf numFmtId="9" fontId="30" fillId="0" borderId="0" xfId="24" applyFont="1" applyFill="1" applyBorder="1" applyAlignment="1" applyProtection="1">
      <alignment horizontal="right"/>
      <protection locked="0"/>
    </xf>
    <xf numFmtId="9" fontId="30" fillId="0" borderId="7" xfId="24" applyFont="1" applyFill="1" applyBorder="1" applyAlignment="1" applyProtection="1">
      <alignment horizontal="right"/>
      <protection locked="0"/>
    </xf>
    <xf numFmtId="37" fontId="30" fillId="0" borderId="0" xfId="11" applyNumberFormat="1" applyFont="1" applyFill="1" applyBorder="1" applyAlignment="1" applyProtection="1">
      <alignment horizontal="left"/>
      <protection locked="0"/>
    </xf>
    <xf numFmtId="37" fontId="30" fillId="0" borderId="10" xfId="11" applyNumberFormat="1" applyFont="1" applyFill="1" applyBorder="1" applyAlignment="1" applyProtection="1">
      <alignment horizontal="left"/>
      <protection locked="0"/>
    </xf>
    <xf numFmtId="37" fontId="39" fillId="0" borderId="0" xfId="11" applyNumberFormat="1" applyFont="1" applyFill="1" applyBorder="1" applyAlignment="1" applyProtection="1">
      <alignment horizontal="left"/>
      <protection locked="0"/>
    </xf>
    <xf numFmtId="37" fontId="30" fillId="0" borderId="7" xfId="11" quotePrefix="1" applyNumberFormat="1" applyFont="1" applyFill="1" applyBorder="1" applyAlignment="1" applyProtection="1">
      <alignment horizontal="right"/>
      <protection locked="0"/>
    </xf>
    <xf numFmtId="37" fontId="39" fillId="0" borderId="10" xfId="11" applyNumberFormat="1" applyFont="1" applyFill="1" applyBorder="1" applyAlignment="1" applyProtection="1">
      <alignment horizontal="left"/>
      <protection locked="0"/>
    </xf>
    <xf numFmtId="37" fontId="30" fillId="0" borderId="7" xfId="11" applyNumberFormat="1" applyFont="1" applyFill="1" applyBorder="1" applyAlignment="1" applyProtection="1">
      <alignment horizontal="left"/>
      <protection locked="0"/>
    </xf>
    <xf numFmtId="37" fontId="39" fillId="0" borderId="0" xfId="11" quotePrefix="1" applyNumberFormat="1" applyFont="1" applyFill="1" applyBorder="1" applyAlignment="1" applyProtection="1">
      <alignment horizontal="left"/>
      <protection locked="0"/>
    </xf>
    <xf numFmtId="0" fontId="84" fillId="0" borderId="7" xfId="0" applyFont="1" applyFill="1" applyBorder="1" applyAlignment="1" applyProtection="1">
      <protection locked="0"/>
    </xf>
    <xf numFmtId="167" fontId="63" fillId="0" borderId="0" xfId="24" quotePrefix="1" applyNumberFormat="1" applyFont="1" applyFill="1" applyBorder="1" applyAlignment="1" applyProtection="1">
      <alignment horizontal="right"/>
      <protection locked="0"/>
    </xf>
    <xf numFmtId="167" fontId="63" fillId="0" borderId="10" xfId="24" quotePrefix="1" applyNumberFormat="1" applyFont="1" applyFill="1" applyBorder="1" applyAlignment="1" applyProtection="1">
      <alignment horizontal="right"/>
      <protection locked="0"/>
    </xf>
    <xf numFmtId="167" fontId="17" fillId="0" borderId="10" xfId="24" applyNumberFormat="1" applyFont="1" applyFill="1" applyBorder="1" applyAlignment="1" applyProtection="1">
      <alignment horizontal="right"/>
      <protection locked="0"/>
    </xf>
    <xf numFmtId="167" fontId="17" fillId="0" borderId="0" xfId="24" applyNumberFormat="1" applyFont="1" applyFill="1" applyBorder="1" applyAlignment="1" applyProtection="1">
      <alignment horizontal="right"/>
      <protection locked="0"/>
    </xf>
    <xf numFmtId="167" fontId="17" fillId="0" borderId="10" xfId="24" applyNumberFormat="1" applyFont="1" applyFill="1" applyBorder="1" applyAlignment="1" applyProtection="1">
      <protection locked="0"/>
    </xf>
    <xf numFmtId="167" fontId="17" fillId="0" borderId="0" xfId="24" applyNumberFormat="1" applyFont="1" applyFill="1" applyBorder="1" applyAlignment="1" applyProtection="1">
      <protection locked="0"/>
    </xf>
    <xf numFmtId="37" fontId="89" fillId="0" borderId="10" xfId="11" applyNumberFormat="1" applyFont="1" applyFill="1" applyBorder="1" applyAlignment="1" applyProtection="1">
      <alignment horizontal="right"/>
      <protection locked="0"/>
    </xf>
    <xf numFmtId="37" fontId="89" fillId="0" borderId="0" xfId="11" applyNumberFormat="1" applyFont="1" applyFill="1" applyBorder="1" applyAlignment="1" applyProtection="1">
      <alignment horizontal="right"/>
      <protection locked="0"/>
    </xf>
    <xf numFmtId="167" fontId="76" fillId="0" borderId="10" xfId="24" applyNumberFormat="1" applyFont="1" applyFill="1" applyBorder="1" applyAlignment="1" applyProtection="1">
      <alignment horizontal="right"/>
    </xf>
    <xf numFmtId="167" fontId="76" fillId="0" borderId="0" xfId="24" applyNumberFormat="1" applyFont="1" applyFill="1" applyBorder="1" applyAlignment="1" applyProtection="1">
      <alignment horizontal="right"/>
    </xf>
    <xf numFmtId="167" fontId="76" fillId="0" borderId="0" xfId="24" quotePrefix="1" applyNumberFormat="1" applyFont="1" applyFill="1" applyBorder="1" applyAlignment="1" applyProtection="1">
      <alignment horizontal="right"/>
    </xf>
    <xf numFmtId="167" fontId="69" fillId="0" borderId="7" xfId="24" quotePrefix="1" applyNumberFormat="1" applyFont="1" applyFill="1" applyBorder="1" applyAlignment="1" applyProtection="1">
      <alignment horizontal="right"/>
    </xf>
    <xf numFmtId="9" fontId="17" fillId="0" borderId="7" xfId="24" applyFont="1" applyFill="1" applyBorder="1" applyAlignment="1" applyProtection="1">
      <alignment horizontal="right"/>
    </xf>
    <xf numFmtId="167" fontId="81" fillId="0" borderId="0" xfId="24" applyNumberFormat="1" applyFont="1" applyFill="1" applyBorder="1" applyAlignment="1" applyProtection="1">
      <alignment horizontal="right"/>
      <protection locked="0"/>
    </xf>
    <xf numFmtId="167" fontId="16" fillId="0" borderId="10" xfId="24" quotePrefix="1" applyNumberFormat="1" applyFont="1" applyFill="1" applyBorder="1" applyAlignment="1" applyProtection="1">
      <alignment horizontal="right"/>
      <protection locked="0"/>
    </xf>
    <xf numFmtId="167" fontId="16" fillId="0" borderId="0" xfId="24" quotePrefix="1" applyNumberFormat="1" applyFont="1" applyFill="1" applyBorder="1" applyAlignment="1" applyProtection="1">
      <alignment horizontal="right"/>
      <protection locked="0"/>
    </xf>
    <xf numFmtId="167" fontId="16" fillId="0" borderId="0" xfId="24" quotePrefix="1" applyNumberFormat="1" applyFont="1" applyFill="1" applyBorder="1" applyAlignment="1" applyProtection="1">
      <alignment horizontal="right"/>
    </xf>
    <xf numFmtId="167" fontId="16" fillId="0" borderId="10" xfId="24" quotePrefix="1" applyNumberFormat="1" applyFont="1" applyFill="1" applyBorder="1" applyAlignment="1" applyProtection="1"/>
    <xf numFmtId="167" fontId="16" fillId="0" borderId="0" xfId="24" quotePrefix="1" applyNumberFormat="1" applyFont="1" applyFill="1" applyBorder="1" applyAlignment="1" applyProtection="1">
      <protection locked="0"/>
    </xf>
    <xf numFmtId="167" fontId="16" fillId="0" borderId="7" xfId="24" quotePrefix="1" applyNumberFormat="1" applyFont="1" applyFill="1" applyBorder="1" applyAlignment="1" applyProtection="1">
      <alignment horizontal="right"/>
      <protection locked="0"/>
    </xf>
    <xf numFmtId="181" fontId="17" fillId="0" borderId="10" xfId="11" applyNumberFormat="1" applyFont="1" applyFill="1" applyBorder="1" applyAlignment="1" applyProtection="1">
      <alignment horizontal="right"/>
      <protection locked="0"/>
    </xf>
    <xf numFmtId="181" fontId="17" fillId="0" borderId="0" xfId="11" applyNumberFormat="1" applyFont="1" applyFill="1" applyBorder="1" applyAlignment="1" applyProtection="1">
      <alignment horizontal="right"/>
      <protection locked="0"/>
    </xf>
    <xf numFmtId="181" fontId="17" fillId="0" borderId="7" xfId="11" applyNumberFormat="1" applyFont="1" applyFill="1" applyBorder="1" applyAlignment="1" applyProtection="1">
      <alignment horizontal="right"/>
      <protection locked="0"/>
    </xf>
    <xf numFmtId="181" fontId="16" fillId="0" borderId="10" xfId="11" applyNumberFormat="1" applyFont="1" applyFill="1" applyBorder="1" applyAlignment="1" applyProtection="1">
      <alignment horizontal="right"/>
      <protection locked="0"/>
    </xf>
    <xf numFmtId="181" fontId="66" fillId="0" borderId="7" xfId="11" applyNumberFormat="1" applyFont="1" applyFill="1" applyBorder="1" applyAlignment="1" applyProtection="1">
      <alignment horizontal="right"/>
      <protection locked="0"/>
    </xf>
    <xf numFmtId="43" fontId="16" fillId="0" borderId="10" xfId="11" applyFont="1" applyFill="1" applyBorder="1" applyAlignment="1" applyProtection="1">
      <alignment horizontal="right"/>
      <protection locked="0"/>
    </xf>
    <xf numFmtId="43" fontId="16" fillId="0" borderId="0" xfId="11" applyFont="1" applyFill="1" applyBorder="1" applyAlignment="1" applyProtection="1">
      <alignment horizontal="right"/>
      <protection locked="0"/>
    </xf>
    <xf numFmtId="43" fontId="16" fillId="0" borderId="7" xfId="11" applyFont="1" applyFill="1" applyBorder="1" applyAlignment="1" applyProtection="1">
      <alignment horizontal="right"/>
      <protection locked="0"/>
    </xf>
    <xf numFmtId="43" fontId="63" fillId="0" borderId="0" xfId="11" applyFont="1" applyFill="1" applyBorder="1" applyAlignment="1" applyProtection="1">
      <alignment horizontal="right"/>
      <protection locked="0"/>
    </xf>
    <xf numFmtId="37" fontId="82" fillId="0" borderId="10" xfId="11" applyNumberFormat="1" applyFont="1" applyFill="1" applyBorder="1" applyAlignment="1" applyProtection="1">
      <alignment horizontal="right"/>
      <protection locked="0"/>
    </xf>
    <xf numFmtId="37" fontId="82" fillId="0" borderId="0" xfId="11" applyNumberFormat="1" applyFont="1" applyFill="1" applyBorder="1" applyAlignment="1" applyProtection="1">
      <alignment horizontal="right"/>
      <protection locked="0"/>
    </xf>
    <xf numFmtId="37" fontId="39" fillId="0" borderId="0" xfId="11" quotePrefix="1" applyNumberFormat="1" applyFont="1" applyFill="1" applyBorder="1" applyAlignment="1" applyProtection="1">
      <alignment horizontal="right"/>
      <protection locked="0"/>
    </xf>
    <xf numFmtId="37" fontId="39" fillId="0" borderId="10" xfId="11" quotePrefix="1" applyNumberFormat="1" applyFont="1" applyFill="1" applyBorder="1" applyAlignment="1" applyProtection="1">
      <alignment horizontal="right"/>
      <protection locked="0"/>
    </xf>
    <xf numFmtId="43" fontId="9" fillId="0" borderId="0" xfId="11" applyFont="1" applyFill="1" applyBorder="1"/>
    <xf numFmtId="10" fontId="38" fillId="0" borderId="27" xfId="24" applyNumberFormat="1" applyFont="1" applyFill="1" applyBorder="1" applyAlignment="1" applyProtection="1">
      <alignment horizontal="right"/>
    </xf>
    <xf numFmtId="9" fontId="81" fillId="0" borderId="10" xfId="24" applyFont="1" applyFill="1" applyBorder="1" applyAlignment="1" applyProtection="1">
      <alignment horizontal="right"/>
      <protection locked="0"/>
    </xf>
    <xf numFmtId="9" fontId="81" fillId="0" borderId="0" xfId="24" applyFont="1" applyFill="1" applyBorder="1" applyAlignment="1" applyProtection="1">
      <alignment horizontal="right"/>
      <protection locked="0"/>
    </xf>
    <xf numFmtId="167" fontId="82" fillId="0" borderId="10" xfId="24" quotePrefix="1" applyNumberFormat="1" applyFont="1" applyFill="1" applyBorder="1" applyAlignment="1" applyProtection="1">
      <alignment horizontal="right"/>
      <protection locked="0"/>
    </xf>
    <xf numFmtId="167" fontId="82" fillId="0" borderId="0" xfId="24" quotePrefix="1" applyNumberFormat="1" applyFont="1" applyFill="1" applyBorder="1" applyAlignment="1" applyProtection="1">
      <alignment horizontal="right"/>
      <protection locked="0"/>
    </xf>
    <xf numFmtId="43" fontId="30" fillId="0" borderId="0" xfId="11" applyFont="1" applyFill="1" applyBorder="1" applyAlignment="1" applyProtection="1">
      <alignment horizontal="right"/>
      <protection locked="0"/>
    </xf>
    <xf numFmtId="43" fontId="13" fillId="0" borderId="28" xfId="11" applyFont="1" applyFill="1" applyBorder="1" applyAlignment="1" applyProtection="1">
      <alignment horizontal="right"/>
      <protection locked="0"/>
    </xf>
    <xf numFmtId="167" fontId="4" fillId="0" borderId="0" xfId="24" quotePrefix="1" applyNumberFormat="1" applyFont="1" applyFill="1" applyBorder="1" applyAlignment="1" applyProtection="1">
      <alignment horizontal="right"/>
      <protection locked="0"/>
    </xf>
    <xf numFmtId="7" fontId="30" fillId="0" borderId="15" xfId="11" applyNumberFormat="1" applyFont="1" applyFill="1" applyBorder="1" applyAlignment="1" applyProtection="1">
      <alignment horizontal="right"/>
      <protection locked="0"/>
    </xf>
    <xf numFmtId="167" fontId="30" fillId="0" borderId="15" xfId="24" applyNumberFormat="1" applyFont="1" applyFill="1" applyBorder="1" applyAlignment="1" applyProtection="1">
      <alignment horizontal="right"/>
    </xf>
    <xf numFmtId="181" fontId="30" fillId="0" borderId="39" xfId="11" applyNumberFormat="1" applyFont="1" applyFill="1" applyBorder="1" applyAlignment="1" applyProtection="1">
      <alignment horizontal="right"/>
      <protection locked="0"/>
    </xf>
    <xf numFmtId="168" fontId="30" fillId="0" borderId="5" xfId="11" applyNumberFormat="1" applyFont="1" applyFill="1" applyBorder="1" applyAlignment="1" applyProtection="1">
      <alignment horizontal="right"/>
    </xf>
    <xf numFmtId="43" fontId="71" fillId="0" borderId="10" xfId="11" applyFont="1" applyFill="1" applyBorder="1" applyAlignment="1" applyProtection="1"/>
    <xf numFmtId="167" fontId="34" fillId="0" borderId="0" xfId="24" applyNumberFormat="1" applyFont="1" applyFill="1" applyBorder="1" applyAlignment="1" applyProtection="1">
      <alignment horizontal="right"/>
    </xf>
    <xf numFmtId="43" fontId="34" fillId="0" borderId="5" xfId="11" applyFont="1" applyFill="1" applyBorder="1" applyAlignment="1">
      <alignment horizontal="right"/>
    </xf>
    <xf numFmtId="43" fontId="34" fillId="0" borderId="0" xfId="11" applyFont="1" applyFill="1" applyBorder="1"/>
    <xf numFmtId="181" fontId="34" fillId="0" borderId="7" xfId="11" applyNumberFormat="1" applyFont="1" applyFill="1" applyBorder="1"/>
    <xf numFmtId="181" fontId="34" fillId="0" borderId="0" xfId="11" applyNumberFormat="1" applyFont="1" applyFill="1" applyBorder="1"/>
    <xf numFmtId="181" fontId="34" fillId="0" borderId="10" xfId="11" applyNumberFormat="1" applyFont="1" applyFill="1" applyBorder="1"/>
    <xf numFmtId="167" fontId="38" fillId="16" borderId="10" xfId="24" applyNumberFormat="1" applyFont="1" applyFill="1" applyBorder="1" applyAlignment="1" applyProtection="1">
      <alignment horizontal="right"/>
    </xf>
    <xf numFmtId="9" fontId="30" fillId="0" borderId="0" xfId="24" applyNumberFormat="1" applyFont="1" applyFill="1" applyBorder="1" applyAlignment="1" applyProtection="1">
      <alignment horizontal="right"/>
      <protection locked="0"/>
    </xf>
    <xf numFmtId="9" fontId="30" fillId="0" borderId="0" xfId="0" applyNumberFormat="1" applyFont="1" applyFill="1" applyBorder="1" applyAlignment="1">
      <alignment horizontal="right"/>
    </xf>
    <xf numFmtId="9" fontId="30" fillId="0" borderId="0" xfId="0" quotePrefix="1" applyNumberFormat="1" applyFont="1" applyFill="1" applyBorder="1" applyAlignment="1">
      <alignment horizontal="right"/>
    </xf>
    <xf numFmtId="43" fontId="39" fillId="0" borderId="0" xfId="11" applyFont="1" applyFill="1" applyBorder="1"/>
    <xf numFmtId="169" fontId="39" fillId="0" borderId="0" xfId="11" applyNumberFormat="1" applyFont="1" applyFill="1" applyBorder="1"/>
    <xf numFmtId="10" fontId="13" fillId="0" borderId="7" xfId="24" applyNumberFormat="1" applyFont="1" applyFill="1" applyBorder="1" applyAlignment="1" applyProtection="1">
      <alignment horizontal="right"/>
      <protection locked="0"/>
    </xf>
    <xf numFmtId="181" fontId="39" fillId="0" borderId="10" xfId="24" applyNumberFormat="1" applyFont="1" applyFill="1" applyBorder="1" applyAlignment="1" applyProtection="1">
      <alignment horizontal="right"/>
      <protection locked="0"/>
    </xf>
    <xf numFmtId="181" fontId="32" fillId="0" borderId="27" xfId="11" applyNumberFormat="1" applyFont="1" applyFill="1" applyBorder="1" applyAlignment="1" applyProtection="1">
      <alignment horizontal="right"/>
      <protection locked="0"/>
    </xf>
    <xf numFmtId="167" fontId="30" fillId="0" borderId="10" xfId="0" quotePrefix="1" applyNumberFormat="1" applyFont="1" applyFill="1" applyBorder="1" applyAlignment="1" applyProtection="1">
      <alignment horizontal="right"/>
      <protection locked="0"/>
    </xf>
    <xf numFmtId="0" fontId="3" fillId="0" borderId="0" xfId="39"/>
    <xf numFmtId="0" fontId="3" fillId="17" borderId="0" xfId="63" applyFont="1" applyFill="1" applyAlignment="1">
      <alignment vertical="top"/>
    </xf>
    <xf numFmtId="0" fontId="3" fillId="17" borderId="0" xfId="39" applyFill="1" applyAlignment="1">
      <alignment vertical="top"/>
    </xf>
    <xf numFmtId="0" fontId="3" fillId="17" borderId="0" xfId="39" applyFill="1"/>
    <xf numFmtId="0" fontId="43" fillId="17" borderId="0" xfId="63" applyFont="1" applyFill="1" applyAlignment="1">
      <alignment horizontal="left" vertical="top"/>
    </xf>
    <xf numFmtId="0" fontId="3" fillId="17" borderId="0" xfId="39" applyFont="1" applyFill="1" applyAlignment="1">
      <alignment vertical="top"/>
    </xf>
    <xf numFmtId="0" fontId="83" fillId="17" borderId="0" xfId="63" applyFont="1" applyFill="1" applyAlignment="1">
      <alignment vertical="top"/>
    </xf>
    <xf numFmtId="0" fontId="0" fillId="17" borderId="0" xfId="0" applyFill="1" applyAlignment="1">
      <alignment vertical="top"/>
    </xf>
    <xf numFmtId="0" fontId="91" fillId="17" borderId="0" xfId="0" applyFont="1" applyFill="1" applyAlignment="1">
      <alignment vertical="top"/>
    </xf>
    <xf numFmtId="0" fontId="92" fillId="17" borderId="0" xfId="0" applyFont="1" applyFill="1" applyAlignment="1">
      <alignment vertical="top"/>
    </xf>
    <xf numFmtId="0" fontId="92" fillId="17" borderId="0" xfId="0" applyFont="1" applyFill="1" applyAlignment="1">
      <alignment vertical="top"/>
    </xf>
    <xf numFmtId="0" fontId="91" fillId="17" borderId="0" xfId="0" applyFont="1" applyFill="1" applyAlignment="1">
      <alignment vertical="top"/>
    </xf>
    <xf numFmtId="0" fontId="0" fillId="17" borderId="0" xfId="0" applyFill="1" applyAlignment="1">
      <alignment vertical="top"/>
    </xf>
    <xf numFmtId="0" fontId="0" fillId="17" borderId="44" xfId="0" applyFill="1" applyBorder="1" applyAlignment="1">
      <alignment vertical="top"/>
    </xf>
    <xf numFmtId="0" fontId="91" fillId="17" borderId="40" xfId="0" applyFont="1" applyFill="1" applyBorder="1" applyAlignment="1">
      <alignment vertical="top"/>
    </xf>
    <xf numFmtId="0" fontId="91" fillId="17" borderId="41" xfId="0" applyFont="1" applyFill="1" applyBorder="1" applyAlignment="1">
      <alignment vertical="top"/>
    </xf>
    <xf numFmtId="0" fontId="91" fillId="17" borderId="42" xfId="0" applyFont="1" applyFill="1" applyBorder="1" applyAlignment="1">
      <alignment vertical="top"/>
    </xf>
    <xf numFmtId="0" fontId="91" fillId="17" borderId="43" xfId="0" applyFont="1" applyFill="1" applyBorder="1" applyAlignment="1">
      <alignment vertical="top"/>
    </xf>
    <xf numFmtId="9" fontId="91" fillId="17" borderId="40" xfId="0" applyNumberFormat="1" applyFont="1" applyFill="1" applyBorder="1" applyAlignment="1">
      <alignment vertical="top"/>
    </xf>
    <xf numFmtId="3" fontId="91" fillId="17" borderId="40" xfId="0" applyNumberFormat="1" applyFont="1" applyFill="1" applyBorder="1" applyAlignment="1">
      <alignment vertical="top"/>
    </xf>
    <xf numFmtId="0" fontId="0" fillId="17" borderId="45" xfId="0" applyFill="1" applyBorder="1" applyAlignment="1">
      <alignment vertical="top"/>
    </xf>
    <xf numFmtId="2" fontId="3" fillId="0" borderId="0" xfId="39" applyNumberFormat="1" applyAlignment="1">
      <alignment horizontal="left"/>
    </xf>
    <xf numFmtId="0" fontId="3" fillId="0" borderId="0" xfId="39" applyNumberFormat="1" applyAlignment="1">
      <alignment horizontal="left"/>
    </xf>
    <xf numFmtId="1" fontId="3" fillId="0" borderId="0" xfId="39" applyNumberFormat="1" applyAlignment="1">
      <alignment horizontal="left"/>
    </xf>
    <xf numFmtId="0" fontId="3" fillId="0" borderId="0" xfId="39" applyFont="1"/>
    <xf numFmtId="216" fontId="3" fillId="0" borderId="0" xfId="39" applyNumberFormat="1" applyAlignment="1">
      <alignment horizontal="left"/>
    </xf>
    <xf numFmtId="49" fontId="3" fillId="0" borderId="0" xfId="39" applyNumberFormat="1"/>
  </cellXfs>
  <cellStyles count="64">
    <cellStyle name="_COV" xfId="40"/>
    <cellStyle name="_COV_A_Nov20" xfId="35"/>
    <cellStyle name="_COV_A_Nov20 2 2" xfId="38"/>
    <cellStyle name="_SUMMARY " xfId="1"/>
    <cellStyle name="0_Capex &amp; Depreciation " xfId="2"/>
    <cellStyle name="0_Capex &amp; Depreciation _RRST2" xfId="3"/>
    <cellStyle name="0_Capex &amp; Depreciation _RRST5" xfId="4"/>
    <cellStyle name="0_Valuing BP " xfId="5"/>
    <cellStyle name="0_Valuing BP _RRST2" xfId="6"/>
    <cellStyle name="0_Valuing BP _RRST5" xfId="7"/>
    <cellStyle name="c_HardInc " xfId="8"/>
    <cellStyle name="c_HardInc _RRST2" xfId="9"/>
    <cellStyle name="c_HardInc _RRST5" xfId="10"/>
    <cellStyle name="Comma" xfId="11" builtinId="3"/>
    <cellStyle name="Comma 2" xfId="12"/>
    <cellStyle name="Comma 3" xfId="13"/>
    <cellStyle name="Currency" xfId="55" builtinId="4"/>
    <cellStyle name="Currency 2" xfId="14"/>
    <cellStyle name="Currency 3" xfId="15"/>
    <cellStyle name="Currency 4" xfId="53"/>
    <cellStyle name="Currency 5" xfId="58"/>
    <cellStyle name="Currency 6" xfId="62"/>
    <cellStyle name="Fail" xfId="44"/>
    <cellStyle name="FiscalPeriod" xfId="45"/>
    <cellStyle name="Hidden" xfId="46"/>
    <cellStyle name="Hyperlink" xfId="16" builtinId="8"/>
    <cellStyle name="MetricLabel" xfId="47"/>
    <cellStyle name="MetricLabelBlue" xfId="48"/>
    <cellStyle name="MetricValue" xfId="49"/>
    <cellStyle name="Normal" xfId="0" builtinId="0"/>
    <cellStyle name="Normal 1" xfId="17"/>
    <cellStyle name="Normal 1 2" xfId="39"/>
    <cellStyle name="Normal 10" xfId="51"/>
    <cellStyle name="Normal 11" xfId="59"/>
    <cellStyle name="Normal 12" xfId="61"/>
    <cellStyle name="Normal 2" xfId="18"/>
    <cellStyle name="Normal 3" xfId="19"/>
    <cellStyle name="Normal 3 2" xfId="57"/>
    <cellStyle name="Normal 4" xfId="20"/>
    <cellStyle name="Normal 5" xfId="21"/>
    <cellStyle name="Normal 6" xfId="36"/>
    <cellStyle name="Normal 7" xfId="41"/>
    <cellStyle name="Normal 8" xfId="43"/>
    <cellStyle name="Normal 9" xfId="22"/>
    <cellStyle name="Normal_ABMD2Q2009_v2" xfId="54"/>
    <cellStyle name="Normal_bec" xfId="37"/>
    <cellStyle name="Normal_bec 2" xfId="42"/>
    <cellStyle name="Normal_DisclaimerSheet Samples" xfId="63"/>
    <cellStyle name="p " xfId="23"/>
    <cellStyle name="Pass" xfId="50"/>
    <cellStyle name="Percent" xfId="24" builtinId="5"/>
    <cellStyle name="Percent 2" xfId="25"/>
    <cellStyle name="Percent 2 2" xfId="56"/>
    <cellStyle name="Percent 3" xfId="60"/>
    <cellStyle name="RRSInstruction" xfId="26"/>
    <cellStyle name="RRSInstruction 2" xfId="52"/>
    <cellStyle name="s_HardInc " xfId="27"/>
    <cellStyle name="s_HardInc _RRST2" xfId="28"/>
    <cellStyle name="s_HardInc _RRST5" xfId="29"/>
    <cellStyle name="s_Valuation " xfId="30"/>
    <cellStyle name="s_Valuation _RRST2" xfId="31"/>
    <cellStyle name="s_Valuation _RRST5" xfId="32"/>
    <cellStyle name="ssp " xfId="33"/>
    <cellStyle name="Style 1" xfId="3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9A46"/>
      <color rgb="FF137CB1"/>
      <color rgb="FF808080"/>
      <color rgb="FF36609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externalLinks/externalLink1.xml" Type="http://schemas.openxmlformats.org/officeDocument/2006/relationships/externalLink"/>
<Relationship Id="rId13" Target="externalLinks/externalLink2.xml" Type="http://schemas.openxmlformats.org/officeDocument/2006/relationships/externalLink"/>
<Relationship Id="rId14" Target="externalLinks/externalLink3.xml" Type="http://schemas.openxmlformats.org/officeDocument/2006/relationships/externalLink"/>
<Relationship Id="rId15" Target="theme/theme1.xml" Type="http://schemas.openxmlformats.org/officeDocument/2006/relationships/theme"/>
<Relationship Id="rId16" Target="styles.xml" Type="http://schemas.openxmlformats.org/officeDocument/2006/relationships/styles"/>
<Relationship Id="rId17" Target="sharedStrings.xml" Type="http://schemas.openxmlformats.org/officeDocument/2006/relationships/sharedStrings"/>
<Relationship Id="rId18" Target="calcChain.xml" Type="http://schemas.openxmlformats.org/officeDocument/2006/relationships/calcChain"/>
<Relationship Id="rId19" Target="../customXml/item1.xml" Type="http://schemas.openxmlformats.org/officeDocument/2006/relationships/customXml"/>
<Relationship Id="rId2" Target="worksheets/sheet2.xml" Type="http://schemas.openxmlformats.org/officeDocument/2006/relationships/worksheet"/>
<Relationship Id="rId20" Target="../customXml/item2.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168961" name="Picture 1" descr="C:\Users\wachter\AppData\Local\Temp\MercuryPriceRatingHistoryChart\DHR.N_2018_04_19_16_10_2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2891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1647825</xdr:colOff>
      <xdr:row>0</xdr:row>
      <xdr:rowOff>95250</xdr:rowOff>
    </xdr:from>
    <xdr:to>
      <xdr:col>4</xdr:col>
      <xdr:colOff>514350</xdr:colOff>
      <xdr:row>2</xdr:row>
      <xdr:rowOff>257175</xdr:rowOff>
    </xdr:to>
    <xdr:sp macro="" textlink="">
      <xdr:nvSpPr>
        <xdr:cNvPr id="8" name="Text Box 1"/>
        <xdr:cNvSpPr txBox="1">
          <a:spLocks noChangeArrowheads="1"/>
        </xdr:cNvSpPr>
      </xdr:nvSpPr>
      <xdr:spPr bwMode="auto">
        <a:xfrm>
          <a:off x="5895975" y="95250"/>
          <a:ext cx="3448050" cy="79057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7432" rIns="27432" bIns="0" anchor="t" upright="1"/>
        <a:lstStyle/>
        <a:p>
          <a:pPr algn="r" rtl="0">
            <a:defRPr sz="1000"/>
          </a:pPr>
          <a:r>
            <a:rPr lang="en-US" sz="1100" b="1" i="0" u="none" strike="noStrike" baseline="0">
              <a:solidFill>
                <a:srgbClr val="000000"/>
              </a:solidFill>
              <a:latin typeface="Arial"/>
              <a:cs typeface="Arial"/>
            </a:rPr>
            <a:t>Steve Beuchaw</a:t>
          </a:r>
        </a:p>
        <a:p>
          <a:pPr algn="r" rtl="0">
            <a:defRPr sz="1000"/>
          </a:pPr>
          <a:r>
            <a:rPr lang="en-US" sz="1100" b="1" i="0" u="none" strike="noStrike" baseline="0">
              <a:solidFill>
                <a:srgbClr val="000000"/>
              </a:solidFill>
              <a:latin typeface="Arial"/>
              <a:cs typeface="Arial"/>
            </a:rPr>
            <a:t>Life Science Tools</a:t>
          </a:r>
        </a:p>
        <a:p>
          <a:pPr algn="r" rtl="0">
            <a:defRPr sz="1000"/>
          </a:pPr>
          <a:r>
            <a:rPr lang="en-US" sz="1100" b="0" i="0" u="none" strike="noStrike" baseline="0">
              <a:solidFill>
                <a:srgbClr val="000000"/>
              </a:solidFill>
              <a:latin typeface="Arial"/>
              <a:cs typeface="Arial"/>
            </a:rPr>
            <a:t>steve.beuchaw@morganstanley.com</a:t>
          </a:r>
        </a:p>
        <a:p>
          <a:pPr algn="r" rtl="0">
            <a:defRPr sz="1000"/>
          </a:pPr>
          <a:r>
            <a:rPr lang="en-US" sz="1100" b="0" i="0" u="none" strike="noStrike" baseline="0">
              <a:solidFill>
                <a:srgbClr val="000000"/>
              </a:solidFill>
              <a:latin typeface="Arial"/>
              <a:cs typeface="Arial"/>
            </a:rPr>
            <a:t>        (212) 761-6672</a:t>
          </a:r>
        </a:p>
      </xdr:txBody>
    </xdr:sp>
    <xdr:clientData/>
  </xdr:twoCellAnchor>
  <xdr:twoCellAnchor editAs="oneCell">
    <xdr:from>
      <xdr:col>0</xdr:col>
      <xdr:colOff>47625</xdr:colOff>
      <xdr:row>1</xdr:row>
      <xdr:rowOff>0</xdr:rowOff>
    </xdr:from>
    <xdr:to>
      <xdr:col>0</xdr:col>
      <xdr:colOff>3257550</xdr:colOff>
      <xdr:row>2</xdr:row>
      <xdr:rowOff>9525</xdr:rowOff>
    </xdr:to>
    <xdr:pic>
      <xdr:nvPicPr>
        <xdr:cNvPr id="9" name="Picture 2" descr="Morgan%20Stanley%20sm_573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161925"/>
          <a:ext cx="32099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HEALTH/Tools/Weekly/Industry%20Multiples.xlsm"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na/ny/lib/er/health/tools/industry/dental/olddentalchrts/DentalChrts.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Data1"/>
      <sheetName val="Data2"/>
      <sheetName val="Custom Indices"/>
      <sheetName val="MW-Cache"/>
      <sheetName val="Multiples"/>
      <sheetName val="Multiples (2)"/>
      <sheetName val="LST Perf"/>
      <sheetName val="3yr"/>
      <sheetName val="Charts01"/>
      <sheetName val="LST Charts"/>
      <sheetName val="Mth &amp; Yr Perf"/>
      <sheetName val="Data3"/>
      <sheetName val="EPSRev"/>
    </sheetNames>
    <sheetDataSet>
      <sheetData sheetId="0"/>
      <sheetData sheetId="1">
        <row r="2616">
          <cell r="A2616">
            <v>42734</v>
          </cell>
        </row>
      </sheetData>
      <sheetData sheetId="2"/>
      <sheetData sheetId="3"/>
      <sheetData sheetId="4"/>
      <sheetData sheetId="5">
        <row r="11">
          <cell r="BF11" t="str">
            <v>Abs NTM P/E</v>
          </cell>
          <cell r="LJ11" t="str">
            <v>Abs NTM P/E</v>
          </cell>
          <cell r="LK11" t="str">
            <v>3 Yr Avg</v>
          </cell>
          <cell r="LL11" t="str">
            <v>10 Yr Avg</v>
          </cell>
          <cell r="LM11" t="str">
            <v>StdDev1</v>
          </cell>
          <cell r="LN11" t="str">
            <v>StdDev2</v>
          </cell>
          <cell r="LY11" t="str">
            <v>Abs NTM EV/EBITDA</v>
          </cell>
          <cell r="LZ11" t="str">
            <v>3 Yr Avg</v>
          </cell>
          <cell r="MA11" t="str">
            <v>10 Yr Avg</v>
          </cell>
          <cell r="MB11" t="str">
            <v>StdDev1</v>
          </cell>
          <cell r="MC11" t="str">
            <v>StdDev2</v>
          </cell>
        </row>
        <row r="12">
          <cell r="A12">
            <v>39542</v>
          </cell>
          <cell r="LJ12">
            <v>17.319858743411221</v>
          </cell>
          <cell r="LK12">
            <v>20.020152274152959</v>
          </cell>
          <cell r="LL12">
            <v>17.982747259685677</v>
          </cell>
          <cell r="LM12">
            <v>15.721193701553757</v>
          </cell>
          <cell r="LN12">
            <v>20.244300817817596</v>
          </cell>
          <cell r="LY12">
            <v>11.287381346300787</v>
          </cell>
          <cell r="LZ12">
            <v>14.730476692982464</v>
          </cell>
          <cell r="MA12">
            <v>11.870949885755934</v>
          </cell>
          <cell r="MB12">
            <v>9.6544719773798295</v>
          </cell>
          <cell r="MC12">
            <v>14.087427794132038</v>
          </cell>
        </row>
        <row r="13">
          <cell r="A13">
            <v>39545</v>
          </cell>
          <cell r="LJ13">
            <v>17.223197275924395</v>
          </cell>
          <cell r="LK13">
            <v>20.020152274152959</v>
          </cell>
          <cell r="LL13">
            <v>17.982747259685677</v>
          </cell>
          <cell r="LM13">
            <v>15.721193701553757</v>
          </cell>
          <cell r="LN13">
            <v>20.244300817817596</v>
          </cell>
          <cell r="LY13">
            <v>11.232072541743481</v>
          </cell>
          <cell r="LZ13">
            <v>14.730476692982464</v>
          </cell>
          <cell r="MA13">
            <v>11.870949885755934</v>
          </cell>
          <cell r="MB13">
            <v>9.6544719773798295</v>
          </cell>
          <cell r="MC13">
            <v>14.087427794132038</v>
          </cell>
        </row>
        <row r="14">
          <cell r="A14">
            <v>39546</v>
          </cell>
          <cell r="LJ14">
            <v>17.304062234846384</v>
          </cell>
          <cell r="LK14">
            <v>20.020152274152959</v>
          </cell>
          <cell r="LL14">
            <v>17.982747259685677</v>
          </cell>
          <cell r="LM14">
            <v>15.721193701553757</v>
          </cell>
          <cell r="LN14">
            <v>20.244300817817596</v>
          </cell>
          <cell r="LY14">
            <v>11.28110201489573</v>
          </cell>
          <cell r="LZ14">
            <v>14.730476692982464</v>
          </cell>
          <cell r="MA14">
            <v>11.870949885755934</v>
          </cell>
          <cell r="MB14">
            <v>9.6544719773798295</v>
          </cell>
          <cell r="MC14">
            <v>14.087427794132038</v>
          </cell>
        </row>
        <row r="15">
          <cell r="A15">
            <v>39547</v>
          </cell>
          <cell r="LJ15">
            <v>17.101830203860832</v>
          </cell>
          <cell r="LK15">
            <v>20.020152274152959</v>
          </cell>
          <cell r="LL15">
            <v>17.982747259685677</v>
          </cell>
          <cell r="LM15">
            <v>15.721193701553757</v>
          </cell>
          <cell r="LN15">
            <v>20.244300817817596</v>
          </cell>
          <cell r="LY15">
            <v>11.165367028366202</v>
          </cell>
          <cell r="LZ15">
            <v>14.730476692982464</v>
          </cell>
          <cell r="MA15">
            <v>11.870949885755934</v>
          </cell>
          <cell r="MB15">
            <v>9.6544719773798295</v>
          </cell>
          <cell r="MC15">
            <v>14.087427794132038</v>
          </cell>
        </row>
        <row r="16">
          <cell r="A16">
            <v>39548</v>
          </cell>
          <cell r="LJ16">
            <v>17.099633343739754</v>
          </cell>
          <cell r="LK16">
            <v>20.020152274152959</v>
          </cell>
          <cell r="LL16">
            <v>17.982747259685677</v>
          </cell>
          <cell r="LM16">
            <v>15.721193701553757</v>
          </cell>
          <cell r="LN16">
            <v>20.244300817817596</v>
          </cell>
          <cell r="LY16">
            <v>11.164109791442449</v>
          </cell>
          <cell r="LZ16">
            <v>14.730476692982464</v>
          </cell>
          <cell r="MA16">
            <v>11.870949885755934</v>
          </cell>
          <cell r="MB16">
            <v>9.6544719773798295</v>
          </cell>
          <cell r="MC16">
            <v>14.087427794132038</v>
          </cell>
        </row>
        <row r="17">
          <cell r="A17">
            <v>39549</v>
          </cell>
          <cell r="LJ17">
            <v>16.564794383445065</v>
          </cell>
          <cell r="LK17">
            <v>20.020152274152959</v>
          </cell>
          <cell r="LL17">
            <v>17.982747259685677</v>
          </cell>
          <cell r="LM17">
            <v>15.721193701553757</v>
          </cell>
          <cell r="LN17">
            <v>20.244300817817596</v>
          </cell>
          <cell r="LY17">
            <v>10.852297728281062</v>
          </cell>
          <cell r="LZ17">
            <v>14.730476692982464</v>
          </cell>
          <cell r="MA17">
            <v>11.870949885755934</v>
          </cell>
          <cell r="MB17">
            <v>9.6544719773798295</v>
          </cell>
          <cell r="MC17">
            <v>14.087427794132038</v>
          </cell>
        </row>
        <row r="18">
          <cell r="A18">
            <v>39552</v>
          </cell>
          <cell r="LJ18">
            <v>16.23627068370131</v>
          </cell>
          <cell r="LK18">
            <v>20.020152274152959</v>
          </cell>
          <cell r="LL18">
            <v>17.982747259685677</v>
          </cell>
          <cell r="LM18">
            <v>15.721193701553757</v>
          </cell>
          <cell r="LN18">
            <v>20.244300817817596</v>
          </cell>
          <cell r="LY18">
            <v>10.667523685647852</v>
          </cell>
          <cell r="LZ18">
            <v>14.730476692982464</v>
          </cell>
          <cell r="MA18">
            <v>11.870949885755934</v>
          </cell>
          <cell r="MB18">
            <v>9.6544719773798295</v>
          </cell>
          <cell r="MC18">
            <v>14.087427794132038</v>
          </cell>
        </row>
        <row r="19">
          <cell r="A19">
            <v>39553</v>
          </cell>
          <cell r="LJ19">
            <v>16.420926093374504</v>
          </cell>
          <cell r="LK19">
            <v>20.020152274152959</v>
          </cell>
          <cell r="LL19">
            <v>17.982747259685677</v>
          </cell>
          <cell r="LM19">
            <v>15.721193701553757</v>
          </cell>
          <cell r="LN19">
            <v>20.244300817817596</v>
          </cell>
          <cell r="LY19">
            <v>10.773180250315045</v>
          </cell>
          <cell r="LZ19">
            <v>14.730476692982464</v>
          </cell>
          <cell r="MA19">
            <v>11.870949885755934</v>
          </cell>
          <cell r="MB19">
            <v>9.6544719773798295</v>
          </cell>
          <cell r="MC19">
            <v>14.087427794132038</v>
          </cell>
        </row>
        <row r="20">
          <cell r="A20">
            <v>39554</v>
          </cell>
          <cell r="LJ20">
            <v>16.900143032795182</v>
          </cell>
          <cell r="LK20">
            <v>20.020152274152959</v>
          </cell>
          <cell r="LL20">
            <v>17.982747259685677</v>
          </cell>
          <cell r="LM20">
            <v>15.721193701553757</v>
          </cell>
          <cell r="LN20">
            <v>20.244300817817596</v>
          </cell>
          <cell r="LY20">
            <v>10.962182714867369</v>
          </cell>
          <cell r="LZ20">
            <v>14.730476692982464</v>
          </cell>
          <cell r="MA20">
            <v>11.870949885755934</v>
          </cell>
          <cell r="MB20">
            <v>9.6544719773798295</v>
          </cell>
          <cell r="MC20">
            <v>14.087427794132038</v>
          </cell>
        </row>
        <row r="21">
          <cell r="A21">
            <v>39555</v>
          </cell>
          <cell r="LJ21">
            <v>16.298516591554062</v>
          </cell>
          <cell r="LK21">
            <v>20.020152274152959</v>
          </cell>
          <cell r="LL21">
            <v>17.982747259685677</v>
          </cell>
          <cell r="LM21">
            <v>15.721193701553757</v>
          </cell>
          <cell r="LN21">
            <v>20.244300817817596</v>
          </cell>
          <cell r="LY21">
            <v>10.62476143656191</v>
          </cell>
          <cell r="LZ21">
            <v>14.730476692982464</v>
          </cell>
          <cell r="MA21">
            <v>11.870949885755934</v>
          </cell>
          <cell r="MB21">
            <v>9.6544719773798295</v>
          </cell>
          <cell r="MC21">
            <v>14.087427794132038</v>
          </cell>
        </row>
        <row r="22">
          <cell r="A22">
            <v>39556</v>
          </cell>
          <cell r="LJ22">
            <v>16.527635253094125</v>
          </cell>
          <cell r="LK22">
            <v>20.020152274152959</v>
          </cell>
          <cell r="LL22">
            <v>17.982747259685677</v>
          </cell>
          <cell r="LM22">
            <v>15.721193701553757</v>
          </cell>
          <cell r="LN22">
            <v>20.244300817817596</v>
          </cell>
          <cell r="LY22">
            <v>10.734252817385959</v>
          </cell>
          <cell r="LZ22">
            <v>14.730476692982464</v>
          </cell>
          <cell r="MA22">
            <v>11.870949885755934</v>
          </cell>
          <cell r="MB22">
            <v>9.6544719773798295</v>
          </cell>
          <cell r="MC22">
            <v>14.087427794132038</v>
          </cell>
        </row>
        <row r="23">
          <cell r="A23">
            <v>39559</v>
          </cell>
          <cell r="LJ23">
            <v>16.604963161176101</v>
          </cell>
          <cell r="LK23">
            <v>20.020152274152959</v>
          </cell>
          <cell r="LL23">
            <v>17.982747259685677</v>
          </cell>
          <cell r="LM23">
            <v>15.721193701553757</v>
          </cell>
          <cell r="LN23">
            <v>20.244300817817596</v>
          </cell>
          <cell r="LY23">
            <v>10.747471192364157</v>
          </cell>
          <cell r="LZ23">
            <v>14.730476692982464</v>
          </cell>
          <cell r="MA23">
            <v>11.870949885755934</v>
          </cell>
          <cell r="MB23">
            <v>9.6544719773798295</v>
          </cell>
          <cell r="MC23">
            <v>14.087427794132038</v>
          </cell>
        </row>
        <row r="24">
          <cell r="A24">
            <v>39560</v>
          </cell>
          <cell r="LJ24">
            <v>16.6071613943787</v>
          </cell>
          <cell r="LK24">
            <v>20.020152274152959</v>
          </cell>
          <cell r="LL24">
            <v>17.982747259685677</v>
          </cell>
          <cell r="LM24">
            <v>15.721193701553757</v>
          </cell>
          <cell r="LN24">
            <v>20.244300817817596</v>
          </cell>
          <cell r="LY24">
            <v>10.748723569710597</v>
          </cell>
          <cell r="LZ24">
            <v>14.730476692982464</v>
          </cell>
          <cell r="MA24">
            <v>11.870949885755934</v>
          </cell>
          <cell r="MB24">
            <v>9.6544719773798295</v>
          </cell>
          <cell r="MC24">
            <v>14.087427794132038</v>
          </cell>
        </row>
        <row r="25">
          <cell r="A25">
            <v>39561</v>
          </cell>
          <cell r="LJ25">
            <v>16.69293515633758</v>
          </cell>
          <cell r="LK25">
            <v>20.020152274152959</v>
          </cell>
          <cell r="LL25">
            <v>17.982747259685677</v>
          </cell>
          <cell r="LM25">
            <v>15.721193701553757</v>
          </cell>
          <cell r="LN25">
            <v>20.244300817817596</v>
          </cell>
          <cell r="LY25">
            <v>10.797590594496395</v>
          </cell>
          <cell r="LZ25">
            <v>14.730476692982464</v>
          </cell>
          <cell r="MA25">
            <v>11.870949885755934</v>
          </cell>
          <cell r="MB25">
            <v>9.6544719773798295</v>
          </cell>
          <cell r="MC25">
            <v>14.087427794132038</v>
          </cell>
        </row>
        <row r="26">
          <cell r="A26">
            <v>39562</v>
          </cell>
          <cell r="LJ26">
            <v>16.882078003007443</v>
          </cell>
          <cell r="LK26">
            <v>20.020152274152959</v>
          </cell>
          <cell r="LL26">
            <v>17.982747259685677</v>
          </cell>
          <cell r="LM26">
            <v>15.721193701553757</v>
          </cell>
          <cell r="LN26">
            <v>20.244300817817596</v>
          </cell>
          <cell r="LY26">
            <v>10.905349050756048</v>
          </cell>
          <cell r="LZ26">
            <v>14.730476692982464</v>
          </cell>
          <cell r="MA26">
            <v>11.870949885755934</v>
          </cell>
          <cell r="MB26">
            <v>9.6544719773798295</v>
          </cell>
          <cell r="MC26">
            <v>14.087427794132038</v>
          </cell>
        </row>
        <row r="27">
          <cell r="A27">
            <v>39563</v>
          </cell>
          <cell r="LJ27">
            <v>17.058025292329695</v>
          </cell>
          <cell r="LK27">
            <v>20.020152274152959</v>
          </cell>
          <cell r="LL27">
            <v>17.982747259685677</v>
          </cell>
          <cell r="LM27">
            <v>15.721193701553757</v>
          </cell>
          <cell r="LN27">
            <v>20.244300817817596</v>
          </cell>
          <cell r="LY27">
            <v>11.005589734526286</v>
          </cell>
          <cell r="LZ27">
            <v>14.730476692982464</v>
          </cell>
          <cell r="MA27">
            <v>11.870949885755934</v>
          </cell>
          <cell r="MB27">
            <v>9.6544719773798295</v>
          </cell>
          <cell r="MC27">
            <v>14.087427794132038</v>
          </cell>
        </row>
        <row r="28">
          <cell r="A28">
            <v>39566</v>
          </cell>
          <cell r="LJ28">
            <v>17.167991935781195</v>
          </cell>
          <cell r="LK28">
            <v>20.020152274152959</v>
          </cell>
          <cell r="LL28">
            <v>17.982747259685677</v>
          </cell>
          <cell r="LM28">
            <v>15.721193701553757</v>
          </cell>
          <cell r="LN28">
            <v>20.244300817817596</v>
          </cell>
          <cell r="LY28">
            <v>11.068239926944466</v>
          </cell>
          <cell r="LZ28">
            <v>14.730476692982464</v>
          </cell>
          <cell r="MA28">
            <v>11.870949885755934</v>
          </cell>
          <cell r="MB28">
            <v>9.6544719773798295</v>
          </cell>
          <cell r="MC28">
            <v>14.087427794132038</v>
          </cell>
        </row>
        <row r="29">
          <cell r="A29">
            <v>39567</v>
          </cell>
          <cell r="LJ29">
            <v>17.126204171403053</v>
          </cell>
          <cell r="LK29">
            <v>20.020152274152959</v>
          </cell>
          <cell r="LL29">
            <v>17.982747259685677</v>
          </cell>
          <cell r="LM29">
            <v>15.721193701553757</v>
          </cell>
          <cell r="LN29">
            <v>20.244300817817596</v>
          </cell>
          <cell r="LY29">
            <v>11.04443260322479</v>
          </cell>
          <cell r="LZ29">
            <v>14.730476692982464</v>
          </cell>
          <cell r="MA29">
            <v>11.870949885755934</v>
          </cell>
          <cell r="MB29">
            <v>9.6544719773798295</v>
          </cell>
          <cell r="MC29">
            <v>14.087427794132038</v>
          </cell>
        </row>
        <row r="30">
          <cell r="A30">
            <v>39568</v>
          </cell>
          <cell r="LJ30">
            <v>17.159192844838781</v>
          </cell>
          <cell r="LK30">
            <v>20.020152274152959</v>
          </cell>
          <cell r="LL30">
            <v>17.982747259685677</v>
          </cell>
          <cell r="LM30">
            <v>15.721193701553757</v>
          </cell>
          <cell r="LN30">
            <v>20.244300817817596</v>
          </cell>
          <cell r="LY30">
            <v>11.063226909147936</v>
          </cell>
          <cell r="LZ30">
            <v>14.730476692982464</v>
          </cell>
          <cell r="MA30">
            <v>11.870949885755934</v>
          </cell>
          <cell r="MB30">
            <v>9.6544719773798295</v>
          </cell>
          <cell r="MC30">
            <v>14.087427794132038</v>
          </cell>
        </row>
        <row r="31">
          <cell r="A31">
            <v>39569</v>
          </cell>
          <cell r="LJ31">
            <v>17.154361980774485</v>
          </cell>
          <cell r="LK31">
            <v>20.020152274152959</v>
          </cell>
          <cell r="LL31">
            <v>17.982747259685677</v>
          </cell>
          <cell r="LM31">
            <v>15.721193701553757</v>
          </cell>
          <cell r="LN31">
            <v>20.244300817817596</v>
          </cell>
          <cell r="LY31">
            <v>11.079089565212231</v>
          </cell>
          <cell r="LZ31">
            <v>14.730476692982464</v>
          </cell>
          <cell r="MA31">
            <v>11.870949885755934</v>
          </cell>
          <cell r="MB31">
            <v>9.6544719773798295</v>
          </cell>
          <cell r="MC31">
            <v>14.087427794132038</v>
          </cell>
        </row>
        <row r="32">
          <cell r="A32">
            <v>39570</v>
          </cell>
          <cell r="LJ32">
            <v>16.978051877382487</v>
          </cell>
          <cell r="LK32">
            <v>20.020152274152959</v>
          </cell>
          <cell r="LL32">
            <v>17.982747259685677</v>
          </cell>
          <cell r="LM32">
            <v>15.721193701553757</v>
          </cell>
          <cell r="LN32">
            <v>20.244300817817596</v>
          </cell>
          <cell r="LY32">
            <v>11.114743104786779</v>
          </cell>
          <cell r="LZ32">
            <v>14.730476692982464</v>
          </cell>
          <cell r="MA32">
            <v>11.870949885755934</v>
          </cell>
          <cell r="MB32">
            <v>9.6544719773798295</v>
          </cell>
          <cell r="MC32">
            <v>14.087427794132038</v>
          </cell>
        </row>
        <row r="33">
          <cell r="A33">
            <v>39573</v>
          </cell>
          <cell r="LJ33">
            <v>16.799563141666887</v>
          </cell>
          <cell r="LK33">
            <v>20.020152274152959</v>
          </cell>
          <cell r="LL33">
            <v>17.982747259685677</v>
          </cell>
          <cell r="LM33">
            <v>15.721193701553757</v>
          </cell>
          <cell r="LN33">
            <v>20.244300817817596</v>
          </cell>
          <cell r="LY33">
            <v>11.011494091268389</v>
          </cell>
          <cell r="LZ33">
            <v>14.730476692982464</v>
          </cell>
          <cell r="MA33">
            <v>11.870949885755934</v>
          </cell>
          <cell r="MB33">
            <v>9.6544719773798295</v>
          </cell>
          <cell r="MC33">
            <v>14.087427794132038</v>
          </cell>
        </row>
        <row r="34">
          <cell r="A34">
            <v>39574</v>
          </cell>
          <cell r="LJ34">
            <v>16.801738726647841</v>
          </cell>
          <cell r="LK34">
            <v>20.020152274152959</v>
          </cell>
          <cell r="LL34">
            <v>17.982747259685677</v>
          </cell>
          <cell r="LM34">
            <v>15.721193701553757</v>
          </cell>
          <cell r="LN34">
            <v>20.244300817817596</v>
          </cell>
          <cell r="LY34">
            <v>11.01275258526919</v>
          </cell>
          <cell r="LZ34">
            <v>14.730476692982464</v>
          </cell>
          <cell r="MA34">
            <v>11.870949885755934</v>
          </cell>
          <cell r="MB34">
            <v>9.6544719773798295</v>
          </cell>
          <cell r="MC34">
            <v>14.087427794132038</v>
          </cell>
        </row>
        <row r="35">
          <cell r="A35">
            <v>39575</v>
          </cell>
          <cell r="LJ35">
            <v>16.564481988030007</v>
          </cell>
          <cell r="LK35">
            <v>20.020152274152959</v>
          </cell>
          <cell r="LL35">
            <v>17.982747259685677</v>
          </cell>
          <cell r="LM35">
            <v>15.721193701553757</v>
          </cell>
          <cell r="LN35">
            <v>20.244300817817596</v>
          </cell>
          <cell r="LY35">
            <v>10.875508494684592</v>
          </cell>
          <cell r="LZ35">
            <v>14.730476692982464</v>
          </cell>
          <cell r="MA35">
            <v>11.870949885755934</v>
          </cell>
          <cell r="MB35">
            <v>9.6544719773798295</v>
          </cell>
          <cell r="MC35">
            <v>14.087427794132038</v>
          </cell>
        </row>
        <row r="36">
          <cell r="A36">
            <v>39576</v>
          </cell>
          <cell r="LJ36">
            <v>16.832211935427093</v>
          </cell>
          <cell r="LK36">
            <v>20.020152274152959</v>
          </cell>
          <cell r="LL36">
            <v>17.982747259685677</v>
          </cell>
          <cell r="LM36">
            <v>15.721193701553757</v>
          </cell>
          <cell r="LN36">
            <v>20.244300817817596</v>
          </cell>
          <cell r="LY36">
            <v>11.030380189233012</v>
          </cell>
          <cell r="LZ36">
            <v>14.730476692982464</v>
          </cell>
          <cell r="MA36">
            <v>11.870949885755934</v>
          </cell>
          <cell r="MB36">
            <v>9.6544719773798295</v>
          </cell>
          <cell r="MC36">
            <v>14.087427794132038</v>
          </cell>
        </row>
        <row r="37">
          <cell r="A37">
            <v>39577</v>
          </cell>
          <cell r="LJ37">
            <v>16.775619735173141</v>
          </cell>
          <cell r="LK37">
            <v>20.020152274152959</v>
          </cell>
          <cell r="LL37">
            <v>17.982747259685677</v>
          </cell>
          <cell r="LM37">
            <v>15.721193701553757</v>
          </cell>
          <cell r="LN37">
            <v>20.244300817817596</v>
          </cell>
          <cell r="LY37">
            <v>10.997643732079963</v>
          </cell>
          <cell r="LZ37">
            <v>14.730476692982464</v>
          </cell>
          <cell r="MA37">
            <v>11.870949885755934</v>
          </cell>
          <cell r="MB37">
            <v>9.6544719773798295</v>
          </cell>
          <cell r="MC37">
            <v>14.087427794132038</v>
          </cell>
        </row>
        <row r="38">
          <cell r="A38">
            <v>39580</v>
          </cell>
          <cell r="LJ38">
            <v>17.067293089063977</v>
          </cell>
          <cell r="LK38">
            <v>20.020152274152959</v>
          </cell>
          <cell r="LL38">
            <v>17.982747259685677</v>
          </cell>
          <cell r="LM38">
            <v>15.721193701553757</v>
          </cell>
          <cell r="LN38">
            <v>20.244300817817596</v>
          </cell>
          <cell r="LY38">
            <v>11.16636578581681</v>
          </cell>
          <cell r="LZ38">
            <v>14.730476692982464</v>
          </cell>
          <cell r="MA38">
            <v>11.870949885755934</v>
          </cell>
          <cell r="MB38">
            <v>9.6544719773798295</v>
          </cell>
          <cell r="MC38">
            <v>14.087427794132038</v>
          </cell>
        </row>
        <row r="39">
          <cell r="A39">
            <v>39581</v>
          </cell>
          <cell r="LJ39">
            <v>17.065117504083023</v>
          </cell>
          <cell r="LK39">
            <v>20.020152274152959</v>
          </cell>
          <cell r="LL39">
            <v>17.982747259685677</v>
          </cell>
          <cell r="LM39">
            <v>15.721193701553757</v>
          </cell>
          <cell r="LN39">
            <v>20.244300817817596</v>
          </cell>
          <cell r="LY39">
            <v>11.165107291816009</v>
          </cell>
          <cell r="LZ39">
            <v>14.730476692982464</v>
          </cell>
          <cell r="MA39">
            <v>11.870949885755934</v>
          </cell>
          <cell r="MB39">
            <v>9.6544719773798295</v>
          </cell>
          <cell r="MC39">
            <v>14.087427794132038</v>
          </cell>
        </row>
        <row r="40">
          <cell r="A40">
            <v>39582</v>
          </cell>
          <cell r="LJ40">
            <v>17.197894794124757</v>
          </cell>
          <cell r="LK40">
            <v>20.020152274152959</v>
          </cell>
          <cell r="LL40">
            <v>17.982747259685677</v>
          </cell>
          <cell r="LM40">
            <v>15.721193701553757</v>
          </cell>
          <cell r="LN40">
            <v>20.244300817817596</v>
          </cell>
          <cell r="LY40">
            <v>11.241913955045995</v>
          </cell>
          <cell r="LZ40">
            <v>14.730476692982464</v>
          </cell>
          <cell r="MA40">
            <v>11.870949885755934</v>
          </cell>
          <cell r="MB40">
            <v>9.6544719773798295</v>
          </cell>
          <cell r="MC40">
            <v>14.087427794132038</v>
          </cell>
        </row>
        <row r="41">
          <cell r="A41">
            <v>39583</v>
          </cell>
          <cell r="LJ41">
            <v>17.428621730457085</v>
          </cell>
          <cell r="LK41">
            <v>20.020152274152959</v>
          </cell>
          <cell r="LL41">
            <v>17.982747259685677</v>
          </cell>
          <cell r="LM41">
            <v>15.721193701553757</v>
          </cell>
          <cell r="LN41">
            <v>20.244300817817596</v>
          </cell>
          <cell r="LY41">
            <v>11.375380800855197</v>
          </cell>
          <cell r="LZ41">
            <v>14.730476692982464</v>
          </cell>
          <cell r="MA41">
            <v>11.870949885755934</v>
          </cell>
          <cell r="MB41">
            <v>9.6544719773798295</v>
          </cell>
          <cell r="MC41">
            <v>14.087427794132038</v>
          </cell>
        </row>
        <row r="42">
          <cell r="A42">
            <v>39584</v>
          </cell>
          <cell r="LJ42">
            <v>17.428621730457085</v>
          </cell>
          <cell r="LK42">
            <v>20.020152274152959</v>
          </cell>
          <cell r="LL42">
            <v>17.982747259685677</v>
          </cell>
          <cell r="LM42">
            <v>15.721193701553757</v>
          </cell>
          <cell r="LN42">
            <v>20.244300817817596</v>
          </cell>
          <cell r="LY42">
            <v>11.375380800855197</v>
          </cell>
          <cell r="LZ42">
            <v>14.730476692982464</v>
          </cell>
          <cell r="MA42">
            <v>11.870949885755934</v>
          </cell>
          <cell r="MB42">
            <v>9.6544719773798295</v>
          </cell>
          <cell r="MC42">
            <v>14.087427794132038</v>
          </cell>
        </row>
        <row r="43">
          <cell r="A43">
            <v>39587</v>
          </cell>
          <cell r="LJ43">
            <v>17.110825902414245</v>
          </cell>
          <cell r="LK43">
            <v>20.020152274152959</v>
          </cell>
          <cell r="LL43">
            <v>17.982747259685677</v>
          </cell>
          <cell r="LM43">
            <v>15.721193701553757</v>
          </cell>
          <cell r="LN43">
            <v>20.244300817817596</v>
          </cell>
          <cell r="LY43">
            <v>11.191547879331424</v>
          </cell>
          <cell r="LZ43">
            <v>14.730476692982464</v>
          </cell>
          <cell r="MA43">
            <v>11.870949885755934</v>
          </cell>
          <cell r="MB43">
            <v>9.6544719773798295</v>
          </cell>
          <cell r="MC43">
            <v>14.087427794132038</v>
          </cell>
        </row>
        <row r="44">
          <cell r="A44">
            <v>39588</v>
          </cell>
          <cell r="LJ44">
            <v>17.021584690732755</v>
          </cell>
          <cell r="LK44">
            <v>20.020152274152959</v>
          </cell>
          <cell r="LL44">
            <v>17.982747259685677</v>
          </cell>
          <cell r="LM44">
            <v>15.721193701553757</v>
          </cell>
          <cell r="LN44">
            <v>20.244300817817596</v>
          </cell>
          <cell r="LY44">
            <v>11.139925198301393</v>
          </cell>
          <cell r="LZ44">
            <v>14.730476692982464</v>
          </cell>
          <cell r="MA44">
            <v>11.870949885755934</v>
          </cell>
          <cell r="MB44">
            <v>9.6544719773798295</v>
          </cell>
          <cell r="MC44">
            <v>14.087427794132038</v>
          </cell>
        </row>
        <row r="45">
          <cell r="A45">
            <v>39589</v>
          </cell>
          <cell r="LJ45">
            <v>16.771265300201257</v>
          </cell>
          <cell r="LK45">
            <v>20.020152274152959</v>
          </cell>
          <cell r="LL45">
            <v>17.982747259685677</v>
          </cell>
          <cell r="LM45">
            <v>15.721193701553757</v>
          </cell>
          <cell r="LN45">
            <v>20.244300817817596</v>
          </cell>
          <cell r="LY45">
            <v>10.995124855393014</v>
          </cell>
          <cell r="LZ45">
            <v>14.730476692982464</v>
          </cell>
          <cell r="MA45">
            <v>11.870949885755934</v>
          </cell>
          <cell r="MB45">
            <v>9.6544719773798295</v>
          </cell>
          <cell r="MC45">
            <v>14.087427794132038</v>
          </cell>
        </row>
        <row r="46">
          <cell r="A46">
            <v>39590</v>
          </cell>
          <cell r="LJ46">
            <v>16.701613495376293</v>
          </cell>
          <cell r="LK46">
            <v>20.020152274152959</v>
          </cell>
          <cell r="LL46">
            <v>17.982747259685677</v>
          </cell>
          <cell r="LM46">
            <v>15.721193701553757</v>
          </cell>
          <cell r="LN46">
            <v>20.244300817817596</v>
          </cell>
          <cell r="LY46">
            <v>10.954833908689173</v>
          </cell>
          <cell r="LZ46">
            <v>14.730476692982464</v>
          </cell>
          <cell r="MA46">
            <v>11.870949885755934</v>
          </cell>
          <cell r="MB46">
            <v>9.6544719773798295</v>
          </cell>
          <cell r="MC46">
            <v>14.087427794132038</v>
          </cell>
        </row>
        <row r="47">
          <cell r="A47">
            <v>39591</v>
          </cell>
          <cell r="LJ47">
            <v>16.507889787776055</v>
          </cell>
          <cell r="LK47">
            <v>20.020152274152959</v>
          </cell>
          <cell r="LL47">
            <v>17.982747259685677</v>
          </cell>
          <cell r="LM47">
            <v>15.721193701553757</v>
          </cell>
          <cell r="LN47">
            <v>20.244300817817596</v>
          </cell>
          <cell r="LY47">
            <v>10.842772037531542</v>
          </cell>
          <cell r="LZ47">
            <v>14.730476692982464</v>
          </cell>
          <cell r="MA47">
            <v>11.870949885755934</v>
          </cell>
          <cell r="MB47">
            <v>9.6544719773798295</v>
          </cell>
          <cell r="MC47">
            <v>14.087427794132038</v>
          </cell>
        </row>
        <row r="48">
          <cell r="A48">
            <v>39594</v>
          </cell>
          <cell r="LJ48">
            <v>16.507889787776055</v>
          </cell>
          <cell r="LK48">
            <v>20.020152274152959</v>
          </cell>
          <cell r="LL48">
            <v>17.982747259685677</v>
          </cell>
          <cell r="LM48">
            <v>15.721193701553757</v>
          </cell>
          <cell r="LN48">
            <v>20.244300817817596</v>
          </cell>
          <cell r="LY48">
            <v>10.842772037531542</v>
          </cell>
          <cell r="LZ48">
            <v>14.730476692982464</v>
          </cell>
          <cell r="MA48">
            <v>11.870949885755934</v>
          </cell>
          <cell r="MB48">
            <v>9.6544719773798295</v>
          </cell>
          <cell r="MC48">
            <v>14.087427794132038</v>
          </cell>
        </row>
        <row r="49">
          <cell r="A49">
            <v>39595</v>
          </cell>
          <cell r="LJ49">
            <v>16.514419590061561</v>
          </cell>
          <cell r="LK49">
            <v>20.020152274152959</v>
          </cell>
          <cell r="LL49">
            <v>17.982747259685677</v>
          </cell>
          <cell r="LM49">
            <v>15.721193701553757</v>
          </cell>
          <cell r="LN49">
            <v>20.244300817817596</v>
          </cell>
          <cell r="LY49">
            <v>10.846549282306938</v>
          </cell>
          <cell r="LZ49">
            <v>14.730476692982464</v>
          </cell>
          <cell r="MA49">
            <v>11.870949885755934</v>
          </cell>
          <cell r="MB49">
            <v>9.6544719773798295</v>
          </cell>
          <cell r="MC49">
            <v>14.087427794132038</v>
          </cell>
        </row>
        <row r="50">
          <cell r="A50">
            <v>39596</v>
          </cell>
          <cell r="LJ50">
            <v>16.658080682026025</v>
          </cell>
          <cell r="LK50">
            <v>20.020152274152959</v>
          </cell>
          <cell r="LL50">
            <v>17.982747259685677</v>
          </cell>
          <cell r="LM50">
            <v>15.721193701553757</v>
          </cell>
          <cell r="LN50">
            <v>20.244300817817596</v>
          </cell>
          <cell r="LY50">
            <v>10.929651815174559</v>
          </cell>
          <cell r="LZ50">
            <v>14.730476692982464</v>
          </cell>
          <cell r="MA50">
            <v>11.870949885755934</v>
          </cell>
          <cell r="MB50">
            <v>9.6544719773798295</v>
          </cell>
          <cell r="MC50">
            <v>14.087427794132038</v>
          </cell>
        </row>
        <row r="51">
          <cell r="A51">
            <v>39597</v>
          </cell>
          <cell r="LJ51">
            <v>16.647196662435963</v>
          </cell>
          <cell r="LK51">
            <v>20.020152274152959</v>
          </cell>
          <cell r="LL51">
            <v>17.982747259685677</v>
          </cell>
          <cell r="LM51">
            <v>15.721193701553757</v>
          </cell>
          <cell r="LN51">
            <v>20.244300817817596</v>
          </cell>
          <cell r="LY51">
            <v>10.923355819624568</v>
          </cell>
          <cell r="LZ51">
            <v>14.730476692982464</v>
          </cell>
          <cell r="MA51">
            <v>11.870949885755934</v>
          </cell>
          <cell r="MB51">
            <v>9.6544719773798295</v>
          </cell>
          <cell r="MC51">
            <v>14.087427794132038</v>
          </cell>
        </row>
        <row r="52">
          <cell r="A52">
            <v>39598</v>
          </cell>
          <cell r="LJ52">
            <v>17.02307877946998</v>
          </cell>
          <cell r="LK52">
            <v>20.020152274152959</v>
          </cell>
          <cell r="LL52">
            <v>17.982747259685677</v>
          </cell>
          <cell r="LM52">
            <v>15.721193701553757</v>
          </cell>
          <cell r="LN52">
            <v>20.244300817817596</v>
          </cell>
          <cell r="LY52">
            <v>11.1374064475268</v>
          </cell>
          <cell r="LZ52">
            <v>14.730476692982464</v>
          </cell>
          <cell r="MA52">
            <v>11.870949885755934</v>
          </cell>
          <cell r="MB52">
            <v>9.6544719773798295</v>
          </cell>
          <cell r="MC52">
            <v>14.087427794132038</v>
          </cell>
        </row>
        <row r="53">
          <cell r="A53">
            <v>39601</v>
          </cell>
          <cell r="LJ53">
            <v>16.724829658497889</v>
          </cell>
          <cell r="LK53">
            <v>20.020152274152959</v>
          </cell>
          <cell r="LL53">
            <v>17.982747259685677</v>
          </cell>
          <cell r="LM53">
            <v>15.721193701553757</v>
          </cell>
          <cell r="LN53">
            <v>20.244300817817596</v>
          </cell>
          <cell r="LY53">
            <v>10.983029179960729</v>
          </cell>
          <cell r="LZ53">
            <v>14.730476692982464</v>
          </cell>
          <cell r="MA53">
            <v>11.870949885755934</v>
          </cell>
          <cell r="MB53">
            <v>9.6544719773798295</v>
          </cell>
          <cell r="MC53">
            <v>14.087427794132038</v>
          </cell>
        </row>
        <row r="54">
          <cell r="A54">
            <v>39602</v>
          </cell>
          <cell r="LJ54">
            <v>17.149471138405026</v>
          </cell>
          <cell r="LK54">
            <v>20.020152274152959</v>
          </cell>
          <cell r="LL54">
            <v>17.982747259685677</v>
          </cell>
          <cell r="LM54">
            <v>15.721193701553757</v>
          </cell>
          <cell r="LN54">
            <v>20.244300817817596</v>
          </cell>
          <cell r="LY54">
            <v>11.229280952151084</v>
          </cell>
          <cell r="LZ54">
            <v>14.730476692982464</v>
          </cell>
          <cell r="MA54">
            <v>11.870949885755934</v>
          </cell>
          <cell r="MB54">
            <v>9.6544719773798295</v>
          </cell>
          <cell r="MC54">
            <v>14.087427794132038</v>
          </cell>
        </row>
        <row r="55">
          <cell r="A55">
            <v>39603</v>
          </cell>
          <cell r="LJ55">
            <v>17.220604370140606</v>
          </cell>
          <cell r="LK55">
            <v>20.020152274152959</v>
          </cell>
          <cell r="LL55">
            <v>17.982747259685677</v>
          </cell>
          <cell r="LM55">
            <v>15.721193701553757</v>
          </cell>
          <cell r="LN55">
            <v>20.244300817817596</v>
          </cell>
          <cell r="LY55">
            <v>11.270531478077908</v>
          </cell>
          <cell r="LZ55">
            <v>14.730476692982464</v>
          </cell>
          <cell r="MA55">
            <v>11.870949885755934</v>
          </cell>
          <cell r="MB55">
            <v>9.6544719773798295</v>
          </cell>
          <cell r="MC55">
            <v>14.087427794132038</v>
          </cell>
        </row>
        <row r="56">
          <cell r="A56">
            <v>39604</v>
          </cell>
          <cell r="LJ56">
            <v>17.793975267340773</v>
          </cell>
          <cell r="LK56">
            <v>20.020152274152959</v>
          </cell>
          <cell r="LL56">
            <v>17.982747259685677</v>
          </cell>
          <cell r="LM56">
            <v>15.721193701553757</v>
          </cell>
          <cell r="LN56">
            <v>20.244300817817596</v>
          </cell>
          <cell r="LY56">
            <v>11.603032202191795</v>
          </cell>
          <cell r="LZ56">
            <v>14.730476692982464</v>
          </cell>
          <cell r="MA56">
            <v>11.870949885755934</v>
          </cell>
          <cell r="MB56">
            <v>9.6544719773798295</v>
          </cell>
          <cell r="MC56">
            <v>14.087427794132038</v>
          </cell>
        </row>
        <row r="57">
          <cell r="A57">
            <v>39605</v>
          </cell>
          <cell r="LJ57">
            <v>17.06971402458608</v>
          </cell>
          <cell r="LK57">
            <v>20.020152274152959</v>
          </cell>
          <cell r="LL57">
            <v>17.982747259685677</v>
          </cell>
          <cell r="LM57">
            <v>15.721193701553757</v>
          </cell>
          <cell r="LN57">
            <v>20.244300817817596</v>
          </cell>
          <cell r="LY57">
            <v>11.183029392772104</v>
          </cell>
          <cell r="LZ57">
            <v>14.730476692982464</v>
          </cell>
          <cell r="MA57">
            <v>11.870949885755934</v>
          </cell>
          <cell r="MB57">
            <v>9.6544719773798295</v>
          </cell>
          <cell r="MC57">
            <v>14.087427794132038</v>
          </cell>
        </row>
        <row r="58">
          <cell r="A58">
            <v>39608</v>
          </cell>
          <cell r="LJ58">
            <v>17.168870130905908</v>
          </cell>
          <cell r="LK58">
            <v>20.020152274152959</v>
          </cell>
          <cell r="LL58">
            <v>17.982747259685677</v>
          </cell>
          <cell r="LM58">
            <v>15.721193701553757</v>
          </cell>
          <cell r="LN58">
            <v>20.244300817817596</v>
          </cell>
          <cell r="LY58">
            <v>11.240530527400056</v>
          </cell>
          <cell r="LZ58">
            <v>14.730476692982464</v>
          </cell>
          <cell r="MA58">
            <v>11.870949885755934</v>
          </cell>
          <cell r="MB58">
            <v>9.6544719773798295</v>
          </cell>
          <cell r="MC58">
            <v>14.087427794132038</v>
          </cell>
        </row>
        <row r="59">
          <cell r="A59">
            <v>39609</v>
          </cell>
          <cell r="LJ59">
            <v>17.19042681835916</v>
          </cell>
          <cell r="LK59">
            <v>20.020152274152959</v>
          </cell>
          <cell r="LL59">
            <v>17.982747259685677</v>
          </cell>
          <cell r="LM59">
            <v>15.721193701553757</v>
          </cell>
          <cell r="LN59">
            <v>20.244300817817596</v>
          </cell>
          <cell r="LY59">
            <v>11.253031361018753</v>
          </cell>
          <cell r="LZ59">
            <v>14.730476692982464</v>
          </cell>
          <cell r="MA59">
            <v>11.870949885755934</v>
          </cell>
          <cell r="MB59">
            <v>9.6544719773798295</v>
          </cell>
          <cell r="MC59">
            <v>14.087427794132038</v>
          </cell>
        </row>
        <row r="60">
          <cell r="A60">
            <v>39610</v>
          </cell>
          <cell r="LJ60">
            <v>17.05462697312689</v>
          </cell>
          <cell r="LK60">
            <v>20.020152274152959</v>
          </cell>
          <cell r="LL60">
            <v>17.982747259685677</v>
          </cell>
          <cell r="LM60">
            <v>15.721193701553757</v>
          </cell>
          <cell r="LN60">
            <v>20.244300817817596</v>
          </cell>
          <cell r="LY60">
            <v>11.174280334249218</v>
          </cell>
          <cell r="LZ60">
            <v>14.730476692982464</v>
          </cell>
          <cell r="MA60">
            <v>11.870949885755934</v>
          </cell>
          <cell r="MB60">
            <v>9.6544719773798295</v>
          </cell>
          <cell r="MC60">
            <v>14.087427794132038</v>
          </cell>
        </row>
        <row r="61">
          <cell r="A61">
            <v>39611</v>
          </cell>
          <cell r="LJ61">
            <v>17.229225018914857</v>
          </cell>
          <cell r="LK61">
            <v>20.020152274152959</v>
          </cell>
          <cell r="LL61">
            <v>17.982747259685677</v>
          </cell>
          <cell r="LM61">
            <v>15.721193701553757</v>
          </cell>
          <cell r="LN61">
            <v>20.244300817817596</v>
          </cell>
          <cell r="LY61">
            <v>11.275530636517527</v>
          </cell>
          <cell r="LZ61">
            <v>14.730476692982464</v>
          </cell>
          <cell r="MA61">
            <v>11.870949885755934</v>
          </cell>
          <cell r="MB61">
            <v>9.6544719773798295</v>
          </cell>
          <cell r="MC61">
            <v>14.087427794132038</v>
          </cell>
        </row>
        <row r="62">
          <cell r="A62">
            <v>39612</v>
          </cell>
          <cell r="LJ62">
            <v>17.630155565279431</v>
          </cell>
          <cell r="LK62">
            <v>20.020152274152959</v>
          </cell>
          <cell r="LL62">
            <v>17.982747259685677</v>
          </cell>
          <cell r="LM62">
            <v>15.721193701553757</v>
          </cell>
          <cell r="LN62">
            <v>20.244300817817596</v>
          </cell>
          <cell r="LY62">
            <v>11.508032316732834</v>
          </cell>
          <cell r="LZ62">
            <v>14.730476692982464</v>
          </cell>
          <cell r="MA62">
            <v>11.870949885755934</v>
          </cell>
          <cell r="MB62">
            <v>9.6544719773798295</v>
          </cell>
          <cell r="MC62">
            <v>14.087427794132038</v>
          </cell>
        </row>
        <row r="63">
          <cell r="A63">
            <v>39615</v>
          </cell>
          <cell r="LJ63">
            <v>17.522378594631412</v>
          </cell>
          <cell r="LK63">
            <v>20.020152274152959</v>
          </cell>
          <cell r="LL63">
            <v>17.982747259685677</v>
          </cell>
          <cell r="LM63">
            <v>15.721193701553757</v>
          </cell>
          <cell r="LN63">
            <v>20.244300817817596</v>
          </cell>
          <cell r="LY63">
            <v>11.445531898664427</v>
          </cell>
          <cell r="LZ63">
            <v>14.730476692982464</v>
          </cell>
          <cell r="MA63">
            <v>11.870949885755934</v>
          </cell>
          <cell r="MB63">
            <v>9.6544719773798295</v>
          </cell>
          <cell r="MC63">
            <v>14.087427794132038</v>
          </cell>
        </row>
        <row r="64">
          <cell r="A64">
            <v>39616</v>
          </cell>
          <cell r="LJ64">
            <v>17.453399608985151</v>
          </cell>
          <cell r="LK64">
            <v>20.020152274152959</v>
          </cell>
          <cell r="LL64">
            <v>17.982747259685677</v>
          </cell>
          <cell r="LM64">
            <v>15.721193701553757</v>
          </cell>
          <cell r="LN64">
            <v>20.244300817817596</v>
          </cell>
          <cell r="LY64">
            <v>11.405530631093958</v>
          </cell>
          <cell r="LZ64">
            <v>14.730476692982464</v>
          </cell>
          <cell r="MA64">
            <v>11.870949885755934</v>
          </cell>
          <cell r="MB64">
            <v>9.6544719773798295</v>
          </cell>
          <cell r="MC64">
            <v>14.087427794132038</v>
          </cell>
        </row>
        <row r="65">
          <cell r="A65">
            <v>39617</v>
          </cell>
          <cell r="LJ65">
            <v>17.313291056020311</v>
          </cell>
          <cell r="LK65">
            <v>20.020152274152959</v>
          </cell>
          <cell r="LL65">
            <v>17.982747259685677</v>
          </cell>
          <cell r="LM65">
            <v>15.721193701553757</v>
          </cell>
          <cell r="LN65">
            <v>20.244300817817596</v>
          </cell>
          <cell r="LY65">
            <v>11.324280962610883</v>
          </cell>
          <cell r="LZ65">
            <v>14.730476692982464</v>
          </cell>
          <cell r="MA65">
            <v>11.870949885755934</v>
          </cell>
          <cell r="MB65">
            <v>9.6544719773798295</v>
          </cell>
          <cell r="MC65">
            <v>14.087427794132038</v>
          </cell>
        </row>
        <row r="66">
          <cell r="A66">
            <v>39618</v>
          </cell>
          <cell r="LJ66">
            <v>17.67542318627525</v>
          </cell>
          <cell r="LK66">
            <v>20.020152274152959</v>
          </cell>
          <cell r="LL66">
            <v>17.982747259685677</v>
          </cell>
          <cell r="LM66">
            <v>15.721193701553757</v>
          </cell>
          <cell r="LN66">
            <v>20.244300817817596</v>
          </cell>
          <cell r="LY66">
            <v>11.53428324232658</v>
          </cell>
          <cell r="LZ66">
            <v>14.730476692982464</v>
          </cell>
          <cell r="MA66">
            <v>11.870949885755934</v>
          </cell>
          <cell r="MB66">
            <v>9.6544719773798295</v>
          </cell>
          <cell r="MC66">
            <v>14.087427794132038</v>
          </cell>
        </row>
        <row r="67">
          <cell r="A67">
            <v>39619</v>
          </cell>
          <cell r="LJ67">
            <v>17.261556816785617</v>
          </cell>
          <cell r="LK67">
            <v>20.020152274152959</v>
          </cell>
          <cell r="LL67">
            <v>17.982747259685677</v>
          </cell>
          <cell r="LM67">
            <v>15.721193701553757</v>
          </cell>
          <cell r="LN67">
            <v>20.244300817817596</v>
          </cell>
          <cell r="LY67">
            <v>11.294280011933031</v>
          </cell>
          <cell r="LZ67">
            <v>14.730476692982464</v>
          </cell>
          <cell r="MA67">
            <v>11.870949885755934</v>
          </cell>
          <cell r="MB67">
            <v>9.6544719773798295</v>
          </cell>
          <cell r="MC67">
            <v>14.087427794132038</v>
          </cell>
        </row>
        <row r="68">
          <cell r="A68">
            <v>39622</v>
          </cell>
          <cell r="LJ68">
            <v>17.265762341313646</v>
          </cell>
          <cell r="LK68">
            <v>20.020152274152959</v>
          </cell>
          <cell r="LL68">
            <v>17.982747259685677</v>
          </cell>
          <cell r="LM68">
            <v>15.721193701553757</v>
          </cell>
          <cell r="LN68">
            <v>20.244300817817596</v>
          </cell>
          <cell r="LY68">
            <v>11.294280011933031</v>
          </cell>
          <cell r="LZ68">
            <v>14.730476692982464</v>
          </cell>
          <cell r="MA68">
            <v>11.870949885755934</v>
          </cell>
          <cell r="MB68">
            <v>9.6544719773798295</v>
          </cell>
          <cell r="MC68">
            <v>14.087427794132038</v>
          </cell>
        </row>
        <row r="69">
          <cell r="A69">
            <v>39623</v>
          </cell>
          <cell r="LJ69">
            <v>17.134242186421968</v>
          </cell>
          <cell r="LK69">
            <v>20.020152274152959</v>
          </cell>
          <cell r="LL69">
            <v>17.982747259685677</v>
          </cell>
          <cell r="LM69">
            <v>15.721193701553757</v>
          </cell>
          <cell r="LN69">
            <v>20.244300817817596</v>
          </cell>
          <cell r="LY69">
            <v>11.21802937688874</v>
          </cell>
          <cell r="LZ69">
            <v>14.730476692982464</v>
          </cell>
          <cell r="MA69">
            <v>11.870949885755934</v>
          </cell>
          <cell r="MB69">
            <v>9.6544719773798295</v>
          </cell>
          <cell r="MC69">
            <v>14.087427794132038</v>
          </cell>
        </row>
        <row r="70">
          <cell r="A70">
            <v>39624</v>
          </cell>
          <cell r="LJ70">
            <v>17.201082991237755</v>
          </cell>
          <cell r="LK70">
            <v>20.020152274152959</v>
          </cell>
          <cell r="LL70">
            <v>17.982747259685677</v>
          </cell>
          <cell r="LM70">
            <v>15.721193701553757</v>
          </cell>
          <cell r="LN70">
            <v>20.244300817817596</v>
          </cell>
          <cell r="LY70">
            <v>11.256781261102022</v>
          </cell>
          <cell r="LZ70">
            <v>14.730476692982464</v>
          </cell>
          <cell r="MA70">
            <v>11.870949885755934</v>
          </cell>
          <cell r="MB70">
            <v>9.6544719773798295</v>
          </cell>
          <cell r="MC70">
            <v>14.087427794132038</v>
          </cell>
        </row>
        <row r="71">
          <cell r="A71">
            <v>39625</v>
          </cell>
          <cell r="LJ71">
            <v>16.437834405616115</v>
          </cell>
          <cell r="LK71">
            <v>20.020152274152959</v>
          </cell>
          <cell r="LL71">
            <v>17.982747259685677</v>
          </cell>
          <cell r="LM71">
            <v>15.721193701553757</v>
          </cell>
          <cell r="LN71">
            <v>20.244300817817596</v>
          </cell>
          <cell r="LY71">
            <v>10.814277301171016</v>
          </cell>
          <cell r="LZ71">
            <v>14.730476692982464</v>
          </cell>
          <cell r="MA71">
            <v>11.870949885755934</v>
          </cell>
          <cell r="MB71">
            <v>9.6544719773798295</v>
          </cell>
          <cell r="MC71">
            <v>14.087427794132038</v>
          </cell>
        </row>
        <row r="72">
          <cell r="A72">
            <v>39626</v>
          </cell>
          <cell r="LJ72">
            <v>16.571666695410723</v>
          </cell>
          <cell r="LK72">
            <v>20.020152274152959</v>
          </cell>
          <cell r="LL72">
            <v>17.982747259685677</v>
          </cell>
          <cell r="LM72">
            <v>15.721193701553757</v>
          </cell>
          <cell r="LN72">
            <v>20.244300817817596</v>
          </cell>
          <cell r="LY72">
            <v>10.893028452941389</v>
          </cell>
          <cell r="LZ72">
            <v>14.730476692982464</v>
          </cell>
          <cell r="MA72">
            <v>11.870949885755934</v>
          </cell>
          <cell r="MB72">
            <v>9.6544719773798295</v>
          </cell>
          <cell r="MC72">
            <v>14.087427794132038</v>
          </cell>
        </row>
        <row r="73">
          <cell r="A73">
            <v>39629</v>
          </cell>
          <cell r="LJ73">
            <v>16.664364555128223</v>
          </cell>
          <cell r="LK73">
            <v>20.020152274152959</v>
          </cell>
          <cell r="LL73">
            <v>17.982747259685677</v>
          </cell>
          <cell r="LM73">
            <v>15.721193701553757</v>
          </cell>
          <cell r="LN73">
            <v>20.244300817817596</v>
          </cell>
          <cell r="LY73">
            <v>10.946777812473529</v>
          </cell>
          <cell r="LZ73">
            <v>14.730476692982464</v>
          </cell>
          <cell r="MA73">
            <v>11.870949885755934</v>
          </cell>
          <cell r="MB73">
            <v>9.6544719773798295</v>
          </cell>
          <cell r="MC73">
            <v>14.087427794132038</v>
          </cell>
        </row>
        <row r="74">
          <cell r="A74">
            <v>39630</v>
          </cell>
          <cell r="LJ74">
            <v>16.534490650660004</v>
          </cell>
          <cell r="LK74">
            <v>20.020152274152959</v>
          </cell>
          <cell r="LL74">
            <v>17.982747259685677</v>
          </cell>
          <cell r="LM74">
            <v>15.721193701553757</v>
          </cell>
          <cell r="LN74">
            <v>20.244300817817596</v>
          </cell>
          <cell r="LY74">
            <v>10.889197296397811</v>
          </cell>
          <cell r="LZ74">
            <v>14.730476692982464</v>
          </cell>
          <cell r="MA74">
            <v>11.870949885755934</v>
          </cell>
          <cell r="MB74">
            <v>9.6544719773798295</v>
          </cell>
          <cell r="MC74">
            <v>14.087427794132038</v>
          </cell>
        </row>
        <row r="75">
          <cell r="A75">
            <v>39631</v>
          </cell>
          <cell r="LJ75">
            <v>16.04360230135606</v>
          </cell>
          <cell r="LK75">
            <v>20.020152274152959</v>
          </cell>
          <cell r="LL75">
            <v>17.982747259685677</v>
          </cell>
          <cell r="LM75">
            <v>15.721193701553757</v>
          </cell>
          <cell r="LN75">
            <v>20.244300817817596</v>
          </cell>
          <cell r="LY75">
            <v>10.603763346635983</v>
          </cell>
          <cell r="LZ75">
            <v>14.730476692982464</v>
          </cell>
          <cell r="MA75">
            <v>11.870949885755934</v>
          </cell>
          <cell r="MB75">
            <v>9.6544719773798295</v>
          </cell>
          <cell r="MC75">
            <v>14.087427794132038</v>
          </cell>
        </row>
        <row r="76">
          <cell r="A76">
            <v>39632</v>
          </cell>
          <cell r="LJ76">
            <v>16.280510626371537</v>
          </cell>
          <cell r="LK76">
            <v>20.020152274152959</v>
          </cell>
          <cell r="LL76">
            <v>17.982747259685677</v>
          </cell>
          <cell r="LM76">
            <v>15.721193701553757</v>
          </cell>
          <cell r="LN76">
            <v>20.244300817817596</v>
          </cell>
          <cell r="LY76">
            <v>10.741517031433171</v>
          </cell>
          <cell r="LZ76">
            <v>14.730476692982464</v>
          </cell>
          <cell r="MA76">
            <v>11.870949885755934</v>
          </cell>
          <cell r="MB76">
            <v>9.6544719773798295</v>
          </cell>
          <cell r="MC76">
            <v>14.087427794132038</v>
          </cell>
        </row>
        <row r="77">
          <cell r="A77">
            <v>39633</v>
          </cell>
          <cell r="LJ77">
            <v>16.280510626371537</v>
          </cell>
          <cell r="LK77">
            <v>20.020152274152959</v>
          </cell>
          <cell r="LL77">
            <v>17.982747259685677</v>
          </cell>
          <cell r="LM77">
            <v>15.721193701553757</v>
          </cell>
          <cell r="LN77">
            <v>20.244300817817596</v>
          </cell>
          <cell r="LY77">
            <v>10.741517031433171</v>
          </cell>
          <cell r="LZ77">
            <v>14.730476692982464</v>
          </cell>
          <cell r="MA77">
            <v>11.870949885755934</v>
          </cell>
          <cell r="MB77">
            <v>9.6544719773798295</v>
          </cell>
          <cell r="MC77">
            <v>14.087427794132038</v>
          </cell>
        </row>
        <row r="78">
          <cell r="A78">
            <v>39636</v>
          </cell>
          <cell r="LJ78">
            <v>16.280510626371537</v>
          </cell>
          <cell r="LK78">
            <v>20.020152274152959</v>
          </cell>
          <cell r="LL78">
            <v>17.982747259685677</v>
          </cell>
          <cell r="LM78">
            <v>15.721193701553757</v>
          </cell>
          <cell r="LN78">
            <v>20.244300817817596</v>
          </cell>
          <cell r="LY78">
            <v>10.741517031433171</v>
          </cell>
          <cell r="LZ78">
            <v>14.730476692982464</v>
          </cell>
          <cell r="MA78">
            <v>11.870949885755934</v>
          </cell>
          <cell r="MB78">
            <v>9.6544719773798295</v>
          </cell>
          <cell r="MC78">
            <v>14.087427794132038</v>
          </cell>
        </row>
        <row r="79">
          <cell r="A79">
            <v>39637</v>
          </cell>
          <cell r="LJ79">
            <v>16.395762044442176</v>
          </cell>
          <cell r="LK79">
            <v>20.020152274152959</v>
          </cell>
          <cell r="LL79">
            <v>17.982747259685677</v>
          </cell>
          <cell r="LM79">
            <v>15.721193701553757</v>
          </cell>
          <cell r="LN79">
            <v>20.244300817817596</v>
          </cell>
          <cell r="LY79">
            <v>10.808531592936209</v>
          </cell>
          <cell r="LZ79">
            <v>14.730476692982464</v>
          </cell>
          <cell r="MA79">
            <v>11.870949885755934</v>
          </cell>
          <cell r="MB79">
            <v>9.6544719773798295</v>
          </cell>
          <cell r="MC79">
            <v>14.087427794132038</v>
          </cell>
        </row>
        <row r="80">
          <cell r="A80">
            <v>39638</v>
          </cell>
          <cell r="LJ80">
            <v>16.099093060864234</v>
          </cell>
          <cell r="LK80">
            <v>20.020152274152959</v>
          </cell>
          <cell r="LL80">
            <v>17.982747259685677</v>
          </cell>
          <cell r="LM80">
            <v>15.721193701553757</v>
          </cell>
          <cell r="LN80">
            <v>20.244300817817596</v>
          </cell>
          <cell r="LY80">
            <v>10.636029230892882</v>
          </cell>
          <cell r="LZ80">
            <v>14.730476692982464</v>
          </cell>
          <cell r="MA80">
            <v>11.870949885755934</v>
          </cell>
          <cell r="MB80">
            <v>9.6544719773798295</v>
          </cell>
          <cell r="MC80">
            <v>14.087427794132038</v>
          </cell>
        </row>
        <row r="81">
          <cell r="A81">
            <v>39639</v>
          </cell>
          <cell r="LJ81">
            <v>16.246915535299049</v>
          </cell>
          <cell r="LK81">
            <v>20.020152274152959</v>
          </cell>
          <cell r="LL81">
            <v>17.982747259685677</v>
          </cell>
          <cell r="LM81">
            <v>15.721193701553757</v>
          </cell>
          <cell r="LN81">
            <v>20.244300817817596</v>
          </cell>
          <cell r="LY81">
            <v>10.714412940458683</v>
          </cell>
          <cell r="LZ81">
            <v>14.730476692982464</v>
          </cell>
          <cell r="MA81">
            <v>11.870949885755934</v>
          </cell>
          <cell r="MB81">
            <v>9.6544719773798295</v>
          </cell>
          <cell r="MC81">
            <v>14.087427794132038</v>
          </cell>
        </row>
        <row r="82">
          <cell r="A82">
            <v>39640</v>
          </cell>
          <cell r="LJ82">
            <v>16.014390909464169</v>
          </cell>
          <cell r="LK82">
            <v>20.020152274152959</v>
          </cell>
          <cell r="LL82">
            <v>17.982747259685677</v>
          </cell>
          <cell r="LM82">
            <v>15.721193701553757</v>
          </cell>
          <cell r="LN82">
            <v>20.244300817817596</v>
          </cell>
          <cell r="LY82">
            <v>10.594141479012249</v>
          </cell>
          <cell r="LZ82">
            <v>14.730476692982464</v>
          </cell>
          <cell r="MA82">
            <v>11.870949885755934</v>
          </cell>
          <cell r="MB82">
            <v>9.6544719773798295</v>
          </cell>
          <cell r="MC82">
            <v>14.087427794132038</v>
          </cell>
        </row>
        <row r="83">
          <cell r="A83">
            <v>39643</v>
          </cell>
          <cell r="LJ83">
            <v>16.059190676227605</v>
          </cell>
          <cell r="LK83">
            <v>20.020152274152959</v>
          </cell>
          <cell r="LL83">
            <v>17.982747259685677</v>
          </cell>
          <cell r="LM83">
            <v>15.721193701553757</v>
          </cell>
          <cell r="LN83">
            <v>20.244300817817596</v>
          </cell>
          <cell r="LY83">
            <v>10.620215594192658</v>
          </cell>
          <cell r="LZ83">
            <v>14.730476692982464</v>
          </cell>
          <cell r="MA83">
            <v>11.870949885755934</v>
          </cell>
          <cell r="MB83">
            <v>9.6544719773798295</v>
          </cell>
          <cell r="MC83">
            <v>14.087427794132038</v>
          </cell>
        </row>
        <row r="84">
          <cell r="A84">
            <v>39644</v>
          </cell>
          <cell r="LJ84">
            <v>15.877862187767642</v>
          </cell>
          <cell r="LK84">
            <v>20.020152274152959</v>
          </cell>
          <cell r="LL84">
            <v>17.982747259685677</v>
          </cell>
          <cell r="LM84">
            <v>15.721193701553757</v>
          </cell>
          <cell r="LN84">
            <v>20.244300817817596</v>
          </cell>
          <cell r="LY84">
            <v>10.514679779272901</v>
          </cell>
          <cell r="LZ84">
            <v>14.730476692982464</v>
          </cell>
          <cell r="MA84">
            <v>11.870949885755934</v>
          </cell>
          <cell r="MB84">
            <v>9.6544719773798295</v>
          </cell>
          <cell r="MC84">
            <v>14.087427794132038</v>
          </cell>
        </row>
        <row r="85">
          <cell r="A85">
            <v>39645</v>
          </cell>
          <cell r="LJ85">
            <v>16.257582481659973</v>
          </cell>
          <cell r="LK85">
            <v>20.020152274152959</v>
          </cell>
          <cell r="LL85">
            <v>17.982747259685677</v>
          </cell>
          <cell r="LM85">
            <v>15.721193701553757</v>
          </cell>
          <cell r="LN85">
            <v>20.244300817817596</v>
          </cell>
          <cell r="LY85">
            <v>10.539931644999012</v>
          </cell>
          <cell r="LZ85">
            <v>14.730476692982464</v>
          </cell>
          <cell r="MA85">
            <v>11.870949885755934</v>
          </cell>
          <cell r="MB85">
            <v>9.6544719773798295</v>
          </cell>
          <cell r="MC85">
            <v>14.087427794132038</v>
          </cell>
        </row>
        <row r="86">
          <cell r="A86">
            <v>39646</v>
          </cell>
          <cell r="LJ86">
            <v>17.253420346882891</v>
          </cell>
          <cell r="LK86">
            <v>20.020152274152959</v>
          </cell>
          <cell r="LL86">
            <v>17.982747259685677</v>
          </cell>
          <cell r="LM86">
            <v>15.721193701553757</v>
          </cell>
          <cell r="LN86">
            <v>20.244300817817596</v>
          </cell>
          <cell r="LY86">
            <v>11.242154989039298</v>
          </cell>
          <cell r="LZ86">
            <v>14.730476692982464</v>
          </cell>
          <cell r="MA86">
            <v>11.870949885755934</v>
          </cell>
          <cell r="MB86">
            <v>9.6544719773798295</v>
          </cell>
          <cell r="MC86">
            <v>14.087427794132038</v>
          </cell>
        </row>
        <row r="87">
          <cell r="A87">
            <v>39647</v>
          </cell>
          <cell r="LJ87">
            <v>17.480620745639236</v>
          </cell>
          <cell r="LK87">
            <v>20.020152274152959</v>
          </cell>
          <cell r="LL87">
            <v>17.982747259685677</v>
          </cell>
          <cell r="LM87">
            <v>15.721193701553757</v>
          </cell>
          <cell r="LN87">
            <v>20.244300817817596</v>
          </cell>
          <cell r="LY87">
            <v>11.589287849475784</v>
          </cell>
          <cell r="LZ87">
            <v>14.730476692982464</v>
          </cell>
          <cell r="MA87">
            <v>11.870949885755934</v>
          </cell>
          <cell r="MB87">
            <v>9.6544719773798295</v>
          </cell>
          <cell r="MC87">
            <v>14.087427794132038</v>
          </cell>
        </row>
        <row r="88">
          <cell r="A88">
            <v>39650</v>
          </cell>
          <cell r="LJ88">
            <v>17.256201421396156</v>
          </cell>
          <cell r="LK88">
            <v>20.020152274152959</v>
          </cell>
          <cell r="LL88">
            <v>17.982747259685677</v>
          </cell>
          <cell r="LM88">
            <v>15.721193701553757</v>
          </cell>
          <cell r="LN88">
            <v>20.244300817817596</v>
          </cell>
          <cell r="LY88">
            <v>11.455639325916589</v>
          </cell>
          <cell r="LZ88">
            <v>14.730476692982464</v>
          </cell>
          <cell r="MA88">
            <v>11.870949885755934</v>
          </cell>
          <cell r="MB88">
            <v>9.6544719773798295</v>
          </cell>
          <cell r="MC88">
            <v>14.087427794132038</v>
          </cell>
        </row>
        <row r="89">
          <cell r="A89">
            <v>39651</v>
          </cell>
          <cell r="LJ89">
            <v>17.466281686506228</v>
          </cell>
          <cell r="LK89">
            <v>20.020152274152959</v>
          </cell>
          <cell r="LL89">
            <v>17.982747259685677</v>
          </cell>
          <cell r="LM89">
            <v>15.721193701553757</v>
          </cell>
          <cell r="LN89">
            <v>20.244300817817596</v>
          </cell>
          <cell r="LY89">
            <v>11.581651067374681</v>
          </cell>
          <cell r="LZ89">
            <v>14.730476692982464</v>
          </cell>
          <cell r="MA89">
            <v>11.870949885755934</v>
          </cell>
          <cell r="MB89">
            <v>9.6544719773798295</v>
          </cell>
          <cell r="MC89">
            <v>14.087427794132038</v>
          </cell>
        </row>
        <row r="90">
          <cell r="A90">
            <v>39652</v>
          </cell>
          <cell r="LJ90">
            <v>17.142128390924544</v>
          </cell>
          <cell r="LK90">
            <v>20.020152274152959</v>
          </cell>
          <cell r="LL90">
            <v>17.982747259685677</v>
          </cell>
          <cell r="LM90">
            <v>15.721193701553757</v>
          </cell>
          <cell r="LN90">
            <v>20.244300817817596</v>
          </cell>
          <cell r="LY90">
            <v>11.388178962624437</v>
          </cell>
          <cell r="LZ90">
            <v>14.730476692982464</v>
          </cell>
          <cell r="MA90">
            <v>11.870949885755934</v>
          </cell>
          <cell r="MB90">
            <v>9.6544719773798295</v>
          </cell>
          <cell r="MC90">
            <v>14.087427794132038</v>
          </cell>
        </row>
        <row r="91">
          <cell r="A91">
            <v>39653</v>
          </cell>
          <cell r="LJ91">
            <v>16.898121134323031</v>
          </cell>
          <cell r="LK91">
            <v>20.020152274152959</v>
          </cell>
          <cell r="LL91">
            <v>17.982747259685677</v>
          </cell>
          <cell r="LM91">
            <v>15.721193701553757</v>
          </cell>
          <cell r="LN91">
            <v>20.244300817817596</v>
          </cell>
          <cell r="LY91">
            <v>11.241803190172423</v>
          </cell>
          <cell r="LZ91">
            <v>14.730476692982464</v>
          </cell>
          <cell r="MA91">
            <v>11.870949885755934</v>
          </cell>
          <cell r="MB91">
            <v>9.6544719773798295</v>
          </cell>
          <cell r="MC91">
            <v>14.087427794132038</v>
          </cell>
        </row>
        <row r="92">
          <cell r="A92">
            <v>39654</v>
          </cell>
          <cell r="LJ92">
            <v>17.2163931295702</v>
          </cell>
          <cell r="LK92">
            <v>20.020152274152959</v>
          </cell>
          <cell r="LL92">
            <v>17.982747259685677</v>
          </cell>
          <cell r="LM92">
            <v>15.721193701553757</v>
          </cell>
          <cell r="LN92">
            <v>20.244300817817596</v>
          </cell>
          <cell r="LY92">
            <v>11.432729106897227</v>
          </cell>
          <cell r="LZ92">
            <v>14.730476692982464</v>
          </cell>
          <cell r="MA92">
            <v>11.870949885755934</v>
          </cell>
          <cell r="MB92">
            <v>9.6544719773798295</v>
          </cell>
          <cell r="MC92">
            <v>14.087427794132038</v>
          </cell>
        </row>
        <row r="93">
          <cell r="A93">
            <v>39657</v>
          </cell>
          <cell r="LJ93">
            <v>17.044523493779437</v>
          </cell>
          <cell r="LK93">
            <v>20.020152274152959</v>
          </cell>
          <cell r="LL93">
            <v>17.982747259685677</v>
          </cell>
          <cell r="LM93">
            <v>15.721193701553757</v>
          </cell>
          <cell r="LN93">
            <v>20.244300817817596</v>
          </cell>
          <cell r="LY93">
            <v>11.329627457174555</v>
          </cell>
          <cell r="LZ93">
            <v>14.730476692982464</v>
          </cell>
          <cell r="MA93">
            <v>11.870949885755934</v>
          </cell>
          <cell r="MB93">
            <v>9.6544719773798295</v>
          </cell>
          <cell r="MC93">
            <v>14.087427794132038</v>
          </cell>
        </row>
        <row r="94">
          <cell r="A94">
            <v>39658</v>
          </cell>
          <cell r="LJ94">
            <v>17.178198792689898</v>
          </cell>
          <cell r="LK94">
            <v>20.020152274152959</v>
          </cell>
          <cell r="LL94">
            <v>17.982747259685677</v>
          </cell>
          <cell r="LM94">
            <v>15.721193701553757</v>
          </cell>
          <cell r="LN94">
            <v>20.244300817817596</v>
          </cell>
          <cell r="LY94">
            <v>11.409816978618695</v>
          </cell>
          <cell r="LZ94">
            <v>14.730476692982464</v>
          </cell>
          <cell r="MA94">
            <v>11.870949885755934</v>
          </cell>
          <cell r="MB94">
            <v>9.6544719773798295</v>
          </cell>
          <cell r="MC94">
            <v>14.087427794132038</v>
          </cell>
        </row>
        <row r="95">
          <cell r="A95">
            <v>39659</v>
          </cell>
          <cell r="LJ95">
            <v>17.250339596220602</v>
          </cell>
          <cell r="LK95">
            <v>20.020152274152959</v>
          </cell>
          <cell r="LL95">
            <v>17.982747259685677</v>
          </cell>
          <cell r="LM95">
            <v>15.721193701553757</v>
          </cell>
          <cell r="LN95">
            <v>20.244300817817596</v>
          </cell>
          <cell r="LY95">
            <v>11.453093010607203</v>
          </cell>
          <cell r="LZ95">
            <v>14.730476692982464</v>
          </cell>
          <cell r="MA95">
            <v>11.870949885755934</v>
          </cell>
          <cell r="MB95">
            <v>9.6544719773798295</v>
          </cell>
          <cell r="MC95">
            <v>14.087427794132038</v>
          </cell>
        </row>
        <row r="96">
          <cell r="A96">
            <v>39660</v>
          </cell>
          <cell r="LJ96">
            <v>16.900241674536698</v>
          </cell>
          <cell r="LK96">
            <v>20.020152274152959</v>
          </cell>
          <cell r="LL96">
            <v>17.982747259685677</v>
          </cell>
          <cell r="LM96">
            <v>15.721193701553757</v>
          </cell>
          <cell r="LN96">
            <v>20.244300817817596</v>
          </cell>
          <cell r="LY96">
            <v>11.243075265913591</v>
          </cell>
          <cell r="LZ96">
            <v>14.730476692982464</v>
          </cell>
          <cell r="MA96">
            <v>11.870949885755934</v>
          </cell>
          <cell r="MB96">
            <v>9.6544719773798295</v>
          </cell>
          <cell r="MC96">
            <v>14.087427794132038</v>
          </cell>
        </row>
        <row r="97">
          <cell r="A97">
            <v>39661</v>
          </cell>
          <cell r="LJ97">
            <v>16.943131338179327</v>
          </cell>
          <cell r="LK97">
            <v>20.020152274152959</v>
          </cell>
          <cell r="LL97">
            <v>17.982747259685677</v>
          </cell>
          <cell r="LM97">
            <v>15.721193701553757</v>
          </cell>
          <cell r="LN97">
            <v>20.244300817817596</v>
          </cell>
          <cell r="LY97">
            <v>11.304326416784685</v>
          </cell>
          <cell r="LZ97">
            <v>14.730476692982464</v>
          </cell>
          <cell r="MA97">
            <v>11.870949885755934</v>
          </cell>
          <cell r="MB97">
            <v>9.6544719773798295</v>
          </cell>
          <cell r="MC97">
            <v>14.087427794132038</v>
          </cell>
        </row>
        <row r="98">
          <cell r="A98">
            <v>39664</v>
          </cell>
          <cell r="LJ98">
            <v>16.884293927538955</v>
          </cell>
          <cell r="LK98">
            <v>20.020152274152959</v>
          </cell>
          <cell r="LL98">
            <v>17.982747259685677</v>
          </cell>
          <cell r="LM98">
            <v>15.721193701553757</v>
          </cell>
          <cell r="LN98">
            <v>20.244300817817596</v>
          </cell>
          <cell r="LY98">
            <v>11.268886077289038</v>
          </cell>
          <cell r="LZ98">
            <v>14.730476692982464</v>
          </cell>
          <cell r="MA98">
            <v>11.870949885755934</v>
          </cell>
          <cell r="MB98">
            <v>9.6544719773798295</v>
          </cell>
          <cell r="MC98">
            <v>14.087427794132038</v>
          </cell>
        </row>
        <row r="99">
          <cell r="A99">
            <v>39665</v>
          </cell>
          <cell r="LJ99">
            <v>17.34448880614438</v>
          </cell>
          <cell r="LK99">
            <v>20.020152274152959</v>
          </cell>
          <cell r="LL99">
            <v>17.982747259685677</v>
          </cell>
          <cell r="LM99">
            <v>15.721193701553757</v>
          </cell>
          <cell r="LN99">
            <v>20.244300817817596</v>
          </cell>
          <cell r="LY99">
            <v>11.546081530903097</v>
          </cell>
          <cell r="LZ99">
            <v>14.730476692982464</v>
          </cell>
          <cell r="MA99">
            <v>11.870949885755934</v>
          </cell>
          <cell r="MB99">
            <v>9.6544719773798295</v>
          </cell>
          <cell r="MC99">
            <v>14.087427794132038</v>
          </cell>
        </row>
        <row r="100">
          <cell r="A100">
            <v>39666</v>
          </cell>
          <cell r="LJ100">
            <v>17.300359119622815</v>
          </cell>
          <cell r="LK100">
            <v>20.020152274152959</v>
          </cell>
          <cell r="LL100">
            <v>17.982747259685677</v>
          </cell>
          <cell r="LM100">
            <v>15.721193701553757</v>
          </cell>
          <cell r="LN100">
            <v>20.244300817817596</v>
          </cell>
          <cell r="LY100">
            <v>11.519500295339892</v>
          </cell>
          <cell r="LZ100">
            <v>14.730476692982464</v>
          </cell>
          <cell r="MA100">
            <v>11.870949885755934</v>
          </cell>
          <cell r="MB100">
            <v>9.6544719773798295</v>
          </cell>
          <cell r="MC100">
            <v>14.087427794132038</v>
          </cell>
        </row>
        <row r="101">
          <cell r="A101">
            <v>39667</v>
          </cell>
          <cell r="LJ101">
            <v>17.308766385228445</v>
          </cell>
          <cell r="LK101">
            <v>20.020152274152959</v>
          </cell>
          <cell r="LL101">
            <v>17.982747259685677</v>
          </cell>
          <cell r="LM101">
            <v>15.721193701553757</v>
          </cell>
          <cell r="LN101">
            <v>20.244300817817596</v>
          </cell>
          <cell r="LY101">
            <v>11.524564358221834</v>
          </cell>
          <cell r="LZ101">
            <v>14.730476692982464</v>
          </cell>
          <cell r="MA101">
            <v>11.870949885755934</v>
          </cell>
          <cell r="MB101">
            <v>9.6544719773798295</v>
          </cell>
          <cell r="MC101">
            <v>14.087427794132038</v>
          </cell>
        </row>
        <row r="102">
          <cell r="A102">
            <v>39668</v>
          </cell>
          <cell r="LJ102">
            <v>17.53781199699263</v>
          </cell>
          <cell r="LK102">
            <v>20.020152274152959</v>
          </cell>
          <cell r="LL102">
            <v>17.982747259685677</v>
          </cell>
          <cell r="LM102">
            <v>15.721193701553757</v>
          </cell>
          <cell r="LN102">
            <v>20.244300817817596</v>
          </cell>
          <cell r="LY102">
            <v>11.662528523411339</v>
          </cell>
          <cell r="LZ102">
            <v>14.730476692982464</v>
          </cell>
          <cell r="MA102">
            <v>11.870949885755934</v>
          </cell>
          <cell r="MB102">
            <v>9.6544719773798295</v>
          </cell>
          <cell r="MC102">
            <v>14.087427794132038</v>
          </cell>
        </row>
        <row r="103">
          <cell r="A103">
            <v>39671</v>
          </cell>
          <cell r="LJ103">
            <v>17.510493479532563</v>
          </cell>
          <cell r="LK103">
            <v>20.020152274152959</v>
          </cell>
          <cell r="LL103">
            <v>17.982747259685677</v>
          </cell>
          <cell r="LM103">
            <v>15.721193701553757</v>
          </cell>
          <cell r="LN103">
            <v>20.244300817817596</v>
          </cell>
          <cell r="LY103">
            <v>11.646073388442533</v>
          </cell>
          <cell r="LZ103">
            <v>14.730476692982464</v>
          </cell>
          <cell r="MA103">
            <v>11.870949885755934</v>
          </cell>
          <cell r="MB103">
            <v>9.6544719773798295</v>
          </cell>
          <cell r="MC103">
            <v>14.087427794132038</v>
          </cell>
        </row>
        <row r="104">
          <cell r="A104">
            <v>39672</v>
          </cell>
          <cell r="LJ104">
            <v>17.43904863770069</v>
          </cell>
          <cell r="LK104">
            <v>20.020152274152959</v>
          </cell>
          <cell r="LL104">
            <v>17.982747259685677</v>
          </cell>
          <cell r="LM104">
            <v>15.721193701553757</v>
          </cell>
          <cell r="LN104">
            <v>20.244300817817596</v>
          </cell>
          <cell r="LY104">
            <v>11.603039043080006</v>
          </cell>
          <cell r="LZ104">
            <v>14.730476692982464</v>
          </cell>
          <cell r="MA104">
            <v>11.870949885755934</v>
          </cell>
          <cell r="MB104">
            <v>9.6544719773798295</v>
          </cell>
          <cell r="MC104">
            <v>14.087427794132038</v>
          </cell>
        </row>
        <row r="105">
          <cell r="A105">
            <v>39673</v>
          </cell>
          <cell r="LJ105">
            <v>17.492232560291058</v>
          </cell>
          <cell r="LK105">
            <v>20.020152274152959</v>
          </cell>
          <cell r="LL105">
            <v>17.982747259685677</v>
          </cell>
          <cell r="LM105">
            <v>15.721193701553757</v>
          </cell>
          <cell r="LN105">
            <v>20.244300817817596</v>
          </cell>
          <cell r="LY105">
            <v>11.637214284510094</v>
          </cell>
          <cell r="LZ105">
            <v>14.730476692982464</v>
          </cell>
          <cell r="MA105">
            <v>11.870949885755934</v>
          </cell>
          <cell r="MB105">
            <v>9.6544719773798295</v>
          </cell>
          <cell r="MC105">
            <v>14.087427794132038</v>
          </cell>
        </row>
        <row r="106">
          <cell r="A106">
            <v>39674</v>
          </cell>
          <cell r="LJ106">
            <v>17.750644491257759</v>
          </cell>
          <cell r="LK106">
            <v>20.020152274152959</v>
          </cell>
          <cell r="LL106">
            <v>17.982747259685677</v>
          </cell>
          <cell r="LM106">
            <v>15.721193701553757</v>
          </cell>
          <cell r="LN106">
            <v>20.244300817817596</v>
          </cell>
          <cell r="LY106">
            <v>11.792898682733966</v>
          </cell>
          <cell r="LZ106">
            <v>14.730476692982464</v>
          </cell>
          <cell r="MA106">
            <v>11.870949885755934</v>
          </cell>
          <cell r="MB106">
            <v>9.6544719773798295</v>
          </cell>
          <cell r="MC106">
            <v>14.087427794132038</v>
          </cell>
        </row>
        <row r="107">
          <cell r="A107">
            <v>39675</v>
          </cell>
          <cell r="LJ107">
            <v>17.628790894348054</v>
          </cell>
          <cell r="LK107">
            <v>20.020152274152959</v>
          </cell>
          <cell r="LL107">
            <v>17.982747259685677</v>
          </cell>
          <cell r="LM107">
            <v>15.721193701553757</v>
          </cell>
          <cell r="LN107">
            <v>20.244300817817596</v>
          </cell>
          <cell r="LY107">
            <v>11.719486035588249</v>
          </cell>
          <cell r="LZ107">
            <v>14.730476692982464</v>
          </cell>
          <cell r="MA107">
            <v>11.870949885755934</v>
          </cell>
          <cell r="MB107">
            <v>9.6544719773798295</v>
          </cell>
          <cell r="MC107">
            <v>14.087427794132038</v>
          </cell>
        </row>
        <row r="108">
          <cell r="A108">
            <v>39678</v>
          </cell>
          <cell r="LJ108">
            <v>17.511139971485306</v>
          </cell>
          <cell r="LK108">
            <v>20.020152274152959</v>
          </cell>
          <cell r="LL108">
            <v>17.982747259685677</v>
          </cell>
          <cell r="LM108">
            <v>15.721193701553757</v>
          </cell>
          <cell r="LN108">
            <v>20.244300817817596</v>
          </cell>
          <cell r="LY108">
            <v>11.648605356596958</v>
          </cell>
          <cell r="LZ108">
            <v>14.730476692982464</v>
          </cell>
          <cell r="MA108">
            <v>11.870949885755934</v>
          </cell>
          <cell r="MB108">
            <v>9.6544719773798295</v>
          </cell>
          <cell r="MC108">
            <v>14.087427794132038</v>
          </cell>
        </row>
        <row r="109">
          <cell r="A109">
            <v>39679</v>
          </cell>
          <cell r="LJ109">
            <v>17.168689476089082</v>
          </cell>
          <cell r="LK109">
            <v>20.020152274152959</v>
          </cell>
          <cell r="LL109">
            <v>17.982747259685677</v>
          </cell>
          <cell r="LM109">
            <v>15.721193701553757</v>
          </cell>
          <cell r="LN109">
            <v>20.244300817817596</v>
          </cell>
          <cell r="LY109">
            <v>11.44229058197419</v>
          </cell>
          <cell r="LZ109">
            <v>14.730476692982464</v>
          </cell>
          <cell r="MA109">
            <v>11.870949885755934</v>
          </cell>
          <cell r="MB109">
            <v>9.6544719773798295</v>
          </cell>
          <cell r="MC109">
            <v>14.087427794132038</v>
          </cell>
        </row>
        <row r="110">
          <cell r="A110">
            <v>39680</v>
          </cell>
          <cell r="LJ110">
            <v>17.18129770832163</v>
          </cell>
          <cell r="LK110">
            <v>20.020152274152959</v>
          </cell>
          <cell r="LL110">
            <v>17.982747259685677</v>
          </cell>
          <cell r="LM110">
            <v>15.721193701553757</v>
          </cell>
          <cell r="LN110">
            <v>20.244300817817596</v>
          </cell>
          <cell r="LY110">
            <v>11.449886613010557</v>
          </cell>
          <cell r="LZ110">
            <v>14.730476692982464</v>
          </cell>
          <cell r="MA110">
            <v>11.870949885755934</v>
          </cell>
          <cell r="MB110">
            <v>9.6544719773798295</v>
          </cell>
          <cell r="MC110">
            <v>14.087427794132038</v>
          </cell>
        </row>
        <row r="111">
          <cell r="A111">
            <v>39681</v>
          </cell>
          <cell r="LJ111">
            <v>17.294745957137422</v>
          </cell>
          <cell r="LK111">
            <v>20.020152274152959</v>
          </cell>
          <cell r="LL111">
            <v>17.982747259685677</v>
          </cell>
          <cell r="LM111">
            <v>15.721193701553757</v>
          </cell>
          <cell r="LN111">
            <v>20.244300817817596</v>
          </cell>
          <cell r="LY111">
            <v>11.518235323847424</v>
          </cell>
          <cell r="LZ111">
            <v>14.730476692982464</v>
          </cell>
          <cell r="MA111">
            <v>11.870949885755934</v>
          </cell>
          <cell r="MB111">
            <v>9.6544719773798295</v>
          </cell>
          <cell r="MC111">
            <v>14.087427794132038</v>
          </cell>
        </row>
        <row r="112">
          <cell r="A112">
            <v>39682</v>
          </cell>
          <cell r="LJ112">
            <v>17.301048287474384</v>
          </cell>
          <cell r="LK112">
            <v>20.020152274152959</v>
          </cell>
          <cell r="LL112">
            <v>17.982747259685677</v>
          </cell>
          <cell r="LM112">
            <v>15.721193701553757</v>
          </cell>
          <cell r="LN112">
            <v>20.244300817817596</v>
          </cell>
          <cell r="LY112">
            <v>11.522032263494317</v>
          </cell>
          <cell r="LZ112">
            <v>14.730476692982464</v>
          </cell>
          <cell r="MA112">
            <v>11.870949885755934</v>
          </cell>
          <cell r="MB112">
            <v>9.6544719773798295</v>
          </cell>
          <cell r="MC112">
            <v>14.087427794132038</v>
          </cell>
        </row>
        <row r="113">
          <cell r="A113">
            <v>39685</v>
          </cell>
          <cell r="LJ113">
            <v>16.96910321664544</v>
          </cell>
          <cell r="LK113">
            <v>20.020152274152959</v>
          </cell>
          <cell r="LL113">
            <v>17.982747259685677</v>
          </cell>
          <cell r="LM113">
            <v>15.721193701553757</v>
          </cell>
          <cell r="LN113">
            <v>20.244300817817596</v>
          </cell>
          <cell r="LY113">
            <v>11.322046649819054</v>
          </cell>
          <cell r="LZ113">
            <v>14.730476692982464</v>
          </cell>
          <cell r="MA113">
            <v>11.870949885755934</v>
          </cell>
          <cell r="MB113">
            <v>9.6544719773798295</v>
          </cell>
          <cell r="MC113">
            <v>14.087427794132038</v>
          </cell>
        </row>
        <row r="114">
          <cell r="A114">
            <v>39686</v>
          </cell>
          <cell r="LJ114">
            <v>17.015323597219528</v>
          </cell>
          <cell r="LK114">
            <v>20.020152274152959</v>
          </cell>
          <cell r="LL114">
            <v>17.982747259685677</v>
          </cell>
          <cell r="LM114">
            <v>15.721193701553757</v>
          </cell>
          <cell r="LN114">
            <v>20.244300817817596</v>
          </cell>
          <cell r="LY114">
            <v>11.349892856874728</v>
          </cell>
          <cell r="LZ114">
            <v>14.730476692982464</v>
          </cell>
          <cell r="MA114">
            <v>11.870949885755934</v>
          </cell>
          <cell r="MB114">
            <v>9.6544719773798295</v>
          </cell>
          <cell r="MC114">
            <v>14.087427794132038</v>
          </cell>
        </row>
        <row r="115">
          <cell r="A115">
            <v>39687</v>
          </cell>
          <cell r="LJ115">
            <v>17.032131352123766</v>
          </cell>
          <cell r="LK115">
            <v>20.020152274152959</v>
          </cell>
          <cell r="LL115">
            <v>17.982747259685677</v>
          </cell>
          <cell r="LM115">
            <v>15.721193701553757</v>
          </cell>
          <cell r="LN115">
            <v>20.244300817817596</v>
          </cell>
          <cell r="LY115">
            <v>11.360018957469125</v>
          </cell>
          <cell r="LZ115">
            <v>14.730476692982464</v>
          </cell>
          <cell r="MA115">
            <v>11.870949885755934</v>
          </cell>
          <cell r="MB115">
            <v>9.6544719773798295</v>
          </cell>
          <cell r="MC115">
            <v>14.087427794132038</v>
          </cell>
        </row>
        <row r="116">
          <cell r="A116">
            <v>39688</v>
          </cell>
          <cell r="LJ116">
            <v>17.22541528123045</v>
          </cell>
          <cell r="LK116">
            <v>20.020152274152959</v>
          </cell>
          <cell r="LL116">
            <v>17.982747259685677</v>
          </cell>
          <cell r="LM116">
            <v>15.721193701553757</v>
          </cell>
          <cell r="LN116">
            <v>20.244300817817596</v>
          </cell>
          <cell r="LY116">
            <v>11.476465949977367</v>
          </cell>
          <cell r="LZ116">
            <v>14.730476692982464</v>
          </cell>
          <cell r="MA116">
            <v>11.870949885755934</v>
          </cell>
          <cell r="MB116">
            <v>9.6544719773798295</v>
          </cell>
          <cell r="MC116">
            <v>14.087427794132038</v>
          </cell>
        </row>
        <row r="117">
          <cell r="A117">
            <v>39689</v>
          </cell>
          <cell r="LJ117">
            <v>17.137177194129229</v>
          </cell>
          <cell r="LK117">
            <v>20.020152274152959</v>
          </cell>
          <cell r="LL117">
            <v>17.982747259685677</v>
          </cell>
          <cell r="LM117">
            <v>15.721193701553757</v>
          </cell>
          <cell r="LN117">
            <v>20.244300817817596</v>
          </cell>
          <cell r="LY117">
            <v>11.423305504020444</v>
          </cell>
          <cell r="LZ117">
            <v>14.730476692982464</v>
          </cell>
          <cell r="MA117">
            <v>11.870949885755934</v>
          </cell>
          <cell r="MB117">
            <v>9.6544719773798295</v>
          </cell>
          <cell r="MC117">
            <v>14.087427794132038</v>
          </cell>
        </row>
        <row r="118">
          <cell r="A118">
            <v>39692</v>
          </cell>
          <cell r="LJ118">
            <v>16.972338643648477</v>
          </cell>
          <cell r="LK118">
            <v>20.020152274152959</v>
          </cell>
          <cell r="LL118">
            <v>17.982747259685677</v>
          </cell>
          <cell r="LM118">
            <v>15.721193701553757</v>
          </cell>
          <cell r="LN118">
            <v>20.244300817817596</v>
          </cell>
          <cell r="LY118">
            <v>11.359863295816123</v>
          </cell>
          <cell r="LZ118">
            <v>14.730476692982464</v>
          </cell>
          <cell r="MA118">
            <v>11.870949885755934</v>
          </cell>
          <cell r="MB118">
            <v>9.6544719773798295</v>
          </cell>
          <cell r="MC118">
            <v>14.087427794132038</v>
          </cell>
        </row>
        <row r="119">
          <cell r="A119">
            <v>39693</v>
          </cell>
          <cell r="LJ119">
            <v>16.955692558657773</v>
          </cell>
          <cell r="LK119">
            <v>20.020152274152959</v>
          </cell>
          <cell r="LL119">
            <v>17.982747259685677</v>
          </cell>
          <cell r="LM119">
            <v>15.721193701553757</v>
          </cell>
          <cell r="LN119">
            <v>20.244300817817596</v>
          </cell>
          <cell r="LY119">
            <v>11.349793433075297</v>
          </cell>
          <cell r="LZ119">
            <v>14.730476692982464</v>
          </cell>
          <cell r="MA119">
            <v>11.870949885755934</v>
          </cell>
          <cell r="MB119">
            <v>9.6544719773798295</v>
          </cell>
          <cell r="MC119">
            <v>14.087427794132038</v>
          </cell>
        </row>
        <row r="120">
          <cell r="A120">
            <v>39694</v>
          </cell>
          <cell r="LJ120">
            <v>16.801721994442424</v>
          </cell>
          <cell r="LK120">
            <v>20.020152274152959</v>
          </cell>
          <cell r="LL120">
            <v>17.982747259685677</v>
          </cell>
          <cell r="LM120">
            <v>15.721193701553757</v>
          </cell>
          <cell r="LN120">
            <v>20.244300817817596</v>
          </cell>
          <cell r="LY120">
            <v>11.256650664151413</v>
          </cell>
          <cell r="LZ120">
            <v>14.730476692982464</v>
          </cell>
          <cell r="MA120">
            <v>11.870949885755934</v>
          </cell>
          <cell r="MB120">
            <v>9.6544719773798295</v>
          </cell>
          <cell r="MC120">
            <v>14.087427794132038</v>
          </cell>
        </row>
        <row r="121">
          <cell r="A121">
            <v>39695</v>
          </cell>
          <cell r="LJ121">
            <v>16.13589274363277</v>
          </cell>
          <cell r="LK121">
            <v>20.020152274152959</v>
          </cell>
          <cell r="LL121">
            <v>17.982747259685677</v>
          </cell>
          <cell r="LM121">
            <v>15.721193701553757</v>
          </cell>
          <cell r="LN121">
            <v>20.244300817817596</v>
          </cell>
          <cell r="LY121">
            <v>10.853864713687623</v>
          </cell>
          <cell r="LZ121">
            <v>14.730476692982464</v>
          </cell>
          <cell r="MA121">
            <v>11.870949885755934</v>
          </cell>
          <cell r="MB121">
            <v>9.6544719773798295</v>
          </cell>
          <cell r="MC121">
            <v>14.087427794132038</v>
          </cell>
        </row>
        <row r="122">
          <cell r="A122">
            <v>39696</v>
          </cell>
          <cell r="LJ122">
            <v>16.177509412605556</v>
          </cell>
          <cell r="LK122">
            <v>20.020152274152959</v>
          </cell>
          <cell r="LL122">
            <v>17.982747259685677</v>
          </cell>
          <cell r="LM122">
            <v>15.721193701553757</v>
          </cell>
          <cell r="LN122">
            <v>20.244300817817596</v>
          </cell>
          <cell r="LY122">
            <v>10.879040251630657</v>
          </cell>
          <cell r="LZ122">
            <v>14.730476692982464</v>
          </cell>
          <cell r="MA122">
            <v>11.870949885755934</v>
          </cell>
          <cell r="MB122">
            <v>9.6544719773798295</v>
          </cell>
          <cell r="MC122">
            <v>14.087427794132038</v>
          </cell>
        </row>
        <row r="123">
          <cell r="A123">
            <v>39699</v>
          </cell>
          <cell r="LJ123">
            <v>16.313883447574916</v>
          </cell>
          <cell r="LK123">
            <v>20.020152274152959</v>
          </cell>
          <cell r="LL123">
            <v>17.982747259685677</v>
          </cell>
          <cell r="LM123">
            <v>15.721193701553757</v>
          </cell>
          <cell r="LN123">
            <v>20.244300817817596</v>
          </cell>
          <cell r="LY123">
            <v>10.778028858418143</v>
          </cell>
          <cell r="LZ123">
            <v>14.730476692982464</v>
          </cell>
          <cell r="MA123">
            <v>11.870949885755934</v>
          </cell>
          <cell r="MB123">
            <v>9.6544719773798295</v>
          </cell>
          <cell r="MC123">
            <v>14.087427794132038</v>
          </cell>
        </row>
        <row r="124">
          <cell r="A124">
            <v>39700</v>
          </cell>
          <cell r="LJ124">
            <v>15.847833952481464</v>
          </cell>
          <cell r="LK124">
            <v>20.020152274152959</v>
          </cell>
          <cell r="LL124">
            <v>17.982747259685677</v>
          </cell>
          <cell r="LM124">
            <v>15.721193701553757</v>
          </cell>
          <cell r="LN124">
            <v>20.244300817817596</v>
          </cell>
          <cell r="LY124">
            <v>10.500815695889305</v>
          </cell>
          <cell r="LZ124">
            <v>14.730476692982464</v>
          </cell>
          <cell r="MA124">
            <v>11.870949885755934</v>
          </cell>
          <cell r="MB124">
            <v>9.6544719773798295</v>
          </cell>
          <cell r="MC124">
            <v>14.087427794132038</v>
          </cell>
        </row>
        <row r="125">
          <cell r="A125">
            <v>39701</v>
          </cell>
          <cell r="LJ125">
            <v>16.060051577761431</v>
          </cell>
          <cell r="LK125">
            <v>20.020152274152959</v>
          </cell>
          <cell r="LL125">
            <v>17.982747259685677</v>
          </cell>
          <cell r="LM125">
            <v>15.721193701553757</v>
          </cell>
          <cell r="LN125">
            <v>20.244300817817596</v>
          </cell>
          <cell r="LY125">
            <v>10.627045891753852</v>
          </cell>
          <cell r="LZ125">
            <v>14.730476692982464</v>
          </cell>
          <cell r="MA125">
            <v>11.870949885755934</v>
          </cell>
          <cell r="MB125">
            <v>9.6544719773798295</v>
          </cell>
          <cell r="MC125">
            <v>14.087427794132038</v>
          </cell>
        </row>
        <row r="126">
          <cell r="A126">
            <v>39702</v>
          </cell>
          <cell r="LJ126">
            <v>16.263951430767932</v>
          </cell>
          <cell r="LK126">
            <v>20.020152274152959</v>
          </cell>
          <cell r="LL126">
            <v>17.982747259685677</v>
          </cell>
          <cell r="LM126">
            <v>15.721193701553757</v>
          </cell>
          <cell r="LN126">
            <v>20.244300817817596</v>
          </cell>
          <cell r="LY126">
            <v>10.748328553115309</v>
          </cell>
          <cell r="LZ126">
            <v>14.730476692982464</v>
          </cell>
          <cell r="MA126">
            <v>11.870949885755934</v>
          </cell>
          <cell r="MB126">
            <v>9.6544719773798295</v>
          </cell>
          <cell r="MC126">
            <v>14.087427794132038</v>
          </cell>
        </row>
        <row r="127">
          <cell r="A127">
            <v>39703</v>
          </cell>
          <cell r="LJ127">
            <v>16.026069507434276</v>
          </cell>
          <cell r="LK127">
            <v>20.020152274152959</v>
          </cell>
          <cell r="LL127">
            <v>17.982747259685677</v>
          </cell>
          <cell r="LM127">
            <v>15.721193701553757</v>
          </cell>
          <cell r="LN127">
            <v>20.244300817817596</v>
          </cell>
          <cell r="LY127">
            <v>10.614047341586915</v>
          </cell>
          <cell r="LZ127">
            <v>14.730476692982464</v>
          </cell>
          <cell r="MA127">
            <v>11.870949885755934</v>
          </cell>
          <cell r="MB127">
            <v>9.6544719773798295</v>
          </cell>
          <cell r="MC127">
            <v>14.087427794132038</v>
          </cell>
        </row>
        <row r="128">
          <cell r="A128">
            <v>39706</v>
          </cell>
          <cell r="LJ128">
            <v>15.588485233030251</v>
          </cell>
          <cell r="LK128">
            <v>20.020152274152959</v>
          </cell>
          <cell r="LL128">
            <v>17.982747259685677</v>
          </cell>
          <cell r="LM128">
            <v>15.721193701553757</v>
          </cell>
          <cell r="LN128">
            <v>20.244300817817596</v>
          </cell>
          <cell r="LY128">
            <v>10.353628689738098</v>
          </cell>
          <cell r="LZ128">
            <v>14.730476692982464</v>
          </cell>
          <cell r="MA128">
            <v>11.870949885755934</v>
          </cell>
          <cell r="MB128">
            <v>9.6544719773798295</v>
          </cell>
          <cell r="MC128">
            <v>14.087427794132038</v>
          </cell>
        </row>
        <row r="129">
          <cell r="A129">
            <v>39707</v>
          </cell>
          <cell r="LJ129">
            <v>15.905211963605336</v>
          </cell>
          <cell r="LK129">
            <v>20.020152274152959</v>
          </cell>
          <cell r="LL129">
            <v>17.982747259685677</v>
          </cell>
          <cell r="LM129">
            <v>15.721193701553757</v>
          </cell>
          <cell r="LN129">
            <v>20.244300817817596</v>
          </cell>
          <cell r="LY129">
            <v>10.542121633853112</v>
          </cell>
          <cell r="LZ129">
            <v>14.730476692982464</v>
          </cell>
          <cell r="MA129">
            <v>11.870949885755934</v>
          </cell>
          <cell r="MB129">
            <v>9.6544719773798295</v>
          </cell>
          <cell r="MC129">
            <v>14.087427794132038</v>
          </cell>
        </row>
        <row r="130">
          <cell r="A130">
            <v>39708</v>
          </cell>
          <cell r="LJ130">
            <v>15.503050913148527</v>
          </cell>
          <cell r="LK130">
            <v>20.020152274152959</v>
          </cell>
          <cell r="LL130">
            <v>17.982747259685677</v>
          </cell>
          <cell r="LM130">
            <v>15.721193701553757</v>
          </cell>
          <cell r="LN130">
            <v>20.244300817817596</v>
          </cell>
          <cell r="LY130">
            <v>10.302784334246756</v>
          </cell>
          <cell r="LZ130">
            <v>14.730476692982464</v>
          </cell>
          <cell r="MA130">
            <v>11.870949885755934</v>
          </cell>
          <cell r="MB130">
            <v>9.6544719773798295</v>
          </cell>
          <cell r="MC130">
            <v>14.087427794132038</v>
          </cell>
        </row>
        <row r="131">
          <cell r="A131">
            <v>39709</v>
          </cell>
          <cell r="LJ131">
            <v>15.987758927108544</v>
          </cell>
          <cell r="LK131">
            <v>20.020152274152959</v>
          </cell>
          <cell r="LL131">
            <v>17.982747259685677</v>
          </cell>
          <cell r="LM131">
            <v>15.721193701553757</v>
          </cell>
          <cell r="LN131">
            <v>20.244300817817596</v>
          </cell>
          <cell r="LY131">
            <v>10.575604671482218</v>
          </cell>
          <cell r="LZ131">
            <v>14.730476692982464</v>
          </cell>
          <cell r="MA131">
            <v>11.870949885755934</v>
          </cell>
          <cell r="MB131">
            <v>9.6544719773798295</v>
          </cell>
          <cell r="MC131">
            <v>14.087427794132038</v>
          </cell>
        </row>
        <row r="132">
          <cell r="A132">
            <v>39710</v>
          </cell>
          <cell r="LJ132">
            <v>16.250741938547307</v>
          </cell>
          <cell r="LK132">
            <v>20.020152274152959</v>
          </cell>
          <cell r="LL132">
            <v>17.982747259685677</v>
          </cell>
          <cell r="LM132">
            <v>15.721193701553757</v>
          </cell>
          <cell r="LN132">
            <v>20.244300817817596</v>
          </cell>
          <cell r="LY132">
            <v>10.731855912195273</v>
          </cell>
          <cell r="LZ132">
            <v>14.730476692982464</v>
          </cell>
          <cell r="MA132">
            <v>11.870949885755934</v>
          </cell>
          <cell r="MB132">
            <v>9.6544719773798295</v>
          </cell>
          <cell r="MC132">
            <v>14.087427794132038</v>
          </cell>
        </row>
        <row r="133">
          <cell r="A133">
            <v>39713</v>
          </cell>
          <cell r="LJ133">
            <v>15.599544369688795</v>
          </cell>
          <cell r="LK133">
            <v>20.020152274152959</v>
          </cell>
          <cell r="LL133">
            <v>17.982747259685677</v>
          </cell>
          <cell r="LM133">
            <v>15.721193701553757</v>
          </cell>
          <cell r="LN133">
            <v>20.244300817817596</v>
          </cell>
          <cell r="LY133">
            <v>10.344947162741086</v>
          </cell>
          <cell r="LZ133">
            <v>14.730476692982464</v>
          </cell>
          <cell r="MA133">
            <v>11.870949885755934</v>
          </cell>
          <cell r="MB133">
            <v>9.6544719773798295</v>
          </cell>
          <cell r="MC133">
            <v>14.087427794132038</v>
          </cell>
        </row>
        <row r="134">
          <cell r="A134">
            <v>39714</v>
          </cell>
          <cell r="LJ134">
            <v>14.893330073850276</v>
          </cell>
          <cell r="LK134">
            <v>20.020152274152959</v>
          </cell>
          <cell r="LL134">
            <v>17.982747259685677</v>
          </cell>
          <cell r="LM134">
            <v>15.721193701553757</v>
          </cell>
          <cell r="LN134">
            <v>20.244300817817596</v>
          </cell>
          <cell r="LY134">
            <v>9.9158755847925697</v>
          </cell>
          <cell r="LZ134">
            <v>14.730476692982464</v>
          </cell>
          <cell r="MA134">
            <v>11.870949885755934</v>
          </cell>
          <cell r="MB134">
            <v>9.6544719773798295</v>
          </cell>
          <cell r="MC134">
            <v>14.087427794132038</v>
          </cell>
        </row>
        <row r="135">
          <cell r="A135">
            <v>39715</v>
          </cell>
          <cell r="LJ135">
            <v>15.012424898689625</v>
          </cell>
          <cell r="LK135">
            <v>20.020152274152959</v>
          </cell>
          <cell r="LL135">
            <v>17.982747259685677</v>
          </cell>
          <cell r="LM135">
            <v>15.721193701553757</v>
          </cell>
          <cell r="LN135">
            <v>20.244300817817596</v>
          </cell>
          <cell r="LY135">
            <v>9.9865599582992211</v>
          </cell>
          <cell r="LZ135">
            <v>14.730476692982464</v>
          </cell>
          <cell r="MA135">
            <v>11.870949885755934</v>
          </cell>
          <cell r="MB135">
            <v>9.6544719773798295</v>
          </cell>
          <cell r="MC135">
            <v>14.087427794132038</v>
          </cell>
        </row>
        <row r="136">
          <cell r="A136">
            <v>39716</v>
          </cell>
          <cell r="LJ136">
            <v>14.815060134612109</v>
          </cell>
          <cell r="LK136">
            <v>20.020152274152959</v>
          </cell>
          <cell r="LL136">
            <v>17.982747259685677</v>
          </cell>
          <cell r="LM136">
            <v>15.721193701553757</v>
          </cell>
          <cell r="LN136">
            <v>20.244300817817596</v>
          </cell>
          <cell r="LY136">
            <v>9.9012318629336278</v>
          </cell>
          <cell r="LZ136">
            <v>14.730476692982464</v>
          </cell>
          <cell r="MA136">
            <v>11.870949885755934</v>
          </cell>
          <cell r="MB136">
            <v>9.6544719773798295</v>
          </cell>
          <cell r="MC136">
            <v>14.087427794132038</v>
          </cell>
        </row>
        <row r="137">
          <cell r="A137">
            <v>39717</v>
          </cell>
          <cell r="LJ137">
            <v>14.856551178498396</v>
          </cell>
          <cell r="LK137">
            <v>20.020152274152959</v>
          </cell>
          <cell r="LL137">
            <v>17.982747259685677</v>
          </cell>
          <cell r="LM137">
            <v>15.721193701553757</v>
          </cell>
          <cell r="LN137">
            <v>20.244300817817596</v>
          </cell>
          <cell r="LY137">
            <v>9.9099408691450339</v>
          </cell>
          <cell r="LZ137">
            <v>14.730476692982464</v>
          </cell>
          <cell r="MA137">
            <v>11.870949885755934</v>
          </cell>
          <cell r="MB137">
            <v>9.6544719773798295</v>
          </cell>
          <cell r="MC137">
            <v>14.087427794132038</v>
          </cell>
        </row>
        <row r="138">
          <cell r="A138">
            <v>39720</v>
          </cell>
          <cell r="LJ138">
            <v>14.283051223499223</v>
          </cell>
          <cell r="LK138">
            <v>20.020152274152959</v>
          </cell>
          <cell r="LL138">
            <v>17.982747259685677</v>
          </cell>
          <cell r="LM138">
            <v>15.721193701553757</v>
          </cell>
          <cell r="LN138">
            <v>20.244300817817596</v>
          </cell>
          <cell r="LY138">
            <v>9.569078947276072</v>
          </cell>
          <cell r="LZ138">
            <v>14.730476692982464</v>
          </cell>
          <cell r="MA138">
            <v>11.870949885755934</v>
          </cell>
          <cell r="MB138">
            <v>9.6544719773798295</v>
          </cell>
          <cell r="MC138">
            <v>14.087427794132038</v>
          </cell>
        </row>
        <row r="139">
          <cell r="A139">
            <v>39721</v>
          </cell>
          <cell r="LJ139">
            <v>14.555795262444789</v>
          </cell>
          <cell r="LK139">
            <v>20.020152274152959</v>
          </cell>
          <cell r="LL139">
            <v>17.982747259685677</v>
          </cell>
          <cell r="LM139">
            <v>15.721193701553757</v>
          </cell>
          <cell r="LN139">
            <v>20.244300817817596</v>
          </cell>
          <cell r="LY139">
            <v>9.7519078019175378</v>
          </cell>
          <cell r="LZ139">
            <v>14.730476692982464</v>
          </cell>
          <cell r="MA139">
            <v>11.870949885755934</v>
          </cell>
          <cell r="MB139">
            <v>9.6544719773798295</v>
          </cell>
          <cell r="MC139">
            <v>14.087427794132038</v>
          </cell>
        </row>
        <row r="140">
          <cell r="A140">
            <v>39722</v>
          </cell>
          <cell r="LJ140">
            <v>14.246946874875748</v>
          </cell>
          <cell r="LK140">
            <v>20.020152274152959</v>
          </cell>
          <cell r="LL140">
            <v>17.982747259685677</v>
          </cell>
          <cell r="LM140">
            <v>15.721193701553757</v>
          </cell>
          <cell r="LN140">
            <v>20.244300817817596</v>
          </cell>
          <cell r="LY140">
            <v>9.5982460899548165</v>
          </cell>
          <cell r="LZ140">
            <v>14.730476692982464</v>
          </cell>
          <cell r="MA140">
            <v>11.870949885755934</v>
          </cell>
          <cell r="MB140">
            <v>9.6544719773798295</v>
          </cell>
          <cell r="MC140">
            <v>14.087427794132038</v>
          </cell>
        </row>
        <row r="141">
          <cell r="A141">
            <v>39723</v>
          </cell>
          <cell r="LJ141">
            <v>13.500606633469651</v>
          </cell>
          <cell r="LK141">
            <v>20.020152274152959</v>
          </cell>
          <cell r="LL141">
            <v>17.982747259685677</v>
          </cell>
          <cell r="LM141">
            <v>15.721193701553757</v>
          </cell>
          <cell r="LN141">
            <v>20.244300817817596</v>
          </cell>
          <cell r="LY141">
            <v>9.1519630862684647</v>
          </cell>
          <cell r="LZ141">
            <v>14.730476692982464</v>
          </cell>
          <cell r="MA141">
            <v>11.870949885755934</v>
          </cell>
          <cell r="MB141">
            <v>9.6544719773798295</v>
          </cell>
          <cell r="MC141">
            <v>14.087427794132038</v>
          </cell>
        </row>
        <row r="142">
          <cell r="A142">
            <v>39724</v>
          </cell>
          <cell r="LJ142">
            <v>13.020372877927509</v>
          </cell>
          <cell r="LK142">
            <v>20.020152274152959</v>
          </cell>
          <cell r="LL142">
            <v>17.982747259685677</v>
          </cell>
          <cell r="LM142">
            <v>15.721193701553757</v>
          </cell>
          <cell r="LN142">
            <v>20.244300817817596</v>
          </cell>
          <cell r="LY142">
            <v>8.8648016135182512</v>
          </cell>
          <cell r="LZ142">
            <v>14.730476692982464</v>
          </cell>
          <cell r="MA142">
            <v>11.870949885755934</v>
          </cell>
          <cell r="MB142">
            <v>9.6544719773798295</v>
          </cell>
          <cell r="MC142">
            <v>14.087427794132038</v>
          </cell>
        </row>
        <row r="143">
          <cell r="A143">
            <v>39727</v>
          </cell>
          <cell r="LJ143">
            <v>12.785455210715215</v>
          </cell>
          <cell r="LK143">
            <v>20.020152274152959</v>
          </cell>
          <cell r="LL143">
            <v>17.982747259685677</v>
          </cell>
          <cell r="LM143">
            <v>15.721193701553757</v>
          </cell>
          <cell r="LN143">
            <v>20.244300817817596</v>
          </cell>
          <cell r="LY143">
            <v>8.72432980679244</v>
          </cell>
          <cell r="LZ143">
            <v>14.730476692982464</v>
          </cell>
          <cell r="MA143">
            <v>11.870949885755934</v>
          </cell>
          <cell r="MB143">
            <v>9.6544719773798295</v>
          </cell>
          <cell r="MC143">
            <v>14.087427794132038</v>
          </cell>
        </row>
        <row r="144">
          <cell r="A144">
            <v>39728</v>
          </cell>
          <cell r="LJ144">
            <v>12.047432375684247</v>
          </cell>
          <cell r="LK144">
            <v>20.020152274152959</v>
          </cell>
          <cell r="LL144">
            <v>17.982747259685677</v>
          </cell>
          <cell r="LM144">
            <v>15.721193701553757</v>
          </cell>
          <cell r="LN144">
            <v>20.244300817817596</v>
          </cell>
          <cell r="LY144">
            <v>8.2830202949453842</v>
          </cell>
          <cell r="LZ144">
            <v>14.730476692982464</v>
          </cell>
          <cell r="MA144">
            <v>11.870949885755934</v>
          </cell>
          <cell r="MB144">
            <v>9.6544719773798295</v>
          </cell>
          <cell r="MC144">
            <v>14.087427794132038</v>
          </cell>
        </row>
        <row r="145">
          <cell r="A145">
            <v>39729</v>
          </cell>
          <cell r="LJ145">
            <v>11.77509240869772</v>
          </cell>
          <cell r="LK145">
            <v>20.020152274152959</v>
          </cell>
          <cell r="LL145">
            <v>17.982747259685677</v>
          </cell>
          <cell r="LM145">
            <v>15.721193701553757</v>
          </cell>
          <cell r="LN145">
            <v>20.244300817817596</v>
          </cell>
          <cell r="LY145">
            <v>8.1201713800033097</v>
          </cell>
          <cell r="LZ145">
            <v>14.730476692982464</v>
          </cell>
          <cell r="MA145">
            <v>11.870949885755934</v>
          </cell>
          <cell r="MB145">
            <v>9.6544719773798295</v>
          </cell>
          <cell r="MC145">
            <v>14.087427794132038</v>
          </cell>
        </row>
        <row r="146">
          <cell r="A146">
            <v>39730</v>
          </cell>
          <cell r="LJ146">
            <v>11.059937867539576</v>
          </cell>
          <cell r="LK146">
            <v>20.020152274152959</v>
          </cell>
          <cell r="LL146">
            <v>17.982747259685677</v>
          </cell>
          <cell r="LM146">
            <v>15.721193701553757</v>
          </cell>
          <cell r="LN146">
            <v>20.244300817817596</v>
          </cell>
          <cell r="LY146">
            <v>7.6925362358407812</v>
          </cell>
          <cell r="LZ146">
            <v>14.730476692982464</v>
          </cell>
          <cell r="MA146">
            <v>11.870949885755934</v>
          </cell>
          <cell r="MB146">
            <v>9.6544719773798295</v>
          </cell>
          <cell r="MC146">
            <v>14.087427794132038</v>
          </cell>
        </row>
        <row r="147">
          <cell r="A147">
            <v>39731</v>
          </cell>
          <cell r="LJ147">
            <v>11.632280538300508</v>
          </cell>
          <cell r="LK147">
            <v>20.020152274152959</v>
          </cell>
          <cell r="LL147">
            <v>17.982747259685677</v>
          </cell>
          <cell r="LM147">
            <v>15.721193701553757</v>
          </cell>
          <cell r="LN147">
            <v>20.244300817817596</v>
          </cell>
          <cell r="LY147">
            <v>8.0995469396182678</v>
          </cell>
          <cell r="LZ147">
            <v>14.730476692982464</v>
          </cell>
          <cell r="MA147">
            <v>11.870949885755934</v>
          </cell>
          <cell r="MB147">
            <v>9.6544719773798295</v>
          </cell>
          <cell r="MC147">
            <v>14.087427794132038</v>
          </cell>
        </row>
        <row r="148">
          <cell r="A148">
            <v>39734</v>
          </cell>
          <cell r="LJ148">
            <v>12.889979220498095</v>
          </cell>
          <cell r="LK148">
            <v>20.020152274152959</v>
          </cell>
          <cell r="LL148">
            <v>17.982747259685677</v>
          </cell>
          <cell r="LM148">
            <v>15.721193701553757</v>
          </cell>
          <cell r="LN148">
            <v>20.244300817817596</v>
          </cell>
          <cell r="LY148">
            <v>8.828993155643623</v>
          </cell>
          <cell r="LZ148">
            <v>14.730476692982464</v>
          </cell>
          <cell r="MA148">
            <v>11.870949885755934</v>
          </cell>
          <cell r="MB148">
            <v>9.6544719773798295</v>
          </cell>
          <cell r="MC148">
            <v>14.087427794132038</v>
          </cell>
        </row>
        <row r="149">
          <cell r="A149">
            <v>39735</v>
          </cell>
          <cell r="LJ149">
            <v>12.588947562067943</v>
          </cell>
          <cell r="LK149">
            <v>20.020152274152959</v>
          </cell>
          <cell r="LL149">
            <v>17.982747259685677</v>
          </cell>
          <cell r="LM149">
            <v>15.721193701553757</v>
          </cell>
          <cell r="LN149">
            <v>20.244300817817596</v>
          </cell>
          <cell r="LY149">
            <v>8.6482005392924357</v>
          </cell>
          <cell r="LZ149">
            <v>14.730476692982464</v>
          </cell>
          <cell r="MA149">
            <v>11.870949885755934</v>
          </cell>
          <cell r="MB149">
            <v>9.6544719773798295</v>
          </cell>
          <cell r="MC149">
            <v>14.087427794132038</v>
          </cell>
        </row>
        <row r="150">
          <cell r="A150">
            <v>39736</v>
          </cell>
          <cell r="LJ150">
            <v>11.301952155554119</v>
          </cell>
          <cell r="LK150">
            <v>20.020152274152959</v>
          </cell>
          <cell r="LL150">
            <v>17.982747259685677</v>
          </cell>
          <cell r="LM150">
            <v>15.721193701553757</v>
          </cell>
          <cell r="LN150">
            <v>20.244300817817596</v>
          </cell>
          <cell r="LY150">
            <v>7.7503705607981379</v>
          </cell>
          <cell r="LZ150">
            <v>14.730476692982464</v>
          </cell>
          <cell r="MA150">
            <v>11.870949885755934</v>
          </cell>
          <cell r="MB150">
            <v>9.6544719773798295</v>
          </cell>
          <cell r="MC150">
            <v>14.087427794132038</v>
          </cell>
        </row>
        <row r="151">
          <cell r="A151">
            <v>39737</v>
          </cell>
          <cell r="LJ151">
            <v>12.19338455936937</v>
          </cell>
          <cell r="LK151">
            <v>20.020152274152959</v>
          </cell>
          <cell r="LL151">
            <v>17.982747259685677</v>
          </cell>
          <cell r="LM151">
            <v>15.721193701553757</v>
          </cell>
          <cell r="LN151">
            <v>20.244300817817596</v>
          </cell>
          <cell r="LY151">
            <v>8.2864807309262183</v>
          </cell>
          <cell r="LZ151">
            <v>14.730476692982464</v>
          </cell>
          <cell r="MA151">
            <v>11.870949885755934</v>
          </cell>
          <cell r="MB151">
            <v>9.6544719773798295</v>
          </cell>
          <cell r="MC151">
            <v>14.087427794132038</v>
          </cell>
        </row>
        <row r="152">
          <cell r="A152">
            <v>39738</v>
          </cell>
          <cell r="LJ152">
            <v>12.072622827535303</v>
          </cell>
          <cell r="LK152">
            <v>20.020152274152959</v>
          </cell>
          <cell r="LL152">
            <v>17.982747259685677</v>
          </cell>
          <cell r="LM152">
            <v>15.721193701553757</v>
          </cell>
          <cell r="LN152">
            <v>20.244300817817596</v>
          </cell>
          <cell r="LY152">
            <v>8.1920042028784152</v>
          </cell>
          <cell r="LZ152">
            <v>14.730476692982464</v>
          </cell>
          <cell r="MA152">
            <v>11.870949885755934</v>
          </cell>
          <cell r="MB152">
            <v>9.6544719773798295</v>
          </cell>
          <cell r="MC152">
            <v>14.087427794132038</v>
          </cell>
        </row>
        <row r="153">
          <cell r="A153">
            <v>39741</v>
          </cell>
          <cell r="LJ153">
            <v>12.201056283259751</v>
          </cell>
          <cell r="LK153">
            <v>20.020152274152959</v>
          </cell>
          <cell r="LL153">
            <v>17.982747259685677</v>
          </cell>
          <cell r="LM153">
            <v>15.721193701553757</v>
          </cell>
          <cell r="LN153">
            <v>20.244300817817596</v>
          </cell>
          <cell r="LY153">
            <v>8.2688345866778441</v>
          </cell>
          <cell r="LZ153">
            <v>14.730476692982464</v>
          </cell>
          <cell r="MA153">
            <v>11.870949885755934</v>
          </cell>
          <cell r="MB153">
            <v>9.6544719773798295</v>
          </cell>
          <cell r="MC153">
            <v>14.087427794132038</v>
          </cell>
        </row>
        <row r="154">
          <cell r="A154">
            <v>39742</v>
          </cell>
          <cell r="LJ154">
            <v>12.479494247476126</v>
          </cell>
          <cell r="LK154">
            <v>20.020152274152959</v>
          </cell>
          <cell r="LL154">
            <v>17.982747259685677</v>
          </cell>
          <cell r="LM154">
            <v>15.721193701553757</v>
          </cell>
          <cell r="LN154">
            <v>20.244300817817596</v>
          </cell>
          <cell r="LY154">
            <v>8.4518512131600367</v>
          </cell>
          <cell r="LZ154">
            <v>14.730476692982464</v>
          </cell>
          <cell r="MA154">
            <v>11.870949885755934</v>
          </cell>
          <cell r="MB154">
            <v>9.6544719773798295</v>
          </cell>
          <cell r="MC154">
            <v>14.087427794132038</v>
          </cell>
        </row>
        <row r="155">
          <cell r="A155">
            <v>39743</v>
          </cell>
          <cell r="LJ155">
            <v>12.588265343405178</v>
          </cell>
          <cell r="LK155">
            <v>20.020152274152959</v>
          </cell>
          <cell r="LL155">
            <v>17.982747259685677</v>
          </cell>
          <cell r="LM155">
            <v>15.721193701553757</v>
          </cell>
          <cell r="LN155">
            <v>20.244300817817596</v>
          </cell>
          <cell r="LY155">
            <v>8.5249283553192434</v>
          </cell>
          <cell r="LZ155">
            <v>14.730476692982464</v>
          </cell>
          <cell r="MA155">
            <v>11.870949885755934</v>
          </cell>
          <cell r="MB155">
            <v>9.6544719773798295</v>
          </cell>
          <cell r="MC155">
            <v>14.087427794132038</v>
          </cell>
        </row>
        <row r="156">
          <cell r="A156">
            <v>39744</v>
          </cell>
          <cell r="LJ156">
            <v>12.307048986850505</v>
          </cell>
          <cell r="LK156">
            <v>20.020152274152959</v>
          </cell>
          <cell r="LL156">
            <v>17.982747259685677</v>
          </cell>
          <cell r="LM156">
            <v>15.721193701553757</v>
          </cell>
          <cell r="LN156">
            <v>20.244300817817596</v>
          </cell>
          <cell r="LY156">
            <v>8.3568781782916801</v>
          </cell>
          <cell r="LZ156">
            <v>14.730476692982464</v>
          </cell>
          <cell r="MA156">
            <v>11.870949885755934</v>
          </cell>
          <cell r="MB156">
            <v>9.6544719773798295</v>
          </cell>
          <cell r="MC156">
            <v>14.087427794132038</v>
          </cell>
        </row>
        <row r="157">
          <cell r="A157">
            <v>39745</v>
          </cell>
          <cell r="LJ157">
            <v>12.014763812220098</v>
          </cell>
          <cell r="LK157">
            <v>20.020152274152959</v>
          </cell>
          <cell r="LL157">
            <v>17.982747259685677</v>
          </cell>
          <cell r="LM157">
            <v>15.721193701553757</v>
          </cell>
          <cell r="LN157">
            <v>20.244300817817596</v>
          </cell>
          <cell r="LY157">
            <v>8.1822134612711324</v>
          </cell>
          <cell r="LZ157">
            <v>14.730476692982464</v>
          </cell>
          <cell r="MA157">
            <v>11.870949885755934</v>
          </cell>
          <cell r="MB157">
            <v>9.6544719773798295</v>
          </cell>
          <cell r="MC157">
            <v>14.087427794132038</v>
          </cell>
        </row>
        <row r="158">
          <cell r="A158">
            <v>39748</v>
          </cell>
          <cell r="LJ158">
            <v>11.682619555326411</v>
          </cell>
          <cell r="LK158">
            <v>20.020152274152959</v>
          </cell>
          <cell r="LL158">
            <v>17.982747259685677</v>
          </cell>
          <cell r="LM158">
            <v>15.721193701553757</v>
          </cell>
          <cell r="LN158">
            <v>20.244300817817596</v>
          </cell>
          <cell r="LY158">
            <v>7.9837296253608949</v>
          </cell>
          <cell r="LZ158">
            <v>14.730476692982464</v>
          </cell>
          <cell r="MA158">
            <v>11.870949885755934</v>
          </cell>
          <cell r="MB158">
            <v>9.6544719773798295</v>
          </cell>
          <cell r="MC158">
            <v>14.087427794132038</v>
          </cell>
        </row>
        <row r="159">
          <cell r="A159">
            <v>39749</v>
          </cell>
          <cell r="LJ159">
            <v>12.648528889363771</v>
          </cell>
          <cell r="LK159">
            <v>20.020152274152959</v>
          </cell>
          <cell r="LL159">
            <v>17.982747259685677</v>
          </cell>
          <cell r="LM159">
            <v>15.721193701553757</v>
          </cell>
          <cell r="LN159">
            <v>20.244300817817596</v>
          </cell>
          <cell r="LY159">
            <v>8.5408064005792763</v>
          </cell>
          <cell r="LZ159">
            <v>14.730476692982464</v>
          </cell>
          <cell r="MA159">
            <v>11.870949885755934</v>
          </cell>
          <cell r="MB159">
            <v>9.6544719773798295</v>
          </cell>
          <cell r="MC159">
            <v>14.087427794132038</v>
          </cell>
        </row>
        <row r="160">
          <cell r="A160">
            <v>39750</v>
          </cell>
          <cell r="LJ160">
            <v>12.608566899345828</v>
          </cell>
          <cell r="LK160">
            <v>20.020152274152959</v>
          </cell>
          <cell r="LL160">
            <v>17.982747259685677</v>
          </cell>
          <cell r="LM160">
            <v>15.721193701553757</v>
          </cell>
          <cell r="LN160">
            <v>20.244300817817596</v>
          </cell>
          <cell r="LY160">
            <v>8.516989398850507</v>
          </cell>
          <cell r="LZ160">
            <v>14.730476692982464</v>
          </cell>
          <cell r="MA160">
            <v>11.870949885755934</v>
          </cell>
          <cell r="MB160">
            <v>9.6544719773798295</v>
          </cell>
          <cell r="MC160">
            <v>14.087427794132038</v>
          </cell>
        </row>
        <row r="161">
          <cell r="A161">
            <v>39751</v>
          </cell>
          <cell r="LJ161">
            <v>12.957137972683812</v>
          </cell>
          <cell r="LK161">
            <v>20.020152274152959</v>
          </cell>
          <cell r="LL161">
            <v>17.982747259685677</v>
          </cell>
          <cell r="LM161">
            <v>15.721193701553757</v>
          </cell>
          <cell r="LN161">
            <v>20.244300817817596</v>
          </cell>
          <cell r="LY161">
            <v>8.7247347551894308</v>
          </cell>
          <cell r="LZ161">
            <v>14.730476692982464</v>
          </cell>
          <cell r="MA161">
            <v>11.870949885755934</v>
          </cell>
          <cell r="MB161">
            <v>9.6544719773798295</v>
          </cell>
          <cell r="MC161">
            <v>14.087427794132038</v>
          </cell>
        </row>
        <row r="162">
          <cell r="A162">
            <v>39752</v>
          </cell>
          <cell r="LJ162">
            <v>13.15251749525004</v>
          </cell>
          <cell r="LK162">
            <v>20.020152274152959</v>
          </cell>
          <cell r="LL162">
            <v>17.982747259685677</v>
          </cell>
          <cell r="LM162">
            <v>15.721193701553757</v>
          </cell>
          <cell r="LN162">
            <v>20.244300817817596</v>
          </cell>
          <cell r="LY162">
            <v>8.8411792672028895</v>
          </cell>
          <cell r="LZ162">
            <v>14.730476692982464</v>
          </cell>
          <cell r="MA162">
            <v>11.870949885755934</v>
          </cell>
          <cell r="MB162">
            <v>9.6544719773798295</v>
          </cell>
          <cell r="MC162">
            <v>14.087427794132038</v>
          </cell>
        </row>
        <row r="163">
          <cell r="A163">
            <v>39755</v>
          </cell>
          <cell r="LJ163">
            <v>13.212835231273978</v>
          </cell>
          <cell r="LK163">
            <v>20.020152274152959</v>
          </cell>
          <cell r="LL163">
            <v>17.982747259685677</v>
          </cell>
          <cell r="LM163">
            <v>15.721193701553757</v>
          </cell>
          <cell r="LN163">
            <v>20.244300817817596</v>
          </cell>
          <cell r="LY163">
            <v>8.8820597671453729</v>
          </cell>
          <cell r="LZ163">
            <v>14.730476692982464</v>
          </cell>
          <cell r="MA163">
            <v>11.870949885755934</v>
          </cell>
          <cell r="MB163">
            <v>9.6544719773798295</v>
          </cell>
          <cell r="MC163">
            <v>14.087427794132038</v>
          </cell>
        </row>
        <row r="164">
          <cell r="A164">
            <v>39756</v>
          </cell>
          <cell r="LJ164">
            <v>13.954394805417335</v>
          </cell>
          <cell r="LK164">
            <v>20.020152274152959</v>
          </cell>
          <cell r="LL164">
            <v>17.982747259685677</v>
          </cell>
          <cell r="LM164">
            <v>15.721193701553757</v>
          </cell>
          <cell r="LN164">
            <v>20.244300817817596</v>
          </cell>
          <cell r="LY164">
            <v>9.3045238048834502</v>
          </cell>
          <cell r="LZ164">
            <v>14.730476692982464</v>
          </cell>
          <cell r="MA164">
            <v>11.870949885755934</v>
          </cell>
          <cell r="MB164">
            <v>9.6544719773798295</v>
          </cell>
          <cell r="MC164">
            <v>14.087427794132038</v>
          </cell>
        </row>
        <row r="165">
          <cell r="A165">
            <v>39757</v>
          </cell>
          <cell r="LJ165">
            <v>13.309103741562696</v>
          </cell>
          <cell r="LK165">
            <v>20.020152274152959</v>
          </cell>
          <cell r="LL165">
            <v>17.982747259685677</v>
          </cell>
          <cell r="LM165">
            <v>15.721193701553757</v>
          </cell>
          <cell r="LN165">
            <v>20.244300817817596</v>
          </cell>
          <cell r="LY165">
            <v>8.9209158454095991</v>
          </cell>
          <cell r="LZ165">
            <v>14.730476692982464</v>
          </cell>
          <cell r="MA165">
            <v>11.870949885755934</v>
          </cell>
          <cell r="MB165">
            <v>9.6544719773798295</v>
          </cell>
          <cell r="MC165">
            <v>14.087427794132038</v>
          </cell>
        </row>
        <row r="166">
          <cell r="A166">
            <v>39758</v>
          </cell>
          <cell r="LJ166">
            <v>12.58987298094951</v>
          </cell>
          <cell r="LK166">
            <v>20.020152274152959</v>
          </cell>
          <cell r="LL166">
            <v>17.982747259685677</v>
          </cell>
          <cell r="LM166">
            <v>15.721193701553757</v>
          </cell>
          <cell r="LN166">
            <v>20.244300817817596</v>
          </cell>
          <cell r="LY166">
            <v>8.4933527503598256</v>
          </cell>
          <cell r="LZ166">
            <v>14.730476692982464</v>
          </cell>
          <cell r="MA166">
            <v>11.870949885755934</v>
          </cell>
          <cell r="MB166">
            <v>9.6544719773798295</v>
          </cell>
          <cell r="MC166">
            <v>14.087427794132038</v>
          </cell>
        </row>
        <row r="167">
          <cell r="A167">
            <v>39759</v>
          </cell>
          <cell r="LJ167">
            <v>12.798249651029362</v>
          </cell>
          <cell r="LK167">
            <v>20.020152274152959</v>
          </cell>
          <cell r="LL167">
            <v>17.982747259685677</v>
          </cell>
          <cell r="LM167">
            <v>15.721193701553757</v>
          </cell>
          <cell r="LN167">
            <v>20.244300817817596</v>
          </cell>
          <cell r="LY167">
            <v>8.617227004458119</v>
          </cell>
          <cell r="LZ167">
            <v>14.730476692982464</v>
          </cell>
          <cell r="MA167">
            <v>11.870949885755934</v>
          </cell>
          <cell r="MB167">
            <v>9.6544719773798295</v>
          </cell>
          <cell r="MC167">
            <v>14.087427794132038</v>
          </cell>
        </row>
        <row r="168">
          <cell r="A168">
            <v>39762</v>
          </cell>
          <cell r="LJ168">
            <v>12.804496949253481</v>
          </cell>
          <cell r="LK168">
            <v>20.020152274152959</v>
          </cell>
          <cell r="LL168">
            <v>17.982747259685677</v>
          </cell>
          <cell r="LM168">
            <v>15.721193701553757</v>
          </cell>
          <cell r="LN168">
            <v>20.244300817817596</v>
          </cell>
          <cell r="LY168">
            <v>8.6299578252029008</v>
          </cell>
          <cell r="LZ168">
            <v>14.730476692982464</v>
          </cell>
          <cell r="MA168">
            <v>11.870949885755934</v>
          </cell>
          <cell r="MB168">
            <v>9.6544719773798295</v>
          </cell>
          <cell r="MC168">
            <v>14.087427794132038</v>
          </cell>
        </row>
        <row r="169">
          <cell r="A169">
            <v>39763</v>
          </cell>
          <cell r="LJ169">
            <v>12.488034357806766</v>
          </cell>
          <cell r="LK169">
            <v>20.020152274152959</v>
          </cell>
          <cell r="LL169">
            <v>17.982747259685677</v>
          </cell>
          <cell r="LM169">
            <v>15.721193701553757</v>
          </cell>
          <cell r="LN169">
            <v>20.244300817817596</v>
          </cell>
          <cell r="LY169">
            <v>8.4416704781603613</v>
          </cell>
          <cell r="LZ169">
            <v>14.730476692982464</v>
          </cell>
          <cell r="MA169">
            <v>11.870949885755934</v>
          </cell>
          <cell r="MB169">
            <v>9.6544719773798295</v>
          </cell>
          <cell r="MC169">
            <v>14.087427794132038</v>
          </cell>
        </row>
        <row r="170">
          <cell r="A170">
            <v>39764</v>
          </cell>
          <cell r="LJ170">
            <v>11.985279650946714</v>
          </cell>
          <cell r="LK170">
            <v>20.020152274152959</v>
          </cell>
          <cell r="LL170">
            <v>17.982747259685677</v>
          </cell>
          <cell r="LM170">
            <v>15.721193701553757</v>
          </cell>
          <cell r="LN170">
            <v>20.244300817817596</v>
          </cell>
          <cell r="LY170">
            <v>8.142543969921018</v>
          </cell>
          <cell r="LZ170">
            <v>14.730476692982464</v>
          </cell>
          <cell r="MA170">
            <v>11.870949885755934</v>
          </cell>
          <cell r="MB170">
            <v>9.6544719773798295</v>
          </cell>
          <cell r="MC170">
            <v>14.087427794132038</v>
          </cell>
        </row>
        <row r="171">
          <cell r="A171">
            <v>39765</v>
          </cell>
          <cell r="LJ171">
            <v>12.737166603262652</v>
          </cell>
          <cell r="LK171">
            <v>20.020152274152959</v>
          </cell>
          <cell r="LL171">
            <v>17.982747259685677</v>
          </cell>
          <cell r="LM171">
            <v>15.721193701553757</v>
          </cell>
          <cell r="LN171">
            <v>20.244300817817596</v>
          </cell>
          <cell r="LY171">
            <v>8.5898979490446674</v>
          </cell>
          <cell r="LZ171">
            <v>14.730476692982464</v>
          </cell>
          <cell r="MA171">
            <v>11.870949885755934</v>
          </cell>
          <cell r="MB171">
            <v>9.6544719773798295</v>
          </cell>
          <cell r="MC171">
            <v>14.087427794132038</v>
          </cell>
        </row>
        <row r="172">
          <cell r="A172">
            <v>39766</v>
          </cell>
          <cell r="LJ172">
            <v>12.157949398248091</v>
          </cell>
          <cell r="LK172">
            <v>20.020152274152959</v>
          </cell>
          <cell r="LL172">
            <v>17.982747259685677</v>
          </cell>
          <cell r="LM172">
            <v>15.721193701553757</v>
          </cell>
          <cell r="LN172">
            <v>20.244300817817596</v>
          </cell>
          <cell r="LY172">
            <v>8.2119845338824522</v>
          </cell>
          <cell r="LZ172">
            <v>14.730476692982464</v>
          </cell>
          <cell r="MA172">
            <v>11.870949885755934</v>
          </cell>
          <cell r="MB172">
            <v>9.6544719773798295</v>
          </cell>
          <cell r="MC172">
            <v>14.087427794132038</v>
          </cell>
        </row>
        <row r="173">
          <cell r="A173">
            <v>39769</v>
          </cell>
          <cell r="LJ173">
            <v>11.889626020538765</v>
          </cell>
          <cell r="LK173">
            <v>20.020152274152959</v>
          </cell>
          <cell r="LL173">
            <v>17.982747259685677</v>
          </cell>
          <cell r="LM173">
            <v>15.721193701553757</v>
          </cell>
          <cell r="LN173">
            <v>20.244300817817596</v>
          </cell>
          <cell r="LY173">
            <v>8.0530736014187276</v>
          </cell>
          <cell r="LZ173">
            <v>14.730476692982464</v>
          </cell>
          <cell r="MA173">
            <v>11.870949885755934</v>
          </cell>
          <cell r="MB173">
            <v>9.6544719773798295</v>
          </cell>
          <cell r="MC173">
            <v>14.087427794132038</v>
          </cell>
        </row>
        <row r="174">
          <cell r="A174">
            <v>39770</v>
          </cell>
          <cell r="LJ174">
            <v>12.189516549386305</v>
          </cell>
          <cell r="LK174">
            <v>20.020152274152959</v>
          </cell>
          <cell r="LL174">
            <v>17.982747259685677</v>
          </cell>
          <cell r="LM174">
            <v>15.721193701553757</v>
          </cell>
          <cell r="LN174">
            <v>20.244300817817596</v>
          </cell>
          <cell r="LY174">
            <v>8.2306797570323038</v>
          </cell>
          <cell r="LZ174">
            <v>14.730476692982464</v>
          </cell>
          <cell r="MA174">
            <v>11.870949885755934</v>
          </cell>
          <cell r="MB174">
            <v>9.6544719773798295</v>
          </cell>
          <cell r="MC174">
            <v>14.087427794132038</v>
          </cell>
        </row>
        <row r="175">
          <cell r="A175">
            <v>39771</v>
          </cell>
          <cell r="LJ175">
            <v>11.601010231213397</v>
          </cell>
          <cell r="LK175">
            <v>20.020152274152959</v>
          </cell>
          <cell r="LL175">
            <v>17.982747259685677</v>
          </cell>
          <cell r="LM175">
            <v>15.721193701553757</v>
          </cell>
          <cell r="LN175">
            <v>20.244300817817596</v>
          </cell>
          <cell r="LY175">
            <v>7.8821447595228369</v>
          </cell>
          <cell r="LZ175">
            <v>14.730476692982464</v>
          </cell>
          <cell r="MA175">
            <v>11.870949885755934</v>
          </cell>
          <cell r="MB175">
            <v>9.6544719773798295</v>
          </cell>
          <cell r="MC175">
            <v>14.087427794132038</v>
          </cell>
        </row>
        <row r="176">
          <cell r="A176">
            <v>39772</v>
          </cell>
          <cell r="LJ176">
            <v>11.15455485301551</v>
          </cell>
          <cell r="LK176">
            <v>20.020152274152959</v>
          </cell>
          <cell r="LL176">
            <v>17.982747259685677</v>
          </cell>
          <cell r="LM176">
            <v>15.721193701553757</v>
          </cell>
          <cell r="LN176">
            <v>20.244300817817596</v>
          </cell>
          <cell r="LY176">
            <v>7.6177375317272462</v>
          </cell>
          <cell r="LZ176">
            <v>14.730476692982464</v>
          </cell>
          <cell r="MA176">
            <v>11.870949885755934</v>
          </cell>
          <cell r="MB176">
            <v>9.6544719773798295</v>
          </cell>
          <cell r="MC176">
            <v>14.087427794132038</v>
          </cell>
        </row>
        <row r="177">
          <cell r="A177">
            <v>39773</v>
          </cell>
          <cell r="LJ177">
            <v>11.936975281617887</v>
          </cell>
          <cell r="LK177">
            <v>20.020152274152959</v>
          </cell>
          <cell r="LL177">
            <v>17.982747259685677</v>
          </cell>
          <cell r="LM177">
            <v>15.721193701553757</v>
          </cell>
          <cell r="LN177">
            <v>20.244300817817596</v>
          </cell>
          <cell r="LY177">
            <v>8.0811155681447975</v>
          </cell>
          <cell r="LZ177">
            <v>14.730476692982464</v>
          </cell>
          <cell r="MA177">
            <v>11.870949885755934</v>
          </cell>
          <cell r="MB177">
            <v>9.6544719773798295</v>
          </cell>
          <cell r="MC177">
            <v>14.087427794132038</v>
          </cell>
        </row>
        <row r="178">
          <cell r="A178">
            <v>39776</v>
          </cell>
          <cell r="LJ178">
            <v>12.586362442339114</v>
          </cell>
          <cell r="LK178">
            <v>20.020152274152959</v>
          </cell>
          <cell r="LL178">
            <v>17.982747259685677</v>
          </cell>
          <cell r="LM178">
            <v>15.721193701553757</v>
          </cell>
          <cell r="LN178">
            <v>20.244300817817596</v>
          </cell>
          <cell r="LY178">
            <v>8.465706430562955</v>
          </cell>
          <cell r="LZ178">
            <v>14.730476692982464</v>
          </cell>
          <cell r="MA178">
            <v>11.870949885755934</v>
          </cell>
          <cell r="MB178">
            <v>9.6544719773798295</v>
          </cell>
          <cell r="MC178">
            <v>14.087427794132038</v>
          </cell>
        </row>
        <row r="179">
          <cell r="A179">
            <v>39777</v>
          </cell>
          <cell r="LJ179">
            <v>12.575337512055251</v>
          </cell>
          <cell r="LK179">
            <v>20.020152274152959</v>
          </cell>
          <cell r="LL179">
            <v>17.982747259685677</v>
          </cell>
          <cell r="LM179">
            <v>15.721193701553757</v>
          </cell>
          <cell r="LN179">
            <v>20.244300817817596</v>
          </cell>
          <cell r="LY179">
            <v>8.4416704781603613</v>
          </cell>
          <cell r="LZ179">
            <v>14.730476692982464</v>
          </cell>
          <cell r="MA179">
            <v>11.870949885755934</v>
          </cell>
          <cell r="MB179">
            <v>9.6544719773798295</v>
          </cell>
          <cell r="MC179">
            <v>14.087427794132038</v>
          </cell>
        </row>
        <row r="180">
          <cell r="A180">
            <v>39778</v>
          </cell>
          <cell r="LJ180">
            <v>12.197893412489156</v>
          </cell>
          <cell r="LK180">
            <v>20.020152274152959</v>
          </cell>
          <cell r="LL180">
            <v>17.982747259685677</v>
          </cell>
          <cell r="LM180">
            <v>15.721193701553757</v>
          </cell>
          <cell r="LN180">
            <v>20.244300817817596</v>
          </cell>
          <cell r="LY180">
            <v>8.2186597109879447</v>
          </cell>
          <cell r="LZ180">
            <v>14.730476692982464</v>
          </cell>
          <cell r="MA180">
            <v>11.870949885755934</v>
          </cell>
          <cell r="MB180">
            <v>9.6544719773798295</v>
          </cell>
          <cell r="MC180">
            <v>14.087427794132038</v>
          </cell>
        </row>
        <row r="181">
          <cell r="A181">
            <v>39779</v>
          </cell>
          <cell r="LJ181">
            <v>12.197893412489156</v>
          </cell>
          <cell r="LK181">
            <v>20.020152274152959</v>
          </cell>
          <cell r="LL181">
            <v>17.982747259685677</v>
          </cell>
          <cell r="LM181">
            <v>15.721193701553757</v>
          </cell>
          <cell r="LN181">
            <v>20.244300817817596</v>
          </cell>
          <cell r="LY181">
            <v>8.2186597109879447</v>
          </cell>
          <cell r="LZ181">
            <v>14.730476692982464</v>
          </cell>
          <cell r="MA181">
            <v>11.870949885755934</v>
          </cell>
          <cell r="MB181">
            <v>9.6544719773798295</v>
          </cell>
          <cell r="MC181">
            <v>14.087427794132038</v>
          </cell>
        </row>
        <row r="182">
          <cell r="A182">
            <v>39780</v>
          </cell>
          <cell r="LJ182">
            <v>12.575337512055251</v>
          </cell>
          <cell r="LK182">
            <v>20.020152274152959</v>
          </cell>
          <cell r="LL182">
            <v>17.982747259685677</v>
          </cell>
          <cell r="LM182">
            <v>15.721193701553757</v>
          </cell>
          <cell r="LN182">
            <v>20.244300817817596</v>
          </cell>
          <cell r="LY182">
            <v>8.4416704781603613</v>
          </cell>
          <cell r="LZ182">
            <v>14.730476692982464</v>
          </cell>
          <cell r="MA182">
            <v>11.870949885755934</v>
          </cell>
          <cell r="MB182">
            <v>9.6544719773798295</v>
          </cell>
          <cell r="MC182">
            <v>14.087427794132038</v>
          </cell>
        </row>
        <row r="183">
          <cell r="A183">
            <v>39783</v>
          </cell>
          <cell r="LJ183">
            <v>11.500238422408067</v>
          </cell>
          <cell r="LK183">
            <v>20.020152274152959</v>
          </cell>
          <cell r="LL183">
            <v>17.982747259685677</v>
          </cell>
          <cell r="LM183">
            <v>15.721193701553757</v>
          </cell>
          <cell r="LN183">
            <v>20.244300817817596</v>
          </cell>
          <cell r="LY183">
            <v>7.8962551890308372</v>
          </cell>
          <cell r="LZ183">
            <v>14.730476692982464</v>
          </cell>
          <cell r="MA183">
            <v>11.870949885755934</v>
          </cell>
          <cell r="MB183">
            <v>9.6544719773798295</v>
          </cell>
          <cell r="MC183">
            <v>14.087427794132038</v>
          </cell>
        </row>
        <row r="184">
          <cell r="A184">
            <v>39784</v>
          </cell>
          <cell r="LJ184">
            <v>11.38564579717843</v>
          </cell>
          <cell r="LK184">
            <v>20.020152274152959</v>
          </cell>
          <cell r="LL184">
            <v>17.982747259685677</v>
          </cell>
          <cell r="LM184">
            <v>15.721193701553757</v>
          </cell>
          <cell r="LN184">
            <v>20.244300817817596</v>
          </cell>
          <cell r="LY184">
            <v>7.7848603271830621</v>
          </cell>
          <cell r="LZ184">
            <v>14.730476692982464</v>
          </cell>
          <cell r="MA184">
            <v>11.870949885755934</v>
          </cell>
          <cell r="MB184">
            <v>9.6544719773798295</v>
          </cell>
          <cell r="MC184">
            <v>14.087427794132038</v>
          </cell>
        </row>
        <row r="185">
          <cell r="A185">
            <v>39785</v>
          </cell>
          <cell r="LJ185">
            <v>11.678700621368293</v>
          </cell>
          <cell r="LK185">
            <v>20.020152274152959</v>
          </cell>
          <cell r="LL185">
            <v>17.982747259685677</v>
          </cell>
          <cell r="LM185">
            <v>15.721193701553757</v>
          </cell>
          <cell r="LN185">
            <v>20.244300817817596</v>
          </cell>
          <cell r="LY185">
            <v>7.9587465501831529</v>
          </cell>
          <cell r="LZ185">
            <v>14.730476692982464</v>
          </cell>
          <cell r="MA185">
            <v>11.870949885755934</v>
          </cell>
          <cell r="MB185">
            <v>9.6544719773798295</v>
          </cell>
          <cell r="MC185">
            <v>14.087427794132038</v>
          </cell>
        </row>
        <row r="186">
          <cell r="A186">
            <v>39786</v>
          </cell>
          <cell r="LJ186">
            <v>11.464856960691911</v>
          </cell>
          <cell r="LK186">
            <v>20.020152274152959</v>
          </cell>
          <cell r="LL186">
            <v>17.982747259685677</v>
          </cell>
          <cell r="LM186">
            <v>15.721193701553757</v>
          </cell>
          <cell r="LN186">
            <v>20.244300817817596</v>
          </cell>
          <cell r="LY186">
            <v>7.9158170580547509</v>
          </cell>
          <cell r="LZ186">
            <v>14.730476692982464</v>
          </cell>
          <cell r="MA186">
            <v>11.870949885755934</v>
          </cell>
          <cell r="MB186">
            <v>9.6544719773798295</v>
          </cell>
          <cell r="MC186">
            <v>14.087427794132038</v>
          </cell>
        </row>
        <row r="187">
          <cell r="A187">
            <v>39787</v>
          </cell>
          <cell r="LJ187">
            <v>11.626560911829388</v>
          </cell>
          <cell r="LK187">
            <v>20.020152274152959</v>
          </cell>
          <cell r="LL187">
            <v>17.982747259685677</v>
          </cell>
          <cell r="LM187">
            <v>15.721193701553757</v>
          </cell>
          <cell r="LN187">
            <v>20.244300817817596</v>
          </cell>
          <cell r="LY187">
            <v>8.0126794554649425</v>
          </cell>
          <cell r="LZ187">
            <v>14.730476692982464</v>
          </cell>
          <cell r="MA187">
            <v>11.870949885755934</v>
          </cell>
          <cell r="MB187">
            <v>9.6544719773798295</v>
          </cell>
          <cell r="MC187">
            <v>14.087427794132038</v>
          </cell>
        </row>
        <row r="188">
          <cell r="A188">
            <v>39790</v>
          </cell>
          <cell r="LJ188">
            <v>12.075911852337326</v>
          </cell>
          <cell r="LK188">
            <v>20.020152274152959</v>
          </cell>
          <cell r="LL188">
            <v>17.982747259685677</v>
          </cell>
          <cell r="LM188">
            <v>15.721193701553757</v>
          </cell>
          <cell r="LN188">
            <v>20.244300817817596</v>
          </cell>
          <cell r="LY188">
            <v>8.3251336120267752</v>
          </cell>
          <cell r="LZ188">
            <v>14.730476692982464</v>
          </cell>
          <cell r="MA188">
            <v>11.870949885755934</v>
          </cell>
          <cell r="MB188">
            <v>9.6544719773798295</v>
          </cell>
          <cell r="MC188">
            <v>14.087427794132038</v>
          </cell>
        </row>
        <row r="189">
          <cell r="A189">
            <v>39791</v>
          </cell>
          <cell r="LJ189">
            <v>12.089038025343752</v>
          </cell>
          <cell r="LK189">
            <v>20.020152274152959</v>
          </cell>
          <cell r="LL189">
            <v>17.982747259685677</v>
          </cell>
          <cell r="LM189">
            <v>15.721193701553757</v>
          </cell>
          <cell r="LN189">
            <v>20.244300817817596</v>
          </cell>
          <cell r="LY189">
            <v>8.1685023273801107</v>
          </cell>
          <cell r="LZ189">
            <v>14.730476692982464</v>
          </cell>
          <cell r="MA189">
            <v>11.870949885755934</v>
          </cell>
          <cell r="MB189">
            <v>9.6544719773798295</v>
          </cell>
          <cell r="MC189">
            <v>14.087427794132038</v>
          </cell>
        </row>
        <row r="190">
          <cell r="A190">
            <v>39792</v>
          </cell>
          <cell r="LJ190">
            <v>12.501342185195677</v>
          </cell>
          <cell r="LK190">
            <v>20.020152274152959</v>
          </cell>
          <cell r="LL190">
            <v>17.982747259685677</v>
          </cell>
          <cell r="LM190">
            <v>15.721193701553757</v>
          </cell>
          <cell r="LN190">
            <v>20.244300817817596</v>
          </cell>
          <cell r="LY190">
            <v>8.3707372257515047</v>
          </cell>
          <cell r="LZ190">
            <v>14.730476692982464</v>
          </cell>
          <cell r="MA190">
            <v>11.870949885755934</v>
          </cell>
          <cell r="MB190">
            <v>9.6544719773798295</v>
          </cell>
          <cell r="MC190">
            <v>14.087427794132038</v>
          </cell>
        </row>
        <row r="191">
          <cell r="A191">
            <v>39793</v>
          </cell>
          <cell r="LJ191">
            <v>12.280127596673886</v>
          </cell>
          <cell r="LK191">
            <v>20.020152274152959</v>
          </cell>
          <cell r="LL191">
            <v>17.982747259685677</v>
          </cell>
          <cell r="LM191">
            <v>15.721193701553757</v>
          </cell>
          <cell r="LN191">
            <v>20.244300817817596</v>
          </cell>
          <cell r="LY191">
            <v>8.1542595585547115</v>
          </cell>
          <cell r="LZ191">
            <v>14.730476692982464</v>
          </cell>
          <cell r="MA191">
            <v>11.870949885755934</v>
          </cell>
          <cell r="MB191">
            <v>9.6544719773798295</v>
          </cell>
          <cell r="MC191">
            <v>14.087427794132038</v>
          </cell>
        </row>
        <row r="192">
          <cell r="A192">
            <v>39794</v>
          </cell>
          <cell r="LJ192">
            <v>13.07800935947389</v>
          </cell>
          <cell r="LK192">
            <v>20.020152274152959</v>
          </cell>
          <cell r="LL192">
            <v>17.982747259685677</v>
          </cell>
          <cell r="LM192">
            <v>15.721193701553757</v>
          </cell>
          <cell r="LN192">
            <v>20.244300817817596</v>
          </cell>
          <cell r="LY192">
            <v>8.7159692719145667</v>
          </cell>
          <cell r="LZ192">
            <v>14.730476692982464</v>
          </cell>
          <cell r="MA192">
            <v>11.870949885755934</v>
          </cell>
          <cell r="MB192">
            <v>9.6544719773798295</v>
          </cell>
          <cell r="MC192">
            <v>14.087427794132038</v>
          </cell>
        </row>
        <row r="193">
          <cell r="A193">
            <v>39797</v>
          </cell>
          <cell r="LJ193">
            <v>13.156247395833335</v>
          </cell>
          <cell r="LK193">
            <v>20.020152274152959</v>
          </cell>
          <cell r="LL193">
            <v>17.982747259685677</v>
          </cell>
          <cell r="LM193">
            <v>15.721193701553757</v>
          </cell>
          <cell r="LN193">
            <v>20.244300817817596</v>
          </cell>
          <cell r="LY193">
            <v>8.728776307963896</v>
          </cell>
          <cell r="LZ193">
            <v>14.730476692982464</v>
          </cell>
          <cell r="MA193">
            <v>11.870949885755934</v>
          </cell>
          <cell r="MB193">
            <v>9.6544719773798295</v>
          </cell>
          <cell r="MC193">
            <v>14.087427794132038</v>
          </cell>
        </row>
        <row r="194">
          <cell r="A194">
            <v>39798</v>
          </cell>
          <cell r="LJ194">
            <v>14.13541640625</v>
          </cell>
          <cell r="LK194">
            <v>20.020152274152959</v>
          </cell>
          <cell r="LL194">
            <v>17.982747259685677</v>
          </cell>
          <cell r="LM194">
            <v>15.721193701553757</v>
          </cell>
          <cell r="LN194">
            <v>20.244300817817596</v>
          </cell>
          <cell r="LY194">
            <v>9.2937143371521618</v>
          </cell>
          <cell r="LZ194">
            <v>14.730476692982464</v>
          </cell>
          <cell r="MA194">
            <v>11.870949885755934</v>
          </cell>
          <cell r="MB194">
            <v>9.6544719773798295</v>
          </cell>
          <cell r="MC194">
            <v>14.087427794132038</v>
          </cell>
        </row>
        <row r="195">
          <cell r="A195">
            <v>39799</v>
          </cell>
          <cell r="LJ195">
            <v>14.052081250000001</v>
          </cell>
          <cell r="LK195">
            <v>20.020152274152959</v>
          </cell>
          <cell r="LL195">
            <v>17.982747259685677</v>
          </cell>
          <cell r="LM195">
            <v>15.721193701553757</v>
          </cell>
          <cell r="LN195">
            <v>20.244300817817596</v>
          </cell>
          <cell r="LY195">
            <v>9.2456335682214377</v>
          </cell>
          <cell r="LZ195">
            <v>14.730476692982464</v>
          </cell>
          <cell r="MA195">
            <v>11.870949885755934</v>
          </cell>
          <cell r="MB195">
            <v>9.6544719773798295</v>
          </cell>
          <cell r="MC195">
            <v>14.087427794132038</v>
          </cell>
        </row>
        <row r="196">
          <cell r="A196">
            <v>39800</v>
          </cell>
          <cell r="LJ196">
            <v>14.328122395833335</v>
          </cell>
          <cell r="LK196">
            <v>20.020152274152959</v>
          </cell>
          <cell r="LL196">
            <v>17.982747259685677</v>
          </cell>
          <cell r="LM196">
            <v>15.721193701553757</v>
          </cell>
          <cell r="LN196">
            <v>20.244300817817596</v>
          </cell>
          <cell r="LY196">
            <v>9.404897330904852</v>
          </cell>
          <cell r="LZ196">
            <v>14.730476692982464</v>
          </cell>
          <cell r="MA196">
            <v>11.870949885755934</v>
          </cell>
          <cell r="MB196">
            <v>9.6544719773798295</v>
          </cell>
          <cell r="MC196">
            <v>14.087427794132038</v>
          </cell>
        </row>
        <row r="197">
          <cell r="A197">
            <v>39801</v>
          </cell>
          <cell r="LJ197">
            <v>14.474693733766575</v>
          </cell>
          <cell r="LK197">
            <v>20.020152274152959</v>
          </cell>
          <cell r="LL197">
            <v>17.982747259685677</v>
          </cell>
          <cell r="LM197">
            <v>15.721193701553757</v>
          </cell>
          <cell r="LN197">
            <v>20.244300817817596</v>
          </cell>
          <cell r="LY197">
            <v>9.4109084975461457</v>
          </cell>
          <cell r="LZ197">
            <v>14.730476692982464</v>
          </cell>
          <cell r="MA197">
            <v>11.870949885755934</v>
          </cell>
          <cell r="MB197">
            <v>9.6544719773798295</v>
          </cell>
          <cell r="MC197">
            <v>14.087427794132038</v>
          </cell>
        </row>
        <row r="198">
          <cell r="A198">
            <v>39804</v>
          </cell>
          <cell r="LJ198">
            <v>14.319585791349885</v>
          </cell>
          <cell r="LK198">
            <v>20.020152274152959</v>
          </cell>
          <cell r="LL198">
            <v>17.982747259685677</v>
          </cell>
          <cell r="LM198">
            <v>15.721193701553757</v>
          </cell>
          <cell r="LN198">
            <v>20.244300817817596</v>
          </cell>
          <cell r="LY198">
            <v>9.3222597159933809</v>
          </cell>
          <cell r="LZ198">
            <v>14.730476692982464</v>
          </cell>
          <cell r="MA198">
            <v>11.870949885755934</v>
          </cell>
          <cell r="MB198">
            <v>9.6544719773798295</v>
          </cell>
          <cell r="MC198">
            <v>14.087427794132038</v>
          </cell>
        </row>
        <row r="199">
          <cell r="A199">
            <v>39805</v>
          </cell>
          <cell r="LJ199">
            <v>14.2170591606465</v>
          </cell>
          <cell r="LK199">
            <v>20.020152274152959</v>
          </cell>
          <cell r="LL199">
            <v>17.982747259685677</v>
          </cell>
          <cell r="LM199">
            <v>15.721193701553757</v>
          </cell>
          <cell r="LN199">
            <v>20.244300817817596</v>
          </cell>
          <cell r="LY199">
            <v>9.2636627109209471</v>
          </cell>
          <cell r="LZ199">
            <v>14.730476692982464</v>
          </cell>
          <cell r="MA199">
            <v>11.870949885755934</v>
          </cell>
          <cell r="MB199">
            <v>9.6544719773798295</v>
          </cell>
          <cell r="MC199">
            <v>14.087427794132038</v>
          </cell>
        </row>
        <row r="200">
          <cell r="A200">
            <v>39806</v>
          </cell>
          <cell r="LJ200">
            <v>14.377422000694029</v>
          </cell>
          <cell r="LK200">
            <v>20.020152274152959</v>
          </cell>
          <cell r="LL200">
            <v>17.982747259685677</v>
          </cell>
          <cell r="LM200">
            <v>15.721193701553757</v>
          </cell>
          <cell r="LN200">
            <v>20.244300817817596</v>
          </cell>
          <cell r="LY200">
            <v>9.3553148220576166</v>
          </cell>
          <cell r="LZ200">
            <v>14.730476692982464</v>
          </cell>
          <cell r="MA200">
            <v>11.870949885755934</v>
          </cell>
          <cell r="MB200">
            <v>9.6544719773798295</v>
          </cell>
          <cell r="MC200">
            <v>14.087427794132038</v>
          </cell>
        </row>
        <row r="201">
          <cell r="A201">
            <v>39807</v>
          </cell>
          <cell r="LJ201">
            <v>14.377422000694029</v>
          </cell>
          <cell r="LK201">
            <v>20.020152274152959</v>
          </cell>
          <cell r="LL201">
            <v>17.982747259685677</v>
          </cell>
          <cell r="LM201">
            <v>15.721193701553757</v>
          </cell>
          <cell r="LN201">
            <v>20.244300817817596</v>
          </cell>
          <cell r="LY201">
            <v>9.3553148220576166</v>
          </cell>
          <cell r="LZ201">
            <v>14.730476692982464</v>
          </cell>
          <cell r="MA201">
            <v>11.870949885755934</v>
          </cell>
          <cell r="MB201">
            <v>9.6544719773798295</v>
          </cell>
          <cell r="MC201">
            <v>14.087427794132038</v>
          </cell>
        </row>
        <row r="202">
          <cell r="A202">
            <v>39808</v>
          </cell>
          <cell r="LJ202">
            <v>14.393198523612732</v>
          </cell>
          <cell r="LK202">
            <v>20.020152274152959</v>
          </cell>
          <cell r="LL202">
            <v>17.982747259685677</v>
          </cell>
          <cell r="LM202">
            <v>15.721193701553757</v>
          </cell>
          <cell r="LN202">
            <v>20.244300817817596</v>
          </cell>
          <cell r="LY202">
            <v>9.364331572019557</v>
          </cell>
          <cell r="LZ202">
            <v>14.730476692982464</v>
          </cell>
          <cell r="MA202">
            <v>11.870949885755934</v>
          </cell>
          <cell r="MB202">
            <v>9.6544719773798295</v>
          </cell>
          <cell r="MC202">
            <v>14.087427794132038</v>
          </cell>
        </row>
        <row r="203">
          <cell r="A203">
            <v>39811</v>
          </cell>
          <cell r="LJ203">
            <v>14.353762736994859</v>
          </cell>
          <cell r="LK203">
            <v>20.020152274152959</v>
          </cell>
          <cell r="LL203">
            <v>17.982747259685677</v>
          </cell>
          <cell r="LM203">
            <v>15.721193701553757</v>
          </cell>
          <cell r="LN203">
            <v>20.244300817817596</v>
          </cell>
          <cell r="LY203">
            <v>9.3417928523461455</v>
          </cell>
          <cell r="LZ203">
            <v>14.730476692982464</v>
          </cell>
          <cell r="MA203">
            <v>11.870949885755934</v>
          </cell>
          <cell r="MB203">
            <v>9.6544719773798295</v>
          </cell>
          <cell r="MC203">
            <v>14.087427794132038</v>
          </cell>
        </row>
        <row r="204">
          <cell r="A204">
            <v>39812</v>
          </cell>
          <cell r="LJ204">
            <v>14.619279788005931</v>
          </cell>
          <cell r="LK204">
            <v>20.020152274152959</v>
          </cell>
          <cell r="LL204">
            <v>17.982747259685677</v>
          </cell>
          <cell r="LM204">
            <v>15.721193701553757</v>
          </cell>
          <cell r="LN204">
            <v>20.244300817817596</v>
          </cell>
          <cell r="LY204">
            <v>9.4935437084717584</v>
          </cell>
          <cell r="LZ204">
            <v>14.730476692982464</v>
          </cell>
          <cell r="MA204">
            <v>11.870949885755934</v>
          </cell>
          <cell r="MB204">
            <v>9.6544719773798295</v>
          </cell>
          <cell r="MC204">
            <v>14.087427794132038</v>
          </cell>
        </row>
        <row r="205">
          <cell r="A205">
            <v>39813</v>
          </cell>
          <cell r="LJ205">
            <v>14.882169258756848</v>
          </cell>
          <cell r="LK205">
            <v>20.020152274152959</v>
          </cell>
          <cell r="LL205">
            <v>17.982747259685677</v>
          </cell>
          <cell r="LM205">
            <v>15.721193701553757</v>
          </cell>
          <cell r="LN205">
            <v>20.244300817817596</v>
          </cell>
          <cell r="LY205">
            <v>9.6437928246808582</v>
          </cell>
          <cell r="LZ205">
            <v>14.730476692982464</v>
          </cell>
          <cell r="MA205">
            <v>11.870949885755934</v>
          </cell>
          <cell r="MB205">
            <v>9.6544719773798295</v>
          </cell>
          <cell r="MC205">
            <v>14.087427794132038</v>
          </cell>
        </row>
        <row r="206">
          <cell r="A206">
            <v>39814</v>
          </cell>
          <cell r="LJ206">
            <v>14.844406664995766</v>
          </cell>
          <cell r="LK206">
            <v>20.020152274152959</v>
          </cell>
          <cell r="LL206">
            <v>17.982747259685677</v>
          </cell>
          <cell r="LM206">
            <v>15.721193701553757</v>
          </cell>
          <cell r="LN206">
            <v>20.244300817817596</v>
          </cell>
          <cell r="LY206">
            <v>9.6126874598757581</v>
          </cell>
          <cell r="LZ206">
            <v>14.730476692982464</v>
          </cell>
          <cell r="MA206">
            <v>11.870949885755934</v>
          </cell>
          <cell r="MB206">
            <v>9.6544719773798295</v>
          </cell>
          <cell r="MC206">
            <v>14.087427794132038</v>
          </cell>
        </row>
        <row r="207">
          <cell r="A207">
            <v>39815</v>
          </cell>
          <cell r="LJ207">
            <v>15.156451851160593</v>
          </cell>
          <cell r="LK207">
            <v>20.020152274152959</v>
          </cell>
          <cell r="LL207">
            <v>17.982747259685677</v>
          </cell>
          <cell r="LM207">
            <v>15.721193701553757</v>
          </cell>
          <cell r="LN207">
            <v>20.244300817817596</v>
          </cell>
          <cell r="LY207">
            <v>9.790907512522816</v>
          </cell>
          <cell r="LZ207">
            <v>14.730476692982464</v>
          </cell>
          <cell r="MA207">
            <v>11.870949885755934</v>
          </cell>
          <cell r="MB207">
            <v>9.6544719773798295</v>
          </cell>
          <cell r="MC207">
            <v>14.087427794132038</v>
          </cell>
        </row>
        <row r="208">
          <cell r="A208">
            <v>39818</v>
          </cell>
          <cell r="LJ208">
            <v>14.923074173105004</v>
          </cell>
          <cell r="LK208">
            <v>20.020152274152959</v>
          </cell>
          <cell r="LL208">
            <v>17.982747259685677</v>
          </cell>
          <cell r="LM208">
            <v>15.721193701553757</v>
          </cell>
          <cell r="LN208">
            <v>20.244300817817596</v>
          </cell>
          <cell r="LY208">
            <v>9.6576172586948168</v>
          </cell>
          <cell r="LZ208">
            <v>14.730476692982464</v>
          </cell>
          <cell r="MA208">
            <v>11.870949885755934</v>
          </cell>
          <cell r="MB208">
            <v>9.6544719773798295</v>
          </cell>
          <cell r="MC208">
            <v>14.087427794132038</v>
          </cell>
        </row>
        <row r="209">
          <cell r="A209">
            <v>39819</v>
          </cell>
          <cell r="LJ209">
            <v>15.143343877589116</v>
          </cell>
          <cell r="LK209">
            <v>20.020152274152959</v>
          </cell>
          <cell r="LL209">
            <v>17.982747259685677</v>
          </cell>
          <cell r="LM209">
            <v>15.721193701553757</v>
          </cell>
          <cell r="LN209">
            <v>20.244300817817596</v>
          </cell>
          <cell r="LY209">
            <v>9.7834210847758722</v>
          </cell>
          <cell r="LZ209">
            <v>14.730476692982464</v>
          </cell>
          <cell r="MA209">
            <v>11.870949885755934</v>
          </cell>
          <cell r="MB209">
            <v>9.6544719773798295</v>
          </cell>
          <cell r="MC209">
            <v>14.087427794132038</v>
          </cell>
        </row>
        <row r="210">
          <cell r="A210">
            <v>39820</v>
          </cell>
          <cell r="LJ210">
            <v>14.736898363471457</v>
          </cell>
          <cell r="LK210">
            <v>20.020152274152959</v>
          </cell>
          <cell r="LL210">
            <v>17.982747259685677</v>
          </cell>
          <cell r="LM210">
            <v>15.721193701553757</v>
          </cell>
          <cell r="LN210">
            <v>20.244300817817596</v>
          </cell>
          <cell r="LY210">
            <v>9.5512856629336405</v>
          </cell>
          <cell r="LZ210">
            <v>14.730476692982464</v>
          </cell>
          <cell r="MA210">
            <v>11.870949885755934</v>
          </cell>
          <cell r="MB210">
            <v>9.6544719773798295</v>
          </cell>
          <cell r="MC210">
            <v>14.087427794132038</v>
          </cell>
        </row>
        <row r="211">
          <cell r="A211">
            <v>39821</v>
          </cell>
          <cell r="LJ211">
            <v>14.563830789631796</v>
          </cell>
          <cell r="LK211">
            <v>20.020152274152959</v>
          </cell>
          <cell r="LL211">
            <v>17.982747259685677</v>
          </cell>
          <cell r="LM211">
            <v>15.721193701553757</v>
          </cell>
          <cell r="LN211">
            <v>20.244300817817596</v>
          </cell>
          <cell r="LY211">
            <v>9.4524406446839091</v>
          </cell>
          <cell r="LZ211">
            <v>14.730476692982464</v>
          </cell>
          <cell r="MA211">
            <v>11.870949885755934</v>
          </cell>
          <cell r="MB211">
            <v>9.6544719773798295</v>
          </cell>
          <cell r="MC211">
            <v>14.087427794132038</v>
          </cell>
        </row>
        <row r="212">
          <cell r="A212">
            <v>39822</v>
          </cell>
          <cell r="LJ212">
            <v>14.322586701654407</v>
          </cell>
          <cell r="LK212">
            <v>20.020152274152959</v>
          </cell>
          <cell r="LL212">
            <v>17.982747259685677</v>
          </cell>
          <cell r="LM212">
            <v>15.721193701553757</v>
          </cell>
          <cell r="LN212">
            <v>20.244300817817596</v>
          </cell>
          <cell r="LY212">
            <v>9.314657605667847</v>
          </cell>
          <cell r="LZ212">
            <v>14.730476692982464</v>
          </cell>
          <cell r="MA212">
            <v>11.870949885755934</v>
          </cell>
          <cell r="MB212">
            <v>9.6544719773798295</v>
          </cell>
          <cell r="MC212">
            <v>14.087427794132038</v>
          </cell>
        </row>
        <row r="213">
          <cell r="A213">
            <v>39825</v>
          </cell>
          <cell r="LJ213">
            <v>14.312095445460495</v>
          </cell>
          <cell r="LK213">
            <v>20.020152274152959</v>
          </cell>
          <cell r="LL213">
            <v>17.982747259685677</v>
          </cell>
          <cell r="LM213">
            <v>15.721193701553757</v>
          </cell>
          <cell r="LN213">
            <v>20.244300817817596</v>
          </cell>
          <cell r="LY213">
            <v>9.3086656778506214</v>
          </cell>
          <cell r="LZ213">
            <v>14.730476692982464</v>
          </cell>
          <cell r="MA213">
            <v>11.870949885755934</v>
          </cell>
          <cell r="MB213">
            <v>9.6544719773798295</v>
          </cell>
          <cell r="MC213">
            <v>14.087427794132038</v>
          </cell>
        </row>
        <row r="214">
          <cell r="A214">
            <v>39826</v>
          </cell>
          <cell r="LJ214">
            <v>13.900408367693155</v>
          </cell>
          <cell r="LK214">
            <v>20.020152274152959</v>
          </cell>
          <cell r="LL214">
            <v>17.982747259685677</v>
          </cell>
          <cell r="LM214">
            <v>15.721193701553757</v>
          </cell>
          <cell r="LN214">
            <v>20.244300817817596</v>
          </cell>
          <cell r="LY214">
            <v>9.0735366134495017</v>
          </cell>
          <cell r="LZ214">
            <v>14.730476692982464</v>
          </cell>
          <cell r="MA214">
            <v>11.870949885755934</v>
          </cell>
          <cell r="MB214">
            <v>9.6544719773798295</v>
          </cell>
          <cell r="MC214">
            <v>14.087427794132038</v>
          </cell>
        </row>
        <row r="215">
          <cell r="A215">
            <v>39827</v>
          </cell>
          <cell r="LJ215">
            <v>13.874184553878051</v>
          </cell>
          <cell r="LK215">
            <v>20.020152274152959</v>
          </cell>
          <cell r="LL215">
            <v>17.982747259685677</v>
          </cell>
          <cell r="LM215">
            <v>15.721193701553757</v>
          </cell>
          <cell r="LN215">
            <v>20.244300817817596</v>
          </cell>
          <cell r="LY215">
            <v>9.0585592650206568</v>
          </cell>
          <cell r="LZ215">
            <v>14.730476692982464</v>
          </cell>
          <cell r="MA215">
            <v>11.870949885755934</v>
          </cell>
          <cell r="MB215">
            <v>9.6544719773798295</v>
          </cell>
          <cell r="MC215">
            <v>14.087427794132038</v>
          </cell>
        </row>
        <row r="216">
          <cell r="A216">
            <v>39828</v>
          </cell>
          <cell r="LJ216">
            <v>14.194096149964675</v>
          </cell>
          <cell r="LK216">
            <v>20.020152274152959</v>
          </cell>
          <cell r="LL216">
            <v>17.982747259685677</v>
          </cell>
          <cell r="LM216">
            <v>15.721193701553757</v>
          </cell>
          <cell r="LN216">
            <v>20.244300817817596</v>
          </cell>
          <cell r="LY216">
            <v>9.2412721028557723</v>
          </cell>
          <cell r="LZ216">
            <v>14.730476692982464</v>
          </cell>
          <cell r="MA216">
            <v>11.870949885755934</v>
          </cell>
          <cell r="MB216">
            <v>9.6544719773798295</v>
          </cell>
          <cell r="MC216">
            <v>14.087427794132038</v>
          </cell>
        </row>
        <row r="217">
          <cell r="A217">
            <v>39829</v>
          </cell>
          <cell r="LJ217">
            <v>14.151040576993804</v>
          </cell>
          <cell r="LK217">
            <v>20.020152274152959</v>
          </cell>
          <cell r="LL217">
            <v>17.982747259685677</v>
          </cell>
          <cell r="LM217">
            <v>15.721193701553757</v>
          </cell>
          <cell r="LN217">
            <v>20.244300817817596</v>
          </cell>
          <cell r="LY217">
            <v>9.2113196524655603</v>
          </cell>
          <cell r="LZ217">
            <v>14.730476692982464</v>
          </cell>
          <cell r="MA217">
            <v>11.870949885755934</v>
          </cell>
          <cell r="MB217">
            <v>9.6544719773798295</v>
          </cell>
          <cell r="MC217">
            <v>14.087427794132038</v>
          </cell>
        </row>
        <row r="218">
          <cell r="A218">
            <v>39832</v>
          </cell>
          <cell r="LJ218">
            <v>14.151040576993804</v>
          </cell>
          <cell r="LK218">
            <v>20.020152274152959</v>
          </cell>
          <cell r="LL218">
            <v>17.982747259685677</v>
          </cell>
          <cell r="LM218">
            <v>15.721193701553757</v>
          </cell>
          <cell r="LN218">
            <v>20.244300817817596</v>
          </cell>
          <cell r="LY218">
            <v>9.2113196524655603</v>
          </cell>
          <cell r="LZ218">
            <v>14.730476692982464</v>
          </cell>
          <cell r="MA218">
            <v>11.870949885755934</v>
          </cell>
          <cell r="MB218">
            <v>9.6544719773798295</v>
          </cell>
          <cell r="MC218">
            <v>14.087427794132038</v>
          </cell>
        </row>
        <row r="219">
          <cell r="A219">
            <v>39833</v>
          </cell>
          <cell r="LJ219">
            <v>13.531784873368819</v>
          </cell>
          <cell r="LK219">
            <v>20.020152274152959</v>
          </cell>
          <cell r="LL219">
            <v>17.982747259685677</v>
          </cell>
          <cell r="LM219">
            <v>15.721193701553757</v>
          </cell>
          <cell r="LN219">
            <v>20.244300817817596</v>
          </cell>
          <cell r="LY219">
            <v>8.8578754361978049</v>
          </cell>
          <cell r="LZ219">
            <v>14.730476692982464</v>
          </cell>
          <cell r="MA219">
            <v>11.870949885755934</v>
          </cell>
          <cell r="MB219">
            <v>9.6544719773798295</v>
          </cell>
          <cell r="MC219">
            <v>14.087427794132038</v>
          </cell>
        </row>
        <row r="220">
          <cell r="A220">
            <v>39834</v>
          </cell>
          <cell r="LJ220">
            <v>13.721507281616432</v>
          </cell>
          <cell r="LK220">
            <v>20.020152274152959</v>
          </cell>
          <cell r="LL220">
            <v>17.982747259685677</v>
          </cell>
          <cell r="LM220">
            <v>15.721193701553757</v>
          </cell>
          <cell r="LN220">
            <v>20.244300817817596</v>
          </cell>
          <cell r="LY220">
            <v>8.9916986272302548</v>
          </cell>
          <cell r="LZ220">
            <v>14.730476692982464</v>
          </cell>
          <cell r="MA220">
            <v>11.870949885755934</v>
          </cell>
          <cell r="MB220">
            <v>9.6544719773798295</v>
          </cell>
          <cell r="MC220">
            <v>14.087427794132038</v>
          </cell>
        </row>
        <row r="221">
          <cell r="A221">
            <v>39835</v>
          </cell>
          <cell r="LJ221">
            <v>13.631804475523271</v>
          </cell>
          <cell r="LK221">
            <v>20.020152274152959</v>
          </cell>
          <cell r="LL221">
            <v>17.982747259685677</v>
          </cell>
          <cell r="LM221">
            <v>15.721193701553757</v>
          </cell>
          <cell r="LN221">
            <v>20.244300817817596</v>
          </cell>
          <cell r="LY221">
            <v>8.9590968261321731</v>
          </cell>
          <cell r="LZ221">
            <v>14.730476692982464</v>
          </cell>
          <cell r="MA221">
            <v>11.870949885755934</v>
          </cell>
          <cell r="MB221">
            <v>9.6544719773798295</v>
          </cell>
          <cell r="MC221">
            <v>14.087427794132038</v>
          </cell>
        </row>
        <row r="222">
          <cell r="A222">
            <v>39836</v>
          </cell>
          <cell r="LJ222">
            <v>13.529052162608217</v>
          </cell>
          <cell r="LK222">
            <v>20.020152274152959</v>
          </cell>
          <cell r="LL222">
            <v>17.982747259685677</v>
          </cell>
          <cell r="LM222">
            <v>15.721193701553757</v>
          </cell>
          <cell r="LN222">
            <v>20.244300817817596</v>
          </cell>
          <cell r="LY222">
            <v>8.9001905364806007</v>
          </cell>
          <cell r="LZ222">
            <v>14.730476692982464</v>
          </cell>
          <cell r="MA222">
            <v>11.870949885755934</v>
          </cell>
          <cell r="MB222">
            <v>9.6544719773798295</v>
          </cell>
          <cell r="MC222">
            <v>14.087427794132038</v>
          </cell>
        </row>
        <row r="223">
          <cell r="A223">
            <v>39839</v>
          </cell>
          <cell r="LJ223">
            <v>14.783066907081794</v>
          </cell>
          <cell r="LK223">
            <v>20.020152274152959</v>
          </cell>
          <cell r="LL223">
            <v>17.982747259685677</v>
          </cell>
          <cell r="LM223">
            <v>15.721193701553757</v>
          </cell>
          <cell r="LN223">
            <v>20.244300817817596</v>
          </cell>
          <cell r="LY223">
            <v>9.6271816614758521</v>
          </cell>
          <cell r="LZ223">
            <v>14.730476692982464</v>
          </cell>
          <cell r="MA223">
            <v>11.870949885755934</v>
          </cell>
          <cell r="MB223">
            <v>9.6544719773798295</v>
          </cell>
          <cell r="MC223">
            <v>14.087427794132038</v>
          </cell>
        </row>
        <row r="224">
          <cell r="A224">
            <v>39840</v>
          </cell>
          <cell r="LJ224">
            <v>15.085997047075793</v>
          </cell>
          <cell r="LK224">
            <v>20.020152274152959</v>
          </cell>
          <cell r="LL224">
            <v>17.982747259685677</v>
          </cell>
          <cell r="LM224">
            <v>15.721193701553757</v>
          </cell>
          <cell r="LN224">
            <v>20.244300817817596</v>
          </cell>
          <cell r="LY224">
            <v>9.7980774015331118</v>
          </cell>
          <cell r="LZ224">
            <v>14.730476692982464</v>
          </cell>
          <cell r="MA224">
            <v>11.870949885755934</v>
          </cell>
          <cell r="MB224">
            <v>9.6544719773798295</v>
          </cell>
          <cell r="MC224">
            <v>14.087427794132038</v>
          </cell>
        </row>
        <row r="225">
          <cell r="A225">
            <v>39841</v>
          </cell>
          <cell r="LJ225">
            <v>15.245416361690904</v>
          </cell>
          <cell r="LK225">
            <v>20.020152274152959</v>
          </cell>
          <cell r="LL225">
            <v>17.982747259685677</v>
          </cell>
          <cell r="LM225">
            <v>15.721193701553757</v>
          </cell>
          <cell r="LN225">
            <v>20.244300817817596</v>
          </cell>
          <cell r="LY225">
            <v>9.9287654253323243</v>
          </cell>
          <cell r="LZ225">
            <v>14.730476692982464</v>
          </cell>
          <cell r="MA225">
            <v>11.870949885755934</v>
          </cell>
          <cell r="MB225">
            <v>9.6544719773798295</v>
          </cell>
          <cell r="MC225">
            <v>14.087427794132038</v>
          </cell>
        </row>
        <row r="226">
          <cell r="A226">
            <v>39842</v>
          </cell>
          <cell r="LJ226">
            <v>14.96369620179809</v>
          </cell>
          <cell r="LK226">
            <v>20.020152274152959</v>
          </cell>
          <cell r="LL226">
            <v>17.982747259685677</v>
          </cell>
          <cell r="LM226">
            <v>15.721193701553757</v>
          </cell>
          <cell r="LN226">
            <v>20.244300817817596</v>
          </cell>
          <cell r="LY226">
            <v>9.7706467851244838</v>
          </cell>
          <cell r="LZ226">
            <v>14.730476692982464</v>
          </cell>
          <cell r="MA226">
            <v>11.870949885755934</v>
          </cell>
          <cell r="MB226">
            <v>9.6544719773798295</v>
          </cell>
          <cell r="MC226">
            <v>14.087427794132038</v>
          </cell>
        </row>
        <row r="227">
          <cell r="A227">
            <v>39843</v>
          </cell>
          <cell r="LJ227">
            <v>14.763090509398129</v>
          </cell>
          <cell r="LK227">
            <v>20.020152274152959</v>
          </cell>
          <cell r="LL227">
            <v>17.982747259685677</v>
          </cell>
          <cell r="LM227">
            <v>15.721193701553757</v>
          </cell>
          <cell r="LN227">
            <v>20.244300817817596</v>
          </cell>
          <cell r="LY227">
            <v>9.6551001970552015</v>
          </cell>
          <cell r="LZ227">
            <v>14.730476692982464</v>
          </cell>
          <cell r="MA227">
            <v>11.870949885755934</v>
          </cell>
          <cell r="MB227">
            <v>9.6544719773798295</v>
          </cell>
          <cell r="MC227">
            <v>14.087427794132038</v>
          </cell>
        </row>
        <row r="228">
          <cell r="A228">
            <v>39846</v>
          </cell>
          <cell r="LJ228">
            <v>14.614300439026612</v>
          </cell>
          <cell r="LK228">
            <v>20.020152274152959</v>
          </cell>
          <cell r="LL228">
            <v>17.982747259685677</v>
          </cell>
          <cell r="LM228">
            <v>15.721193701553757</v>
          </cell>
          <cell r="LN228">
            <v>20.244300817817596</v>
          </cell>
          <cell r="LY228">
            <v>9.5731101217235945</v>
          </cell>
          <cell r="LZ228">
            <v>14.730476692982464</v>
          </cell>
          <cell r="MA228">
            <v>11.870949885755934</v>
          </cell>
          <cell r="MB228">
            <v>9.6544719773798295</v>
          </cell>
          <cell r="MC228">
            <v>14.087427794132038</v>
          </cell>
        </row>
        <row r="229">
          <cell r="A229">
            <v>39847</v>
          </cell>
          <cell r="LJ229">
            <v>14.764762530728577</v>
          </cell>
          <cell r="LK229">
            <v>20.020152274152959</v>
          </cell>
          <cell r="LL229">
            <v>17.982747259685677</v>
          </cell>
          <cell r="LM229">
            <v>15.721193701553757</v>
          </cell>
          <cell r="LN229">
            <v>20.244300817817596</v>
          </cell>
          <cell r="LY229">
            <v>9.6610270204715452</v>
          </cell>
          <cell r="LZ229">
            <v>14.730476692982464</v>
          </cell>
          <cell r="MA229">
            <v>11.870949885755934</v>
          </cell>
          <cell r="MB229">
            <v>9.6544719773798295</v>
          </cell>
          <cell r="MC229">
            <v>14.087427794132038</v>
          </cell>
        </row>
        <row r="230">
          <cell r="A230">
            <v>39848</v>
          </cell>
          <cell r="LJ230">
            <v>14.843634929608607</v>
          </cell>
          <cell r="LK230">
            <v>20.020152274152959</v>
          </cell>
          <cell r="LL230">
            <v>17.982747259685677</v>
          </cell>
          <cell r="LM230">
            <v>15.721193701553757</v>
          </cell>
          <cell r="LN230">
            <v>20.244300817817596</v>
          </cell>
          <cell r="LY230">
            <v>9.7065015763783862</v>
          </cell>
          <cell r="LZ230">
            <v>14.730476692982464</v>
          </cell>
          <cell r="MA230">
            <v>11.870949885755934</v>
          </cell>
          <cell r="MB230">
            <v>9.6544719773798295</v>
          </cell>
          <cell r="MC230">
            <v>14.087427794132038</v>
          </cell>
        </row>
        <row r="231">
          <cell r="A231">
            <v>39849</v>
          </cell>
          <cell r="LJ231">
            <v>15.240620456668182</v>
          </cell>
          <cell r="LK231">
            <v>20.020152274152959</v>
          </cell>
          <cell r="LL231">
            <v>17.982747259685677</v>
          </cell>
          <cell r="LM231">
            <v>15.721193701553757</v>
          </cell>
          <cell r="LN231">
            <v>20.244300817817596</v>
          </cell>
          <cell r="LY231">
            <v>9.9353869760977123</v>
          </cell>
          <cell r="LZ231">
            <v>14.730476692982464</v>
          </cell>
          <cell r="MA231">
            <v>11.870949885755934</v>
          </cell>
          <cell r="MB231">
            <v>9.6544719773798295</v>
          </cell>
          <cell r="MC231">
            <v>14.087427794132038</v>
          </cell>
        </row>
        <row r="232">
          <cell r="A232">
            <v>39850</v>
          </cell>
          <cell r="LJ232">
            <v>15.390478619222586</v>
          </cell>
          <cell r="LK232">
            <v>20.020152274152959</v>
          </cell>
          <cell r="LL232">
            <v>17.982747259685677</v>
          </cell>
          <cell r="LM232">
            <v>15.721193701553757</v>
          </cell>
          <cell r="LN232">
            <v>20.244300817817596</v>
          </cell>
          <cell r="LY232">
            <v>10.02178898095549</v>
          </cell>
          <cell r="LZ232">
            <v>14.730476692982464</v>
          </cell>
          <cell r="MA232">
            <v>11.870949885755934</v>
          </cell>
          <cell r="MB232">
            <v>9.6544719773798295</v>
          </cell>
          <cell r="MC232">
            <v>14.087427794132038</v>
          </cell>
        </row>
        <row r="233">
          <cell r="A233">
            <v>39853</v>
          </cell>
          <cell r="LJ233">
            <v>15.253290746549029</v>
          </cell>
          <cell r="LK233">
            <v>20.020152274152959</v>
          </cell>
          <cell r="LL233">
            <v>17.982747259685677</v>
          </cell>
          <cell r="LM233">
            <v>15.721193701553757</v>
          </cell>
          <cell r="LN233">
            <v>20.244300817817596</v>
          </cell>
          <cell r="LY233">
            <v>9.9278099297811249</v>
          </cell>
          <cell r="LZ233">
            <v>14.730476692982464</v>
          </cell>
          <cell r="MA233">
            <v>11.870949885755934</v>
          </cell>
          <cell r="MB233">
            <v>9.6544719773798295</v>
          </cell>
          <cell r="MC233">
            <v>14.087427794132038</v>
          </cell>
        </row>
        <row r="234">
          <cell r="A234">
            <v>39854</v>
          </cell>
          <cell r="LJ234">
            <v>14.718688441700859</v>
          </cell>
          <cell r="LK234">
            <v>20.020152274152959</v>
          </cell>
          <cell r="LL234">
            <v>17.982747259685677</v>
          </cell>
          <cell r="LM234">
            <v>15.721193701553757</v>
          </cell>
          <cell r="LN234">
            <v>20.244300817817596</v>
          </cell>
          <cell r="LY234">
            <v>9.6201019968060031</v>
          </cell>
          <cell r="LZ234">
            <v>14.730476692982464</v>
          </cell>
          <cell r="MA234">
            <v>11.870949885755934</v>
          </cell>
          <cell r="MB234">
            <v>9.6544719773798295</v>
          </cell>
          <cell r="MC234">
            <v>14.087427794132038</v>
          </cell>
        </row>
        <row r="235">
          <cell r="A235">
            <v>39855</v>
          </cell>
          <cell r="LJ235">
            <v>14.847727807411164</v>
          </cell>
          <cell r="LK235">
            <v>20.020152274152959</v>
          </cell>
          <cell r="LL235">
            <v>17.982747259685677</v>
          </cell>
          <cell r="LM235">
            <v>15.721193701553757</v>
          </cell>
          <cell r="LN235">
            <v>20.244300817817596</v>
          </cell>
          <cell r="LY235">
            <v>9.6943748462401569</v>
          </cell>
          <cell r="LZ235">
            <v>14.730476692982464</v>
          </cell>
          <cell r="MA235">
            <v>11.870949885755934</v>
          </cell>
          <cell r="MB235">
            <v>9.6544719773798295</v>
          </cell>
          <cell r="MC235">
            <v>14.087427794132038</v>
          </cell>
        </row>
        <row r="236">
          <cell r="A236">
            <v>39856</v>
          </cell>
          <cell r="LJ236">
            <v>14.842459733630742</v>
          </cell>
          <cell r="LK236">
            <v>20.020152274152959</v>
          </cell>
          <cell r="LL236">
            <v>17.982747259685677</v>
          </cell>
          <cell r="LM236">
            <v>15.721193701553757</v>
          </cell>
          <cell r="LN236">
            <v>20.244300817817596</v>
          </cell>
          <cell r="LY236">
            <v>9.6670464380383887</v>
          </cell>
          <cell r="LZ236">
            <v>14.730476692982464</v>
          </cell>
          <cell r="MA236">
            <v>11.870949885755934</v>
          </cell>
          <cell r="MB236">
            <v>9.6544719773798295</v>
          </cell>
          <cell r="MC236">
            <v>14.087427794132038</v>
          </cell>
        </row>
        <row r="237">
          <cell r="A237">
            <v>39857</v>
          </cell>
          <cell r="LJ237">
            <v>14.847727807411164</v>
          </cell>
          <cell r="LK237">
            <v>20.020152274152959</v>
          </cell>
          <cell r="LL237">
            <v>17.982747259685677</v>
          </cell>
          <cell r="LM237">
            <v>15.721193701553757</v>
          </cell>
          <cell r="LN237">
            <v>20.244300817817596</v>
          </cell>
          <cell r="LY237">
            <v>9.6700700275908513</v>
          </cell>
          <cell r="LZ237">
            <v>14.730476692982464</v>
          </cell>
          <cell r="MA237">
            <v>11.870949885755934</v>
          </cell>
          <cell r="MB237">
            <v>9.6544719773798295</v>
          </cell>
          <cell r="MC237">
            <v>14.087427794132038</v>
          </cell>
        </row>
        <row r="238">
          <cell r="A238">
            <v>39860</v>
          </cell>
          <cell r="LJ238">
            <v>14.847727807411164</v>
          </cell>
          <cell r="LK238">
            <v>20.020152274152959</v>
          </cell>
          <cell r="LL238">
            <v>17.982747259685677</v>
          </cell>
          <cell r="LM238">
            <v>15.721193701553757</v>
          </cell>
          <cell r="LN238">
            <v>20.244300817817596</v>
          </cell>
          <cell r="LY238">
            <v>9.6700700275908513</v>
          </cell>
          <cell r="LZ238">
            <v>14.730476692982464</v>
          </cell>
          <cell r="MA238">
            <v>11.870949885755934</v>
          </cell>
          <cell r="MB238">
            <v>9.6544719773798295</v>
          </cell>
          <cell r="MC238">
            <v>14.087427794132038</v>
          </cell>
        </row>
        <row r="239">
          <cell r="A239">
            <v>39861</v>
          </cell>
          <cell r="LJ239">
            <v>14.226219403002254</v>
          </cell>
          <cell r="LK239">
            <v>20.020152274152959</v>
          </cell>
          <cell r="LL239">
            <v>17.982747259685677</v>
          </cell>
          <cell r="LM239">
            <v>15.721193701553757</v>
          </cell>
          <cell r="LN239">
            <v>20.244300817817596</v>
          </cell>
          <cell r="LY239">
            <v>9.3133578028453154</v>
          </cell>
          <cell r="LZ239">
            <v>14.730476692982464</v>
          </cell>
          <cell r="MA239">
            <v>11.870949885755934</v>
          </cell>
          <cell r="MB239">
            <v>9.6544719773798295</v>
          </cell>
          <cell r="MC239">
            <v>14.087427794132038</v>
          </cell>
        </row>
        <row r="240">
          <cell r="A240">
            <v>39862</v>
          </cell>
          <cell r="LJ240">
            <v>14.191986404066188</v>
          </cell>
          <cell r="LK240">
            <v>20.020152274152959</v>
          </cell>
          <cell r="LL240">
            <v>17.982747259685677</v>
          </cell>
          <cell r="LM240">
            <v>15.721193701553757</v>
          </cell>
          <cell r="LN240">
            <v>20.244300817817596</v>
          </cell>
          <cell r="LY240">
            <v>9.2937099121272375</v>
          </cell>
          <cell r="LZ240">
            <v>14.730476692982464</v>
          </cell>
          <cell r="MA240">
            <v>11.870949885755934</v>
          </cell>
          <cell r="MB240">
            <v>9.6544719773798295</v>
          </cell>
          <cell r="MC240">
            <v>14.087427794132038</v>
          </cell>
        </row>
        <row r="241">
          <cell r="A241">
            <v>39863</v>
          </cell>
          <cell r="LJ241">
            <v>14.010273411029171</v>
          </cell>
          <cell r="LK241">
            <v>20.020152274152959</v>
          </cell>
          <cell r="LL241">
            <v>17.982747259685677</v>
          </cell>
          <cell r="LM241">
            <v>15.721193701553757</v>
          </cell>
          <cell r="LN241">
            <v>20.244300817817596</v>
          </cell>
          <cell r="LY241">
            <v>9.1894164777157563</v>
          </cell>
          <cell r="LZ241">
            <v>14.730476692982464</v>
          </cell>
          <cell r="MA241">
            <v>11.870949885755934</v>
          </cell>
          <cell r="MB241">
            <v>9.6544719773798295</v>
          </cell>
          <cell r="MC241">
            <v>14.087427794132038</v>
          </cell>
        </row>
        <row r="242">
          <cell r="A242">
            <v>39864</v>
          </cell>
          <cell r="LJ242">
            <v>13.810124266568826</v>
          </cell>
          <cell r="LK242">
            <v>20.020152274152959</v>
          </cell>
          <cell r="LL242">
            <v>17.982747259685677</v>
          </cell>
          <cell r="LM242">
            <v>15.721193701553757</v>
          </cell>
          <cell r="LN242">
            <v>20.244300817817596</v>
          </cell>
          <cell r="LY242">
            <v>9.0745416890646418</v>
          </cell>
          <cell r="LZ242">
            <v>14.730476692982464</v>
          </cell>
          <cell r="MA242">
            <v>11.870949885755934</v>
          </cell>
          <cell r="MB242">
            <v>9.6544719773798295</v>
          </cell>
          <cell r="MC242">
            <v>14.087427794132038</v>
          </cell>
        </row>
        <row r="243">
          <cell r="A243">
            <v>39867</v>
          </cell>
          <cell r="LJ243">
            <v>13.517804372330566</v>
          </cell>
          <cell r="LK243">
            <v>20.020152274152959</v>
          </cell>
          <cell r="LL243">
            <v>17.982747259685677</v>
          </cell>
          <cell r="LM243">
            <v>15.721193701553757</v>
          </cell>
          <cell r="LN243">
            <v>20.244300817817596</v>
          </cell>
          <cell r="LY243">
            <v>8.9067658728867762</v>
          </cell>
          <cell r="LZ243">
            <v>14.730476692982464</v>
          </cell>
          <cell r="MA243">
            <v>11.870949885755934</v>
          </cell>
          <cell r="MB243">
            <v>9.6544719773798295</v>
          </cell>
          <cell r="MC243">
            <v>14.087427794132038</v>
          </cell>
        </row>
        <row r="244">
          <cell r="A244">
            <v>39868</v>
          </cell>
          <cell r="LJ244">
            <v>13.849629289550595</v>
          </cell>
          <cell r="LK244">
            <v>20.020152274152959</v>
          </cell>
          <cell r="LL244">
            <v>17.982747259685677</v>
          </cell>
          <cell r="LM244">
            <v>15.721193701553757</v>
          </cell>
          <cell r="LN244">
            <v>20.244300817817596</v>
          </cell>
          <cell r="LY244">
            <v>9.0048814042241627</v>
          </cell>
          <cell r="LZ244">
            <v>14.730476692982464</v>
          </cell>
          <cell r="MA244">
            <v>11.870949885755934</v>
          </cell>
          <cell r="MB244">
            <v>9.6544719773798295</v>
          </cell>
          <cell r="MC244">
            <v>14.087427794132038</v>
          </cell>
        </row>
        <row r="245">
          <cell r="A245">
            <v>39869</v>
          </cell>
          <cell r="LJ245">
            <v>13.67581656372708</v>
          </cell>
          <cell r="LK245">
            <v>20.020152274152959</v>
          </cell>
          <cell r="LL245">
            <v>17.982747259685677</v>
          </cell>
          <cell r="LM245">
            <v>15.721193701553757</v>
          </cell>
          <cell r="LN245">
            <v>20.244300817817596</v>
          </cell>
          <cell r="LY245">
            <v>8.905122296096641</v>
          </cell>
          <cell r="LZ245">
            <v>14.730476692982464</v>
          </cell>
          <cell r="MA245">
            <v>11.870949885755934</v>
          </cell>
          <cell r="MB245">
            <v>9.6544719773798295</v>
          </cell>
          <cell r="MC245">
            <v>14.087427794132038</v>
          </cell>
        </row>
        <row r="246">
          <cell r="A246">
            <v>39870</v>
          </cell>
          <cell r="LJ246">
            <v>13.549409128098835</v>
          </cell>
          <cell r="LK246">
            <v>20.020152274152959</v>
          </cell>
          <cell r="LL246">
            <v>17.982747259685677</v>
          </cell>
          <cell r="LM246">
            <v>15.721193701553757</v>
          </cell>
          <cell r="LN246">
            <v>20.244300817817596</v>
          </cell>
          <cell r="LY246">
            <v>8.8325712617623378</v>
          </cell>
          <cell r="LZ246">
            <v>14.730476692982464</v>
          </cell>
          <cell r="MA246">
            <v>11.870949885755934</v>
          </cell>
          <cell r="MB246">
            <v>9.6544719773798295</v>
          </cell>
          <cell r="MC246">
            <v>14.087427794132038</v>
          </cell>
        </row>
        <row r="247">
          <cell r="A247">
            <v>39871</v>
          </cell>
          <cell r="LJ247">
            <v>13.367696398412836</v>
          </cell>
          <cell r="LK247">
            <v>20.020152274152959</v>
          </cell>
          <cell r="LL247">
            <v>17.982747259685677</v>
          </cell>
          <cell r="LM247">
            <v>15.721193701553757</v>
          </cell>
          <cell r="LN247">
            <v>20.244300817817596</v>
          </cell>
          <cell r="LY247">
            <v>8.7282779785001061</v>
          </cell>
          <cell r="LZ247">
            <v>14.730476692982464</v>
          </cell>
          <cell r="MA247">
            <v>11.870949885755934</v>
          </cell>
          <cell r="MB247">
            <v>9.6544719773798295</v>
          </cell>
          <cell r="MC247">
            <v>14.087427794132038</v>
          </cell>
        </row>
        <row r="248">
          <cell r="A248">
            <v>39874</v>
          </cell>
          <cell r="LJ248">
            <v>12.835652641162646</v>
          </cell>
          <cell r="LK248">
            <v>20.020152274152959</v>
          </cell>
          <cell r="LL248">
            <v>17.982747259685677</v>
          </cell>
          <cell r="LM248">
            <v>15.721193701553757</v>
          </cell>
          <cell r="LN248">
            <v>20.244300817817596</v>
          </cell>
          <cell r="LY248">
            <v>8.4266470436633778</v>
          </cell>
          <cell r="LZ248">
            <v>14.730476692982464</v>
          </cell>
          <cell r="MA248">
            <v>11.870949885755934</v>
          </cell>
          <cell r="MB248">
            <v>9.6544719773798295</v>
          </cell>
          <cell r="MC248">
            <v>14.087427794132038</v>
          </cell>
        </row>
        <row r="249">
          <cell r="A249">
            <v>39875</v>
          </cell>
          <cell r="LJ249">
            <v>13.061623493584143</v>
          </cell>
          <cell r="LK249">
            <v>20.020152274152959</v>
          </cell>
          <cell r="LL249">
            <v>17.982747259685677</v>
          </cell>
          <cell r="LM249">
            <v>15.721193701553757</v>
          </cell>
          <cell r="LN249">
            <v>20.244300817817596</v>
          </cell>
          <cell r="LY249">
            <v>8.5564363157621592</v>
          </cell>
          <cell r="LZ249">
            <v>14.730476692982464</v>
          </cell>
          <cell r="MA249">
            <v>11.870949885755934</v>
          </cell>
          <cell r="MB249">
            <v>9.6544719773798295</v>
          </cell>
          <cell r="MC249">
            <v>14.087427794132038</v>
          </cell>
        </row>
        <row r="250">
          <cell r="A250">
            <v>39876</v>
          </cell>
          <cell r="LJ250">
            <v>13.655451606164792</v>
          </cell>
          <cell r="LK250">
            <v>20.020152274152959</v>
          </cell>
          <cell r="LL250">
            <v>17.982747259685677</v>
          </cell>
          <cell r="LM250">
            <v>15.721193701553757</v>
          </cell>
          <cell r="LN250">
            <v>20.244300817817596</v>
          </cell>
          <cell r="LY250">
            <v>8.8975091473142278</v>
          </cell>
          <cell r="LZ250">
            <v>14.730476692982464</v>
          </cell>
          <cell r="MA250">
            <v>11.870949885755934</v>
          </cell>
          <cell r="MB250">
            <v>9.6544719773798295</v>
          </cell>
          <cell r="MC250">
            <v>14.087427794132038</v>
          </cell>
        </row>
        <row r="251">
          <cell r="A251">
            <v>39877</v>
          </cell>
          <cell r="LJ251">
            <v>13.058997242370538</v>
          </cell>
          <cell r="LK251">
            <v>20.020152274152959</v>
          </cell>
          <cell r="LL251">
            <v>17.982747259685677</v>
          </cell>
          <cell r="LM251">
            <v>15.721193701553757</v>
          </cell>
          <cell r="LN251">
            <v>20.244300817817596</v>
          </cell>
          <cell r="LY251">
            <v>8.5549278945223861</v>
          </cell>
          <cell r="LZ251">
            <v>14.730476692982464</v>
          </cell>
          <cell r="MA251">
            <v>11.870949885755934</v>
          </cell>
          <cell r="MB251">
            <v>9.6544719773798295</v>
          </cell>
          <cell r="MC251">
            <v>14.087427794132038</v>
          </cell>
        </row>
        <row r="252">
          <cell r="A252">
            <v>39878</v>
          </cell>
          <cell r="LJ252">
            <v>12.956522470278957</v>
          </cell>
          <cell r="LK252">
            <v>20.020152274152959</v>
          </cell>
          <cell r="LL252">
            <v>17.982747259685677</v>
          </cell>
          <cell r="LM252">
            <v>15.721193701553757</v>
          </cell>
          <cell r="LN252">
            <v>20.244300817817596</v>
          </cell>
          <cell r="LY252">
            <v>8.4960701881601235</v>
          </cell>
          <cell r="LZ252">
            <v>14.730476692982464</v>
          </cell>
          <cell r="MA252">
            <v>11.870949885755934</v>
          </cell>
          <cell r="MB252">
            <v>9.6544719773798295</v>
          </cell>
          <cell r="MC252">
            <v>14.087427794132038</v>
          </cell>
        </row>
        <row r="253">
          <cell r="A253">
            <v>39881</v>
          </cell>
          <cell r="LJ253">
            <v>12.620194413534062</v>
          </cell>
          <cell r="LK253">
            <v>20.020152274152959</v>
          </cell>
          <cell r="LL253">
            <v>17.982747259685677</v>
          </cell>
          <cell r="LM253">
            <v>15.721193701553757</v>
          </cell>
          <cell r="LN253">
            <v>20.244300817817596</v>
          </cell>
          <cell r="LY253">
            <v>8.3028958331335954</v>
          </cell>
          <cell r="LZ253">
            <v>14.730476692982464</v>
          </cell>
          <cell r="MA253">
            <v>11.870949885755934</v>
          </cell>
          <cell r="MB253">
            <v>9.6544719773798295</v>
          </cell>
          <cell r="MC253">
            <v>14.087427794132038</v>
          </cell>
        </row>
        <row r="254">
          <cell r="A254">
            <v>39882</v>
          </cell>
          <cell r="LJ254">
            <v>13.429481016499794</v>
          </cell>
          <cell r="LK254">
            <v>20.020152274152959</v>
          </cell>
          <cell r="LL254">
            <v>17.982747259685677</v>
          </cell>
          <cell r="LM254">
            <v>15.721193701553757</v>
          </cell>
          <cell r="LN254">
            <v>20.244300817817596</v>
          </cell>
          <cell r="LY254">
            <v>8.7677200261330306</v>
          </cell>
          <cell r="LZ254">
            <v>14.730476692982464</v>
          </cell>
          <cell r="MA254">
            <v>11.870949885755934</v>
          </cell>
          <cell r="MB254">
            <v>9.6544719773798295</v>
          </cell>
          <cell r="MC254">
            <v>14.087427794132038</v>
          </cell>
        </row>
        <row r="255">
          <cell r="A255">
            <v>39883</v>
          </cell>
          <cell r="LJ255">
            <v>13.730548760970676</v>
          </cell>
          <cell r="LK255">
            <v>20.020152274152959</v>
          </cell>
          <cell r="LL255">
            <v>17.982747259685677</v>
          </cell>
          <cell r="LM255">
            <v>15.721193701553757</v>
          </cell>
          <cell r="LN255">
            <v>20.244300817817596</v>
          </cell>
          <cell r="LY255">
            <v>8.9201482939053829</v>
          </cell>
          <cell r="LZ255">
            <v>14.730476692982464</v>
          </cell>
          <cell r="MA255">
            <v>11.870949885755934</v>
          </cell>
          <cell r="MB255">
            <v>9.6544719773798295</v>
          </cell>
          <cell r="MC255">
            <v>14.087427794132038</v>
          </cell>
        </row>
        <row r="256">
          <cell r="A256">
            <v>39884</v>
          </cell>
          <cell r="LJ256">
            <v>14.336464067293393</v>
          </cell>
          <cell r="LK256">
            <v>20.020152274152959</v>
          </cell>
          <cell r="LL256">
            <v>17.982747259685677</v>
          </cell>
          <cell r="LM256">
            <v>15.721193701553757</v>
          </cell>
          <cell r="LN256">
            <v>20.244300817817596</v>
          </cell>
          <cell r="LY256">
            <v>9.2672591870264487</v>
          </cell>
          <cell r="LZ256">
            <v>14.730476692982464</v>
          </cell>
          <cell r="MA256">
            <v>11.870949885755934</v>
          </cell>
          <cell r="MB256">
            <v>9.6544719773798295</v>
          </cell>
          <cell r="MC256">
            <v>14.087427794132038</v>
          </cell>
        </row>
        <row r="257">
          <cell r="A257">
            <v>39885</v>
          </cell>
          <cell r="LJ257">
            <v>14.254793903446204</v>
          </cell>
          <cell r="LK257">
            <v>20.020152274152959</v>
          </cell>
          <cell r="LL257">
            <v>17.982747259685677</v>
          </cell>
          <cell r="LM257">
            <v>15.721193701553757</v>
          </cell>
          <cell r="LN257">
            <v>20.244300817817596</v>
          </cell>
          <cell r="LY257">
            <v>9.2204727744395356</v>
          </cell>
          <cell r="LZ257">
            <v>14.730476692982464</v>
          </cell>
          <cell r="MA257">
            <v>11.870949885755934</v>
          </cell>
          <cell r="MB257">
            <v>9.6544719773798295</v>
          </cell>
          <cell r="MC257">
            <v>14.087427794132038</v>
          </cell>
        </row>
        <row r="258">
          <cell r="A258">
            <v>39888</v>
          </cell>
          <cell r="LJ258">
            <v>14.266440860527309</v>
          </cell>
          <cell r="LK258">
            <v>20.020152274152959</v>
          </cell>
          <cell r="LL258">
            <v>17.982747259685677</v>
          </cell>
          <cell r="LM258">
            <v>15.721193701553757</v>
          </cell>
          <cell r="LN258">
            <v>20.244300817817596</v>
          </cell>
          <cell r="LY258">
            <v>9.2099097509863785</v>
          </cell>
          <cell r="LZ258">
            <v>14.730476692982464</v>
          </cell>
          <cell r="MA258">
            <v>11.870949885755934</v>
          </cell>
          <cell r="MB258">
            <v>9.6544719773798295</v>
          </cell>
          <cell r="MC258">
            <v>14.087427794132038</v>
          </cell>
        </row>
        <row r="259">
          <cell r="A259">
            <v>39889</v>
          </cell>
          <cell r="LJ259">
            <v>14.588518470607802</v>
          </cell>
          <cell r="LK259">
            <v>20.020152274152959</v>
          </cell>
          <cell r="LL259">
            <v>17.982747259685677</v>
          </cell>
          <cell r="LM259">
            <v>15.721193701553757</v>
          </cell>
          <cell r="LN259">
            <v>20.244300817817596</v>
          </cell>
          <cell r="LY259">
            <v>9.3940293528819385</v>
          </cell>
          <cell r="LZ259">
            <v>14.730476692982464</v>
          </cell>
          <cell r="MA259">
            <v>11.870949885755934</v>
          </cell>
          <cell r="MB259">
            <v>9.6544719773798295</v>
          </cell>
          <cell r="MC259">
            <v>14.087427794132038</v>
          </cell>
        </row>
        <row r="260">
          <cell r="A260">
            <v>39890</v>
          </cell>
          <cell r="LJ260">
            <v>14.78123582661679</v>
          </cell>
          <cell r="LK260">
            <v>20.020152274152959</v>
          </cell>
          <cell r="LL260">
            <v>17.982747259685677</v>
          </cell>
          <cell r="LM260">
            <v>15.721193701553757</v>
          </cell>
          <cell r="LN260">
            <v>20.244300817817596</v>
          </cell>
          <cell r="LY260">
            <v>9.5041985846328583</v>
          </cell>
          <cell r="LZ260">
            <v>14.730476692982464</v>
          </cell>
          <cell r="MA260">
            <v>11.870949885755934</v>
          </cell>
          <cell r="MB260">
            <v>9.6544719773798295</v>
          </cell>
          <cell r="MC260">
            <v>14.087427794132038</v>
          </cell>
        </row>
        <row r="261">
          <cell r="A261">
            <v>39891</v>
          </cell>
          <cell r="LJ261">
            <v>14.461905309260983</v>
          </cell>
          <cell r="LK261">
            <v>20.020152274152959</v>
          </cell>
          <cell r="LL261">
            <v>17.982747259685677</v>
          </cell>
          <cell r="LM261">
            <v>15.721193701553757</v>
          </cell>
          <cell r="LN261">
            <v>20.244300817817596</v>
          </cell>
          <cell r="LY261">
            <v>9.3140431849320393</v>
          </cell>
          <cell r="LZ261">
            <v>14.730476692982464</v>
          </cell>
          <cell r="MA261">
            <v>11.870949885755934</v>
          </cell>
          <cell r="MB261">
            <v>9.6544719773798295</v>
          </cell>
          <cell r="MC261">
            <v>14.087427794132038</v>
          </cell>
        </row>
        <row r="262">
          <cell r="A262">
            <v>39892</v>
          </cell>
          <cell r="LJ262">
            <v>14.163311731636906</v>
          </cell>
          <cell r="LK262">
            <v>20.020152274152959</v>
          </cell>
          <cell r="LL262">
            <v>17.982747259685677</v>
          </cell>
          <cell r="LM262">
            <v>15.721193701553757</v>
          </cell>
          <cell r="LN262">
            <v>20.244300817817596</v>
          </cell>
          <cell r="LY262">
            <v>9.1435055618153438</v>
          </cell>
          <cell r="LZ262">
            <v>14.730476692982464</v>
          </cell>
          <cell r="MA262">
            <v>11.870949885755934</v>
          </cell>
          <cell r="MB262">
            <v>9.6544719773798295</v>
          </cell>
          <cell r="MC262">
            <v>14.087427794132038</v>
          </cell>
        </row>
        <row r="263">
          <cell r="A263">
            <v>39895</v>
          </cell>
          <cell r="LJ263">
            <v>14.8450538721206</v>
          </cell>
          <cell r="LK263">
            <v>20.020152274152959</v>
          </cell>
          <cell r="LL263">
            <v>17.982747259685677</v>
          </cell>
          <cell r="LM263">
            <v>15.721193701553757</v>
          </cell>
          <cell r="LN263">
            <v>20.244300817817596</v>
          </cell>
          <cell r="LY263">
            <v>9.5328732271941021</v>
          </cell>
          <cell r="LZ263">
            <v>14.730476692982464</v>
          </cell>
          <cell r="MA263">
            <v>11.870949885755934</v>
          </cell>
          <cell r="MB263">
            <v>9.6544719773798295</v>
          </cell>
          <cell r="MC263">
            <v>14.087427794132038</v>
          </cell>
        </row>
        <row r="264">
          <cell r="A264">
            <v>39896</v>
          </cell>
          <cell r="LJ264">
            <v>14.572885973430573</v>
          </cell>
          <cell r="LK264">
            <v>20.020152274152959</v>
          </cell>
          <cell r="LL264">
            <v>17.982747259685677</v>
          </cell>
          <cell r="LM264">
            <v>15.721193701553757</v>
          </cell>
          <cell r="LN264">
            <v>20.244300817817596</v>
          </cell>
          <cell r="LY264">
            <v>9.3774282678597825</v>
          </cell>
          <cell r="LZ264">
            <v>14.730476692982464</v>
          </cell>
          <cell r="MA264">
            <v>11.870949885755934</v>
          </cell>
          <cell r="MB264">
            <v>9.6544719773798295</v>
          </cell>
          <cell r="MC264">
            <v>14.087427794132038</v>
          </cell>
        </row>
        <row r="265">
          <cell r="A265">
            <v>39897</v>
          </cell>
          <cell r="LJ265">
            <v>14.738460416564465</v>
          </cell>
          <cell r="LK265">
            <v>20.020152274152959</v>
          </cell>
          <cell r="LL265">
            <v>17.982747259685677</v>
          </cell>
          <cell r="LM265">
            <v>15.721193701553757</v>
          </cell>
          <cell r="LN265">
            <v>20.244300817817596</v>
          </cell>
          <cell r="LY265">
            <v>9.5031181838572323</v>
          </cell>
          <cell r="LZ265">
            <v>14.730476692982464</v>
          </cell>
          <cell r="MA265">
            <v>11.870949885755934</v>
          </cell>
          <cell r="MB265">
            <v>9.6544719773798295</v>
          </cell>
          <cell r="MC265">
            <v>14.087427794132038</v>
          </cell>
        </row>
        <row r="266">
          <cell r="A266">
            <v>39898</v>
          </cell>
          <cell r="LJ266">
            <v>14.963861329033953</v>
          </cell>
          <cell r="LK266">
            <v>20.020152274152959</v>
          </cell>
          <cell r="LL266">
            <v>17.982747259685677</v>
          </cell>
          <cell r="LM266">
            <v>15.721193701553757</v>
          </cell>
          <cell r="LN266">
            <v>20.244300817817596</v>
          </cell>
          <cell r="LY266">
            <v>9.6322249984597992</v>
          </cell>
          <cell r="LZ266">
            <v>14.730476692982464</v>
          </cell>
          <cell r="MA266">
            <v>11.870949885755934</v>
          </cell>
          <cell r="MB266">
            <v>9.6544719773798295</v>
          </cell>
          <cell r="MC266">
            <v>14.087427794132038</v>
          </cell>
        </row>
        <row r="267">
          <cell r="A267">
            <v>39899</v>
          </cell>
          <cell r="LJ267">
            <v>14.70133608762465</v>
          </cell>
          <cell r="LK267">
            <v>20.020152274152959</v>
          </cell>
          <cell r="LL267">
            <v>17.982747259685677</v>
          </cell>
          <cell r="LM267">
            <v>15.721193701553757</v>
          </cell>
          <cell r="LN267">
            <v>20.244300817817596</v>
          </cell>
          <cell r="LY267">
            <v>9.4818538340320035</v>
          </cell>
          <cell r="LZ267">
            <v>14.730476692982464</v>
          </cell>
          <cell r="MA267">
            <v>11.870949885755934</v>
          </cell>
          <cell r="MB267">
            <v>9.6544719773798295</v>
          </cell>
          <cell r="MC267">
            <v>14.087427794132038</v>
          </cell>
        </row>
        <row r="268">
          <cell r="A268">
            <v>39902</v>
          </cell>
          <cell r="LJ268">
            <v>14.379822582066478</v>
          </cell>
          <cell r="LK268">
            <v>20.020152274152959</v>
          </cell>
          <cell r="LL268">
            <v>17.982747259685677</v>
          </cell>
          <cell r="LM268">
            <v>15.721193701553757</v>
          </cell>
          <cell r="LN268">
            <v>20.244300817817596</v>
          </cell>
          <cell r="LY268">
            <v>9.2762151814257514</v>
          </cell>
          <cell r="LZ268">
            <v>14.730476692982464</v>
          </cell>
          <cell r="MA268">
            <v>11.870949885755934</v>
          </cell>
          <cell r="MB268">
            <v>9.6544719773798295</v>
          </cell>
          <cell r="MC268">
            <v>14.087427794132038</v>
          </cell>
        </row>
        <row r="269">
          <cell r="A269">
            <v>39903</v>
          </cell>
          <cell r="LJ269">
            <v>14.478624129800284</v>
          </cell>
          <cell r="LK269">
            <v>20.020152274152959</v>
          </cell>
          <cell r="LL269">
            <v>17.982747259685677</v>
          </cell>
          <cell r="LM269">
            <v>15.721193701553757</v>
          </cell>
          <cell r="LN269">
            <v>20.244300817817596</v>
          </cell>
          <cell r="LY269">
            <v>9.3327878672581353</v>
          </cell>
          <cell r="LZ269">
            <v>14.730476692982464</v>
          </cell>
          <cell r="MA269">
            <v>11.870949885755934</v>
          </cell>
          <cell r="MB269">
            <v>9.6544719773798295</v>
          </cell>
          <cell r="MC269">
            <v>14.087427794132038</v>
          </cell>
        </row>
        <row r="270">
          <cell r="A270">
            <v>39904</v>
          </cell>
          <cell r="LJ270">
            <v>14.024606050355734</v>
          </cell>
          <cell r="LK270">
            <v>20.020152274152959</v>
          </cell>
          <cell r="LL270">
            <v>17.982747259685677</v>
          </cell>
          <cell r="LM270">
            <v>15.721193701553757</v>
          </cell>
          <cell r="LN270">
            <v>20.244300817817596</v>
          </cell>
          <cell r="LY270">
            <v>9.04478676082155</v>
          </cell>
          <cell r="LZ270">
            <v>14.730476692982464</v>
          </cell>
          <cell r="MA270">
            <v>11.870949885755934</v>
          </cell>
          <cell r="MB270">
            <v>9.6544719773798295</v>
          </cell>
          <cell r="MC270">
            <v>14.087427794132038</v>
          </cell>
        </row>
        <row r="271">
          <cell r="A271">
            <v>39905</v>
          </cell>
          <cell r="LJ271">
            <v>14.576290893703277</v>
          </cell>
          <cell r="LK271">
            <v>20.020152274152959</v>
          </cell>
          <cell r="LL271">
            <v>17.982747259685677</v>
          </cell>
          <cell r="LM271">
            <v>15.721193701553757</v>
          </cell>
          <cell r="LN271">
            <v>20.244300817817596</v>
          </cell>
          <cell r="LY271">
            <v>9.3351517084875759</v>
          </cell>
          <cell r="LZ271">
            <v>14.730476692982464</v>
          </cell>
          <cell r="MA271">
            <v>11.870949885755934</v>
          </cell>
          <cell r="MB271">
            <v>9.6544719773798295</v>
          </cell>
          <cell r="MC271">
            <v>14.087427794132038</v>
          </cell>
        </row>
        <row r="272">
          <cell r="A272">
            <v>39906</v>
          </cell>
          <cell r="LJ272">
            <v>14.475140879909391</v>
          </cell>
          <cell r="LK272">
            <v>20.020152274152959</v>
          </cell>
          <cell r="LL272">
            <v>17.982747259685677</v>
          </cell>
          <cell r="LM272">
            <v>15.721193701553757</v>
          </cell>
          <cell r="LN272">
            <v>20.244300817817596</v>
          </cell>
          <cell r="LY272">
            <v>9.3114111361786911</v>
          </cell>
          <cell r="LZ272">
            <v>14.730476692982464</v>
          </cell>
          <cell r="MA272">
            <v>11.870949885755934</v>
          </cell>
          <cell r="MB272">
            <v>9.6544719773798295</v>
          </cell>
          <cell r="MC272">
            <v>14.087427794132038</v>
          </cell>
        </row>
        <row r="273">
          <cell r="A273">
            <v>39909</v>
          </cell>
          <cell r="LJ273">
            <v>14.531597965308432</v>
          </cell>
          <cell r="LK273">
            <v>20.020152274152959</v>
          </cell>
          <cell r="LL273">
            <v>17.982747259685677</v>
          </cell>
          <cell r="LM273">
            <v>15.721193701553757</v>
          </cell>
          <cell r="LN273">
            <v>20.244300817817596</v>
          </cell>
          <cell r="LY273">
            <v>9.3435570868731865</v>
          </cell>
          <cell r="LZ273">
            <v>14.730476692982464</v>
          </cell>
          <cell r="MA273">
            <v>11.870949885755934</v>
          </cell>
          <cell r="MB273">
            <v>9.6544719773798295</v>
          </cell>
          <cell r="MC273">
            <v>14.087427794132038</v>
          </cell>
        </row>
        <row r="274">
          <cell r="A274">
            <v>39910</v>
          </cell>
          <cell r="LJ274">
            <v>14.195529482617269</v>
          </cell>
          <cell r="LK274">
            <v>20.020152274152959</v>
          </cell>
          <cell r="LL274">
            <v>17.982747259685677</v>
          </cell>
          <cell r="LM274">
            <v>15.721193701553757</v>
          </cell>
          <cell r="LN274">
            <v>20.244300817817596</v>
          </cell>
          <cell r="LY274">
            <v>9.1520574069764269</v>
          </cell>
          <cell r="LZ274">
            <v>14.730476692982464</v>
          </cell>
          <cell r="MA274">
            <v>11.870949885755934</v>
          </cell>
          <cell r="MB274">
            <v>9.6544719773798295</v>
          </cell>
          <cell r="MC274">
            <v>14.087427794132038</v>
          </cell>
        </row>
        <row r="275">
          <cell r="A275">
            <v>39911</v>
          </cell>
          <cell r="LJ275">
            <v>14.230481949091082</v>
          </cell>
          <cell r="LK275">
            <v>20.020152274152959</v>
          </cell>
          <cell r="LL275">
            <v>17.982747259685677</v>
          </cell>
          <cell r="LM275">
            <v>15.721193701553757</v>
          </cell>
          <cell r="LN275">
            <v>20.244300817817596</v>
          </cell>
          <cell r="LY275">
            <v>9.171958580877229</v>
          </cell>
          <cell r="LZ275">
            <v>14.730476692982464</v>
          </cell>
          <cell r="MA275">
            <v>11.870949885755934</v>
          </cell>
          <cell r="MB275">
            <v>9.6544719773798295</v>
          </cell>
          <cell r="MC275">
            <v>14.087427794132038</v>
          </cell>
        </row>
        <row r="276">
          <cell r="A276">
            <v>39912</v>
          </cell>
          <cell r="LJ276">
            <v>15.277601756197086</v>
          </cell>
          <cell r="LK276">
            <v>20.020152274152959</v>
          </cell>
          <cell r="LL276">
            <v>17.982747259685677</v>
          </cell>
          <cell r="LM276">
            <v>15.721193701553757</v>
          </cell>
          <cell r="LN276">
            <v>20.244300817817596</v>
          </cell>
          <cell r="LY276">
            <v>9.7306999010640229</v>
          </cell>
          <cell r="LZ276">
            <v>14.730476692982464</v>
          </cell>
          <cell r="MA276">
            <v>11.870949885755934</v>
          </cell>
          <cell r="MB276">
            <v>9.6544719773798295</v>
          </cell>
          <cell r="MC276">
            <v>14.087427794132038</v>
          </cell>
        </row>
        <row r="277">
          <cell r="A277">
            <v>39913</v>
          </cell>
          <cell r="LJ277">
            <v>15.277601756197086</v>
          </cell>
          <cell r="LK277">
            <v>20.020152274152959</v>
          </cell>
          <cell r="LL277">
            <v>17.982747259685677</v>
          </cell>
          <cell r="LM277">
            <v>15.721193701553757</v>
          </cell>
          <cell r="LN277">
            <v>20.244300817817596</v>
          </cell>
          <cell r="LY277">
            <v>9.7306999010640229</v>
          </cell>
          <cell r="LZ277">
            <v>14.730476692982464</v>
          </cell>
          <cell r="MA277">
            <v>11.870949885755934</v>
          </cell>
          <cell r="MB277">
            <v>9.6544719773798295</v>
          </cell>
          <cell r="MC277">
            <v>14.087427794132038</v>
          </cell>
        </row>
        <row r="278">
          <cell r="A278">
            <v>39916</v>
          </cell>
          <cell r="LJ278">
            <v>15.034587385851493</v>
          </cell>
          <cell r="LK278">
            <v>20.020152274152959</v>
          </cell>
          <cell r="LL278">
            <v>17.982747259685677</v>
          </cell>
          <cell r="LM278">
            <v>15.721193701553757</v>
          </cell>
          <cell r="LN278">
            <v>20.244300817817596</v>
          </cell>
          <cell r="LY278">
            <v>9.5929287606949725</v>
          </cell>
          <cell r="LZ278">
            <v>14.730476692982464</v>
          </cell>
          <cell r="MA278">
            <v>11.870949885755934</v>
          </cell>
          <cell r="MB278">
            <v>9.6544719773798295</v>
          </cell>
          <cell r="MC278">
            <v>14.087427794132038</v>
          </cell>
        </row>
        <row r="279">
          <cell r="A279">
            <v>39917</v>
          </cell>
          <cell r="LJ279">
            <v>14.701723846043098</v>
          </cell>
          <cell r="LK279">
            <v>20.020152274152959</v>
          </cell>
          <cell r="LL279">
            <v>17.982747259685677</v>
          </cell>
          <cell r="LM279">
            <v>15.721193701553757</v>
          </cell>
          <cell r="LN279">
            <v>20.244300817817596</v>
          </cell>
          <cell r="LY279">
            <v>9.4000487967861446</v>
          </cell>
          <cell r="LZ279">
            <v>14.730476692982464</v>
          </cell>
          <cell r="MA279">
            <v>11.870949885755934</v>
          </cell>
          <cell r="MB279">
            <v>9.6544719773798295</v>
          </cell>
          <cell r="MC279">
            <v>14.087427794132038</v>
          </cell>
        </row>
        <row r="280">
          <cell r="A280">
            <v>39918</v>
          </cell>
          <cell r="LJ280">
            <v>14.462311917885383</v>
          </cell>
          <cell r="LK280">
            <v>20.020152274152959</v>
          </cell>
          <cell r="LL280">
            <v>17.982747259685677</v>
          </cell>
          <cell r="LM280">
            <v>15.721193701553757</v>
          </cell>
          <cell r="LN280">
            <v>20.244300817817596</v>
          </cell>
          <cell r="LY280">
            <v>9.2668674560176303</v>
          </cell>
          <cell r="LZ280">
            <v>14.730476692982464</v>
          </cell>
          <cell r="MA280">
            <v>11.870949885755934</v>
          </cell>
          <cell r="MB280">
            <v>9.6544719773798295</v>
          </cell>
          <cell r="MC280">
            <v>14.087427794132038</v>
          </cell>
        </row>
        <row r="281">
          <cell r="A281">
            <v>39919</v>
          </cell>
          <cell r="LJ281">
            <v>14.829609080877018</v>
          </cell>
          <cell r="LK281">
            <v>20.020152274152959</v>
          </cell>
          <cell r="LL281">
            <v>17.982747259685677</v>
          </cell>
          <cell r="LM281">
            <v>15.721193701553757</v>
          </cell>
          <cell r="LN281">
            <v>20.244300817817596</v>
          </cell>
          <cell r="LY281">
            <v>9.4750564980257455</v>
          </cell>
          <cell r="LZ281">
            <v>14.730476692982464</v>
          </cell>
          <cell r="MA281">
            <v>11.870949885755934</v>
          </cell>
          <cell r="MB281">
            <v>9.6544719773798295</v>
          </cell>
          <cell r="MC281">
            <v>14.087427794132038</v>
          </cell>
        </row>
        <row r="282">
          <cell r="A282">
            <v>39920</v>
          </cell>
          <cell r="LJ282">
            <v>14.958776305324031</v>
          </cell>
          <cell r="LK282">
            <v>20.020152274152959</v>
          </cell>
          <cell r="LL282">
            <v>17.982747259685677</v>
          </cell>
          <cell r="LM282">
            <v>15.721193701553757</v>
          </cell>
          <cell r="LN282">
            <v>20.244300817817596</v>
          </cell>
          <cell r="LY282">
            <v>9.5627210375832181</v>
          </cell>
          <cell r="LZ282">
            <v>14.730476692982464</v>
          </cell>
          <cell r="MA282">
            <v>11.870949885755934</v>
          </cell>
          <cell r="MB282">
            <v>9.6544719773798295</v>
          </cell>
          <cell r="MC282">
            <v>14.087427794132038</v>
          </cell>
        </row>
        <row r="283">
          <cell r="A283">
            <v>39923</v>
          </cell>
          <cell r="LJ283">
            <v>14.424533916692216</v>
          </cell>
          <cell r="LK283">
            <v>20.020152274152959</v>
          </cell>
          <cell r="LL283">
            <v>17.982747259685677</v>
          </cell>
          <cell r="LM283">
            <v>15.721193701553757</v>
          </cell>
          <cell r="LN283">
            <v>20.244300817817596</v>
          </cell>
          <cell r="LY283">
            <v>9.2595826689839971</v>
          </cell>
          <cell r="LZ283">
            <v>14.730476692982464</v>
          </cell>
          <cell r="MA283">
            <v>11.870949885755934</v>
          </cell>
          <cell r="MB283">
            <v>9.6544719773798295</v>
          </cell>
          <cell r="MC283">
            <v>14.087427794132038</v>
          </cell>
        </row>
        <row r="284">
          <cell r="A284">
            <v>39924</v>
          </cell>
          <cell r="LJ284">
            <v>14.741824378074948</v>
          </cell>
          <cell r="LK284">
            <v>20.020152274152959</v>
          </cell>
          <cell r="LL284">
            <v>17.982747259685677</v>
          </cell>
          <cell r="LM284">
            <v>15.721193701553757</v>
          </cell>
          <cell r="LN284">
            <v>20.244300817817596</v>
          </cell>
          <cell r="LY284">
            <v>9.4396187628663615</v>
          </cell>
          <cell r="LZ284">
            <v>14.730476692982464</v>
          </cell>
          <cell r="MA284">
            <v>11.870949885755934</v>
          </cell>
          <cell r="MB284">
            <v>9.6544719773798295</v>
          </cell>
          <cell r="MC284">
            <v>14.087427794132038</v>
          </cell>
        </row>
        <row r="285">
          <cell r="A285">
            <v>39925</v>
          </cell>
          <cell r="LJ285">
            <v>14.926234994216131</v>
          </cell>
          <cell r="LK285">
            <v>20.020152274152959</v>
          </cell>
          <cell r="LL285">
            <v>17.982747259685677</v>
          </cell>
          <cell r="LM285">
            <v>15.721193701553757</v>
          </cell>
          <cell r="LN285">
            <v>20.244300817817596</v>
          </cell>
          <cell r="LY285">
            <v>9.5846777369182572</v>
          </cell>
          <cell r="LZ285">
            <v>14.730476692982464</v>
          </cell>
          <cell r="MA285">
            <v>11.870949885755934</v>
          </cell>
          <cell r="MB285">
            <v>9.6544719773798295</v>
          </cell>
          <cell r="MC285">
            <v>14.087427794132038</v>
          </cell>
        </row>
        <row r="286">
          <cell r="A286">
            <v>39926</v>
          </cell>
          <cell r="LJ286">
            <v>15.73980167052515</v>
          </cell>
          <cell r="LK286">
            <v>20.020152274152959</v>
          </cell>
          <cell r="LL286">
            <v>17.982747259685677</v>
          </cell>
          <cell r="LM286">
            <v>15.721193701553757</v>
          </cell>
          <cell r="LN286">
            <v>20.244300817817596</v>
          </cell>
          <cell r="LY286">
            <v>10.055031980134029</v>
          </cell>
          <cell r="LZ286">
            <v>14.730476692982464</v>
          </cell>
          <cell r="MA286">
            <v>11.870949885755934</v>
          </cell>
          <cell r="MB286">
            <v>9.6544719773798295</v>
          </cell>
          <cell r="MC286">
            <v>14.087427794132038</v>
          </cell>
        </row>
        <row r="287">
          <cell r="A287">
            <v>39927</v>
          </cell>
          <cell r="LJ287">
            <v>16.495333100404</v>
          </cell>
          <cell r="LK287">
            <v>20.020152274152959</v>
          </cell>
          <cell r="LL287">
            <v>17.982747259685677</v>
          </cell>
          <cell r="LM287">
            <v>15.721193701553757</v>
          </cell>
          <cell r="LN287">
            <v>20.244300817817596</v>
          </cell>
          <cell r="LY287">
            <v>10.490481437922959</v>
          </cell>
          <cell r="LZ287">
            <v>14.730476692982464</v>
          </cell>
          <cell r="MA287">
            <v>11.870949885755934</v>
          </cell>
          <cell r="MB287">
            <v>9.6544719773798295</v>
          </cell>
          <cell r="MC287">
            <v>14.087427794132038</v>
          </cell>
        </row>
        <row r="288">
          <cell r="A288">
            <v>39930</v>
          </cell>
          <cell r="LJ288">
            <v>16.321299900864847</v>
          </cell>
          <cell r="LK288">
            <v>20.020152274152959</v>
          </cell>
          <cell r="LL288">
            <v>17.982747259685677</v>
          </cell>
          <cell r="LM288">
            <v>15.721193701553757</v>
          </cell>
          <cell r="LN288">
            <v>20.244300817817596</v>
          </cell>
          <cell r="LY288">
            <v>10.446137183970034</v>
          </cell>
          <cell r="LZ288">
            <v>14.730476692982464</v>
          </cell>
          <cell r="MA288">
            <v>11.870949885755934</v>
          </cell>
          <cell r="MB288">
            <v>9.6544719773798295</v>
          </cell>
          <cell r="MC288">
            <v>14.087427794132038</v>
          </cell>
        </row>
        <row r="289">
          <cell r="A289">
            <v>39931</v>
          </cell>
          <cell r="LJ289">
            <v>16.042303321362883</v>
          </cell>
          <cell r="LK289">
            <v>20.020152274152959</v>
          </cell>
          <cell r="LL289">
            <v>17.982747259685677</v>
          </cell>
          <cell r="LM289">
            <v>15.721193701553757</v>
          </cell>
          <cell r="LN289">
            <v>20.244300817817596</v>
          </cell>
          <cell r="LY289">
            <v>10.284414058338969</v>
          </cell>
          <cell r="LZ289">
            <v>14.730476692982464</v>
          </cell>
          <cell r="MA289">
            <v>11.870949885755934</v>
          </cell>
          <cell r="MB289">
            <v>9.6544719773798295</v>
          </cell>
          <cell r="MC289">
            <v>14.087427794132038</v>
          </cell>
        </row>
        <row r="290">
          <cell r="A290">
            <v>39932</v>
          </cell>
          <cell r="LJ290">
            <v>16.460798190615829</v>
          </cell>
          <cell r="LK290">
            <v>20.020152274152959</v>
          </cell>
          <cell r="LL290">
            <v>17.982747259685677</v>
          </cell>
          <cell r="LM290">
            <v>15.721193701553757</v>
          </cell>
          <cell r="LN290">
            <v>20.244300817817596</v>
          </cell>
          <cell r="LY290">
            <v>10.526998746785566</v>
          </cell>
          <cell r="LZ290">
            <v>14.730476692982464</v>
          </cell>
          <cell r="MA290">
            <v>11.870949885755934</v>
          </cell>
          <cell r="MB290">
            <v>9.6544719773798295</v>
          </cell>
          <cell r="MC290">
            <v>14.087427794132038</v>
          </cell>
        </row>
        <row r="291">
          <cell r="A291">
            <v>39933</v>
          </cell>
          <cell r="LJ291">
            <v>16.304556758135774</v>
          </cell>
          <cell r="LK291">
            <v>20.020152274152959</v>
          </cell>
          <cell r="LL291">
            <v>17.982747259685677</v>
          </cell>
          <cell r="LM291">
            <v>15.721193701553757</v>
          </cell>
          <cell r="LN291">
            <v>20.244300817817596</v>
          </cell>
          <cell r="LY291">
            <v>10.436396554664807</v>
          </cell>
          <cell r="LZ291">
            <v>14.730476692982464</v>
          </cell>
          <cell r="MA291">
            <v>11.870949885755934</v>
          </cell>
          <cell r="MB291">
            <v>9.6544719773798295</v>
          </cell>
          <cell r="MC291">
            <v>14.087427794132038</v>
          </cell>
        </row>
        <row r="292">
          <cell r="A292">
            <v>39934</v>
          </cell>
          <cell r="LJ292">
            <v>16.447092396704836</v>
          </cell>
          <cell r="LK292">
            <v>20.020152274152959</v>
          </cell>
          <cell r="LL292">
            <v>17.982747259685677</v>
          </cell>
          <cell r="LM292">
            <v>15.721193701553757</v>
          </cell>
          <cell r="LN292">
            <v>20.244300817817596</v>
          </cell>
          <cell r="LY292">
            <v>10.520603637032638</v>
          </cell>
          <cell r="LZ292">
            <v>14.730476692982464</v>
          </cell>
          <cell r="MA292">
            <v>11.870949885755934</v>
          </cell>
          <cell r="MB292">
            <v>9.6544719773798295</v>
          </cell>
          <cell r="MC292">
            <v>14.087427794132038</v>
          </cell>
        </row>
        <row r="293">
          <cell r="A293">
            <v>39937</v>
          </cell>
          <cell r="LJ293">
            <v>17.293226584321506</v>
          </cell>
          <cell r="LK293">
            <v>20.020152274152959</v>
          </cell>
          <cell r="LL293">
            <v>17.982747259685677</v>
          </cell>
          <cell r="LM293">
            <v>15.721193701553757</v>
          </cell>
          <cell r="LN293">
            <v>20.244300817817596</v>
          </cell>
          <cell r="LY293">
            <v>10.963685716302095</v>
          </cell>
          <cell r="LZ293">
            <v>14.730476692982464</v>
          </cell>
          <cell r="MA293">
            <v>11.870949885755934</v>
          </cell>
          <cell r="MB293">
            <v>9.6544719773798295</v>
          </cell>
          <cell r="MC293">
            <v>14.087427794132038</v>
          </cell>
        </row>
        <row r="294">
          <cell r="A294">
            <v>39938</v>
          </cell>
          <cell r="LJ294">
            <v>17.587923032247261</v>
          </cell>
          <cell r="LK294">
            <v>20.020152274152959</v>
          </cell>
          <cell r="LL294">
            <v>17.982747259685677</v>
          </cell>
          <cell r="LM294">
            <v>15.721193701553757</v>
          </cell>
          <cell r="LN294">
            <v>20.244300817817596</v>
          </cell>
          <cell r="LY294">
            <v>11.0297701037984</v>
          </cell>
          <cell r="LZ294">
            <v>14.730476692982464</v>
          </cell>
          <cell r="MA294">
            <v>11.870949885755934</v>
          </cell>
          <cell r="MB294">
            <v>9.6544719773798295</v>
          </cell>
          <cell r="MC294">
            <v>14.087427794132038</v>
          </cell>
        </row>
        <row r="295">
          <cell r="A295">
            <v>39939</v>
          </cell>
          <cell r="LJ295">
            <v>17.537133626012611</v>
          </cell>
          <cell r="LK295">
            <v>20.020152274152959</v>
          </cell>
          <cell r="LL295">
            <v>17.982747259685677</v>
          </cell>
          <cell r="LM295">
            <v>15.721193701553757</v>
          </cell>
          <cell r="LN295">
            <v>20.244300817817596</v>
          </cell>
          <cell r="LY295">
            <v>11.000755155582549</v>
          </cell>
          <cell r="LZ295">
            <v>14.730476692982464</v>
          </cell>
          <cell r="MA295">
            <v>11.870949885755934</v>
          </cell>
          <cell r="MB295">
            <v>9.6544719773798295</v>
          </cell>
          <cell r="MC295">
            <v>14.087427794132038</v>
          </cell>
        </row>
        <row r="296">
          <cell r="A296">
            <v>39940</v>
          </cell>
          <cell r="LJ296">
            <v>17.212634826429255</v>
          </cell>
          <cell r="LK296">
            <v>20.020152274152959</v>
          </cell>
          <cell r="LL296">
            <v>17.982747259685677</v>
          </cell>
          <cell r="LM296">
            <v>15.721193701553757</v>
          </cell>
          <cell r="LN296">
            <v>20.244300817817596</v>
          </cell>
          <cell r="LY296">
            <v>10.815375633275924</v>
          </cell>
          <cell r="LZ296">
            <v>14.730476692982464</v>
          </cell>
          <cell r="MA296">
            <v>11.870949885755934</v>
          </cell>
          <cell r="MB296">
            <v>9.6544719773798295</v>
          </cell>
          <cell r="MC296">
            <v>14.087427794132038</v>
          </cell>
        </row>
        <row r="297">
          <cell r="A297">
            <v>39941</v>
          </cell>
          <cell r="LJ297">
            <v>17.319858254424254</v>
          </cell>
          <cell r="LK297">
            <v>20.020152274152959</v>
          </cell>
          <cell r="LL297">
            <v>17.982747259685677</v>
          </cell>
          <cell r="LM297">
            <v>15.721193701553757</v>
          </cell>
          <cell r="LN297">
            <v>20.244300817817596</v>
          </cell>
          <cell r="LY297">
            <v>10.876630183022527</v>
          </cell>
          <cell r="LZ297">
            <v>14.730476692982464</v>
          </cell>
          <cell r="MA297">
            <v>11.870949885755934</v>
          </cell>
          <cell r="MB297">
            <v>9.6544719773798295</v>
          </cell>
          <cell r="MC297">
            <v>14.087427794132038</v>
          </cell>
        </row>
        <row r="298">
          <cell r="A298">
            <v>39944</v>
          </cell>
          <cell r="LJ298">
            <v>17.048973426233129</v>
          </cell>
          <cell r="LK298">
            <v>20.020152274152959</v>
          </cell>
          <cell r="LL298">
            <v>17.982747259685677</v>
          </cell>
          <cell r="LM298">
            <v>15.721193701553757</v>
          </cell>
          <cell r="LN298">
            <v>20.244300817817596</v>
          </cell>
          <cell r="LY298">
            <v>10.721879225192605</v>
          </cell>
          <cell r="LZ298">
            <v>14.730476692982464</v>
          </cell>
          <cell r="MA298">
            <v>11.870949885755934</v>
          </cell>
          <cell r="MB298">
            <v>9.6544719773798295</v>
          </cell>
          <cell r="MC298">
            <v>14.087427794132038</v>
          </cell>
        </row>
        <row r="299">
          <cell r="A299">
            <v>39945</v>
          </cell>
          <cell r="LJ299">
            <v>16.958675379584999</v>
          </cell>
          <cell r="LK299">
            <v>20.020152274152959</v>
          </cell>
          <cell r="LL299">
            <v>17.982747259685677</v>
          </cell>
          <cell r="LM299">
            <v>15.721193701553757</v>
          </cell>
          <cell r="LN299">
            <v>20.244300817817596</v>
          </cell>
          <cell r="LY299">
            <v>10.67029379937795</v>
          </cell>
          <cell r="LZ299">
            <v>14.730476692982464</v>
          </cell>
          <cell r="MA299">
            <v>11.870949885755934</v>
          </cell>
          <cell r="MB299">
            <v>9.6544719773798295</v>
          </cell>
          <cell r="MC299">
            <v>14.087427794132038</v>
          </cell>
        </row>
        <row r="300">
          <cell r="A300">
            <v>39946</v>
          </cell>
          <cell r="LJ300">
            <v>16.568981889384681</v>
          </cell>
          <cell r="LK300">
            <v>20.020152274152959</v>
          </cell>
          <cell r="LL300">
            <v>17.982747259685677</v>
          </cell>
          <cell r="LM300">
            <v>15.721193701553757</v>
          </cell>
          <cell r="LN300">
            <v>20.244300817817596</v>
          </cell>
          <cell r="LY300">
            <v>10.388210636503306</v>
          </cell>
          <cell r="LZ300">
            <v>14.730476692982464</v>
          </cell>
          <cell r="MA300">
            <v>11.870949885755934</v>
          </cell>
          <cell r="MB300">
            <v>9.6544719773798295</v>
          </cell>
          <cell r="MC300">
            <v>14.087427794132038</v>
          </cell>
        </row>
        <row r="301">
          <cell r="A301">
            <v>39947</v>
          </cell>
          <cell r="LJ301">
            <v>16.50084633562301</v>
          </cell>
          <cell r="LK301">
            <v>20.020152274152959</v>
          </cell>
          <cell r="LL301">
            <v>17.982747259685677</v>
          </cell>
          <cell r="LM301">
            <v>15.721193701553757</v>
          </cell>
          <cell r="LN301">
            <v>20.244300817817596</v>
          </cell>
          <cell r="LY301">
            <v>10.349530080187419</v>
          </cell>
          <cell r="LZ301">
            <v>14.730476692982464</v>
          </cell>
          <cell r="MA301">
            <v>11.870949885755934</v>
          </cell>
          <cell r="MB301">
            <v>9.6544719773798295</v>
          </cell>
          <cell r="MC301">
            <v>14.087427794132038</v>
          </cell>
        </row>
        <row r="302">
          <cell r="A302">
            <v>39948</v>
          </cell>
          <cell r="LJ302">
            <v>16.421351827861375</v>
          </cell>
          <cell r="LK302">
            <v>20.020152274152959</v>
          </cell>
          <cell r="LL302">
            <v>17.982747259685677</v>
          </cell>
          <cell r="LM302">
            <v>15.721193701553757</v>
          </cell>
          <cell r="LN302">
            <v>20.244300817817596</v>
          </cell>
          <cell r="LY302">
            <v>10.30440104527808</v>
          </cell>
          <cell r="LZ302">
            <v>14.730476692982464</v>
          </cell>
          <cell r="MA302">
            <v>11.870949885755934</v>
          </cell>
          <cell r="MB302">
            <v>9.6544719773798295</v>
          </cell>
          <cell r="MC302">
            <v>14.087427794132038</v>
          </cell>
        </row>
        <row r="303">
          <cell r="A303">
            <v>39951</v>
          </cell>
          <cell r="LJ303">
            <v>16.861413133487662</v>
          </cell>
          <cell r="LK303">
            <v>20.020152274152959</v>
          </cell>
          <cell r="LL303">
            <v>17.982747259685677</v>
          </cell>
          <cell r="LM303">
            <v>15.721193701553757</v>
          </cell>
          <cell r="LN303">
            <v>20.244300817817596</v>
          </cell>
          <cell r="LY303">
            <v>10.554223864275928</v>
          </cell>
          <cell r="LZ303">
            <v>14.730476692982464</v>
          </cell>
          <cell r="MA303">
            <v>11.870949885755934</v>
          </cell>
          <cell r="MB303">
            <v>9.6544719773798295</v>
          </cell>
          <cell r="MC303">
            <v>14.087427794132038</v>
          </cell>
        </row>
        <row r="304">
          <cell r="A304">
            <v>39952</v>
          </cell>
          <cell r="LJ304">
            <v>17.023239545253666</v>
          </cell>
          <cell r="LK304">
            <v>20.020152274152959</v>
          </cell>
          <cell r="LL304">
            <v>17.982747259685677</v>
          </cell>
          <cell r="LM304">
            <v>15.721193701553757</v>
          </cell>
          <cell r="LN304">
            <v>20.244300817817596</v>
          </cell>
          <cell r="LY304">
            <v>10.646092724043436</v>
          </cell>
          <cell r="LZ304">
            <v>14.730476692982464</v>
          </cell>
          <cell r="MA304">
            <v>11.870949885755934</v>
          </cell>
          <cell r="MB304">
            <v>9.6544719773798295</v>
          </cell>
          <cell r="MC304">
            <v>14.087427794132038</v>
          </cell>
        </row>
        <row r="305">
          <cell r="A305">
            <v>39953</v>
          </cell>
          <cell r="LJ305">
            <v>17.139643768698395</v>
          </cell>
          <cell r="LK305">
            <v>20.020152274152959</v>
          </cell>
          <cell r="LL305">
            <v>17.982747259685677</v>
          </cell>
          <cell r="LM305">
            <v>15.721193701553757</v>
          </cell>
          <cell r="LN305">
            <v>20.244300817817596</v>
          </cell>
          <cell r="LY305">
            <v>10.712175405870758</v>
          </cell>
          <cell r="LZ305">
            <v>14.730476692982464</v>
          </cell>
          <cell r="MA305">
            <v>11.870949885755934</v>
          </cell>
          <cell r="MB305">
            <v>9.6544719773798295</v>
          </cell>
          <cell r="MC305">
            <v>14.087427794132038</v>
          </cell>
        </row>
        <row r="306">
          <cell r="A306">
            <v>39954</v>
          </cell>
          <cell r="LJ306">
            <v>16.750688245087929</v>
          </cell>
          <cell r="LK306">
            <v>20.020152274152959</v>
          </cell>
          <cell r="LL306">
            <v>17.982747259685677</v>
          </cell>
          <cell r="LM306">
            <v>15.721193701553757</v>
          </cell>
          <cell r="LN306">
            <v>20.244300817817596</v>
          </cell>
          <cell r="LY306">
            <v>10.491365341157481</v>
          </cell>
          <cell r="LZ306">
            <v>14.730476692982464</v>
          </cell>
          <cell r="MA306">
            <v>11.870949885755934</v>
          </cell>
          <cell r="MB306">
            <v>9.6544719773798295</v>
          </cell>
          <cell r="MC306">
            <v>14.087427794132038</v>
          </cell>
        </row>
        <row r="307">
          <cell r="A307">
            <v>39955</v>
          </cell>
          <cell r="LJ307">
            <v>16.813144463804605</v>
          </cell>
          <cell r="LK307">
            <v>20.020152274152959</v>
          </cell>
          <cell r="LL307">
            <v>17.982747259685677</v>
          </cell>
          <cell r="LM307">
            <v>15.721193701553757</v>
          </cell>
          <cell r="LN307">
            <v>20.244300817817596</v>
          </cell>
          <cell r="LY307">
            <v>10.526821738764491</v>
          </cell>
          <cell r="LZ307">
            <v>14.730476692982464</v>
          </cell>
          <cell r="MA307">
            <v>11.870949885755934</v>
          </cell>
          <cell r="MB307">
            <v>9.6544719773798295</v>
          </cell>
          <cell r="MC307">
            <v>14.087427794132038</v>
          </cell>
        </row>
        <row r="308">
          <cell r="A308">
            <v>39958</v>
          </cell>
          <cell r="LJ308">
            <v>16.813144463804605</v>
          </cell>
          <cell r="LK308">
            <v>20.020152274152959</v>
          </cell>
          <cell r="LL308">
            <v>17.982747259685677</v>
          </cell>
          <cell r="LM308">
            <v>15.721193701553757</v>
          </cell>
          <cell r="LN308">
            <v>20.244300817817596</v>
          </cell>
          <cell r="LY308">
            <v>10.526821738764491</v>
          </cell>
          <cell r="LZ308">
            <v>14.730476692982464</v>
          </cell>
          <cell r="MA308">
            <v>11.870949885755934</v>
          </cell>
          <cell r="MB308">
            <v>9.6544719773798295</v>
          </cell>
          <cell r="MC308">
            <v>14.087427794132038</v>
          </cell>
        </row>
        <row r="309">
          <cell r="A309">
            <v>39959</v>
          </cell>
          <cell r="LJ309">
            <v>17.398002693361018</v>
          </cell>
          <cell r="LK309">
            <v>20.020152274152959</v>
          </cell>
          <cell r="LL309">
            <v>17.982747259685677</v>
          </cell>
          <cell r="LM309">
            <v>15.721193701553757</v>
          </cell>
          <cell r="LN309">
            <v>20.244300817817596</v>
          </cell>
          <cell r="LY309">
            <v>10.858845776674229</v>
          </cell>
          <cell r="LZ309">
            <v>14.730476692982464</v>
          </cell>
          <cell r="MA309">
            <v>11.870949885755934</v>
          </cell>
          <cell r="MB309">
            <v>9.6544719773798295</v>
          </cell>
          <cell r="MC309">
            <v>14.087427794132038</v>
          </cell>
        </row>
        <row r="310">
          <cell r="A310">
            <v>39960</v>
          </cell>
          <cell r="LJ310">
            <v>16.996175178930486</v>
          </cell>
          <cell r="LK310">
            <v>20.020152274152959</v>
          </cell>
          <cell r="LL310">
            <v>17.982747259685677</v>
          </cell>
          <cell r="LM310">
            <v>15.721193701553757</v>
          </cell>
          <cell r="LN310">
            <v>20.244300817817596</v>
          </cell>
          <cell r="LY310">
            <v>10.69928102749506</v>
          </cell>
          <cell r="LZ310">
            <v>14.730476692982464</v>
          </cell>
          <cell r="MA310">
            <v>11.870949885755934</v>
          </cell>
          <cell r="MB310">
            <v>9.6544719773798295</v>
          </cell>
          <cell r="MC310">
            <v>14.087427794132038</v>
          </cell>
        </row>
        <row r="311">
          <cell r="A311">
            <v>39961</v>
          </cell>
          <cell r="LJ311">
            <v>16.917241483002012</v>
          </cell>
          <cell r="LK311">
            <v>20.020152274152959</v>
          </cell>
          <cell r="LL311">
            <v>17.982747259685677</v>
          </cell>
          <cell r="LM311">
            <v>15.721193701553757</v>
          </cell>
          <cell r="LN311">
            <v>20.244300817817596</v>
          </cell>
          <cell r="LY311">
            <v>10.654151992585724</v>
          </cell>
          <cell r="LZ311">
            <v>14.730476692982464</v>
          </cell>
          <cell r="MA311">
            <v>11.870949885755934</v>
          </cell>
          <cell r="MB311">
            <v>9.6544719773798295</v>
          </cell>
          <cell r="MC311">
            <v>14.087427794132038</v>
          </cell>
        </row>
        <row r="312">
          <cell r="A312">
            <v>39962</v>
          </cell>
          <cell r="LJ312">
            <v>17.001705617373609</v>
          </cell>
          <cell r="LK312">
            <v>20.020152274152959</v>
          </cell>
          <cell r="LL312">
            <v>17.982747259685677</v>
          </cell>
          <cell r="LM312">
            <v>15.721193701553757</v>
          </cell>
          <cell r="LN312">
            <v>20.244300817817596</v>
          </cell>
          <cell r="LY312">
            <v>10.708951085986183</v>
          </cell>
          <cell r="LZ312">
            <v>14.730476692982464</v>
          </cell>
          <cell r="MA312">
            <v>11.870949885755934</v>
          </cell>
          <cell r="MB312">
            <v>9.6544719773798295</v>
          </cell>
          <cell r="MC312">
            <v>14.087427794132038</v>
          </cell>
        </row>
        <row r="313">
          <cell r="A313">
            <v>39965</v>
          </cell>
          <cell r="LJ313">
            <v>17.735130313807765</v>
          </cell>
          <cell r="LK313">
            <v>20.020152274152959</v>
          </cell>
          <cell r="LL313">
            <v>17.982747259685677</v>
          </cell>
          <cell r="LM313">
            <v>15.721193701553757</v>
          </cell>
          <cell r="LN313">
            <v>20.244300817817596</v>
          </cell>
          <cell r="LY313">
            <v>11.108703981368491</v>
          </cell>
          <cell r="LZ313">
            <v>14.730476692982464</v>
          </cell>
          <cell r="MA313">
            <v>11.870949885755934</v>
          </cell>
          <cell r="MB313">
            <v>9.6544719773798295</v>
          </cell>
          <cell r="MC313">
            <v>14.087427794132038</v>
          </cell>
        </row>
        <row r="314">
          <cell r="A314">
            <v>39966</v>
          </cell>
          <cell r="LJ314">
            <v>17.606105058845966</v>
          </cell>
          <cell r="LK314">
            <v>20.020152274152959</v>
          </cell>
          <cell r="LL314">
            <v>17.982747259685677</v>
          </cell>
          <cell r="LM314">
            <v>15.721193701553757</v>
          </cell>
          <cell r="LN314">
            <v>20.244300817817596</v>
          </cell>
          <cell r="LY314">
            <v>11.034989757528122</v>
          </cell>
          <cell r="LZ314">
            <v>14.730476692982464</v>
          </cell>
          <cell r="MA314">
            <v>11.870949885755934</v>
          </cell>
          <cell r="MB314">
            <v>9.6544719773798295</v>
          </cell>
          <cell r="MC314">
            <v>14.087427794132038</v>
          </cell>
        </row>
        <row r="315">
          <cell r="A315">
            <v>39967</v>
          </cell>
          <cell r="LJ315">
            <v>17.435008302386375</v>
          </cell>
          <cell r="LK315">
            <v>20.020152274152959</v>
          </cell>
          <cell r="LL315">
            <v>17.982747259685677</v>
          </cell>
          <cell r="LM315">
            <v>15.721193701553757</v>
          </cell>
          <cell r="LN315">
            <v>20.244300817817596</v>
          </cell>
          <cell r="LY315">
            <v>10.937239401539616</v>
          </cell>
          <cell r="LZ315">
            <v>14.730476692982464</v>
          </cell>
          <cell r="MA315">
            <v>11.870949885755934</v>
          </cell>
          <cell r="MB315">
            <v>9.6544719773798295</v>
          </cell>
          <cell r="MC315">
            <v>14.087427794132038</v>
          </cell>
        </row>
        <row r="316">
          <cell r="A316">
            <v>39968</v>
          </cell>
          <cell r="LJ316">
            <v>17.656594506961664</v>
          </cell>
          <cell r="LK316">
            <v>20.020152274152959</v>
          </cell>
          <cell r="LL316">
            <v>17.982747259685677</v>
          </cell>
          <cell r="LM316">
            <v>15.721193701553757</v>
          </cell>
          <cell r="LN316">
            <v>20.244300817817596</v>
          </cell>
          <cell r="LY316">
            <v>11.06383519930678</v>
          </cell>
          <cell r="LZ316">
            <v>14.730476692982464</v>
          </cell>
          <cell r="MA316">
            <v>11.870949885755934</v>
          </cell>
          <cell r="MB316">
            <v>9.6544719773798295</v>
          </cell>
          <cell r="MC316">
            <v>14.087427794132038</v>
          </cell>
        </row>
        <row r="317">
          <cell r="A317">
            <v>39969</v>
          </cell>
          <cell r="LJ317">
            <v>17.855737341665638</v>
          </cell>
          <cell r="LK317">
            <v>20.020152274152959</v>
          </cell>
          <cell r="LL317">
            <v>17.982747259685677</v>
          </cell>
          <cell r="LM317">
            <v>15.721193701553757</v>
          </cell>
          <cell r="LN317">
            <v>20.244300817817596</v>
          </cell>
          <cell r="LY317">
            <v>11.177608735332118</v>
          </cell>
          <cell r="LZ317">
            <v>14.730476692982464</v>
          </cell>
          <cell r="MA317">
            <v>11.870949885755934</v>
          </cell>
          <cell r="MB317">
            <v>9.6544719773798295</v>
          </cell>
          <cell r="MC317">
            <v>14.087427794132038</v>
          </cell>
        </row>
        <row r="318">
          <cell r="A318">
            <v>39972</v>
          </cell>
          <cell r="LJ318">
            <v>17.856940596502643</v>
          </cell>
          <cell r="LK318">
            <v>20.020152274152959</v>
          </cell>
          <cell r="LL318">
            <v>17.982747259685677</v>
          </cell>
          <cell r="LM318">
            <v>15.721193701553757</v>
          </cell>
          <cell r="LN318">
            <v>20.244300817817596</v>
          </cell>
          <cell r="LY318">
            <v>11.179212529323346</v>
          </cell>
          <cell r="LZ318">
            <v>14.730476692982464</v>
          </cell>
          <cell r="MA318">
            <v>11.870949885755934</v>
          </cell>
          <cell r="MB318">
            <v>9.6544719773798295</v>
          </cell>
          <cell r="MC318">
            <v>14.087427794132038</v>
          </cell>
        </row>
        <row r="319">
          <cell r="A319">
            <v>39973</v>
          </cell>
          <cell r="LJ319">
            <v>17.943869247249115</v>
          </cell>
          <cell r="LK319">
            <v>20.020152274152959</v>
          </cell>
          <cell r="LL319">
            <v>17.982747259685677</v>
          </cell>
          <cell r="LM319">
            <v>15.721193701553757</v>
          </cell>
          <cell r="LN319">
            <v>20.244300817817596</v>
          </cell>
          <cell r="LY319">
            <v>11.228881421194222</v>
          </cell>
          <cell r="LZ319">
            <v>14.730476692982464</v>
          </cell>
          <cell r="MA319">
            <v>11.870949885755934</v>
          </cell>
          <cell r="MB319">
            <v>9.6544719773798295</v>
          </cell>
          <cell r="MC319">
            <v>14.087427794132038</v>
          </cell>
        </row>
        <row r="320">
          <cell r="A320">
            <v>39974</v>
          </cell>
          <cell r="LJ320">
            <v>17.713929705113681</v>
          </cell>
          <cell r="LK320">
            <v>20.020152274152959</v>
          </cell>
          <cell r="LL320">
            <v>17.982747259685677</v>
          </cell>
          <cell r="LM320">
            <v>15.721193701553757</v>
          </cell>
          <cell r="LN320">
            <v>20.244300817817596</v>
          </cell>
          <cell r="LY320">
            <v>11.097499625237532</v>
          </cell>
          <cell r="LZ320">
            <v>14.730476692982464</v>
          </cell>
          <cell r="MA320">
            <v>11.870949885755934</v>
          </cell>
          <cell r="MB320">
            <v>9.6544719773798295</v>
          </cell>
          <cell r="MC320">
            <v>14.087427794132038</v>
          </cell>
        </row>
        <row r="321">
          <cell r="A321">
            <v>39975</v>
          </cell>
          <cell r="LJ321">
            <v>17.733556638587597</v>
          </cell>
          <cell r="LK321">
            <v>20.020152274152959</v>
          </cell>
          <cell r="LL321">
            <v>17.982747259685677</v>
          </cell>
          <cell r="LM321">
            <v>15.721193701553757</v>
          </cell>
          <cell r="LN321">
            <v>20.244300817817596</v>
          </cell>
          <cell r="LY321">
            <v>11.108713972039208</v>
          </cell>
          <cell r="LZ321">
            <v>14.730476692982464</v>
          </cell>
          <cell r="MA321">
            <v>11.870949885755934</v>
          </cell>
          <cell r="MB321">
            <v>9.6544719773798295</v>
          </cell>
          <cell r="MC321">
            <v>14.087427794132038</v>
          </cell>
        </row>
        <row r="322">
          <cell r="A322">
            <v>39976</v>
          </cell>
          <cell r="LJ322">
            <v>17.601760456742905</v>
          </cell>
          <cell r="LK322">
            <v>20.020152274152959</v>
          </cell>
          <cell r="LL322">
            <v>17.982747259685677</v>
          </cell>
          <cell r="LM322">
            <v>15.721193701553757</v>
          </cell>
          <cell r="LN322">
            <v>20.244300817817596</v>
          </cell>
          <cell r="LY322">
            <v>11.033408877012134</v>
          </cell>
          <cell r="LZ322">
            <v>14.730476692982464</v>
          </cell>
          <cell r="MA322">
            <v>11.870949885755934</v>
          </cell>
          <cell r="MB322">
            <v>9.6544719773798295</v>
          </cell>
          <cell r="MC322">
            <v>14.087427794132038</v>
          </cell>
        </row>
        <row r="323">
          <cell r="A323">
            <v>39979</v>
          </cell>
          <cell r="LJ323">
            <v>17.343777270534925</v>
          </cell>
          <cell r="LK323">
            <v>20.020152274152959</v>
          </cell>
          <cell r="LL323">
            <v>17.982747259685677</v>
          </cell>
          <cell r="LM323">
            <v>15.721193701553757</v>
          </cell>
          <cell r="LN323">
            <v>20.244300817817596</v>
          </cell>
          <cell r="LY323">
            <v>10.886003632938582</v>
          </cell>
          <cell r="LZ323">
            <v>14.730476692982464</v>
          </cell>
          <cell r="MA323">
            <v>11.870949885755934</v>
          </cell>
          <cell r="MB323">
            <v>9.6544719773798295</v>
          </cell>
          <cell r="MC323">
            <v>14.087427794132038</v>
          </cell>
        </row>
        <row r="324">
          <cell r="A324">
            <v>39980</v>
          </cell>
          <cell r="LJ324">
            <v>16.9988659944141</v>
          </cell>
          <cell r="LK324">
            <v>20.020152274152959</v>
          </cell>
          <cell r="LL324">
            <v>17.982747259685677</v>
          </cell>
          <cell r="LM324">
            <v>15.721193701553757</v>
          </cell>
          <cell r="LN324">
            <v>20.244300817817596</v>
          </cell>
          <cell r="LY324">
            <v>10.688929817440691</v>
          </cell>
          <cell r="LZ324">
            <v>14.730476692982464</v>
          </cell>
          <cell r="MA324">
            <v>11.870949885755934</v>
          </cell>
          <cell r="MB324">
            <v>9.6544719773798295</v>
          </cell>
          <cell r="MC324">
            <v>14.087427794132038</v>
          </cell>
        </row>
        <row r="325">
          <cell r="A325">
            <v>39981</v>
          </cell>
          <cell r="LJ325">
            <v>17.130662176258792</v>
          </cell>
          <cell r="LK325">
            <v>20.020152274152959</v>
          </cell>
          <cell r="LL325">
            <v>17.982747259685677</v>
          </cell>
          <cell r="LM325">
            <v>15.721193701553757</v>
          </cell>
          <cell r="LN325">
            <v>20.244300817817596</v>
          </cell>
          <cell r="LY325">
            <v>10.764234912467764</v>
          </cell>
          <cell r="LZ325">
            <v>14.730476692982464</v>
          </cell>
          <cell r="MA325">
            <v>11.870949885755934</v>
          </cell>
          <cell r="MB325">
            <v>9.6544719773798295</v>
          </cell>
          <cell r="MC325">
            <v>14.087427794132038</v>
          </cell>
        </row>
        <row r="326">
          <cell r="A326">
            <v>39982</v>
          </cell>
          <cell r="LJ326">
            <v>17.21759054658845</v>
          </cell>
          <cell r="LK326">
            <v>20.020152274152959</v>
          </cell>
          <cell r="LL326">
            <v>17.982747259685677</v>
          </cell>
          <cell r="LM326">
            <v>15.721193701553757</v>
          </cell>
          <cell r="LN326">
            <v>20.244300817817596</v>
          </cell>
          <cell r="LY326">
            <v>10.813903644115371</v>
          </cell>
          <cell r="LZ326">
            <v>14.730476692982464</v>
          </cell>
          <cell r="MA326">
            <v>11.870949885755934</v>
          </cell>
          <cell r="MB326">
            <v>9.6544719773798295</v>
          </cell>
          <cell r="MC326">
            <v>14.087427794132038</v>
          </cell>
        </row>
        <row r="327">
          <cell r="A327">
            <v>39983</v>
          </cell>
          <cell r="LJ327">
            <v>17.161508025529148</v>
          </cell>
          <cell r="LK327">
            <v>20.020152274152959</v>
          </cell>
          <cell r="LL327">
            <v>17.982747259685677</v>
          </cell>
          <cell r="LM327">
            <v>15.721193701553757</v>
          </cell>
          <cell r="LN327">
            <v>20.244300817817596</v>
          </cell>
          <cell r="LY327">
            <v>10.781859471677167</v>
          </cell>
          <cell r="LZ327">
            <v>14.730476692982464</v>
          </cell>
          <cell r="MA327">
            <v>11.870949885755934</v>
          </cell>
          <cell r="MB327">
            <v>9.6544719773798295</v>
          </cell>
          <cell r="MC327">
            <v>14.087427794132038</v>
          </cell>
        </row>
        <row r="328">
          <cell r="A328">
            <v>39986</v>
          </cell>
          <cell r="LJ328">
            <v>16.676383856964993</v>
          </cell>
          <cell r="LK328">
            <v>20.020152274152959</v>
          </cell>
          <cell r="LL328">
            <v>17.982747259685677</v>
          </cell>
          <cell r="LM328">
            <v>15.721193701553757</v>
          </cell>
          <cell r="LN328">
            <v>20.244300817817596</v>
          </cell>
          <cell r="LY328">
            <v>10.504671459837015</v>
          </cell>
          <cell r="LZ328">
            <v>14.730476692982464</v>
          </cell>
          <cell r="MA328">
            <v>11.870949885755934</v>
          </cell>
          <cell r="MB328">
            <v>9.6544719773798295</v>
          </cell>
          <cell r="MC328">
            <v>14.087427794132038</v>
          </cell>
        </row>
        <row r="329">
          <cell r="A329">
            <v>39987</v>
          </cell>
          <cell r="LJ329">
            <v>16.684800287146818</v>
          </cell>
          <cell r="LK329">
            <v>20.020152274152959</v>
          </cell>
          <cell r="LL329">
            <v>17.982747259685677</v>
          </cell>
          <cell r="LM329">
            <v>15.721193701553757</v>
          </cell>
          <cell r="LN329">
            <v>20.244300817817596</v>
          </cell>
          <cell r="LY329">
            <v>10.509480400928931</v>
          </cell>
          <cell r="LZ329">
            <v>14.730476692982464</v>
          </cell>
          <cell r="MA329">
            <v>11.870949885755934</v>
          </cell>
          <cell r="MB329">
            <v>9.6544719773798295</v>
          </cell>
          <cell r="MC329">
            <v>14.087427794132038</v>
          </cell>
        </row>
        <row r="330">
          <cell r="A330">
            <v>39988</v>
          </cell>
          <cell r="LJ330">
            <v>16.90071842787119</v>
          </cell>
          <cell r="LK330">
            <v>20.020152274152959</v>
          </cell>
          <cell r="LL330">
            <v>17.982747259685677</v>
          </cell>
          <cell r="LM330">
            <v>15.721193701553757</v>
          </cell>
          <cell r="LN330">
            <v>20.244300817817596</v>
          </cell>
          <cell r="LY330">
            <v>10.632850713162091</v>
          </cell>
          <cell r="LZ330">
            <v>14.730476692982464</v>
          </cell>
          <cell r="MA330">
            <v>11.870949885755934</v>
          </cell>
          <cell r="MB330">
            <v>9.6544719773798295</v>
          </cell>
          <cell r="MC330">
            <v>14.087427794132038</v>
          </cell>
        </row>
        <row r="331">
          <cell r="A331">
            <v>39989</v>
          </cell>
          <cell r="LJ331">
            <v>17.307321682949539</v>
          </cell>
          <cell r="LK331">
            <v>20.020152274152959</v>
          </cell>
          <cell r="LL331">
            <v>17.982747259685677</v>
          </cell>
          <cell r="LM331">
            <v>15.721193701553757</v>
          </cell>
          <cell r="LN331">
            <v>20.244300817817596</v>
          </cell>
          <cell r="LY331">
            <v>10.865173807302053</v>
          </cell>
          <cell r="LZ331">
            <v>14.730476692982464</v>
          </cell>
          <cell r="MA331">
            <v>11.870949885755934</v>
          </cell>
          <cell r="MB331">
            <v>9.6544719773798295</v>
          </cell>
          <cell r="MC331">
            <v>14.087427794132038</v>
          </cell>
        </row>
        <row r="332">
          <cell r="A332">
            <v>39990</v>
          </cell>
          <cell r="LJ332">
            <v>17.598957690711476</v>
          </cell>
          <cell r="LK332">
            <v>20.020152274152959</v>
          </cell>
          <cell r="LL332">
            <v>17.982747259685677</v>
          </cell>
          <cell r="LM332">
            <v>15.721193701553757</v>
          </cell>
          <cell r="LN332">
            <v>20.244300817817596</v>
          </cell>
          <cell r="LY332">
            <v>11.031807445473062</v>
          </cell>
          <cell r="LZ332">
            <v>14.730476692982464</v>
          </cell>
          <cell r="MA332">
            <v>11.870949885755934</v>
          </cell>
          <cell r="MB332">
            <v>9.6544719773798295</v>
          </cell>
          <cell r="MC332">
            <v>14.087427794132038</v>
          </cell>
        </row>
        <row r="333">
          <cell r="A333">
            <v>39993</v>
          </cell>
          <cell r="LJ333">
            <v>17.601760456742905</v>
          </cell>
          <cell r="LK333">
            <v>20.020152274152959</v>
          </cell>
          <cell r="LL333">
            <v>17.982747259685677</v>
          </cell>
          <cell r="LM333">
            <v>15.721193701553757</v>
          </cell>
          <cell r="LN333">
            <v>20.244300817817596</v>
          </cell>
          <cell r="LY333">
            <v>11.033408877012134</v>
          </cell>
          <cell r="LZ333">
            <v>14.730476692982464</v>
          </cell>
          <cell r="MA333">
            <v>11.870949885755934</v>
          </cell>
          <cell r="MB333">
            <v>9.6544719773798295</v>
          </cell>
          <cell r="MC333">
            <v>14.087427794132038</v>
          </cell>
        </row>
        <row r="334">
          <cell r="A334">
            <v>39994</v>
          </cell>
          <cell r="LJ334">
            <v>17.312931421264569</v>
          </cell>
          <cell r="LK334">
            <v>20.020152274152959</v>
          </cell>
          <cell r="LL334">
            <v>17.982747259685677</v>
          </cell>
          <cell r="LM334">
            <v>15.721193701553757</v>
          </cell>
          <cell r="LN334">
            <v>20.244300817817596</v>
          </cell>
          <cell r="LY334">
            <v>10.868379073729182</v>
          </cell>
          <cell r="LZ334">
            <v>14.730476692982464</v>
          </cell>
          <cell r="MA334">
            <v>11.870949885755934</v>
          </cell>
          <cell r="MB334">
            <v>9.6544719773798295</v>
          </cell>
          <cell r="MC334">
            <v>14.087427794132038</v>
          </cell>
        </row>
        <row r="335">
          <cell r="A335">
            <v>39995</v>
          </cell>
          <cell r="LJ335">
            <v>17.077703225231755</v>
          </cell>
          <cell r="LK335">
            <v>20.020152274152959</v>
          </cell>
          <cell r="LL335">
            <v>17.982747259685677</v>
          </cell>
          <cell r="LM335">
            <v>15.721193701553757</v>
          </cell>
          <cell r="LN335">
            <v>20.244300817817596</v>
          </cell>
          <cell r="LY335">
            <v>10.71564783957114</v>
          </cell>
          <cell r="LZ335">
            <v>14.730476692982464</v>
          </cell>
          <cell r="MA335">
            <v>11.870949885755934</v>
          </cell>
          <cell r="MB335">
            <v>9.6544719773798295</v>
          </cell>
          <cell r="MC335">
            <v>14.087427794132038</v>
          </cell>
        </row>
        <row r="336">
          <cell r="A336">
            <v>39996</v>
          </cell>
          <cell r="LJ336">
            <v>16.644966725886398</v>
          </cell>
          <cell r="LK336">
            <v>20.020152274152959</v>
          </cell>
          <cell r="LL336">
            <v>17.982747259685677</v>
          </cell>
          <cell r="LM336">
            <v>15.721193701553757</v>
          </cell>
          <cell r="LN336">
            <v>20.244300817817596</v>
          </cell>
          <cell r="LY336">
            <v>10.468716320746019</v>
          </cell>
          <cell r="LZ336">
            <v>14.730476692982464</v>
          </cell>
          <cell r="MA336">
            <v>11.870949885755934</v>
          </cell>
          <cell r="MB336">
            <v>9.6544719773798295</v>
          </cell>
          <cell r="MC336">
            <v>14.087427794132038</v>
          </cell>
        </row>
        <row r="337">
          <cell r="A337">
            <v>39997</v>
          </cell>
          <cell r="LJ337">
            <v>16.644966725886398</v>
          </cell>
          <cell r="LK337">
            <v>20.020152274152959</v>
          </cell>
          <cell r="LL337">
            <v>17.982747259685677</v>
          </cell>
          <cell r="LM337">
            <v>15.721193701553757</v>
          </cell>
          <cell r="LN337">
            <v>20.244300817817596</v>
          </cell>
          <cell r="LY337">
            <v>10.468716320746019</v>
          </cell>
          <cell r="LZ337">
            <v>14.730476692982464</v>
          </cell>
          <cell r="MA337">
            <v>11.870949885755934</v>
          </cell>
          <cell r="MB337">
            <v>9.6544719773798295</v>
          </cell>
          <cell r="MC337">
            <v>14.087427794132038</v>
          </cell>
        </row>
        <row r="338">
          <cell r="A338">
            <v>40000</v>
          </cell>
          <cell r="LJ338">
            <v>16.605880924176113</v>
          </cell>
          <cell r="LK338">
            <v>20.020152274152959</v>
          </cell>
          <cell r="LL338">
            <v>17.982747259685677</v>
          </cell>
          <cell r="LM338">
            <v>15.721193701553757</v>
          </cell>
          <cell r="LN338">
            <v>20.244300817817596</v>
          </cell>
          <cell r="LY338">
            <v>10.446412871891068</v>
          </cell>
          <cell r="LZ338">
            <v>14.730476692982464</v>
          </cell>
          <cell r="MA338">
            <v>11.870949885755934</v>
          </cell>
          <cell r="MB338">
            <v>9.6544719773798295</v>
          </cell>
          <cell r="MC338">
            <v>14.087427794132038</v>
          </cell>
        </row>
        <row r="339">
          <cell r="A339">
            <v>40001</v>
          </cell>
          <cell r="LJ339">
            <v>16.187104477280183</v>
          </cell>
          <cell r="LK339">
            <v>20.020152274152959</v>
          </cell>
          <cell r="LL339">
            <v>17.982747259685677</v>
          </cell>
          <cell r="LM339">
            <v>15.721193701553757</v>
          </cell>
          <cell r="LN339">
            <v>20.244300817817596</v>
          </cell>
          <cell r="LY339">
            <v>10.207447348445189</v>
          </cell>
          <cell r="LZ339">
            <v>14.730476692982464</v>
          </cell>
          <cell r="MA339">
            <v>11.870949885755934</v>
          </cell>
          <cell r="MB339">
            <v>9.6544719773798295</v>
          </cell>
          <cell r="MC339">
            <v>14.087427794132038</v>
          </cell>
        </row>
        <row r="340">
          <cell r="A340">
            <v>40002</v>
          </cell>
          <cell r="LJ340">
            <v>16.12568365255115</v>
          </cell>
          <cell r="LK340">
            <v>20.020152274152959</v>
          </cell>
          <cell r="LL340">
            <v>17.982747259685677</v>
          </cell>
          <cell r="LM340">
            <v>15.721193701553757</v>
          </cell>
          <cell r="LN340">
            <v>20.244300817817596</v>
          </cell>
          <cell r="LY340">
            <v>10.172398912362778</v>
          </cell>
          <cell r="LZ340">
            <v>14.730476692982464</v>
          </cell>
          <cell r="MA340">
            <v>11.870949885755934</v>
          </cell>
          <cell r="MB340">
            <v>9.6544719773798295</v>
          </cell>
          <cell r="MC340">
            <v>14.087427794132038</v>
          </cell>
        </row>
        <row r="341">
          <cell r="A341">
            <v>40003</v>
          </cell>
          <cell r="LJ341">
            <v>16.217815029236846</v>
          </cell>
          <cell r="LK341">
            <v>20.020152274152959</v>
          </cell>
          <cell r="LL341">
            <v>17.982747259685677</v>
          </cell>
          <cell r="LM341">
            <v>15.721193701553757</v>
          </cell>
          <cell r="LN341">
            <v>20.244300817817596</v>
          </cell>
          <cell r="LY341">
            <v>10.224971646141571</v>
          </cell>
          <cell r="LZ341">
            <v>14.730476692982464</v>
          </cell>
          <cell r="MA341">
            <v>11.870949885755934</v>
          </cell>
          <cell r="MB341">
            <v>9.6544719773798295</v>
          </cell>
          <cell r="MC341">
            <v>14.087427794132038</v>
          </cell>
        </row>
        <row r="342">
          <cell r="A342">
            <v>40004</v>
          </cell>
          <cell r="LJ342">
            <v>16.304511632193048</v>
          </cell>
          <cell r="LK342">
            <v>20.020152274152959</v>
          </cell>
          <cell r="LL342">
            <v>17.982747259685677</v>
          </cell>
          <cell r="LM342">
            <v>15.721193701553757</v>
          </cell>
          <cell r="LN342">
            <v>20.244300817817596</v>
          </cell>
          <cell r="LY342">
            <v>10.29148805844922</v>
          </cell>
          <cell r="LZ342">
            <v>14.730476692982464</v>
          </cell>
          <cell r="MA342">
            <v>11.870949885755934</v>
          </cell>
          <cell r="MB342">
            <v>9.6544719773798295</v>
          </cell>
          <cell r="MC342">
            <v>14.087427794132038</v>
          </cell>
        </row>
        <row r="343">
          <cell r="A343">
            <v>40007</v>
          </cell>
          <cell r="LJ343">
            <v>16.522239849340956</v>
          </cell>
          <cell r="LK343">
            <v>20.020152274152959</v>
          </cell>
          <cell r="LL343">
            <v>17.982747259685677</v>
          </cell>
          <cell r="LM343">
            <v>15.721193701553757</v>
          </cell>
          <cell r="LN343">
            <v>20.244300817817596</v>
          </cell>
          <cell r="LY343">
            <v>10.415937869118791</v>
          </cell>
          <cell r="LZ343">
            <v>14.730476692982464</v>
          </cell>
          <cell r="MA343">
            <v>11.870949885755934</v>
          </cell>
          <cell r="MB343">
            <v>9.6544719773798295</v>
          </cell>
          <cell r="MC343">
            <v>14.087427794132038</v>
          </cell>
        </row>
        <row r="344">
          <cell r="A344">
            <v>40008</v>
          </cell>
          <cell r="LJ344">
            <v>16.656229686816882</v>
          </cell>
          <cell r="LK344">
            <v>20.020152274152959</v>
          </cell>
          <cell r="LL344">
            <v>17.982747259685677</v>
          </cell>
          <cell r="LM344">
            <v>15.721193701553757</v>
          </cell>
          <cell r="LN344">
            <v>20.244300817817596</v>
          </cell>
          <cell r="LY344">
            <v>10.49252859803218</v>
          </cell>
          <cell r="LZ344">
            <v>14.730476692982464</v>
          </cell>
          <cell r="MA344">
            <v>11.870949885755934</v>
          </cell>
          <cell r="MB344">
            <v>9.6544719773798295</v>
          </cell>
          <cell r="MC344">
            <v>14.087427794132038</v>
          </cell>
        </row>
        <row r="345">
          <cell r="A345">
            <v>40009</v>
          </cell>
          <cell r="LJ345">
            <v>17.085287249731984</v>
          </cell>
          <cell r="LK345">
            <v>20.020152274152959</v>
          </cell>
          <cell r="LL345">
            <v>17.982747259685677</v>
          </cell>
          <cell r="LM345">
            <v>15.721193701553757</v>
          </cell>
          <cell r="LN345">
            <v>20.244300817817596</v>
          </cell>
          <cell r="LY345">
            <v>10.803519880116339</v>
          </cell>
          <cell r="LZ345">
            <v>14.730476692982464</v>
          </cell>
          <cell r="MA345">
            <v>11.870949885755934</v>
          </cell>
          <cell r="MB345">
            <v>9.6544719773798295</v>
          </cell>
          <cell r="MC345">
            <v>14.087427794132038</v>
          </cell>
        </row>
        <row r="346">
          <cell r="A346">
            <v>40010</v>
          </cell>
          <cell r="LJ346">
            <v>17.35289990884672</v>
          </cell>
          <cell r="LK346">
            <v>20.020152274152959</v>
          </cell>
          <cell r="LL346">
            <v>17.982747259685677</v>
          </cell>
          <cell r="LM346">
            <v>15.721193701553757</v>
          </cell>
          <cell r="LN346">
            <v>20.244300817817596</v>
          </cell>
          <cell r="LY346">
            <v>10.957438336458639</v>
          </cell>
          <cell r="LZ346">
            <v>14.730476692982464</v>
          </cell>
          <cell r="MA346">
            <v>11.870949885755934</v>
          </cell>
          <cell r="MB346">
            <v>9.6544719773798295</v>
          </cell>
          <cell r="MC346">
            <v>14.087427794132038</v>
          </cell>
        </row>
        <row r="347">
          <cell r="A347">
            <v>40011</v>
          </cell>
          <cell r="LJ347">
            <v>17.090863593664139</v>
          </cell>
          <cell r="LK347">
            <v>20.020152274152959</v>
          </cell>
          <cell r="LL347">
            <v>17.982747259685677</v>
          </cell>
          <cell r="LM347">
            <v>15.721193701553757</v>
          </cell>
          <cell r="LN347">
            <v>20.244300817817596</v>
          </cell>
          <cell r="LY347">
            <v>10.837349342433081</v>
          </cell>
          <cell r="LZ347">
            <v>14.730476692982464</v>
          </cell>
          <cell r="MA347">
            <v>11.870949885755934</v>
          </cell>
          <cell r="MB347">
            <v>9.6544719773798295</v>
          </cell>
          <cell r="MC347">
            <v>14.087427794132038</v>
          </cell>
        </row>
        <row r="348">
          <cell r="A348">
            <v>40014</v>
          </cell>
          <cell r="LJ348">
            <v>17.642810138369629</v>
          </cell>
          <cell r="LK348">
            <v>20.020152274152959</v>
          </cell>
          <cell r="LL348">
            <v>17.982747259685677</v>
          </cell>
          <cell r="LM348">
            <v>15.721193701553757</v>
          </cell>
          <cell r="LN348">
            <v>20.244300817817596</v>
          </cell>
          <cell r="LY348">
            <v>11.06020480047143</v>
          </cell>
          <cell r="LZ348">
            <v>14.730476692982464</v>
          </cell>
          <cell r="MA348">
            <v>11.870949885755934</v>
          </cell>
          <cell r="MB348">
            <v>9.6544719773798295</v>
          </cell>
          <cell r="MC348">
            <v>14.087427794132038</v>
          </cell>
        </row>
        <row r="349">
          <cell r="A349">
            <v>40015</v>
          </cell>
          <cell r="LJ349">
            <v>17.756292886118857</v>
          </cell>
          <cell r="LK349">
            <v>20.020152274152959</v>
          </cell>
          <cell r="LL349">
            <v>17.982747259685677</v>
          </cell>
          <cell r="LM349">
            <v>15.721193701553757</v>
          </cell>
          <cell r="LN349">
            <v>20.244300817817596</v>
          </cell>
          <cell r="LY349">
            <v>11.091911522652151</v>
          </cell>
          <cell r="LZ349">
            <v>14.730476692982464</v>
          </cell>
          <cell r="MA349">
            <v>11.870949885755934</v>
          </cell>
          <cell r="MB349">
            <v>9.6544719773798295</v>
          </cell>
          <cell r="MC349">
            <v>14.087427794132038</v>
          </cell>
        </row>
        <row r="350">
          <cell r="A350">
            <v>40016</v>
          </cell>
          <cell r="LJ350">
            <v>17.834219926666584</v>
          </cell>
          <cell r="LK350">
            <v>20.020152274152959</v>
          </cell>
          <cell r="LL350">
            <v>17.982747259685677</v>
          </cell>
          <cell r="LM350">
            <v>15.721193701553757</v>
          </cell>
          <cell r="LN350">
            <v>20.244300817817596</v>
          </cell>
          <cell r="LY350">
            <v>11.136359148995691</v>
          </cell>
          <cell r="LZ350">
            <v>14.730476692982464</v>
          </cell>
          <cell r="MA350">
            <v>11.870949885755934</v>
          </cell>
          <cell r="MB350">
            <v>9.6544719773798295</v>
          </cell>
          <cell r="MC350">
            <v>14.087427794132038</v>
          </cell>
        </row>
        <row r="351">
          <cell r="A351">
            <v>40017</v>
          </cell>
          <cell r="LJ351">
            <v>16.875071241341978</v>
          </cell>
          <cell r="LK351">
            <v>20.020152274152959</v>
          </cell>
          <cell r="LL351">
            <v>17.982747259685677</v>
          </cell>
          <cell r="LM351">
            <v>15.721193701553757</v>
          </cell>
          <cell r="LN351">
            <v>20.244300817817596</v>
          </cell>
          <cell r="LY351">
            <v>10.463054026584397</v>
          </cell>
          <cell r="LZ351">
            <v>14.730476692982464</v>
          </cell>
          <cell r="MA351">
            <v>11.870949885755934</v>
          </cell>
          <cell r="MB351">
            <v>9.6544719773798295</v>
          </cell>
          <cell r="MC351">
            <v>14.087427794132038</v>
          </cell>
        </row>
        <row r="352">
          <cell r="A352">
            <v>40018</v>
          </cell>
          <cell r="LJ352">
            <v>17.4349766428702</v>
          </cell>
          <cell r="LK352">
            <v>20.020152274152959</v>
          </cell>
          <cell r="LL352">
            <v>17.982747259685677</v>
          </cell>
          <cell r="LM352">
            <v>15.721193701553757</v>
          </cell>
          <cell r="LN352">
            <v>20.244300817817596</v>
          </cell>
          <cell r="LY352">
            <v>10.783016263935817</v>
          </cell>
          <cell r="LZ352">
            <v>14.730476692982464</v>
          </cell>
          <cell r="MA352">
            <v>11.870949885755934</v>
          </cell>
          <cell r="MB352">
            <v>9.6544719773798295</v>
          </cell>
          <cell r="MC352">
            <v>14.087427794132038</v>
          </cell>
        </row>
        <row r="353">
          <cell r="A353">
            <v>40021</v>
          </cell>
          <cell r="LJ353">
            <v>17.563557226413717</v>
          </cell>
          <cell r="LK353">
            <v>20.020152274152959</v>
          </cell>
          <cell r="LL353">
            <v>17.982747259685677</v>
          </cell>
          <cell r="LM353">
            <v>15.721193701553757</v>
          </cell>
          <cell r="LN353">
            <v>20.244300817817596</v>
          </cell>
          <cell r="LY353">
            <v>10.839478452131353</v>
          </cell>
          <cell r="LZ353">
            <v>14.730476692982464</v>
          </cell>
          <cell r="MA353">
            <v>11.870949885755934</v>
          </cell>
          <cell r="MB353">
            <v>9.6544719773798295</v>
          </cell>
          <cell r="MC353">
            <v>14.087427794132038</v>
          </cell>
        </row>
        <row r="354">
          <cell r="A354">
            <v>40022</v>
          </cell>
          <cell r="LJ354">
            <v>17.22841590944978</v>
          </cell>
          <cell r="LK354">
            <v>20.020152274152959</v>
          </cell>
          <cell r="LL354">
            <v>17.982747259685677</v>
          </cell>
          <cell r="LM354">
            <v>15.721193701553757</v>
          </cell>
          <cell r="LN354">
            <v>20.244300817817596</v>
          </cell>
          <cell r="LY354">
            <v>10.648541994916508</v>
          </cell>
          <cell r="LZ354">
            <v>14.730476692982464</v>
          </cell>
          <cell r="MA354">
            <v>11.870949885755934</v>
          </cell>
          <cell r="MB354">
            <v>9.6544719773798295</v>
          </cell>
          <cell r="MC354">
            <v>14.087427794132038</v>
          </cell>
        </row>
        <row r="355">
          <cell r="A355">
            <v>40023</v>
          </cell>
          <cell r="LJ355">
            <v>17.297898002736694</v>
          </cell>
          <cell r="LK355">
            <v>20.020152274152959</v>
          </cell>
          <cell r="LL355">
            <v>17.982747259685677</v>
          </cell>
          <cell r="LM355">
            <v>15.721193701553757</v>
          </cell>
          <cell r="LN355">
            <v>20.244300817817596</v>
          </cell>
          <cell r="LY355">
            <v>10.694118565698311</v>
          </cell>
          <cell r="LZ355">
            <v>14.730476692982464</v>
          </cell>
          <cell r="MA355">
            <v>11.870949885755934</v>
          </cell>
          <cell r="MB355">
            <v>9.6544719773798295</v>
          </cell>
          <cell r="MC355">
            <v>14.087427794132038</v>
          </cell>
        </row>
        <row r="356">
          <cell r="A356">
            <v>40024</v>
          </cell>
          <cell r="LJ356">
            <v>17.400353755967018</v>
          </cell>
          <cell r="LK356">
            <v>20.020152274152959</v>
          </cell>
          <cell r="LL356">
            <v>17.982747259685677</v>
          </cell>
          <cell r="LM356">
            <v>15.721193701553757</v>
          </cell>
          <cell r="LN356">
            <v>20.244300817817596</v>
          </cell>
          <cell r="LY356">
            <v>10.752512965810901</v>
          </cell>
          <cell r="LZ356">
            <v>14.730476692982464</v>
          </cell>
          <cell r="MA356">
            <v>11.870949885755934</v>
          </cell>
          <cell r="MB356">
            <v>9.6544719773798295</v>
          </cell>
          <cell r="MC356">
            <v>14.087427794132038</v>
          </cell>
        </row>
        <row r="357">
          <cell r="A357">
            <v>40025</v>
          </cell>
          <cell r="LJ357">
            <v>17.462083075123289</v>
          </cell>
          <cell r="LK357">
            <v>20.020152274152959</v>
          </cell>
          <cell r="LL357">
            <v>17.982747259685677</v>
          </cell>
          <cell r="LM357">
            <v>15.721193701553757</v>
          </cell>
          <cell r="LN357">
            <v>20.244300817817596</v>
          </cell>
          <cell r="LY357">
            <v>10.768732127595612</v>
          </cell>
          <cell r="LZ357">
            <v>14.730476692982464</v>
          </cell>
          <cell r="MA357">
            <v>11.870949885755934</v>
          </cell>
          <cell r="MB357">
            <v>9.6544719773798295</v>
          </cell>
          <cell r="MC357">
            <v>14.087427794132038</v>
          </cell>
        </row>
        <row r="358">
          <cell r="A358">
            <v>40028</v>
          </cell>
          <cell r="LJ358">
            <v>17.63600689471361</v>
          </cell>
          <cell r="LK358">
            <v>20.020152274152959</v>
          </cell>
          <cell r="LL358">
            <v>17.982747259685677</v>
          </cell>
          <cell r="LM358">
            <v>15.721193701553757</v>
          </cell>
          <cell r="LN358">
            <v>20.244300817817596</v>
          </cell>
          <cell r="LY358">
            <v>10.796638973876247</v>
          </cell>
          <cell r="LZ358">
            <v>14.730476692982464</v>
          </cell>
          <cell r="MA358">
            <v>11.870949885755934</v>
          </cell>
          <cell r="MB358">
            <v>9.6544719773798295</v>
          </cell>
          <cell r="MC358">
            <v>14.087427794132038</v>
          </cell>
        </row>
        <row r="359">
          <cell r="A359">
            <v>40029</v>
          </cell>
          <cell r="LJ359">
            <v>17.751109562690171</v>
          </cell>
          <cell r="LK359">
            <v>20.020152274152959</v>
          </cell>
          <cell r="LL359">
            <v>17.982747259685677</v>
          </cell>
          <cell r="LM359">
            <v>15.721193701553757</v>
          </cell>
          <cell r="LN359">
            <v>20.244300817817596</v>
          </cell>
          <cell r="LY359">
            <v>10.854401477363913</v>
          </cell>
          <cell r="LZ359">
            <v>14.730476692982464</v>
          </cell>
          <cell r="MA359">
            <v>11.870949885755934</v>
          </cell>
          <cell r="MB359">
            <v>9.6544719773798295</v>
          </cell>
          <cell r="MC359">
            <v>14.087427794132038</v>
          </cell>
        </row>
        <row r="360">
          <cell r="A360">
            <v>40030</v>
          </cell>
          <cell r="LJ360">
            <v>17.393244637746562</v>
          </cell>
          <cell r="LK360">
            <v>20.020152274152959</v>
          </cell>
          <cell r="LL360">
            <v>17.982747259685677</v>
          </cell>
          <cell r="LM360">
            <v>15.721193701553757</v>
          </cell>
          <cell r="LN360">
            <v>20.244300817817596</v>
          </cell>
          <cell r="LY360">
            <v>10.652231271094497</v>
          </cell>
          <cell r="LZ360">
            <v>14.730476692982464</v>
          </cell>
          <cell r="MA360">
            <v>11.870949885755934</v>
          </cell>
          <cell r="MB360">
            <v>9.6544719773798295</v>
          </cell>
          <cell r="MC360">
            <v>14.087427794132038</v>
          </cell>
        </row>
        <row r="361">
          <cell r="A361">
            <v>40031</v>
          </cell>
          <cell r="LJ361">
            <v>17.390405880305295</v>
          </cell>
          <cell r="LK361">
            <v>20.020152274152959</v>
          </cell>
          <cell r="LL361">
            <v>17.982747259685677</v>
          </cell>
          <cell r="LM361">
            <v>15.721193701553757</v>
          </cell>
          <cell r="LN361">
            <v>20.244300817817596</v>
          </cell>
          <cell r="LY361">
            <v>10.650627559365718</v>
          </cell>
          <cell r="LZ361">
            <v>14.730476692982464</v>
          </cell>
          <cell r="MA361">
            <v>11.870949885755934</v>
          </cell>
          <cell r="MB361">
            <v>9.6544719773798295</v>
          </cell>
          <cell r="MC361">
            <v>14.087427794132038</v>
          </cell>
        </row>
        <row r="362">
          <cell r="A362">
            <v>40032</v>
          </cell>
          <cell r="LJ362">
            <v>17.523894508234477</v>
          </cell>
          <cell r="LK362">
            <v>20.020152274152959</v>
          </cell>
          <cell r="LL362">
            <v>17.982747259685677</v>
          </cell>
          <cell r="LM362">
            <v>15.721193701553757</v>
          </cell>
          <cell r="LN362">
            <v>20.244300817817596</v>
          </cell>
          <cell r="LY362">
            <v>10.726039877148239</v>
          </cell>
          <cell r="LZ362">
            <v>14.730476692982464</v>
          </cell>
          <cell r="MA362">
            <v>11.870949885755934</v>
          </cell>
          <cell r="MB362">
            <v>9.6544719773798295</v>
          </cell>
          <cell r="MC362">
            <v>14.087427794132038</v>
          </cell>
        </row>
        <row r="363">
          <cell r="A363">
            <v>40035</v>
          </cell>
          <cell r="LJ363">
            <v>17.421648117153381</v>
          </cell>
          <cell r="LK363">
            <v>20.020152274152959</v>
          </cell>
          <cell r="LL363">
            <v>17.982747259685677</v>
          </cell>
          <cell r="LM363">
            <v>15.721193701553757</v>
          </cell>
          <cell r="LN363">
            <v>20.244300817817596</v>
          </cell>
          <cell r="LY363">
            <v>10.668277373660571</v>
          </cell>
          <cell r="LZ363">
            <v>14.730476692982464</v>
          </cell>
          <cell r="MA363">
            <v>11.870949885755934</v>
          </cell>
          <cell r="MB363">
            <v>9.6544719773798295</v>
          </cell>
          <cell r="MC363">
            <v>14.087427794132038</v>
          </cell>
        </row>
        <row r="364">
          <cell r="A364">
            <v>40036</v>
          </cell>
          <cell r="LJ364">
            <v>17.123428624446927</v>
          </cell>
          <cell r="LK364">
            <v>20.020152274152959</v>
          </cell>
          <cell r="LL364">
            <v>17.982747259685677</v>
          </cell>
          <cell r="LM364">
            <v>15.721193701553757</v>
          </cell>
          <cell r="LN364">
            <v>20.244300817817596</v>
          </cell>
          <cell r="LY364">
            <v>10.499802923800683</v>
          </cell>
          <cell r="LZ364">
            <v>14.730476692982464</v>
          </cell>
          <cell r="MA364">
            <v>11.870949885755934</v>
          </cell>
          <cell r="MB364">
            <v>9.6544719773798295</v>
          </cell>
          <cell r="MC364">
            <v>14.087427794132038</v>
          </cell>
        </row>
        <row r="365">
          <cell r="A365">
            <v>40037</v>
          </cell>
          <cell r="LJ365">
            <v>17.214312033265877</v>
          </cell>
          <cell r="LK365">
            <v>20.020152274152959</v>
          </cell>
          <cell r="LL365">
            <v>17.982747259685677</v>
          </cell>
          <cell r="LM365">
            <v>15.721193701553757</v>
          </cell>
          <cell r="LN365">
            <v>20.244300817817596</v>
          </cell>
          <cell r="LY365">
            <v>10.551146087734088</v>
          </cell>
          <cell r="LZ365">
            <v>14.730476692982464</v>
          </cell>
          <cell r="MA365">
            <v>11.870949885755934</v>
          </cell>
          <cell r="MB365">
            <v>9.6544719773798295</v>
          </cell>
          <cell r="MC365">
            <v>14.087427794132038</v>
          </cell>
        </row>
        <row r="366">
          <cell r="A366">
            <v>40038</v>
          </cell>
          <cell r="LJ366">
            <v>17.063782908192017</v>
          </cell>
          <cell r="LK366">
            <v>20.020152274152959</v>
          </cell>
          <cell r="LL366">
            <v>17.982747259685677</v>
          </cell>
          <cell r="LM366">
            <v>15.721193701553757</v>
          </cell>
          <cell r="LN366">
            <v>20.244300817817596</v>
          </cell>
          <cell r="LY366">
            <v>10.466107006939756</v>
          </cell>
          <cell r="LZ366">
            <v>14.730476692982464</v>
          </cell>
          <cell r="MA366">
            <v>11.870949885755934</v>
          </cell>
          <cell r="MB366">
            <v>9.6544719773798295</v>
          </cell>
          <cell r="MC366">
            <v>14.087427794132038</v>
          </cell>
        </row>
        <row r="367">
          <cell r="A367">
            <v>40039</v>
          </cell>
          <cell r="LJ367">
            <v>17.109603300077438</v>
          </cell>
          <cell r="LK367">
            <v>20.020152274152959</v>
          </cell>
          <cell r="LL367">
            <v>17.982747259685677</v>
          </cell>
          <cell r="LM367">
            <v>15.721193701553757</v>
          </cell>
          <cell r="LN367">
            <v>20.244300817817596</v>
          </cell>
          <cell r="LY367">
            <v>10.469316676716886</v>
          </cell>
          <cell r="LZ367">
            <v>14.730476692982464</v>
          </cell>
          <cell r="MA367">
            <v>11.870949885755934</v>
          </cell>
          <cell r="MB367">
            <v>9.6544719773798295</v>
          </cell>
          <cell r="MC367">
            <v>14.087427794132038</v>
          </cell>
        </row>
        <row r="368">
          <cell r="A368">
            <v>40042</v>
          </cell>
          <cell r="LJ368">
            <v>16.804991962377628</v>
          </cell>
          <cell r="LK368">
            <v>20.020152274152959</v>
          </cell>
          <cell r="LL368">
            <v>17.982747259685677</v>
          </cell>
          <cell r="LM368">
            <v>15.721193701553757</v>
          </cell>
          <cell r="LN368">
            <v>20.244300817817596</v>
          </cell>
          <cell r="LY368">
            <v>10.297634963850845</v>
          </cell>
          <cell r="LZ368">
            <v>14.730476692982464</v>
          </cell>
          <cell r="MA368">
            <v>11.870949885755934</v>
          </cell>
          <cell r="MB368">
            <v>9.6544719773798295</v>
          </cell>
          <cell r="MC368">
            <v>14.087427794132038</v>
          </cell>
        </row>
        <row r="369">
          <cell r="A369">
            <v>40043</v>
          </cell>
          <cell r="LJ369">
            <v>17.038431894660434</v>
          </cell>
          <cell r="LK369">
            <v>20.020152274152959</v>
          </cell>
          <cell r="LL369">
            <v>17.982747259685677</v>
          </cell>
          <cell r="LM369">
            <v>15.721193701553757</v>
          </cell>
          <cell r="LN369">
            <v>20.244300817817596</v>
          </cell>
          <cell r="LY369">
            <v>10.429203827072675</v>
          </cell>
          <cell r="LZ369">
            <v>14.730476692982464</v>
          </cell>
          <cell r="MA369">
            <v>11.870949885755934</v>
          </cell>
          <cell r="MB369">
            <v>9.6544719773798295</v>
          </cell>
          <cell r="MC369">
            <v>14.087427794132038</v>
          </cell>
        </row>
        <row r="370">
          <cell r="A370">
            <v>40044</v>
          </cell>
          <cell r="LJ370">
            <v>17.200704976496176</v>
          </cell>
          <cell r="LK370">
            <v>20.020152274152959</v>
          </cell>
          <cell r="LL370">
            <v>17.982747259685677</v>
          </cell>
          <cell r="LM370">
            <v>15.721193701553757</v>
          </cell>
          <cell r="LN370">
            <v>20.244300817817596</v>
          </cell>
          <cell r="LY370">
            <v>10.520662407872667</v>
          </cell>
          <cell r="LZ370">
            <v>14.730476692982464</v>
          </cell>
          <cell r="MA370">
            <v>11.870949885755934</v>
          </cell>
          <cell r="MB370">
            <v>9.6544719773798295</v>
          </cell>
          <cell r="MC370">
            <v>14.087427794132038</v>
          </cell>
        </row>
        <row r="371">
          <cell r="A371">
            <v>40045</v>
          </cell>
          <cell r="LJ371">
            <v>17.294651516332248</v>
          </cell>
          <cell r="LK371">
            <v>20.020152274152959</v>
          </cell>
          <cell r="LL371">
            <v>17.982747259685677</v>
          </cell>
          <cell r="LM371">
            <v>15.721193701553757</v>
          </cell>
          <cell r="LN371">
            <v>20.244300817817596</v>
          </cell>
          <cell r="LY371">
            <v>10.573611529854427</v>
          </cell>
          <cell r="LZ371">
            <v>14.730476692982464</v>
          </cell>
          <cell r="MA371">
            <v>11.870949885755934</v>
          </cell>
          <cell r="MB371">
            <v>9.6544719773798295</v>
          </cell>
          <cell r="MC371">
            <v>14.087427794132038</v>
          </cell>
        </row>
        <row r="372">
          <cell r="A372">
            <v>40046</v>
          </cell>
          <cell r="LJ372">
            <v>17.622038273136742</v>
          </cell>
          <cell r="LK372">
            <v>20.020152274152959</v>
          </cell>
          <cell r="LL372">
            <v>17.982747259685677</v>
          </cell>
          <cell r="LM372">
            <v>15.721193701553757</v>
          </cell>
          <cell r="LN372">
            <v>20.244300817817596</v>
          </cell>
          <cell r="LY372">
            <v>10.758129675509412</v>
          </cell>
          <cell r="LZ372">
            <v>14.730476692982464</v>
          </cell>
          <cell r="MA372">
            <v>11.870949885755934</v>
          </cell>
          <cell r="MB372">
            <v>9.6544719773798295</v>
          </cell>
          <cell r="MC372">
            <v>14.087427794132038</v>
          </cell>
        </row>
        <row r="373">
          <cell r="A373">
            <v>40049</v>
          </cell>
          <cell r="LJ373">
            <v>17.738760516763115</v>
          </cell>
          <cell r="LK373">
            <v>20.020152274152959</v>
          </cell>
          <cell r="LL373">
            <v>17.982747259685677</v>
          </cell>
          <cell r="LM373">
            <v>15.721193701553757</v>
          </cell>
          <cell r="LN373">
            <v>20.244300817817596</v>
          </cell>
          <cell r="LY373">
            <v>10.823915390731514</v>
          </cell>
          <cell r="LZ373">
            <v>14.730476692982464</v>
          </cell>
          <cell r="MA373">
            <v>11.870949885755934</v>
          </cell>
          <cell r="MB373">
            <v>9.6544719773798295</v>
          </cell>
          <cell r="MC373">
            <v>14.087427794132038</v>
          </cell>
        </row>
        <row r="374">
          <cell r="A374">
            <v>40050</v>
          </cell>
          <cell r="LJ374">
            <v>17.881103327597124</v>
          </cell>
          <cell r="LK374">
            <v>20.020152274152959</v>
          </cell>
          <cell r="LL374">
            <v>17.982747259685677</v>
          </cell>
          <cell r="LM374">
            <v>15.721193701553757</v>
          </cell>
          <cell r="LN374">
            <v>20.244300817817596</v>
          </cell>
          <cell r="LY374">
            <v>10.904141090019939</v>
          </cell>
          <cell r="LZ374">
            <v>14.730476692982464</v>
          </cell>
          <cell r="MA374">
            <v>11.870949885755934</v>
          </cell>
          <cell r="MB374">
            <v>9.6544719773798295</v>
          </cell>
          <cell r="MC374">
            <v>14.087427794132038</v>
          </cell>
        </row>
        <row r="375">
          <cell r="A375">
            <v>40051</v>
          </cell>
          <cell r="LJ375">
            <v>17.758686232794904</v>
          </cell>
          <cell r="LK375">
            <v>20.020152274152959</v>
          </cell>
          <cell r="LL375">
            <v>17.982747259685677</v>
          </cell>
          <cell r="LM375">
            <v>15.721193701553757</v>
          </cell>
          <cell r="LN375">
            <v>20.244300817817596</v>
          </cell>
          <cell r="LY375">
            <v>10.835145705020704</v>
          </cell>
          <cell r="LZ375">
            <v>14.730476692982464</v>
          </cell>
          <cell r="MA375">
            <v>11.870949885755934</v>
          </cell>
          <cell r="MB375">
            <v>9.6544719773798295</v>
          </cell>
          <cell r="MC375">
            <v>14.087427794132038</v>
          </cell>
        </row>
        <row r="376">
          <cell r="A376">
            <v>40052</v>
          </cell>
          <cell r="LJ376">
            <v>17.778616219111019</v>
          </cell>
          <cell r="LK376">
            <v>20.020152274152959</v>
          </cell>
          <cell r="LL376">
            <v>17.982747259685677</v>
          </cell>
          <cell r="LM376">
            <v>15.721193701553757</v>
          </cell>
          <cell r="LN376">
            <v>20.244300817817596</v>
          </cell>
          <cell r="LY376">
            <v>10.846378426080875</v>
          </cell>
          <cell r="LZ376">
            <v>14.730476692982464</v>
          </cell>
          <cell r="MA376">
            <v>11.870949885755934</v>
          </cell>
          <cell r="MB376">
            <v>9.6544719773798295</v>
          </cell>
          <cell r="MC376">
            <v>14.087427794132038</v>
          </cell>
        </row>
        <row r="377">
          <cell r="A377">
            <v>40053</v>
          </cell>
          <cell r="LJ377">
            <v>17.53378658447652</v>
          </cell>
          <cell r="LK377">
            <v>20.020152274152959</v>
          </cell>
          <cell r="LL377">
            <v>17.982747259685677</v>
          </cell>
          <cell r="LM377">
            <v>15.721193701553757</v>
          </cell>
          <cell r="LN377">
            <v>20.244300817817596</v>
          </cell>
          <cell r="LY377">
            <v>10.708390223304782</v>
          </cell>
          <cell r="LZ377">
            <v>14.730476692982464</v>
          </cell>
          <cell r="MA377">
            <v>11.870949885755934</v>
          </cell>
          <cell r="MB377">
            <v>9.6544719773798295</v>
          </cell>
          <cell r="MC377">
            <v>14.087427794132038</v>
          </cell>
        </row>
        <row r="378">
          <cell r="A378">
            <v>40056</v>
          </cell>
          <cell r="LJ378">
            <v>17.283261813980552</v>
          </cell>
          <cell r="LK378">
            <v>20.020152274152959</v>
          </cell>
          <cell r="LL378">
            <v>17.982747259685677</v>
          </cell>
          <cell r="LM378">
            <v>15.721193701553757</v>
          </cell>
          <cell r="LN378">
            <v>20.244300817817596</v>
          </cell>
          <cell r="LY378">
            <v>10.567192190300162</v>
          </cell>
          <cell r="LZ378">
            <v>14.730476692982464</v>
          </cell>
          <cell r="MA378">
            <v>11.870949885755934</v>
          </cell>
          <cell r="MB378">
            <v>9.6544719773798295</v>
          </cell>
          <cell r="MC378">
            <v>14.087427794132038</v>
          </cell>
        </row>
        <row r="379">
          <cell r="A379">
            <v>40057</v>
          </cell>
          <cell r="LJ379">
            <v>17.110572759582571</v>
          </cell>
          <cell r="LK379">
            <v>20.020152274152959</v>
          </cell>
          <cell r="LL379">
            <v>17.982747259685677</v>
          </cell>
          <cell r="LM379">
            <v>15.721193701553757</v>
          </cell>
          <cell r="LN379">
            <v>20.244300817817596</v>
          </cell>
          <cell r="LY379">
            <v>10.451887567337119</v>
          </cell>
          <cell r="LZ379">
            <v>14.730476692982464</v>
          </cell>
          <cell r="MA379">
            <v>11.870949885755934</v>
          </cell>
          <cell r="MB379">
            <v>9.6544719773798295</v>
          </cell>
          <cell r="MC379">
            <v>14.087427794132038</v>
          </cell>
        </row>
        <row r="380">
          <cell r="A380">
            <v>40058</v>
          </cell>
          <cell r="LJ380">
            <v>17.594831712048482</v>
          </cell>
          <cell r="LK380">
            <v>20.020152274152959</v>
          </cell>
          <cell r="LL380">
            <v>17.982747259685677</v>
          </cell>
          <cell r="LM380">
            <v>15.721193701553757</v>
          </cell>
          <cell r="LN380">
            <v>20.244300817817596</v>
          </cell>
          <cell r="LY380">
            <v>10.724464422095243</v>
          </cell>
          <cell r="LZ380">
            <v>14.730476692982464</v>
          </cell>
          <cell r="MA380">
            <v>11.870949885755934</v>
          </cell>
          <cell r="MB380">
            <v>9.6544719773798295</v>
          </cell>
          <cell r="MC380">
            <v>14.087427794132038</v>
          </cell>
        </row>
        <row r="381">
          <cell r="A381">
            <v>40059</v>
          </cell>
          <cell r="LJ381">
            <v>18.052851098438001</v>
          </cell>
          <cell r="LK381">
            <v>20.020152274152959</v>
          </cell>
          <cell r="LL381">
            <v>17.982747259685677</v>
          </cell>
          <cell r="LM381">
            <v>15.721193701553757</v>
          </cell>
          <cell r="LN381">
            <v>20.244300817817596</v>
          </cell>
          <cell r="LY381">
            <v>11.061195523903235</v>
          </cell>
          <cell r="LZ381">
            <v>14.730476692982464</v>
          </cell>
          <cell r="MA381">
            <v>11.870949885755934</v>
          </cell>
          <cell r="MB381">
            <v>9.6544719773798295</v>
          </cell>
          <cell r="MC381">
            <v>14.087427794132038</v>
          </cell>
        </row>
        <row r="382">
          <cell r="A382">
            <v>40060</v>
          </cell>
          <cell r="LJ382">
            <v>18.39810954933581</v>
          </cell>
          <cell r="LK382">
            <v>20.020152274152959</v>
          </cell>
          <cell r="LL382">
            <v>17.982747259685677</v>
          </cell>
          <cell r="LM382">
            <v>15.721193701553757</v>
          </cell>
          <cell r="LN382">
            <v>20.244300817817596</v>
          </cell>
          <cell r="LY382">
            <v>11.294861055943089</v>
          </cell>
          <cell r="LZ382">
            <v>14.730476692982464</v>
          </cell>
          <cell r="MA382">
            <v>11.870949885755934</v>
          </cell>
          <cell r="MB382">
            <v>9.6544719773798295</v>
          </cell>
          <cell r="MC382">
            <v>14.087427794132038</v>
          </cell>
        </row>
        <row r="383">
          <cell r="A383">
            <v>40063</v>
          </cell>
          <cell r="LJ383">
            <v>18.39810954933581</v>
          </cell>
          <cell r="LK383">
            <v>20.020152274152959</v>
          </cell>
          <cell r="LL383">
            <v>17.982747259685677</v>
          </cell>
          <cell r="LM383">
            <v>15.721193701553757</v>
          </cell>
          <cell r="LN383">
            <v>20.244300817817596</v>
          </cell>
          <cell r="LY383">
            <v>11.294861055943089</v>
          </cell>
          <cell r="LZ383">
            <v>14.730476692982464</v>
          </cell>
          <cell r="MA383">
            <v>11.870949885755934</v>
          </cell>
          <cell r="MB383">
            <v>9.6544719773798295</v>
          </cell>
          <cell r="MC383">
            <v>14.087427794132038</v>
          </cell>
        </row>
        <row r="384">
          <cell r="A384">
            <v>40064</v>
          </cell>
          <cell r="LJ384">
            <v>18.367681578499745</v>
          </cell>
          <cell r="LK384">
            <v>20.020152274152959</v>
          </cell>
          <cell r="LL384">
            <v>17.982747259685677</v>
          </cell>
          <cell r="LM384">
            <v>15.721193701553757</v>
          </cell>
          <cell r="LN384">
            <v>20.244300817817596</v>
          </cell>
          <cell r="LY384">
            <v>11.231391742687578</v>
          </cell>
          <cell r="LZ384">
            <v>14.730476692982464</v>
          </cell>
          <cell r="MA384">
            <v>11.870949885755934</v>
          </cell>
          <cell r="MB384">
            <v>9.6544719773798295</v>
          </cell>
          <cell r="MC384">
            <v>14.087427794132038</v>
          </cell>
        </row>
        <row r="385">
          <cell r="A385">
            <v>40065</v>
          </cell>
          <cell r="LJ385">
            <v>18.530630520288494</v>
          </cell>
          <cell r="LK385">
            <v>20.020152274152959</v>
          </cell>
          <cell r="LL385">
            <v>17.982747259685677</v>
          </cell>
          <cell r="LM385">
            <v>15.721193701553757</v>
          </cell>
          <cell r="LN385">
            <v>20.244300817817596</v>
          </cell>
          <cell r="LY385">
            <v>11.340200405876759</v>
          </cell>
          <cell r="LZ385">
            <v>14.730476692982464</v>
          </cell>
          <cell r="MA385">
            <v>11.870949885755934</v>
          </cell>
          <cell r="MB385">
            <v>9.6544719773798295</v>
          </cell>
          <cell r="MC385">
            <v>14.087427794132038</v>
          </cell>
        </row>
        <row r="386">
          <cell r="A386">
            <v>40066</v>
          </cell>
          <cell r="LJ386">
            <v>18.761672182895701</v>
          </cell>
          <cell r="LK386">
            <v>20.020152274152959</v>
          </cell>
          <cell r="LL386">
            <v>17.982747259685677</v>
          </cell>
          <cell r="LM386">
            <v>15.721193701553757</v>
          </cell>
          <cell r="LN386">
            <v>20.244300817817596</v>
          </cell>
          <cell r="LY386">
            <v>11.471425620297646</v>
          </cell>
          <cell r="LZ386">
            <v>14.730476692982464</v>
          </cell>
          <cell r="MA386">
            <v>11.870949885755934</v>
          </cell>
          <cell r="MB386">
            <v>9.6544719773798295</v>
          </cell>
          <cell r="MC386">
            <v>14.087427794132038</v>
          </cell>
        </row>
        <row r="387">
          <cell r="A387">
            <v>40067</v>
          </cell>
          <cell r="LJ387">
            <v>18.772805037258902</v>
          </cell>
          <cell r="LK387">
            <v>20.020152274152959</v>
          </cell>
          <cell r="LL387">
            <v>17.982747259685677</v>
          </cell>
          <cell r="LM387">
            <v>15.721193701553757</v>
          </cell>
          <cell r="LN387">
            <v>20.244300817817596</v>
          </cell>
          <cell r="LY387">
            <v>11.477749446348634</v>
          </cell>
          <cell r="LZ387">
            <v>14.730476692982464</v>
          </cell>
          <cell r="MA387">
            <v>11.870949885755934</v>
          </cell>
          <cell r="MB387">
            <v>9.6544719773798295</v>
          </cell>
          <cell r="MC387">
            <v>14.087427794132038</v>
          </cell>
        </row>
        <row r="388">
          <cell r="A388">
            <v>40070</v>
          </cell>
          <cell r="LJ388">
            <v>18.911986594032449</v>
          </cell>
          <cell r="LK388">
            <v>20.020152274152959</v>
          </cell>
          <cell r="LL388">
            <v>17.982747259685677</v>
          </cell>
          <cell r="LM388">
            <v>15.721193701553757</v>
          </cell>
          <cell r="LN388">
            <v>20.244300817817596</v>
          </cell>
          <cell r="LY388">
            <v>11.556809130938644</v>
          </cell>
          <cell r="LZ388">
            <v>14.730476692982464</v>
          </cell>
          <cell r="MA388">
            <v>11.870949885755934</v>
          </cell>
          <cell r="MB388">
            <v>9.6544719773798295</v>
          </cell>
          <cell r="MC388">
            <v>14.087427794132038</v>
          </cell>
        </row>
        <row r="389">
          <cell r="A389">
            <v>40071</v>
          </cell>
          <cell r="LJ389">
            <v>18.887280487126731</v>
          </cell>
          <cell r="LK389">
            <v>20.020152274152959</v>
          </cell>
          <cell r="LL389">
            <v>17.982747259685677</v>
          </cell>
          <cell r="LM389">
            <v>15.721193701553757</v>
          </cell>
          <cell r="LN389">
            <v>20.244300817817596</v>
          </cell>
          <cell r="LY389">
            <v>11.52679835650107</v>
          </cell>
          <cell r="LZ389">
            <v>14.730476692982464</v>
          </cell>
          <cell r="MA389">
            <v>11.870949885755934</v>
          </cell>
          <cell r="MB389">
            <v>9.6544719773798295</v>
          </cell>
          <cell r="MC389">
            <v>14.087427794132038</v>
          </cell>
        </row>
        <row r="390">
          <cell r="A390">
            <v>40072</v>
          </cell>
          <cell r="LJ390">
            <v>19.001278151587609</v>
          </cell>
          <cell r="LK390">
            <v>20.020152274152959</v>
          </cell>
          <cell r="LL390">
            <v>17.982747259685677</v>
          </cell>
          <cell r="LM390">
            <v>15.721193701553757</v>
          </cell>
          <cell r="LN390">
            <v>20.244300817817596</v>
          </cell>
          <cell r="LY390">
            <v>11.591468424295206</v>
          </cell>
          <cell r="LZ390">
            <v>14.730476692982464</v>
          </cell>
          <cell r="MA390">
            <v>11.870949885755934</v>
          </cell>
          <cell r="MB390">
            <v>9.6544719773798295</v>
          </cell>
          <cell r="MC390">
            <v>14.087427794132038</v>
          </cell>
        </row>
        <row r="391">
          <cell r="A391">
            <v>40073</v>
          </cell>
          <cell r="LJ391">
            <v>19.016150566036167</v>
          </cell>
          <cell r="LK391">
            <v>20.020152274152959</v>
          </cell>
          <cell r="LL391">
            <v>17.982747259685677</v>
          </cell>
          <cell r="LM391">
            <v>15.721193701553757</v>
          </cell>
          <cell r="LN391">
            <v>20.244300817817596</v>
          </cell>
          <cell r="LY391">
            <v>11.634053879397282</v>
          </cell>
          <cell r="LZ391">
            <v>14.730476692982464</v>
          </cell>
          <cell r="MA391">
            <v>11.870949885755934</v>
          </cell>
          <cell r="MB391">
            <v>9.6544719773798295</v>
          </cell>
          <cell r="MC391">
            <v>14.087427794132038</v>
          </cell>
        </row>
        <row r="392">
          <cell r="A392">
            <v>40074</v>
          </cell>
          <cell r="LJ392">
            <v>18.888657796526317</v>
          </cell>
          <cell r="LK392">
            <v>20.020152274152959</v>
          </cell>
          <cell r="LL392">
            <v>17.982747259685677</v>
          </cell>
          <cell r="LM392">
            <v>15.721193701553757</v>
          </cell>
          <cell r="LN392">
            <v>20.244300817817596</v>
          </cell>
          <cell r="LY392">
            <v>11.561499187675347</v>
          </cell>
          <cell r="LZ392">
            <v>14.730476692982464</v>
          </cell>
          <cell r="MA392">
            <v>11.870949885755934</v>
          </cell>
          <cell r="MB392">
            <v>9.6544719773798295</v>
          </cell>
          <cell r="MC392">
            <v>14.087427794132038</v>
          </cell>
        </row>
        <row r="393">
          <cell r="A393">
            <v>40077</v>
          </cell>
          <cell r="LJ393">
            <v>18.752846533452882</v>
          </cell>
          <cell r="LK393">
            <v>20.020152274152959</v>
          </cell>
          <cell r="LL393">
            <v>17.982747259685677</v>
          </cell>
          <cell r="LM393">
            <v>15.721193701553757</v>
          </cell>
          <cell r="LN393">
            <v>20.244300817817596</v>
          </cell>
          <cell r="LY393">
            <v>11.484210535443987</v>
          </cell>
          <cell r="LZ393">
            <v>14.730476692982464</v>
          </cell>
          <cell r="MA393">
            <v>11.870949885755934</v>
          </cell>
          <cell r="MB393">
            <v>9.6544719773798295</v>
          </cell>
          <cell r="MC393">
            <v>14.087427794132038</v>
          </cell>
        </row>
        <row r="394">
          <cell r="A394">
            <v>40078</v>
          </cell>
          <cell r="LJ394">
            <v>18.879050825354241</v>
          </cell>
          <cell r="LK394">
            <v>20.020152274152959</v>
          </cell>
          <cell r="LL394">
            <v>17.982747259685677</v>
          </cell>
          <cell r="LM394">
            <v>15.721193701553757</v>
          </cell>
          <cell r="LN394">
            <v>20.244300817817596</v>
          </cell>
          <cell r="LY394">
            <v>11.533547985295698</v>
          </cell>
          <cell r="LZ394">
            <v>14.730476692982464</v>
          </cell>
          <cell r="MA394">
            <v>11.870949885755934</v>
          </cell>
          <cell r="MB394">
            <v>9.6544719773798295</v>
          </cell>
          <cell r="MC394">
            <v>14.087427794132038</v>
          </cell>
        </row>
        <row r="395">
          <cell r="A395">
            <v>40079</v>
          </cell>
          <cell r="LJ395">
            <v>18.721566411694901</v>
          </cell>
          <cell r="LK395">
            <v>20.020152274152959</v>
          </cell>
          <cell r="LL395">
            <v>17.982747259685677</v>
          </cell>
          <cell r="LM395">
            <v>15.721193701553757</v>
          </cell>
          <cell r="LN395">
            <v>20.244300817817596</v>
          </cell>
          <cell r="LY395">
            <v>11.444080009283367</v>
          </cell>
          <cell r="LZ395">
            <v>14.730476692982464</v>
          </cell>
          <cell r="MA395">
            <v>11.870949885755934</v>
          </cell>
          <cell r="MB395">
            <v>9.6544719773798295</v>
          </cell>
          <cell r="MC395">
            <v>14.087427794132038</v>
          </cell>
        </row>
        <row r="396">
          <cell r="A396">
            <v>40080</v>
          </cell>
          <cell r="LJ396">
            <v>18.425931692249033</v>
          </cell>
          <cell r="LK396">
            <v>20.020152274152959</v>
          </cell>
          <cell r="LL396">
            <v>17.982747259685677</v>
          </cell>
          <cell r="LM396">
            <v>15.721193701553757</v>
          </cell>
          <cell r="LN396">
            <v>20.244300817817596</v>
          </cell>
          <cell r="LY396">
            <v>11.276127896606299</v>
          </cell>
          <cell r="LZ396">
            <v>14.730476692982464</v>
          </cell>
          <cell r="MA396">
            <v>11.870949885755934</v>
          </cell>
          <cell r="MB396">
            <v>9.6544719773798295</v>
          </cell>
          <cell r="MC396">
            <v>14.087427794132038</v>
          </cell>
        </row>
        <row r="397">
          <cell r="A397">
            <v>40081</v>
          </cell>
          <cell r="LJ397">
            <v>18.265681592438433</v>
          </cell>
          <cell r="LK397">
            <v>20.020152274152959</v>
          </cell>
          <cell r="LL397">
            <v>17.982747259685677</v>
          </cell>
          <cell r="LM397">
            <v>15.721193701553757</v>
          </cell>
          <cell r="LN397">
            <v>20.244300817817596</v>
          </cell>
          <cell r="LY397">
            <v>11.185088715314098</v>
          </cell>
          <cell r="LZ397">
            <v>14.730476692982464</v>
          </cell>
          <cell r="MA397">
            <v>11.870949885755934</v>
          </cell>
          <cell r="MB397">
            <v>9.6544719773798295</v>
          </cell>
          <cell r="MC397">
            <v>14.087427794132038</v>
          </cell>
        </row>
        <row r="398">
          <cell r="A398">
            <v>40084</v>
          </cell>
          <cell r="LJ398">
            <v>18.541973915241805</v>
          </cell>
          <cell r="LK398">
            <v>20.020152274152959</v>
          </cell>
          <cell r="LL398">
            <v>17.982747259685677</v>
          </cell>
          <cell r="LM398">
            <v>15.721193701553757</v>
          </cell>
          <cell r="LN398">
            <v>20.244300817817596</v>
          </cell>
          <cell r="LY398">
            <v>11.342052279736636</v>
          </cell>
          <cell r="LZ398">
            <v>14.730476692982464</v>
          </cell>
          <cell r="MA398">
            <v>11.870949885755934</v>
          </cell>
          <cell r="MB398">
            <v>9.6544719773798295</v>
          </cell>
          <cell r="MC398">
            <v>14.087427794132038</v>
          </cell>
        </row>
        <row r="399">
          <cell r="A399">
            <v>40085</v>
          </cell>
          <cell r="LJ399">
            <v>18.552525572366701</v>
          </cell>
          <cell r="LK399">
            <v>20.020152274152959</v>
          </cell>
          <cell r="LL399">
            <v>17.982747259685677</v>
          </cell>
          <cell r="LM399">
            <v>15.721193701553757</v>
          </cell>
          <cell r="LN399">
            <v>20.244300817817596</v>
          </cell>
          <cell r="LY399">
            <v>11.384433069984979</v>
          </cell>
          <cell r="LZ399">
            <v>14.730476692982464</v>
          </cell>
          <cell r="MA399">
            <v>11.870949885755934</v>
          </cell>
          <cell r="MB399">
            <v>9.6544719773798295</v>
          </cell>
          <cell r="MC399">
            <v>14.087427794132038</v>
          </cell>
        </row>
        <row r="400">
          <cell r="A400">
            <v>40086</v>
          </cell>
          <cell r="LJ400">
            <v>18.536005892313835</v>
          </cell>
          <cell r="LK400">
            <v>20.020152274152959</v>
          </cell>
          <cell r="LL400">
            <v>17.982747259685677</v>
          </cell>
          <cell r="LM400">
            <v>15.721193701553757</v>
          </cell>
          <cell r="LN400">
            <v>20.244300817817596</v>
          </cell>
          <cell r="LY400">
            <v>11.375015727010318</v>
          </cell>
          <cell r="LZ400">
            <v>14.730476692982464</v>
          </cell>
          <cell r="MA400">
            <v>11.870949885755934</v>
          </cell>
          <cell r="MB400">
            <v>9.6544719773798295</v>
          </cell>
          <cell r="MC400">
            <v>14.087427794132038</v>
          </cell>
        </row>
        <row r="401">
          <cell r="A401">
            <v>40087</v>
          </cell>
          <cell r="LJ401">
            <v>17.830059770351014</v>
          </cell>
          <cell r="LK401">
            <v>20.020152274152959</v>
          </cell>
          <cell r="LL401">
            <v>17.982747259685677</v>
          </cell>
          <cell r="LM401">
            <v>15.721193701553757</v>
          </cell>
          <cell r="LN401">
            <v>20.244300817817596</v>
          </cell>
          <cell r="LY401">
            <v>10.767770830580755</v>
          </cell>
          <cell r="LZ401">
            <v>14.730476692982464</v>
          </cell>
          <cell r="MA401">
            <v>11.870949885755934</v>
          </cell>
          <cell r="MB401">
            <v>9.6544719773798295</v>
          </cell>
          <cell r="MC401">
            <v>14.087427794132038</v>
          </cell>
        </row>
        <row r="402">
          <cell r="A402">
            <v>40088</v>
          </cell>
          <cell r="LJ402">
            <v>17.679859322118897</v>
          </cell>
          <cell r="LK402">
            <v>20.020152274152959</v>
          </cell>
          <cell r="LL402">
            <v>17.982747259685677</v>
          </cell>
          <cell r="LM402">
            <v>15.721193701553757</v>
          </cell>
          <cell r="LN402">
            <v>20.244300817817596</v>
          </cell>
          <cell r="LY402">
            <v>10.683693916350654</v>
          </cell>
          <cell r="LZ402">
            <v>14.730476692982464</v>
          </cell>
          <cell r="MA402">
            <v>11.870949885755934</v>
          </cell>
          <cell r="MB402">
            <v>9.6544719773798295</v>
          </cell>
          <cell r="MC402">
            <v>14.087427794132038</v>
          </cell>
        </row>
        <row r="403">
          <cell r="A403">
            <v>40091</v>
          </cell>
          <cell r="LJ403">
            <v>17.761787211732191</v>
          </cell>
          <cell r="LK403">
            <v>20.020152274152959</v>
          </cell>
          <cell r="LL403">
            <v>17.982747259685677</v>
          </cell>
          <cell r="LM403">
            <v>15.721193701553757</v>
          </cell>
          <cell r="LN403">
            <v>20.244300817817596</v>
          </cell>
          <cell r="LY403">
            <v>10.729554259839276</v>
          </cell>
          <cell r="LZ403">
            <v>14.730476692982464</v>
          </cell>
          <cell r="MA403">
            <v>11.870949885755934</v>
          </cell>
          <cell r="MB403">
            <v>9.6544719773798295</v>
          </cell>
          <cell r="MC403">
            <v>14.087427794132038</v>
          </cell>
        </row>
        <row r="404">
          <cell r="A404">
            <v>40092</v>
          </cell>
          <cell r="LJ404">
            <v>17.892869431919401</v>
          </cell>
          <cell r="LK404">
            <v>20.020152274152959</v>
          </cell>
          <cell r="LL404">
            <v>17.982747259685677</v>
          </cell>
          <cell r="LM404">
            <v>15.721193701553757</v>
          </cell>
          <cell r="LN404">
            <v>20.244300817817596</v>
          </cell>
          <cell r="LY404">
            <v>10.802929464197783</v>
          </cell>
          <cell r="LZ404">
            <v>14.730476692982464</v>
          </cell>
          <cell r="MA404">
            <v>11.870949885755934</v>
          </cell>
          <cell r="MB404">
            <v>9.6544719773798295</v>
          </cell>
          <cell r="MC404">
            <v>14.087427794132038</v>
          </cell>
        </row>
        <row r="405">
          <cell r="A405">
            <v>40093</v>
          </cell>
          <cell r="LJ405">
            <v>17.843715101345484</v>
          </cell>
          <cell r="LK405">
            <v>20.020152274152959</v>
          </cell>
          <cell r="LL405">
            <v>17.982747259685677</v>
          </cell>
          <cell r="LM405">
            <v>15.721193701553757</v>
          </cell>
          <cell r="LN405">
            <v>20.244300817817596</v>
          </cell>
          <cell r="LY405">
            <v>10.775414603327899</v>
          </cell>
          <cell r="LZ405">
            <v>14.730476692982464</v>
          </cell>
          <cell r="MA405">
            <v>11.870949885755934</v>
          </cell>
          <cell r="MB405">
            <v>9.6544719773798295</v>
          </cell>
          <cell r="MC405">
            <v>14.087427794132038</v>
          </cell>
        </row>
        <row r="406">
          <cell r="A406">
            <v>40094</v>
          </cell>
          <cell r="LJ406">
            <v>18.108952450396629</v>
          </cell>
          <cell r="LK406">
            <v>20.020152274152959</v>
          </cell>
          <cell r="LL406">
            <v>17.982747259685677</v>
          </cell>
          <cell r="LM406">
            <v>15.721193701553757</v>
          </cell>
          <cell r="LN406">
            <v>20.244300817817596</v>
          </cell>
          <cell r="LY406">
            <v>10.879743816821231</v>
          </cell>
          <cell r="LZ406">
            <v>14.730476692982464</v>
          </cell>
          <cell r="MA406">
            <v>11.870949885755934</v>
          </cell>
          <cell r="MB406">
            <v>9.6544719773798295</v>
          </cell>
          <cell r="MC406">
            <v>14.087427794132038</v>
          </cell>
        </row>
        <row r="407">
          <cell r="A407">
            <v>40095</v>
          </cell>
          <cell r="LJ407">
            <v>18.457201274375791</v>
          </cell>
          <cell r="LK407">
            <v>20.020152274152959</v>
          </cell>
          <cell r="LL407">
            <v>17.982747259685677</v>
          </cell>
          <cell r="LM407">
            <v>15.721193701553757</v>
          </cell>
          <cell r="LN407">
            <v>20.244300817817596</v>
          </cell>
          <cell r="LY407">
            <v>11.073945821581621</v>
          </cell>
          <cell r="LZ407">
            <v>14.730476692982464</v>
          </cell>
          <cell r="MA407">
            <v>11.870949885755934</v>
          </cell>
          <cell r="MB407">
            <v>9.6544719773798295</v>
          </cell>
          <cell r="MC407">
            <v>14.087427794132038</v>
          </cell>
        </row>
        <row r="408">
          <cell r="A408">
            <v>40098</v>
          </cell>
          <cell r="LJ408">
            <v>18.454477857616848</v>
          </cell>
          <cell r="LK408">
            <v>20.020152274152959</v>
          </cell>
          <cell r="LL408">
            <v>17.982747259685677</v>
          </cell>
          <cell r="LM408">
            <v>15.721193701553757</v>
          </cell>
          <cell r="LN408">
            <v>20.244300817817596</v>
          </cell>
          <cell r="LY408">
            <v>11.072427100029769</v>
          </cell>
          <cell r="LZ408">
            <v>14.730476692982464</v>
          </cell>
          <cell r="MA408">
            <v>11.870949885755934</v>
          </cell>
          <cell r="MB408">
            <v>9.6544719773798295</v>
          </cell>
          <cell r="MC408">
            <v>14.087427794132038</v>
          </cell>
        </row>
        <row r="409">
          <cell r="A409">
            <v>40099</v>
          </cell>
          <cell r="LJ409">
            <v>18.530923409315008</v>
          </cell>
          <cell r="LK409">
            <v>20.020152274152959</v>
          </cell>
          <cell r="LL409">
            <v>17.982747259685677</v>
          </cell>
          <cell r="LM409">
            <v>15.721193701553757</v>
          </cell>
          <cell r="LN409">
            <v>20.244300817817596</v>
          </cell>
          <cell r="LY409">
            <v>11.117943685616266</v>
          </cell>
          <cell r="LZ409">
            <v>14.730476692982464</v>
          </cell>
          <cell r="MA409">
            <v>11.870949885755934</v>
          </cell>
          <cell r="MB409">
            <v>9.6544719773798295</v>
          </cell>
          <cell r="MC409">
            <v>14.087427794132038</v>
          </cell>
        </row>
        <row r="410">
          <cell r="A410">
            <v>40100</v>
          </cell>
          <cell r="LJ410">
            <v>18.849421301518586</v>
          </cell>
          <cell r="LK410">
            <v>20.020152274152959</v>
          </cell>
          <cell r="LL410">
            <v>17.982747259685677</v>
          </cell>
          <cell r="LM410">
            <v>15.721193701553757</v>
          </cell>
          <cell r="LN410">
            <v>20.244300817817596</v>
          </cell>
          <cell r="LY410">
            <v>11.348559353318986</v>
          </cell>
          <cell r="LZ410">
            <v>14.730476692982464</v>
          </cell>
          <cell r="MA410">
            <v>11.870949885755934</v>
          </cell>
          <cell r="MB410">
            <v>9.6544719773798295</v>
          </cell>
          <cell r="MC410">
            <v>14.087427794132038</v>
          </cell>
        </row>
        <row r="411">
          <cell r="A411">
            <v>40101</v>
          </cell>
          <cell r="LJ411">
            <v>18.890014271256671</v>
          </cell>
          <cell r="LK411">
            <v>20.020152274152959</v>
          </cell>
          <cell r="LL411">
            <v>17.982747259685677</v>
          </cell>
          <cell r="LM411">
            <v>15.721193701553757</v>
          </cell>
          <cell r="LN411">
            <v>20.244300817817596</v>
          </cell>
          <cell r="LY411">
            <v>11.37131650820897</v>
          </cell>
          <cell r="LZ411">
            <v>14.730476692982464</v>
          </cell>
          <cell r="MA411">
            <v>11.870949885755934</v>
          </cell>
          <cell r="MB411">
            <v>9.6544719773798295</v>
          </cell>
          <cell r="MC411">
            <v>14.087427794132038</v>
          </cell>
        </row>
        <row r="412">
          <cell r="A412">
            <v>40102</v>
          </cell>
          <cell r="LJ412">
            <v>18.741170675910784</v>
          </cell>
          <cell r="LK412">
            <v>20.020152274152959</v>
          </cell>
          <cell r="LL412">
            <v>17.982747259685677</v>
          </cell>
          <cell r="LM412">
            <v>15.721193701553757</v>
          </cell>
          <cell r="LN412">
            <v>20.244300817817596</v>
          </cell>
          <cell r="LY412">
            <v>11.337057181429497</v>
          </cell>
          <cell r="LZ412">
            <v>14.730476692982464</v>
          </cell>
          <cell r="MA412">
            <v>11.870949885755934</v>
          </cell>
          <cell r="MB412">
            <v>9.6544719773798295</v>
          </cell>
          <cell r="MC412">
            <v>14.087427794132038</v>
          </cell>
        </row>
        <row r="413">
          <cell r="A413">
            <v>40105</v>
          </cell>
          <cell r="LJ413">
            <v>18.938729948527854</v>
          </cell>
          <cell r="LK413">
            <v>20.020152274152959</v>
          </cell>
          <cell r="LL413">
            <v>17.982747259685677</v>
          </cell>
          <cell r="LM413">
            <v>15.721193701553757</v>
          </cell>
          <cell r="LN413">
            <v>20.244300817817596</v>
          </cell>
          <cell r="LY413">
            <v>11.448330974517779</v>
          </cell>
          <cell r="LZ413">
            <v>14.730476692982464</v>
          </cell>
          <cell r="MA413">
            <v>11.870949885755934</v>
          </cell>
          <cell r="MB413">
            <v>9.6544719773798295</v>
          </cell>
          <cell r="MC413">
            <v>14.087427794132038</v>
          </cell>
        </row>
        <row r="414">
          <cell r="A414">
            <v>40106</v>
          </cell>
          <cell r="LJ414">
            <v>19.114638230005372</v>
          </cell>
          <cell r="LK414">
            <v>20.020152274152959</v>
          </cell>
          <cell r="LL414">
            <v>17.982747259685677</v>
          </cell>
          <cell r="LM414">
            <v>15.721193701553757</v>
          </cell>
          <cell r="LN414">
            <v>20.244300817817596</v>
          </cell>
          <cell r="LY414">
            <v>11.579636487951781</v>
          </cell>
          <cell r="LZ414">
            <v>14.730476692982464</v>
          </cell>
          <cell r="MA414">
            <v>11.870949885755934</v>
          </cell>
          <cell r="MB414">
            <v>9.6544719773798295</v>
          </cell>
          <cell r="MC414">
            <v>14.087427794132038</v>
          </cell>
        </row>
        <row r="415">
          <cell r="A415">
            <v>40107</v>
          </cell>
          <cell r="LJ415">
            <v>19.098401204488507</v>
          </cell>
          <cell r="LK415">
            <v>20.020152274152959</v>
          </cell>
          <cell r="LL415">
            <v>17.982747259685677</v>
          </cell>
          <cell r="LM415">
            <v>15.721193701553757</v>
          </cell>
          <cell r="LN415">
            <v>20.244300817817596</v>
          </cell>
          <cell r="LY415">
            <v>11.570465581004123</v>
          </cell>
          <cell r="LZ415">
            <v>14.730476692982464</v>
          </cell>
          <cell r="MA415">
            <v>11.870949885755934</v>
          </cell>
          <cell r="MB415">
            <v>9.6544719773798295</v>
          </cell>
          <cell r="MC415">
            <v>14.087427794132038</v>
          </cell>
        </row>
        <row r="416">
          <cell r="A416">
            <v>40108</v>
          </cell>
          <cell r="LJ416">
            <v>19.224321621623446</v>
          </cell>
          <cell r="LK416">
            <v>20.020152274152959</v>
          </cell>
          <cell r="LL416">
            <v>17.982747259685677</v>
          </cell>
          <cell r="LM416">
            <v>15.721193701553757</v>
          </cell>
          <cell r="LN416">
            <v>20.244300817817596</v>
          </cell>
          <cell r="LY416">
            <v>11.497895563396089</v>
          </cell>
          <cell r="LZ416">
            <v>14.730476692982464</v>
          </cell>
          <cell r="MA416">
            <v>11.870949885755934</v>
          </cell>
          <cell r="MB416">
            <v>9.6544719773798295</v>
          </cell>
          <cell r="MC416">
            <v>14.087427794132038</v>
          </cell>
        </row>
        <row r="417">
          <cell r="A417">
            <v>40109</v>
          </cell>
          <cell r="LJ417">
            <v>18.918918918920713</v>
          </cell>
          <cell r="LK417">
            <v>20.020152274152959</v>
          </cell>
          <cell r="LL417">
            <v>17.982747259685677</v>
          </cell>
          <cell r="LM417">
            <v>15.721193701553757</v>
          </cell>
          <cell r="LN417">
            <v>20.244300817817596</v>
          </cell>
          <cell r="LY417">
            <v>11.325169708073666</v>
          </cell>
          <cell r="LZ417">
            <v>14.730476692982464</v>
          </cell>
          <cell r="MA417">
            <v>11.870949885755934</v>
          </cell>
          <cell r="MB417">
            <v>9.6544719773798295</v>
          </cell>
          <cell r="MC417">
            <v>14.087427794132038</v>
          </cell>
        </row>
        <row r="418">
          <cell r="A418">
            <v>40112</v>
          </cell>
          <cell r="LJ418">
            <v>18.646559674125921</v>
          </cell>
          <cell r="LK418">
            <v>20.020152274152959</v>
          </cell>
          <cell r="LL418">
            <v>17.982747259685677</v>
          </cell>
          <cell r="LM418">
            <v>15.721193701553757</v>
          </cell>
          <cell r="LN418">
            <v>20.244300817817596</v>
          </cell>
          <cell r="LY418">
            <v>11.176899146043379</v>
          </cell>
          <cell r="LZ418">
            <v>14.730476692982464</v>
          </cell>
          <cell r="MA418">
            <v>11.870949885755934</v>
          </cell>
          <cell r="MB418">
            <v>9.6544719773798295</v>
          </cell>
          <cell r="MC418">
            <v>14.087427794132038</v>
          </cell>
        </row>
        <row r="419">
          <cell r="A419">
            <v>40113</v>
          </cell>
          <cell r="LJ419">
            <v>18.538254031394498</v>
          </cell>
          <cell r="LK419">
            <v>20.020152274152959</v>
          </cell>
          <cell r="LL419">
            <v>17.982747259685677</v>
          </cell>
          <cell r="LM419">
            <v>15.721193701553757</v>
          </cell>
          <cell r="LN419">
            <v>20.244300817817596</v>
          </cell>
          <cell r="LY419">
            <v>11.144798449601074</v>
          </cell>
          <cell r="LZ419">
            <v>14.730476692982464</v>
          </cell>
          <cell r="MA419">
            <v>11.870949885755934</v>
          </cell>
          <cell r="MB419">
            <v>9.6544719773798295</v>
          </cell>
          <cell r="MC419">
            <v>14.087427794132038</v>
          </cell>
        </row>
        <row r="420">
          <cell r="A420">
            <v>40114</v>
          </cell>
          <cell r="LJ420">
            <v>18.263492134756518</v>
          </cell>
          <cell r="LK420">
            <v>20.020152274152959</v>
          </cell>
          <cell r="LL420">
            <v>17.982747259685677</v>
          </cell>
          <cell r="LM420">
            <v>15.721193701553757</v>
          </cell>
          <cell r="LN420">
            <v>20.244300817817596</v>
          </cell>
          <cell r="LY420">
            <v>10.988884471549811</v>
          </cell>
          <cell r="LZ420">
            <v>14.730476692982464</v>
          </cell>
          <cell r="MA420">
            <v>11.870949885755934</v>
          </cell>
          <cell r="MB420">
            <v>9.6544719773798295</v>
          </cell>
          <cell r="MC420">
            <v>14.087427794132038</v>
          </cell>
        </row>
        <row r="421">
          <cell r="A421">
            <v>40115</v>
          </cell>
          <cell r="LJ421">
            <v>18.632536228437331</v>
          </cell>
          <cell r="LK421">
            <v>20.020152274152959</v>
          </cell>
          <cell r="LL421">
            <v>17.982747259685677</v>
          </cell>
          <cell r="LM421">
            <v>15.721193701553757</v>
          </cell>
          <cell r="LN421">
            <v>20.244300817817596</v>
          </cell>
          <cell r="LY421">
            <v>11.198298998913883</v>
          </cell>
          <cell r="LZ421">
            <v>14.730476692982464</v>
          </cell>
          <cell r="MA421">
            <v>11.870949885755934</v>
          </cell>
          <cell r="MB421">
            <v>9.6544719773798295</v>
          </cell>
          <cell r="MC421">
            <v>14.087427794132038</v>
          </cell>
        </row>
        <row r="422">
          <cell r="A422">
            <v>40116</v>
          </cell>
          <cell r="LJ422">
            <v>18.37932471758651</v>
          </cell>
          <cell r="LK422">
            <v>20.020152274152959</v>
          </cell>
          <cell r="LL422">
            <v>17.982747259685677</v>
          </cell>
          <cell r="LM422">
            <v>15.721193701553757</v>
          </cell>
          <cell r="LN422">
            <v>20.244300817817596</v>
          </cell>
          <cell r="LY422">
            <v>11.054613813929377</v>
          </cell>
          <cell r="LZ422">
            <v>14.730476692982464</v>
          </cell>
          <cell r="MA422">
            <v>11.870949885755934</v>
          </cell>
          <cell r="MB422">
            <v>9.6544719773798295</v>
          </cell>
          <cell r="MC422">
            <v>14.087427794132038</v>
          </cell>
        </row>
        <row r="423">
          <cell r="A423">
            <v>40119</v>
          </cell>
          <cell r="LJ423">
            <v>18.308207713843512</v>
          </cell>
          <cell r="LK423">
            <v>20.020152274152959</v>
          </cell>
          <cell r="LL423">
            <v>17.982747259685677</v>
          </cell>
          <cell r="LM423">
            <v>15.721193701553757</v>
          </cell>
          <cell r="LN423">
            <v>20.244300817817596</v>
          </cell>
          <cell r="LY423">
            <v>10.972605043759765</v>
          </cell>
          <cell r="LZ423">
            <v>14.730476692982464</v>
          </cell>
          <cell r="MA423">
            <v>11.870949885755934</v>
          </cell>
          <cell r="MB423">
            <v>9.6544719773798295</v>
          </cell>
          <cell r="MC423">
            <v>14.087427794132038</v>
          </cell>
        </row>
        <row r="424">
          <cell r="A424">
            <v>40120</v>
          </cell>
          <cell r="LJ424">
            <v>18.403360165270993</v>
          </cell>
          <cell r="LK424">
            <v>20.020152274152959</v>
          </cell>
          <cell r="LL424">
            <v>17.982747259685677</v>
          </cell>
          <cell r="LM424">
            <v>15.721193701553757</v>
          </cell>
          <cell r="LN424">
            <v>20.244300817817596</v>
          </cell>
          <cell r="LY424">
            <v>11.037559372556698</v>
          </cell>
          <cell r="LZ424">
            <v>14.730476692982464</v>
          </cell>
          <cell r="MA424">
            <v>11.870949885755934</v>
          </cell>
          <cell r="MB424">
            <v>9.6544719773798295</v>
          </cell>
          <cell r="MC424">
            <v>14.087427794132038</v>
          </cell>
        </row>
        <row r="425">
          <cell r="A425">
            <v>40121</v>
          </cell>
          <cell r="LJ425">
            <v>18.287688858488597</v>
          </cell>
          <cell r="LK425">
            <v>20.020152274152959</v>
          </cell>
          <cell r="LL425">
            <v>17.982747259685677</v>
          </cell>
          <cell r="LM425">
            <v>15.721193701553757</v>
          </cell>
          <cell r="LN425">
            <v>20.244300817817596</v>
          </cell>
          <cell r="LY425">
            <v>10.773690196866459</v>
          </cell>
          <cell r="LZ425">
            <v>14.730476692982464</v>
          </cell>
          <cell r="MA425">
            <v>11.870949885755934</v>
          </cell>
          <cell r="MB425">
            <v>9.6544719773798295</v>
          </cell>
          <cell r="MC425">
            <v>14.087427794132038</v>
          </cell>
        </row>
        <row r="426">
          <cell r="A426">
            <v>40122</v>
          </cell>
          <cell r="LJ426">
            <v>18.6847903468888</v>
          </cell>
          <cell r="LK426">
            <v>20.020152274152959</v>
          </cell>
          <cell r="LL426">
            <v>17.982747259685677</v>
          </cell>
          <cell r="LM426">
            <v>15.721193701553757</v>
          </cell>
          <cell r="LN426">
            <v>20.244300817817596</v>
          </cell>
          <cell r="LY426">
            <v>10.99471613719551</v>
          </cell>
          <cell r="LZ426">
            <v>14.730476692982464</v>
          </cell>
          <cell r="MA426">
            <v>11.870949885755934</v>
          </cell>
          <cell r="MB426">
            <v>9.6544719773798295</v>
          </cell>
          <cell r="MC426">
            <v>14.087427794132038</v>
          </cell>
        </row>
        <row r="427">
          <cell r="A427">
            <v>40123</v>
          </cell>
          <cell r="LJ427">
            <v>18.703862068967332</v>
          </cell>
          <cell r="LK427">
            <v>20.020152274152959</v>
          </cell>
          <cell r="LL427">
            <v>17.982747259685677</v>
          </cell>
          <cell r="LM427">
            <v>15.721193701553757</v>
          </cell>
          <cell r="LN427">
            <v>20.244300817817596</v>
          </cell>
          <cell r="LY427">
            <v>11.064624890769036</v>
          </cell>
          <cell r="LZ427">
            <v>14.730476692982464</v>
          </cell>
          <cell r="MA427">
            <v>11.870949885755934</v>
          </cell>
          <cell r="MB427">
            <v>9.6544719773798295</v>
          </cell>
          <cell r="MC427">
            <v>14.087427794132038</v>
          </cell>
        </row>
        <row r="428">
          <cell r="A428">
            <v>40126</v>
          </cell>
          <cell r="LJ428">
            <v>18.857214001041513</v>
          </cell>
          <cell r="LK428">
            <v>20.020152274152959</v>
          </cell>
          <cell r="LL428">
            <v>17.982747259685677</v>
          </cell>
          <cell r="LM428">
            <v>15.721193701553757</v>
          </cell>
          <cell r="LN428">
            <v>20.244300817817596</v>
          </cell>
          <cell r="LY428">
            <v>11.150463817488575</v>
          </cell>
          <cell r="LZ428">
            <v>14.730476692982464</v>
          </cell>
          <cell r="MA428">
            <v>11.870949885755934</v>
          </cell>
          <cell r="MB428">
            <v>9.6544719773798295</v>
          </cell>
          <cell r="MC428">
            <v>14.087427794132038</v>
          </cell>
        </row>
        <row r="429">
          <cell r="A429">
            <v>40127</v>
          </cell>
          <cell r="LJ429">
            <v>18.893602841797016</v>
          </cell>
          <cell r="LK429">
            <v>20.020152274152959</v>
          </cell>
          <cell r="LL429">
            <v>17.982747259685677</v>
          </cell>
          <cell r="LM429">
            <v>15.721193701553757</v>
          </cell>
          <cell r="LN429">
            <v>20.244300817817596</v>
          </cell>
          <cell r="LY429">
            <v>11.170832514464038</v>
          </cell>
          <cell r="LZ429">
            <v>14.730476692982464</v>
          </cell>
          <cell r="MA429">
            <v>11.870949885755934</v>
          </cell>
          <cell r="MB429">
            <v>9.6544719773798295</v>
          </cell>
          <cell r="MC429">
            <v>14.087427794132038</v>
          </cell>
        </row>
        <row r="430">
          <cell r="A430">
            <v>40128</v>
          </cell>
          <cell r="LJ430">
            <v>18.826024865709677</v>
          </cell>
          <cell r="LK430">
            <v>20.020152274152959</v>
          </cell>
          <cell r="LL430">
            <v>17.982747259685677</v>
          </cell>
          <cell r="LM430">
            <v>15.721193701553757</v>
          </cell>
          <cell r="LN430">
            <v>20.244300817817596</v>
          </cell>
          <cell r="LY430">
            <v>11.133005661820212</v>
          </cell>
          <cell r="LZ430">
            <v>14.730476692982464</v>
          </cell>
          <cell r="MA430">
            <v>11.870949885755934</v>
          </cell>
          <cell r="MB430">
            <v>9.6544719773798295</v>
          </cell>
          <cell r="MC430">
            <v>14.087427794132038</v>
          </cell>
        </row>
        <row r="431">
          <cell r="A431">
            <v>40129</v>
          </cell>
          <cell r="LJ431">
            <v>18.787038381564813</v>
          </cell>
          <cell r="LK431">
            <v>20.020152274152959</v>
          </cell>
          <cell r="LL431">
            <v>17.982747259685677</v>
          </cell>
          <cell r="LM431">
            <v>15.721193701553757</v>
          </cell>
          <cell r="LN431">
            <v>20.244300817817596</v>
          </cell>
          <cell r="LY431">
            <v>11.111182930862086</v>
          </cell>
          <cell r="LZ431">
            <v>14.730476692982464</v>
          </cell>
          <cell r="MA431">
            <v>11.870949885755934</v>
          </cell>
          <cell r="MB431">
            <v>9.6544719773798295</v>
          </cell>
          <cell r="MC431">
            <v>14.087427794132038</v>
          </cell>
        </row>
        <row r="432">
          <cell r="A432">
            <v>40130</v>
          </cell>
          <cell r="LJ432">
            <v>18.867613151968563</v>
          </cell>
          <cell r="LK432">
            <v>20.020152274152959</v>
          </cell>
          <cell r="LL432">
            <v>17.982747259685677</v>
          </cell>
          <cell r="LM432">
            <v>15.721193701553757</v>
          </cell>
          <cell r="LN432">
            <v>20.244300817817596</v>
          </cell>
          <cell r="LY432">
            <v>11.156284754612084</v>
          </cell>
          <cell r="LZ432">
            <v>14.730476692982464</v>
          </cell>
          <cell r="MA432">
            <v>11.870949885755934</v>
          </cell>
          <cell r="MB432">
            <v>9.6544719773798295</v>
          </cell>
          <cell r="MC432">
            <v>14.087427794132038</v>
          </cell>
        </row>
        <row r="433">
          <cell r="A433">
            <v>40133</v>
          </cell>
          <cell r="LJ433">
            <v>18.994971495409921</v>
          </cell>
          <cell r="LK433">
            <v>20.020152274152959</v>
          </cell>
          <cell r="LL433">
            <v>17.982747259685677</v>
          </cell>
          <cell r="LM433">
            <v>15.721193701553757</v>
          </cell>
          <cell r="LN433">
            <v>20.244300817817596</v>
          </cell>
          <cell r="LY433">
            <v>11.227573739119279</v>
          </cell>
          <cell r="LZ433">
            <v>14.730476692982464</v>
          </cell>
          <cell r="MA433">
            <v>11.870949885755934</v>
          </cell>
          <cell r="MB433">
            <v>9.6544719773798295</v>
          </cell>
          <cell r="MC433">
            <v>14.087427794132038</v>
          </cell>
        </row>
        <row r="434">
          <cell r="A434">
            <v>40134</v>
          </cell>
          <cell r="LJ434">
            <v>19.067748917000639</v>
          </cell>
          <cell r="LK434">
            <v>20.020152274152959</v>
          </cell>
          <cell r="LL434">
            <v>17.982747259685677</v>
          </cell>
          <cell r="LM434">
            <v>15.721193701553757</v>
          </cell>
          <cell r="LN434">
            <v>20.244300817817596</v>
          </cell>
          <cell r="LY434">
            <v>11.268310987579511</v>
          </cell>
          <cell r="LZ434">
            <v>14.730476692982464</v>
          </cell>
          <cell r="MA434">
            <v>11.870949885755934</v>
          </cell>
          <cell r="MB434">
            <v>9.6544719773798295</v>
          </cell>
          <cell r="MC434">
            <v>14.087427794132038</v>
          </cell>
        </row>
        <row r="435">
          <cell r="A435">
            <v>40135</v>
          </cell>
          <cell r="LJ435">
            <v>18.789636284874462</v>
          </cell>
          <cell r="LK435">
            <v>20.020152274152959</v>
          </cell>
          <cell r="LL435">
            <v>17.982747259685677</v>
          </cell>
          <cell r="LM435">
            <v>15.721193701553757</v>
          </cell>
          <cell r="LN435">
            <v>20.244300817817596</v>
          </cell>
          <cell r="LY435">
            <v>11.11263711033544</v>
          </cell>
          <cell r="LZ435">
            <v>14.730476692982464</v>
          </cell>
          <cell r="MA435">
            <v>11.870949885755934</v>
          </cell>
          <cell r="MB435">
            <v>9.6544719773798295</v>
          </cell>
          <cell r="MC435">
            <v>14.087427794132038</v>
          </cell>
        </row>
        <row r="436">
          <cell r="A436">
            <v>40136</v>
          </cell>
          <cell r="LJ436">
            <v>18.628487003987253</v>
          </cell>
          <cell r="LK436">
            <v>20.020152274152959</v>
          </cell>
          <cell r="LL436">
            <v>17.982747259685677</v>
          </cell>
          <cell r="LM436">
            <v>15.721193701553757</v>
          </cell>
          <cell r="LN436">
            <v>20.244300817817596</v>
          </cell>
          <cell r="LY436">
            <v>11.022433608326141</v>
          </cell>
          <cell r="LZ436">
            <v>14.730476692982464</v>
          </cell>
          <cell r="MA436">
            <v>11.870949885755934</v>
          </cell>
          <cell r="MB436">
            <v>9.6544719773798295</v>
          </cell>
          <cell r="MC436">
            <v>14.087427794132038</v>
          </cell>
        </row>
        <row r="437">
          <cell r="A437">
            <v>40137</v>
          </cell>
          <cell r="LJ437">
            <v>18.606524744025787</v>
          </cell>
          <cell r="LK437">
            <v>20.020152274152959</v>
          </cell>
          <cell r="LL437">
            <v>17.982747259685677</v>
          </cell>
          <cell r="LM437">
            <v>15.721193701553757</v>
          </cell>
          <cell r="LN437">
            <v>20.244300817817596</v>
          </cell>
          <cell r="LY437">
            <v>11.023887642308802</v>
          </cell>
          <cell r="LZ437">
            <v>14.730476692982464</v>
          </cell>
          <cell r="MA437">
            <v>11.870949885755934</v>
          </cell>
          <cell r="MB437">
            <v>9.6544719773798295</v>
          </cell>
          <cell r="MC437">
            <v>14.087427794132038</v>
          </cell>
        </row>
        <row r="438">
          <cell r="A438">
            <v>40140</v>
          </cell>
          <cell r="LJ438">
            <v>18.827167311214243</v>
          </cell>
          <cell r="LK438">
            <v>20.020152274152959</v>
          </cell>
          <cell r="LL438">
            <v>17.982747259685677</v>
          </cell>
          <cell r="LM438">
            <v>15.721193701553757</v>
          </cell>
          <cell r="LN438">
            <v>20.244300817817596</v>
          </cell>
          <cell r="LY438">
            <v>11.147555604032556</v>
          </cell>
          <cell r="LZ438">
            <v>14.730476692982464</v>
          </cell>
          <cell r="MA438">
            <v>11.870949885755934</v>
          </cell>
          <cell r="MB438">
            <v>9.6544719773798295</v>
          </cell>
          <cell r="MC438">
            <v>14.087427794132038</v>
          </cell>
        </row>
        <row r="439">
          <cell r="A439">
            <v>40141</v>
          </cell>
          <cell r="LJ439">
            <v>18.6454598353344</v>
          </cell>
          <cell r="LK439">
            <v>20.020152274152959</v>
          </cell>
          <cell r="LL439">
            <v>17.982747259685677</v>
          </cell>
          <cell r="LM439">
            <v>15.721193701553757</v>
          </cell>
          <cell r="LN439">
            <v>20.244300817817596</v>
          </cell>
          <cell r="LY439">
            <v>11.045710373266928</v>
          </cell>
          <cell r="LZ439">
            <v>14.730476692982464</v>
          </cell>
          <cell r="MA439">
            <v>11.870949885755934</v>
          </cell>
          <cell r="MB439">
            <v>9.6544719773798295</v>
          </cell>
          <cell r="MC439">
            <v>14.087427794132038</v>
          </cell>
        </row>
        <row r="440">
          <cell r="A440">
            <v>40142</v>
          </cell>
          <cell r="LJ440">
            <v>18.684398820307884</v>
          </cell>
          <cell r="LK440">
            <v>20.020152274152959</v>
          </cell>
          <cell r="LL440">
            <v>17.982747259685677</v>
          </cell>
          <cell r="LM440">
            <v>15.721193701553757</v>
          </cell>
          <cell r="LN440">
            <v>20.244300817817596</v>
          </cell>
          <cell r="LY440">
            <v>11.067535286585445</v>
          </cell>
          <cell r="LZ440">
            <v>14.730476692982464</v>
          </cell>
          <cell r="MA440">
            <v>11.870949885755934</v>
          </cell>
          <cell r="MB440">
            <v>9.6544719773798295</v>
          </cell>
          <cell r="MC440">
            <v>14.087427794132038</v>
          </cell>
        </row>
        <row r="441">
          <cell r="A441">
            <v>40143</v>
          </cell>
          <cell r="LJ441">
            <v>18.682661046469683</v>
          </cell>
          <cell r="LK441">
            <v>20.020152274152959</v>
          </cell>
          <cell r="LL441">
            <v>17.982747259685677</v>
          </cell>
          <cell r="LM441">
            <v>15.721193701553757</v>
          </cell>
          <cell r="LN441">
            <v>20.244300817817596</v>
          </cell>
          <cell r="LY441">
            <v>11.067535286585445</v>
          </cell>
          <cell r="LZ441">
            <v>14.730476692982464</v>
          </cell>
          <cell r="MA441">
            <v>11.870949885755934</v>
          </cell>
          <cell r="MB441">
            <v>9.6544719773798295</v>
          </cell>
          <cell r="MC441">
            <v>14.087427794132038</v>
          </cell>
        </row>
        <row r="442">
          <cell r="A442">
            <v>40144</v>
          </cell>
          <cell r="LJ442">
            <v>18.472423477136427</v>
          </cell>
          <cell r="LK442">
            <v>20.020152274152959</v>
          </cell>
          <cell r="LL442">
            <v>17.982747259685677</v>
          </cell>
          <cell r="LM442">
            <v>15.721193701553757</v>
          </cell>
          <cell r="LN442">
            <v>20.244300817817596</v>
          </cell>
          <cell r="LY442">
            <v>10.9496882619852</v>
          </cell>
          <cell r="LZ442">
            <v>14.730476692982464</v>
          </cell>
          <cell r="MA442">
            <v>11.870949885755934</v>
          </cell>
          <cell r="MB442">
            <v>9.6544719773798295</v>
          </cell>
          <cell r="MC442">
            <v>14.087427794132038</v>
          </cell>
        </row>
        <row r="443">
          <cell r="A443">
            <v>40147</v>
          </cell>
          <cell r="LJ443">
            <v>18.407535098125997</v>
          </cell>
          <cell r="LK443">
            <v>20.020152274152959</v>
          </cell>
          <cell r="LL443">
            <v>17.982747259685677</v>
          </cell>
          <cell r="LM443">
            <v>15.721193701553757</v>
          </cell>
          <cell r="LN443">
            <v>20.244300817817596</v>
          </cell>
          <cell r="LY443">
            <v>10.938644093179148</v>
          </cell>
          <cell r="LZ443">
            <v>14.730476692982464</v>
          </cell>
          <cell r="MA443">
            <v>11.870949885755934</v>
          </cell>
          <cell r="MB443">
            <v>9.6544719773798295</v>
          </cell>
          <cell r="MC443">
            <v>14.087427794132038</v>
          </cell>
        </row>
        <row r="444">
          <cell r="A444">
            <v>40148</v>
          </cell>
          <cell r="LJ444">
            <v>18.438458717948716</v>
          </cell>
          <cell r="LK444">
            <v>20.020152274152959</v>
          </cell>
          <cell r="LL444">
            <v>17.982747259685677</v>
          </cell>
          <cell r="LM444">
            <v>15.721193701553757</v>
          </cell>
          <cell r="LN444">
            <v>20.244300817817596</v>
          </cell>
          <cell r="LY444">
            <v>10.924940789196798</v>
          </cell>
          <cell r="LZ444">
            <v>14.730476692982464</v>
          </cell>
          <cell r="MA444">
            <v>11.870949885755934</v>
          </cell>
          <cell r="MB444">
            <v>9.6544719773798295</v>
          </cell>
          <cell r="MC444">
            <v>14.087427794132038</v>
          </cell>
        </row>
        <row r="445">
          <cell r="A445">
            <v>40149</v>
          </cell>
          <cell r="LJ445">
            <v>18.425637435897439</v>
          </cell>
          <cell r="LK445">
            <v>20.020152274152959</v>
          </cell>
          <cell r="LL445">
            <v>17.982747259685677</v>
          </cell>
          <cell r="LM445">
            <v>15.721193701553757</v>
          </cell>
          <cell r="LN445">
            <v>20.244300817817596</v>
          </cell>
          <cell r="LY445">
            <v>10.917752934136091</v>
          </cell>
          <cell r="LZ445">
            <v>14.730476692982464</v>
          </cell>
          <cell r="MA445">
            <v>11.870949885755934</v>
          </cell>
          <cell r="MB445">
            <v>9.6544719773798295</v>
          </cell>
          <cell r="MC445">
            <v>14.087427794132038</v>
          </cell>
        </row>
        <row r="446">
          <cell r="A446">
            <v>40150</v>
          </cell>
          <cell r="LJ446">
            <v>18.328204102564104</v>
          </cell>
          <cell r="LK446">
            <v>20.020152274152959</v>
          </cell>
          <cell r="LL446">
            <v>17.982747259685677</v>
          </cell>
          <cell r="LM446">
            <v>15.721193701553757</v>
          </cell>
          <cell r="LN446">
            <v>20.244300817817596</v>
          </cell>
          <cell r="LY446">
            <v>10.863129950624748</v>
          </cell>
          <cell r="LZ446">
            <v>14.730476692982464</v>
          </cell>
          <cell r="MA446">
            <v>11.870949885755934</v>
          </cell>
          <cell r="MB446">
            <v>9.6544719773798295</v>
          </cell>
          <cell r="MC446">
            <v>14.087427794132038</v>
          </cell>
        </row>
        <row r="447">
          <cell r="A447">
            <v>40151</v>
          </cell>
          <cell r="LJ447">
            <v>18.571793076923075</v>
          </cell>
          <cell r="LK447">
            <v>20.020152274152959</v>
          </cell>
          <cell r="LL447">
            <v>17.982747259685677</v>
          </cell>
          <cell r="LM447">
            <v>15.721193701553757</v>
          </cell>
          <cell r="LN447">
            <v>20.244300817817596</v>
          </cell>
          <cell r="LY447">
            <v>10.999690571869584</v>
          </cell>
          <cell r="LZ447">
            <v>14.730476692982464</v>
          </cell>
          <cell r="MA447">
            <v>11.870949885755934</v>
          </cell>
          <cell r="MB447">
            <v>9.6544719773798295</v>
          </cell>
          <cell r="MC447">
            <v>14.087427794132038</v>
          </cell>
        </row>
        <row r="448">
          <cell r="A448">
            <v>40154</v>
          </cell>
          <cell r="LJ448">
            <v>18.569230512820514</v>
          </cell>
          <cell r="LK448">
            <v>20.020152274152959</v>
          </cell>
          <cell r="LL448">
            <v>17.982747259685677</v>
          </cell>
          <cell r="LM448">
            <v>15.721193701553757</v>
          </cell>
          <cell r="LN448">
            <v>20.244300817817596</v>
          </cell>
          <cell r="LY448">
            <v>10.998253949597389</v>
          </cell>
          <cell r="LZ448">
            <v>14.730476692982464</v>
          </cell>
          <cell r="MA448">
            <v>11.870949885755934</v>
          </cell>
          <cell r="MB448">
            <v>9.6544719773798295</v>
          </cell>
          <cell r="MC448">
            <v>14.087427794132038</v>
          </cell>
        </row>
        <row r="449">
          <cell r="A449">
            <v>40155</v>
          </cell>
          <cell r="LJ449">
            <v>18.29486948717949</v>
          </cell>
          <cell r="LK449">
            <v>20.020152274152959</v>
          </cell>
          <cell r="LL449">
            <v>17.982747259685677</v>
          </cell>
          <cell r="LM449">
            <v>15.721193701553757</v>
          </cell>
          <cell r="LN449">
            <v>20.244300817817596</v>
          </cell>
          <cell r="LY449">
            <v>10.844441929962644</v>
          </cell>
          <cell r="LZ449">
            <v>14.730476692982464</v>
          </cell>
          <cell r="MA449">
            <v>11.870949885755934</v>
          </cell>
          <cell r="MB449">
            <v>9.6544719773798295</v>
          </cell>
          <cell r="MC449">
            <v>14.087427794132038</v>
          </cell>
        </row>
        <row r="450">
          <cell r="A450">
            <v>40156</v>
          </cell>
          <cell r="LJ450">
            <v>18.533333076923078</v>
          </cell>
          <cell r="LK450">
            <v>20.020152274152959</v>
          </cell>
          <cell r="LL450">
            <v>17.982747259685677</v>
          </cell>
          <cell r="LM450">
            <v>15.721193701553757</v>
          </cell>
          <cell r="LN450">
            <v>20.244300817817596</v>
          </cell>
          <cell r="LY450">
            <v>10.978129162914611</v>
          </cell>
          <cell r="LZ450">
            <v>14.730476692982464</v>
          </cell>
          <cell r="MA450">
            <v>11.870949885755934</v>
          </cell>
          <cell r="MB450">
            <v>9.6544719773798295</v>
          </cell>
          <cell r="MC450">
            <v>14.087427794132038</v>
          </cell>
        </row>
        <row r="451">
          <cell r="A451">
            <v>40157</v>
          </cell>
          <cell r="LJ451">
            <v>18.497435897435899</v>
          </cell>
          <cell r="LK451">
            <v>20.020152274152959</v>
          </cell>
          <cell r="LL451">
            <v>17.982747259685677</v>
          </cell>
          <cell r="LM451">
            <v>15.721193701553757</v>
          </cell>
          <cell r="LN451">
            <v>20.244300817817596</v>
          </cell>
          <cell r="LY451">
            <v>10.95800451998031</v>
          </cell>
          <cell r="LZ451">
            <v>14.730476692982464</v>
          </cell>
          <cell r="MA451">
            <v>11.870949885755934</v>
          </cell>
          <cell r="MB451">
            <v>9.6544719773798295</v>
          </cell>
          <cell r="MC451">
            <v>14.087427794132038</v>
          </cell>
        </row>
        <row r="452">
          <cell r="A452">
            <v>40158</v>
          </cell>
          <cell r="LJ452">
            <v>18.482047948717948</v>
          </cell>
          <cell r="LK452">
            <v>20.020152274152959</v>
          </cell>
          <cell r="LL452">
            <v>17.982747259685677</v>
          </cell>
          <cell r="LM452">
            <v>15.721193701553757</v>
          </cell>
          <cell r="LN452">
            <v>20.244300817817596</v>
          </cell>
          <cell r="LY452">
            <v>10.949377742671787</v>
          </cell>
          <cell r="LZ452">
            <v>14.730476692982464</v>
          </cell>
          <cell r="MA452">
            <v>11.870949885755934</v>
          </cell>
          <cell r="MB452">
            <v>9.6544719773798295</v>
          </cell>
          <cell r="MC452">
            <v>14.087427794132038</v>
          </cell>
        </row>
        <row r="453">
          <cell r="A453">
            <v>40161</v>
          </cell>
          <cell r="LJ453">
            <v>18.689743589743589</v>
          </cell>
          <cell r="LK453">
            <v>20.020152274152959</v>
          </cell>
          <cell r="LL453">
            <v>17.982747259685677</v>
          </cell>
          <cell r="LM453">
            <v>15.721193701553757</v>
          </cell>
          <cell r="LN453">
            <v>20.244300817817596</v>
          </cell>
          <cell r="LY453">
            <v>11.06581587720947</v>
          </cell>
          <cell r="LZ453">
            <v>14.730476692982464</v>
          </cell>
          <cell r="MA453">
            <v>11.870949885755934</v>
          </cell>
          <cell r="MB453">
            <v>9.6544719773798295</v>
          </cell>
          <cell r="MC453">
            <v>14.087427794132038</v>
          </cell>
        </row>
        <row r="454">
          <cell r="A454">
            <v>40162</v>
          </cell>
          <cell r="LJ454">
            <v>18.658971794871796</v>
          </cell>
          <cell r="LK454">
            <v>20.020152274152959</v>
          </cell>
          <cell r="LL454">
            <v>17.982747259685677</v>
          </cell>
          <cell r="LM454">
            <v>15.721193701553757</v>
          </cell>
          <cell r="LN454">
            <v>20.244300817817596</v>
          </cell>
          <cell r="LY454">
            <v>11.048564622568042</v>
          </cell>
          <cell r="LZ454">
            <v>14.730476692982464</v>
          </cell>
          <cell r="MA454">
            <v>11.870949885755934</v>
          </cell>
          <cell r="MB454">
            <v>9.6544719773798295</v>
          </cell>
          <cell r="MC454">
            <v>14.087427794132038</v>
          </cell>
        </row>
        <row r="455">
          <cell r="A455">
            <v>40163</v>
          </cell>
          <cell r="LJ455">
            <v>18.682047692307695</v>
          </cell>
          <cell r="LK455">
            <v>20.020152274152959</v>
          </cell>
          <cell r="LL455">
            <v>17.982747259685677</v>
          </cell>
          <cell r="LM455">
            <v>15.721193701553757</v>
          </cell>
          <cell r="LN455">
            <v>20.244300817817596</v>
          </cell>
          <cell r="LY455">
            <v>11.061501410441634</v>
          </cell>
          <cell r="LZ455">
            <v>14.730476692982464</v>
          </cell>
          <cell r="MA455">
            <v>11.870949885755934</v>
          </cell>
          <cell r="MB455">
            <v>9.6544719773798295</v>
          </cell>
          <cell r="MC455">
            <v>14.087427794132038</v>
          </cell>
        </row>
        <row r="456">
          <cell r="A456">
            <v>40164</v>
          </cell>
          <cell r="LJ456">
            <v>18.72955899371069</v>
          </cell>
          <cell r="LK456">
            <v>20.020152274152959</v>
          </cell>
          <cell r="LL456">
            <v>17.982747259685677</v>
          </cell>
          <cell r="LM456">
            <v>15.721193701553757</v>
          </cell>
          <cell r="LN456">
            <v>20.244300817817596</v>
          </cell>
          <cell r="LY456">
            <v>11.143015356615759</v>
          </cell>
          <cell r="LZ456">
            <v>14.730476692982464</v>
          </cell>
          <cell r="MA456">
            <v>11.870949885755934</v>
          </cell>
          <cell r="MB456">
            <v>9.6544719773798295</v>
          </cell>
          <cell r="MC456">
            <v>14.087427794132038</v>
          </cell>
        </row>
        <row r="457">
          <cell r="A457">
            <v>40165</v>
          </cell>
          <cell r="LJ457">
            <v>18.855425576751326</v>
          </cell>
          <cell r="LK457">
            <v>20.020152274152959</v>
          </cell>
          <cell r="LL457">
            <v>17.982747259685677</v>
          </cell>
          <cell r="LM457">
            <v>15.721193701553757</v>
          </cell>
          <cell r="LN457">
            <v>20.244300817817596</v>
          </cell>
          <cell r="LY457">
            <v>11.174699989297633</v>
          </cell>
          <cell r="LZ457">
            <v>14.730476692982464</v>
          </cell>
          <cell r="MA457">
            <v>11.870949885755934</v>
          </cell>
          <cell r="MB457">
            <v>9.6544719773798295</v>
          </cell>
          <cell r="MC457">
            <v>14.087427794132038</v>
          </cell>
        </row>
        <row r="458">
          <cell r="A458">
            <v>40168</v>
          </cell>
          <cell r="LJ458">
            <v>19.065161152882204</v>
          </cell>
          <cell r="LK458">
            <v>20.020152274152959</v>
          </cell>
          <cell r="LL458">
            <v>17.982747259685677</v>
          </cell>
          <cell r="LM458">
            <v>15.721193701553757</v>
          </cell>
          <cell r="LN458">
            <v>20.244300817817596</v>
          </cell>
          <cell r="LY458">
            <v>11.304007454743658</v>
          </cell>
          <cell r="LZ458">
            <v>14.730476692982464</v>
          </cell>
          <cell r="MA458">
            <v>11.870949885755934</v>
          </cell>
          <cell r="MB458">
            <v>9.6544719773798295</v>
          </cell>
          <cell r="MC458">
            <v>14.087427794132038</v>
          </cell>
        </row>
        <row r="459">
          <cell r="A459">
            <v>40169</v>
          </cell>
          <cell r="LJ459">
            <v>18.89167507517708</v>
          </cell>
          <cell r="LK459">
            <v>20.020152274152959</v>
          </cell>
          <cell r="LL459">
            <v>17.982747259685677</v>
          </cell>
          <cell r="LM459">
            <v>15.721193701553757</v>
          </cell>
          <cell r="LN459">
            <v>20.244300817817596</v>
          </cell>
          <cell r="LY459">
            <v>11.243370978147306</v>
          </cell>
          <cell r="LZ459">
            <v>14.730476692982464</v>
          </cell>
          <cell r="MA459">
            <v>11.870949885755934</v>
          </cell>
          <cell r="MB459">
            <v>9.6544719773798295</v>
          </cell>
          <cell r="MC459">
            <v>14.087427794132038</v>
          </cell>
        </row>
        <row r="460">
          <cell r="A460">
            <v>40170</v>
          </cell>
          <cell r="LJ460">
            <v>18.881693150684931</v>
          </cell>
          <cell r="LK460">
            <v>20.020152274152959</v>
          </cell>
          <cell r="LL460">
            <v>17.982747259685677</v>
          </cell>
          <cell r="LM460">
            <v>15.721193701553757</v>
          </cell>
          <cell r="LN460">
            <v>20.244300817817596</v>
          </cell>
          <cell r="LY460">
            <v>11.225015407676368</v>
          </cell>
          <cell r="LZ460">
            <v>14.730476692982464</v>
          </cell>
          <cell r="MA460">
            <v>11.870949885755934</v>
          </cell>
          <cell r="MB460">
            <v>9.6544719773798295</v>
          </cell>
          <cell r="MC460">
            <v>14.087427794132038</v>
          </cell>
        </row>
        <row r="461">
          <cell r="A461">
            <v>40171</v>
          </cell>
          <cell r="LJ461">
            <v>18.953920547945209</v>
          </cell>
          <cell r="LK461">
            <v>20.020152274152959</v>
          </cell>
          <cell r="LL461">
            <v>17.982747259685677</v>
          </cell>
          <cell r="LM461">
            <v>15.721193701553757</v>
          </cell>
          <cell r="LN461">
            <v>20.244300817817596</v>
          </cell>
          <cell r="LY461">
            <v>11.26575582680063</v>
          </cell>
          <cell r="LZ461">
            <v>14.730476692982464</v>
          </cell>
          <cell r="MA461">
            <v>11.870949885755934</v>
          </cell>
          <cell r="MB461">
            <v>9.6544719773798295</v>
          </cell>
          <cell r="MC461">
            <v>14.087427794132038</v>
          </cell>
        </row>
        <row r="462">
          <cell r="A462">
            <v>40172</v>
          </cell>
          <cell r="LJ462">
            <v>18.953920547945209</v>
          </cell>
          <cell r="LK462">
            <v>20.020152274152959</v>
          </cell>
          <cell r="LL462">
            <v>17.982747259685677</v>
          </cell>
          <cell r="LM462">
            <v>15.721193701553757</v>
          </cell>
          <cell r="LN462">
            <v>20.244300817817596</v>
          </cell>
          <cell r="LY462">
            <v>11.26575582680063</v>
          </cell>
          <cell r="LZ462">
            <v>14.730476692982464</v>
          </cell>
          <cell r="MA462">
            <v>11.870949885755934</v>
          </cell>
          <cell r="MB462">
            <v>9.6544719773798295</v>
          </cell>
          <cell r="MC462">
            <v>14.087427794132038</v>
          </cell>
        </row>
        <row r="463">
          <cell r="A463">
            <v>40175</v>
          </cell>
          <cell r="LJ463">
            <v>18.879200000000001</v>
          </cell>
          <cell r="LK463">
            <v>20.020152274152959</v>
          </cell>
          <cell r="LL463">
            <v>17.982747259685677</v>
          </cell>
          <cell r="LM463">
            <v>15.721193701553757</v>
          </cell>
          <cell r="LN463">
            <v>20.244300817817596</v>
          </cell>
          <cell r="LY463">
            <v>11.223609126850855</v>
          </cell>
          <cell r="LZ463">
            <v>14.730476692982464</v>
          </cell>
          <cell r="MA463">
            <v>11.870949885755934</v>
          </cell>
          <cell r="MB463">
            <v>9.6544719773798295</v>
          </cell>
          <cell r="MC463">
            <v>14.087427794132038</v>
          </cell>
        </row>
        <row r="464">
          <cell r="A464">
            <v>40176</v>
          </cell>
          <cell r="LJ464">
            <v>18.879200000000001</v>
          </cell>
          <cell r="LK464">
            <v>20.020152274152959</v>
          </cell>
          <cell r="LL464">
            <v>17.982747259685677</v>
          </cell>
          <cell r="LM464">
            <v>15.721193701553757</v>
          </cell>
          <cell r="LN464">
            <v>20.244300817817596</v>
          </cell>
          <cell r="LY464">
            <v>11.223609126850855</v>
          </cell>
          <cell r="LZ464">
            <v>14.730476692982464</v>
          </cell>
          <cell r="MA464">
            <v>11.870949885755934</v>
          </cell>
          <cell r="MB464">
            <v>9.6544719773798295</v>
          </cell>
          <cell r="MC464">
            <v>14.087427794132038</v>
          </cell>
        </row>
        <row r="465">
          <cell r="A465">
            <v>40177</v>
          </cell>
          <cell r="LJ465">
            <v>18.874221419676218</v>
          </cell>
          <cell r="LK465">
            <v>20.020152274152959</v>
          </cell>
          <cell r="LL465">
            <v>17.982747259685677</v>
          </cell>
          <cell r="LM465">
            <v>15.721193701553757</v>
          </cell>
          <cell r="LN465">
            <v>20.244300817817596</v>
          </cell>
          <cell r="LY465">
            <v>11.220800920315266</v>
          </cell>
          <cell r="LZ465">
            <v>14.730476692982464</v>
          </cell>
          <cell r="MA465">
            <v>11.870949885755934</v>
          </cell>
          <cell r="MB465">
            <v>9.6544719773798295</v>
          </cell>
          <cell r="MC465">
            <v>14.087427794132038</v>
          </cell>
        </row>
        <row r="466">
          <cell r="A466">
            <v>40178</v>
          </cell>
          <cell r="LJ466">
            <v>18.729762640099626</v>
          </cell>
          <cell r="LK466">
            <v>20.020152274152959</v>
          </cell>
          <cell r="LL466">
            <v>17.982747259685677</v>
          </cell>
          <cell r="LM466">
            <v>15.721193701553757</v>
          </cell>
          <cell r="LN466">
            <v>20.244300817817596</v>
          </cell>
          <cell r="LY466">
            <v>11.139317834265226</v>
          </cell>
          <cell r="LZ466">
            <v>14.730476692982464</v>
          </cell>
          <cell r="MA466">
            <v>11.870949885755934</v>
          </cell>
          <cell r="MB466">
            <v>9.6544719773798295</v>
          </cell>
          <cell r="MC466">
            <v>14.087427794132038</v>
          </cell>
        </row>
        <row r="467">
          <cell r="A467">
            <v>40179</v>
          </cell>
          <cell r="LJ467">
            <v>18.520554943496158</v>
          </cell>
          <cell r="LK467">
            <v>20.020152274152959</v>
          </cell>
          <cell r="LL467">
            <v>17.982747259685677</v>
          </cell>
          <cell r="LM467">
            <v>15.721193701553757</v>
          </cell>
          <cell r="LN467">
            <v>20.244300817817596</v>
          </cell>
          <cell r="LY467">
            <v>11.050727047316256</v>
          </cell>
          <cell r="LZ467">
            <v>14.730476692982464</v>
          </cell>
          <cell r="MA467">
            <v>11.870949885755934</v>
          </cell>
          <cell r="MB467">
            <v>9.6544719773798295</v>
          </cell>
          <cell r="MC467">
            <v>14.087427794132038</v>
          </cell>
        </row>
        <row r="468">
          <cell r="A468">
            <v>40182</v>
          </cell>
          <cell r="LJ468">
            <v>18.508240005387325</v>
          </cell>
          <cell r="LK468">
            <v>20.020152274152959</v>
          </cell>
          <cell r="LL468">
            <v>17.982747259685677</v>
          </cell>
          <cell r="LM468">
            <v>15.721193701553757</v>
          </cell>
          <cell r="LN468">
            <v>20.244300817817596</v>
          </cell>
          <cell r="LY468">
            <v>11.043758114218631</v>
          </cell>
          <cell r="LZ468">
            <v>14.730476692982464</v>
          </cell>
          <cell r="MA468">
            <v>11.870949885755934</v>
          </cell>
          <cell r="MB468">
            <v>9.6544719773798295</v>
          </cell>
          <cell r="MC468">
            <v>14.087427794132038</v>
          </cell>
        </row>
        <row r="469">
          <cell r="A469">
            <v>40183</v>
          </cell>
          <cell r="LJ469">
            <v>18.486075431860879</v>
          </cell>
          <cell r="LK469">
            <v>20.020152274152959</v>
          </cell>
          <cell r="LL469">
            <v>17.982747259685677</v>
          </cell>
          <cell r="LM469">
            <v>15.721193701553757</v>
          </cell>
          <cell r="LN469">
            <v>20.244300817817596</v>
          </cell>
          <cell r="LY469">
            <v>10.948610344483766</v>
          </cell>
          <cell r="LZ469">
            <v>14.730476692982464</v>
          </cell>
          <cell r="MA469">
            <v>11.870949885755934</v>
          </cell>
          <cell r="MB469">
            <v>9.6544719773798295</v>
          </cell>
          <cell r="MC469">
            <v>14.087427794132038</v>
          </cell>
        </row>
        <row r="470">
          <cell r="A470">
            <v>40184</v>
          </cell>
          <cell r="LJ470">
            <v>18.520554943496158</v>
          </cell>
          <cell r="LK470">
            <v>20.020152274152959</v>
          </cell>
          <cell r="LL470">
            <v>17.982747259685677</v>
          </cell>
          <cell r="LM470">
            <v>15.721193701553757</v>
          </cell>
          <cell r="LN470">
            <v>20.244300817817596</v>
          </cell>
          <cell r="LY470">
            <v>10.967975937681555</v>
          </cell>
          <cell r="LZ470">
            <v>14.730476692982464</v>
          </cell>
          <cell r="MA470">
            <v>11.870949885755934</v>
          </cell>
          <cell r="MB470">
            <v>9.6544719773798295</v>
          </cell>
          <cell r="MC470">
            <v>14.087427794132038</v>
          </cell>
        </row>
        <row r="471">
          <cell r="A471">
            <v>40185</v>
          </cell>
          <cell r="LJ471">
            <v>18.673250029145535</v>
          </cell>
          <cell r="LK471">
            <v>20.020152274152959</v>
          </cell>
          <cell r="LL471">
            <v>17.982747259685677</v>
          </cell>
          <cell r="LM471">
            <v>15.721193701553757</v>
          </cell>
          <cell r="LN471">
            <v>20.244300817817596</v>
          </cell>
          <cell r="LY471">
            <v>11.053737909697466</v>
          </cell>
          <cell r="LZ471">
            <v>14.730476692982464</v>
          </cell>
          <cell r="MA471">
            <v>11.870949885755934</v>
          </cell>
          <cell r="MB471">
            <v>9.6544719773798295</v>
          </cell>
          <cell r="MC471">
            <v>14.087427794132038</v>
          </cell>
        </row>
        <row r="472">
          <cell r="A472">
            <v>40186</v>
          </cell>
          <cell r="LJ472">
            <v>18.900438338788916</v>
          </cell>
          <cell r="LK472">
            <v>20.020152274152959</v>
          </cell>
          <cell r="LL472">
            <v>17.982747259685677</v>
          </cell>
          <cell r="LM472">
            <v>15.721193701553757</v>
          </cell>
          <cell r="LN472">
            <v>20.244300817817596</v>
          </cell>
          <cell r="LY472">
            <v>11.163233739377413</v>
          </cell>
          <cell r="LZ472">
            <v>14.730476692982464</v>
          </cell>
          <cell r="MA472">
            <v>11.870949885755934</v>
          </cell>
          <cell r="MB472">
            <v>9.6544719773798295</v>
          </cell>
          <cell r="MC472">
            <v>14.087427794132038</v>
          </cell>
        </row>
        <row r="473">
          <cell r="A473">
            <v>40189</v>
          </cell>
          <cell r="LJ473">
            <v>19.108687263908308</v>
          </cell>
          <cell r="LK473">
            <v>20.020152274152959</v>
          </cell>
          <cell r="LL473">
            <v>17.982747259685677</v>
          </cell>
          <cell r="LM473">
            <v>15.721193701553757</v>
          </cell>
          <cell r="LN473">
            <v>20.244300817817596</v>
          </cell>
          <cell r="LY473">
            <v>11.270672248896432</v>
          </cell>
          <cell r="LZ473">
            <v>14.730476692982464</v>
          </cell>
          <cell r="MA473">
            <v>11.870949885755934</v>
          </cell>
          <cell r="MB473">
            <v>9.6544719773798295</v>
          </cell>
          <cell r="MC473">
            <v>14.087427794132038</v>
          </cell>
        </row>
        <row r="474">
          <cell r="A474">
            <v>40190</v>
          </cell>
          <cell r="LJ474">
            <v>18.843254449069619</v>
          </cell>
          <cell r="LK474">
            <v>20.020152274152959</v>
          </cell>
          <cell r="LL474">
            <v>17.982747259685677</v>
          </cell>
          <cell r="LM474">
            <v>15.721193701553757</v>
          </cell>
          <cell r="LN474">
            <v>20.244300817817596</v>
          </cell>
          <cell r="LY474">
            <v>11.121939635121715</v>
          </cell>
          <cell r="LZ474">
            <v>14.730476692982464</v>
          </cell>
          <cell r="MA474">
            <v>11.870949885755934</v>
          </cell>
          <cell r="MB474">
            <v>9.6544719773798295</v>
          </cell>
          <cell r="MC474">
            <v>14.087427794132038</v>
          </cell>
        </row>
        <row r="475">
          <cell r="A475">
            <v>40191</v>
          </cell>
          <cell r="LJ475">
            <v>18.908862023836082</v>
          </cell>
          <cell r="LK475">
            <v>20.020152274152959</v>
          </cell>
          <cell r="LL475">
            <v>17.982747259685677</v>
          </cell>
          <cell r="LM475">
            <v>15.721193701553757</v>
          </cell>
          <cell r="LN475">
            <v>20.244300817817596</v>
          </cell>
          <cell r="LY475">
            <v>11.148103743389406</v>
          </cell>
          <cell r="LZ475">
            <v>14.730476692982464</v>
          </cell>
          <cell r="MA475">
            <v>11.870949885755934</v>
          </cell>
          <cell r="MB475">
            <v>9.6544719773798295</v>
          </cell>
          <cell r="MC475">
            <v>14.087427794132038</v>
          </cell>
        </row>
        <row r="476">
          <cell r="A476">
            <v>40192</v>
          </cell>
          <cell r="LJ476">
            <v>18.987589181159031</v>
          </cell>
          <cell r="LK476">
            <v>20.020152274152959</v>
          </cell>
          <cell r="LL476">
            <v>17.982747259685677</v>
          </cell>
          <cell r="LM476">
            <v>15.721193701553757</v>
          </cell>
          <cell r="LN476">
            <v>20.244300817817596</v>
          </cell>
          <cell r="LY476">
            <v>11.192173589191592</v>
          </cell>
          <cell r="LZ476">
            <v>14.730476692982464</v>
          </cell>
          <cell r="MA476">
            <v>11.870949885755934</v>
          </cell>
          <cell r="MB476">
            <v>9.6544719773798295</v>
          </cell>
          <cell r="MC476">
            <v>14.087427794132038</v>
          </cell>
        </row>
        <row r="477">
          <cell r="A477">
            <v>40193</v>
          </cell>
          <cell r="LJ477">
            <v>18.748952459679757</v>
          </cell>
          <cell r="LK477">
            <v>20.020152274152959</v>
          </cell>
          <cell r="LL477">
            <v>17.982747259685677</v>
          </cell>
          <cell r="LM477">
            <v>15.721193701553757</v>
          </cell>
          <cell r="LN477">
            <v>20.244300817817596</v>
          </cell>
          <cell r="LY477">
            <v>11.058589653534039</v>
          </cell>
          <cell r="LZ477">
            <v>14.730476692982464</v>
          </cell>
          <cell r="MA477">
            <v>11.870949885755934</v>
          </cell>
          <cell r="MB477">
            <v>9.6544719773798295</v>
          </cell>
          <cell r="MC477">
            <v>14.087427794132038</v>
          </cell>
        </row>
        <row r="478">
          <cell r="A478">
            <v>40196</v>
          </cell>
          <cell r="LJ478">
            <v>18.748952459679757</v>
          </cell>
          <cell r="LK478">
            <v>20.020152274152959</v>
          </cell>
          <cell r="LL478">
            <v>17.982747259685677</v>
          </cell>
          <cell r="LM478">
            <v>15.721193701553757</v>
          </cell>
          <cell r="LN478">
            <v>20.244300817817596</v>
          </cell>
          <cell r="LY478">
            <v>11.058589653534039</v>
          </cell>
          <cell r="LZ478">
            <v>14.730476692982464</v>
          </cell>
          <cell r="MA478">
            <v>11.870949885755934</v>
          </cell>
          <cell r="MB478">
            <v>9.6544719773798295</v>
          </cell>
          <cell r="MC478">
            <v>14.087427794132038</v>
          </cell>
        </row>
        <row r="479">
          <cell r="A479">
            <v>40197</v>
          </cell>
          <cell r="LJ479">
            <v>18.872900028422276</v>
          </cell>
          <cell r="LK479">
            <v>20.020152274152959</v>
          </cell>
          <cell r="LL479">
            <v>17.982747259685677</v>
          </cell>
          <cell r="LM479">
            <v>15.721193701553757</v>
          </cell>
          <cell r="LN479">
            <v>20.244300817817596</v>
          </cell>
          <cell r="LY479">
            <v>11.141219633191941</v>
          </cell>
          <cell r="LZ479">
            <v>14.730476692982464</v>
          </cell>
          <cell r="MA479">
            <v>11.870949885755934</v>
          </cell>
          <cell r="MB479">
            <v>9.6544719773798295</v>
          </cell>
          <cell r="MC479">
            <v>14.087427794132038</v>
          </cell>
        </row>
        <row r="480">
          <cell r="A480">
            <v>40198</v>
          </cell>
          <cell r="LJ480">
            <v>18.67141701141183</v>
          </cell>
          <cell r="LK480">
            <v>20.020152274152959</v>
          </cell>
          <cell r="LL480">
            <v>17.982747259685677</v>
          </cell>
          <cell r="LM480">
            <v>15.721193701553757</v>
          </cell>
          <cell r="LN480">
            <v>20.244300817817596</v>
          </cell>
          <cell r="LY480">
            <v>11.028292159584449</v>
          </cell>
          <cell r="LZ480">
            <v>14.730476692982464</v>
          </cell>
          <cell r="MA480">
            <v>11.870949885755934</v>
          </cell>
          <cell r="MB480">
            <v>9.6544719773798295</v>
          </cell>
          <cell r="MC480">
            <v>14.087427794132038</v>
          </cell>
        </row>
        <row r="481">
          <cell r="A481">
            <v>40199</v>
          </cell>
          <cell r="LJ481">
            <v>18.336260197722318</v>
          </cell>
          <cell r="LK481">
            <v>20.020152274152959</v>
          </cell>
          <cell r="LL481">
            <v>17.982747259685677</v>
          </cell>
          <cell r="LM481">
            <v>15.721193701553757</v>
          </cell>
          <cell r="LN481">
            <v>20.244300817817596</v>
          </cell>
          <cell r="LY481">
            <v>10.852016770118118</v>
          </cell>
          <cell r="LZ481">
            <v>14.730476692982464</v>
          </cell>
          <cell r="MA481">
            <v>11.870949885755934</v>
          </cell>
          <cell r="MB481">
            <v>9.6544719773798295</v>
          </cell>
          <cell r="MC481">
            <v>14.087427794132038</v>
          </cell>
        </row>
        <row r="482">
          <cell r="A482">
            <v>40200</v>
          </cell>
          <cell r="LJ482">
            <v>18.027016473431338</v>
          </cell>
          <cell r="LK482">
            <v>20.020152274152959</v>
          </cell>
          <cell r="LL482">
            <v>17.982747259685677</v>
          </cell>
          <cell r="LM482">
            <v>15.721193701553757</v>
          </cell>
          <cell r="LN482">
            <v>20.244300817817596</v>
          </cell>
          <cell r="LY482">
            <v>10.678496236625019</v>
          </cell>
          <cell r="LZ482">
            <v>14.730476692982464</v>
          </cell>
          <cell r="MA482">
            <v>11.870949885755934</v>
          </cell>
          <cell r="MB482">
            <v>9.6544719773798295</v>
          </cell>
          <cell r="MC482">
            <v>14.087427794132038</v>
          </cell>
        </row>
        <row r="483">
          <cell r="A483">
            <v>40203</v>
          </cell>
          <cell r="LJ483">
            <v>18.289627531638139</v>
          </cell>
          <cell r="LK483">
            <v>20.020152274152959</v>
          </cell>
          <cell r="LL483">
            <v>17.982747259685677</v>
          </cell>
          <cell r="LM483">
            <v>15.721193701553757</v>
          </cell>
          <cell r="LN483">
            <v>20.244300817817596</v>
          </cell>
          <cell r="LY483">
            <v>10.82585059612159</v>
          </cell>
          <cell r="LZ483">
            <v>14.730476692982464</v>
          </cell>
          <cell r="MA483">
            <v>11.870949885755934</v>
          </cell>
          <cell r="MB483">
            <v>9.6544719773798295</v>
          </cell>
          <cell r="MC483">
            <v>14.087427794132038</v>
          </cell>
        </row>
        <row r="484">
          <cell r="A484">
            <v>40204</v>
          </cell>
          <cell r="LJ484">
            <v>18.176730544567508</v>
          </cell>
          <cell r="LK484">
            <v>20.020152274152959</v>
          </cell>
          <cell r="LL484">
            <v>17.982747259685677</v>
          </cell>
          <cell r="LM484">
            <v>15.721193701553757</v>
          </cell>
          <cell r="LN484">
            <v>20.244300817817596</v>
          </cell>
          <cell r="LY484">
            <v>10.762502680262751</v>
          </cell>
          <cell r="LZ484">
            <v>14.730476692982464</v>
          </cell>
          <cell r="MA484">
            <v>11.870949885755934</v>
          </cell>
          <cell r="MB484">
            <v>9.6544719773798295</v>
          </cell>
          <cell r="MC484">
            <v>14.087427794132038</v>
          </cell>
        </row>
        <row r="485">
          <cell r="A485">
            <v>40205</v>
          </cell>
          <cell r="LJ485">
            <v>18.208634315392462</v>
          </cell>
          <cell r="LK485">
            <v>20.020152274152959</v>
          </cell>
          <cell r="LL485">
            <v>17.982747259685677</v>
          </cell>
          <cell r="LM485">
            <v>15.721193701553757</v>
          </cell>
          <cell r="LN485">
            <v>20.244300817817596</v>
          </cell>
          <cell r="LY485">
            <v>10.780404286339577</v>
          </cell>
          <cell r="LZ485">
            <v>14.730476692982464</v>
          </cell>
          <cell r="MA485">
            <v>11.870949885755934</v>
          </cell>
          <cell r="MB485">
            <v>9.6544719773798295</v>
          </cell>
          <cell r="MC485">
            <v>14.087427794132038</v>
          </cell>
        </row>
        <row r="486">
          <cell r="A486">
            <v>40206</v>
          </cell>
          <cell r="LJ486">
            <v>17.893399914456026</v>
          </cell>
          <cell r="LK486">
            <v>20.020152274152959</v>
          </cell>
          <cell r="LL486">
            <v>17.982747259685677</v>
          </cell>
          <cell r="LM486">
            <v>15.721193701553757</v>
          </cell>
          <cell r="LN486">
            <v>20.244300817817596</v>
          </cell>
          <cell r="LY486">
            <v>10.553218471905904</v>
          </cell>
          <cell r="LZ486">
            <v>14.730476692982464</v>
          </cell>
          <cell r="MA486">
            <v>11.870949885755934</v>
          </cell>
          <cell r="MB486">
            <v>9.6544719773798295</v>
          </cell>
          <cell r="MC486">
            <v>14.087427794132038</v>
          </cell>
        </row>
        <row r="487">
          <cell r="A487">
            <v>40207</v>
          </cell>
          <cell r="LJ487">
            <v>17.486849977025038</v>
          </cell>
          <cell r="LK487">
            <v>20.020152274152959</v>
          </cell>
          <cell r="LL487">
            <v>17.982747259685677</v>
          </cell>
          <cell r="LM487">
            <v>15.721193701553757</v>
          </cell>
          <cell r="LN487">
            <v>20.244300817817596</v>
          </cell>
          <cell r="LY487">
            <v>10.270290803611623</v>
          </cell>
          <cell r="LZ487">
            <v>14.730476692982464</v>
          </cell>
          <cell r="MA487">
            <v>11.870949885755934</v>
          </cell>
          <cell r="MB487">
            <v>9.6544719773798295</v>
          </cell>
          <cell r="MC487">
            <v>14.087427794132038</v>
          </cell>
        </row>
        <row r="488">
          <cell r="A488">
            <v>40210</v>
          </cell>
          <cell r="LJ488">
            <v>17.390200735626404</v>
          </cell>
          <cell r="LK488">
            <v>20.020152274152959</v>
          </cell>
          <cell r="LL488">
            <v>17.982747259685677</v>
          </cell>
          <cell r="LM488">
            <v>15.721193701553757</v>
          </cell>
          <cell r="LN488">
            <v>20.244300817817596</v>
          </cell>
          <cell r="LY488">
            <v>10.323776406393511</v>
          </cell>
          <cell r="LZ488">
            <v>14.730476692982464</v>
          </cell>
          <cell r="MA488">
            <v>11.870949885755934</v>
          </cell>
          <cell r="MB488">
            <v>9.6544719773798295</v>
          </cell>
          <cell r="MC488">
            <v>14.087427794132038</v>
          </cell>
        </row>
        <row r="489">
          <cell r="A489">
            <v>40211</v>
          </cell>
          <cell r="LJ489">
            <v>17.586970429242413</v>
          </cell>
          <cell r="LK489">
            <v>20.020152274152959</v>
          </cell>
          <cell r="LL489">
            <v>17.982747259685677</v>
          </cell>
          <cell r="LM489">
            <v>15.721193701553757</v>
          </cell>
          <cell r="LN489">
            <v>20.244300817817596</v>
          </cell>
          <cell r="LY489">
            <v>10.449792522508307</v>
          </cell>
          <cell r="LZ489">
            <v>14.730476692982464</v>
          </cell>
          <cell r="MA489">
            <v>11.870949885755934</v>
          </cell>
          <cell r="MB489">
            <v>9.6544719773798295</v>
          </cell>
          <cell r="MC489">
            <v>14.087427794132038</v>
          </cell>
        </row>
        <row r="490">
          <cell r="A490">
            <v>40212</v>
          </cell>
          <cell r="LJ490">
            <v>17.541239247326644</v>
          </cell>
          <cell r="LK490">
            <v>20.020152274152959</v>
          </cell>
          <cell r="LL490">
            <v>17.982747259685677</v>
          </cell>
          <cell r="LM490">
            <v>15.721193701553757</v>
          </cell>
          <cell r="LN490">
            <v>20.244300817817596</v>
          </cell>
          <cell r="LY490">
            <v>10.423953463699785</v>
          </cell>
          <cell r="LZ490">
            <v>14.730476692982464</v>
          </cell>
          <cell r="MA490">
            <v>11.870949885755934</v>
          </cell>
          <cell r="MB490">
            <v>9.6544719773798295</v>
          </cell>
          <cell r="MC490">
            <v>14.087427794132038</v>
          </cell>
        </row>
        <row r="491">
          <cell r="A491">
            <v>40213</v>
          </cell>
          <cell r="LJ491">
            <v>17.033390456295535</v>
          </cell>
          <cell r="LK491">
            <v>20.020152274152959</v>
          </cell>
          <cell r="LL491">
            <v>17.982747259685677</v>
          </cell>
          <cell r="LM491">
            <v>15.721193701553757</v>
          </cell>
          <cell r="LN491">
            <v>20.244300817817596</v>
          </cell>
          <cell r="LY491">
            <v>10.137008446589586</v>
          </cell>
          <cell r="LZ491">
            <v>14.730476692982464</v>
          </cell>
          <cell r="MA491">
            <v>11.870949885755934</v>
          </cell>
          <cell r="MB491">
            <v>9.6544719773798295</v>
          </cell>
          <cell r="MC491">
            <v>14.087427794132038</v>
          </cell>
        </row>
        <row r="492">
          <cell r="A492">
            <v>40214</v>
          </cell>
          <cell r="LJ492">
            <v>17.091156451125592</v>
          </cell>
          <cell r="LK492">
            <v>20.020152274152959</v>
          </cell>
          <cell r="LL492">
            <v>17.982747259685677</v>
          </cell>
          <cell r="LM492">
            <v>15.721193701553757</v>
          </cell>
          <cell r="LN492">
            <v>20.244300817817596</v>
          </cell>
          <cell r="LY492">
            <v>10.169647422339128</v>
          </cell>
          <cell r="LZ492">
            <v>14.730476692982464</v>
          </cell>
          <cell r="MA492">
            <v>11.870949885755934</v>
          </cell>
          <cell r="MB492">
            <v>9.6544719773798295</v>
          </cell>
          <cell r="MC492">
            <v>14.087427794132038</v>
          </cell>
        </row>
        <row r="493">
          <cell r="A493">
            <v>40217</v>
          </cell>
          <cell r="LJ493">
            <v>16.884165707933391</v>
          </cell>
          <cell r="LK493">
            <v>20.020152274152959</v>
          </cell>
          <cell r="LL493">
            <v>17.982747259685677</v>
          </cell>
          <cell r="LM493">
            <v>15.721193701553757</v>
          </cell>
          <cell r="LN493">
            <v>20.244300817817596</v>
          </cell>
          <cell r="LY493">
            <v>10.012446816551204</v>
          </cell>
          <cell r="LZ493">
            <v>14.730476692982464</v>
          </cell>
          <cell r="MA493">
            <v>11.870949885755934</v>
          </cell>
          <cell r="MB493">
            <v>9.6544719773798295</v>
          </cell>
          <cell r="MC493">
            <v>14.087427794132038</v>
          </cell>
        </row>
        <row r="494">
          <cell r="A494">
            <v>40218</v>
          </cell>
          <cell r="LJ494">
            <v>17.062275258860293</v>
          </cell>
          <cell r="LK494">
            <v>20.020152274152959</v>
          </cell>
          <cell r="LL494">
            <v>17.982747259685677</v>
          </cell>
          <cell r="LM494">
            <v>15.721193701553757</v>
          </cell>
          <cell r="LN494">
            <v>20.244300817817596</v>
          </cell>
          <cell r="LY494">
            <v>10.112679477183837</v>
          </cell>
          <cell r="LZ494">
            <v>14.730476692982464</v>
          </cell>
          <cell r="MA494">
            <v>11.870949885755934</v>
          </cell>
          <cell r="MB494">
            <v>9.6544719773798295</v>
          </cell>
          <cell r="MC494">
            <v>14.087427794132038</v>
          </cell>
        </row>
        <row r="495">
          <cell r="A495">
            <v>40219</v>
          </cell>
          <cell r="LJ495">
            <v>17.083936092887608</v>
          </cell>
          <cell r="LK495">
            <v>20.020152274152959</v>
          </cell>
          <cell r="LL495">
            <v>17.982747259685677</v>
          </cell>
          <cell r="LM495">
            <v>15.721193701553757</v>
          </cell>
          <cell r="LN495">
            <v>20.244300817817596</v>
          </cell>
          <cell r="LY495">
            <v>10.1248692952749</v>
          </cell>
          <cell r="LZ495">
            <v>14.730476692982464</v>
          </cell>
          <cell r="MA495">
            <v>11.870949885755934</v>
          </cell>
          <cell r="MB495">
            <v>9.6544719773798295</v>
          </cell>
          <cell r="MC495">
            <v>14.087427794132038</v>
          </cell>
        </row>
        <row r="496">
          <cell r="A496">
            <v>40220</v>
          </cell>
          <cell r="LJ496">
            <v>17.305367311869144</v>
          </cell>
          <cell r="LK496">
            <v>20.020152274152959</v>
          </cell>
          <cell r="LL496">
            <v>17.982747259685677</v>
          </cell>
          <cell r="LM496">
            <v>15.721193701553757</v>
          </cell>
          <cell r="LN496">
            <v>20.244300817817596</v>
          </cell>
          <cell r="LY496">
            <v>10.253805103376878</v>
          </cell>
          <cell r="LZ496">
            <v>14.730476692982464</v>
          </cell>
          <cell r="MA496">
            <v>11.870949885755934</v>
          </cell>
          <cell r="MB496">
            <v>9.6544719773798295</v>
          </cell>
          <cell r="MC496">
            <v>14.087427794132038</v>
          </cell>
        </row>
        <row r="497">
          <cell r="A497">
            <v>40221</v>
          </cell>
          <cell r="LJ497">
            <v>17.310573898647661</v>
          </cell>
          <cell r="LK497">
            <v>20.020152274152959</v>
          </cell>
          <cell r="LL497">
            <v>17.982747259685677</v>
          </cell>
          <cell r="LM497">
            <v>15.721193701553757</v>
          </cell>
          <cell r="LN497">
            <v>20.244300817817596</v>
          </cell>
          <cell r="LY497">
            <v>10.330385792604879</v>
          </cell>
          <cell r="LZ497">
            <v>14.730476692982464</v>
          </cell>
          <cell r="MA497">
            <v>11.870949885755934</v>
          </cell>
          <cell r="MB497">
            <v>9.6544719773798295</v>
          </cell>
          <cell r="MC497">
            <v>14.087427794132038</v>
          </cell>
        </row>
        <row r="498">
          <cell r="A498">
            <v>40224</v>
          </cell>
          <cell r="LJ498">
            <v>17.297710712415249</v>
          </cell>
          <cell r="LK498">
            <v>20.020152274152959</v>
          </cell>
          <cell r="LL498">
            <v>17.982747259685677</v>
          </cell>
          <cell r="LM498">
            <v>15.721193701553757</v>
          </cell>
          <cell r="LN498">
            <v>20.244300817817596</v>
          </cell>
          <cell r="LY498">
            <v>10.330385792604879</v>
          </cell>
          <cell r="LZ498">
            <v>14.730476692982464</v>
          </cell>
          <cell r="MA498">
            <v>11.870949885755934</v>
          </cell>
          <cell r="MB498">
            <v>9.6544719773798295</v>
          </cell>
          <cell r="MC498">
            <v>14.087427794132038</v>
          </cell>
        </row>
        <row r="499">
          <cell r="A499">
            <v>40225</v>
          </cell>
          <cell r="LJ499">
            <v>17.67526569010678</v>
          </cell>
          <cell r="LK499">
            <v>20.020152274152959</v>
          </cell>
          <cell r="LL499">
            <v>17.982747259685677</v>
          </cell>
          <cell r="LM499">
            <v>15.721193701553757</v>
          </cell>
          <cell r="LN499">
            <v>20.244300817817596</v>
          </cell>
          <cell r="LY499">
            <v>10.544708623227617</v>
          </cell>
          <cell r="LZ499">
            <v>14.730476692982464</v>
          </cell>
          <cell r="MA499">
            <v>11.870949885755934</v>
          </cell>
          <cell r="MB499">
            <v>9.6544719773798295</v>
          </cell>
          <cell r="MC499">
            <v>14.087427794132038</v>
          </cell>
        </row>
        <row r="500">
          <cell r="A500">
            <v>40226</v>
          </cell>
          <cell r="LJ500">
            <v>18.064404660616979</v>
          </cell>
          <cell r="LK500">
            <v>20.020152274152959</v>
          </cell>
          <cell r="LL500">
            <v>17.982747259685677</v>
          </cell>
          <cell r="LM500">
            <v>15.721193701553757</v>
          </cell>
          <cell r="LN500">
            <v>20.244300817817596</v>
          </cell>
          <cell r="LY500">
            <v>10.741706195191082</v>
          </cell>
          <cell r="LZ500">
            <v>14.730476692982464</v>
          </cell>
          <cell r="MA500">
            <v>11.870949885755934</v>
          </cell>
          <cell r="MB500">
            <v>9.6544719773798295</v>
          </cell>
          <cell r="MC500">
            <v>14.087427794132038</v>
          </cell>
        </row>
        <row r="501">
          <cell r="A501">
            <v>40227</v>
          </cell>
          <cell r="LJ501">
            <v>18.126835275258209</v>
          </cell>
          <cell r="LK501">
            <v>20.020152274152959</v>
          </cell>
          <cell r="LL501">
            <v>17.982747259685677</v>
          </cell>
          <cell r="LM501">
            <v>15.721193701553757</v>
          </cell>
          <cell r="LN501">
            <v>20.244300817817596</v>
          </cell>
          <cell r="LY501">
            <v>10.777069369095885</v>
          </cell>
          <cell r="LZ501">
            <v>14.730476692982464</v>
          </cell>
          <cell r="MA501">
            <v>11.870949885755934</v>
          </cell>
          <cell r="MB501">
            <v>9.6544719773798295</v>
          </cell>
          <cell r="MC501">
            <v>14.087427794132038</v>
          </cell>
        </row>
        <row r="502">
          <cell r="A502">
            <v>40228</v>
          </cell>
          <cell r="LJ502">
            <v>18.237293004517049</v>
          </cell>
          <cell r="LK502">
            <v>20.020152274152959</v>
          </cell>
          <cell r="LL502">
            <v>17.982747259685677</v>
          </cell>
          <cell r="LM502">
            <v>15.721193701553757</v>
          </cell>
          <cell r="LN502">
            <v>20.244300817817596</v>
          </cell>
          <cell r="LY502">
            <v>10.83963700376291</v>
          </cell>
          <cell r="LZ502">
            <v>14.730476692982464</v>
          </cell>
          <cell r="MA502">
            <v>11.870949885755934</v>
          </cell>
          <cell r="MB502">
            <v>9.6544719773798295</v>
          </cell>
          <cell r="MC502">
            <v>14.087427794132038</v>
          </cell>
        </row>
        <row r="503">
          <cell r="A503">
            <v>40231</v>
          </cell>
          <cell r="LJ503">
            <v>18.17108889800636</v>
          </cell>
          <cell r="LK503">
            <v>20.020152274152959</v>
          </cell>
          <cell r="LL503">
            <v>17.982747259685677</v>
          </cell>
          <cell r="LM503">
            <v>15.721193701553757</v>
          </cell>
          <cell r="LN503">
            <v>20.244300817817596</v>
          </cell>
          <cell r="LY503">
            <v>10.860168373338212</v>
          </cell>
          <cell r="LZ503">
            <v>14.730476692982464</v>
          </cell>
          <cell r="MA503">
            <v>11.870949885755934</v>
          </cell>
          <cell r="MB503">
            <v>9.6544719773798295</v>
          </cell>
          <cell r="MC503">
            <v>14.087427794132038</v>
          </cell>
        </row>
        <row r="504">
          <cell r="A504">
            <v>40232</v>
          </cell>
          <cell r="LJ504">
            <v>17.904819476530623</v>
          </cell>
          <cell r="LK504">
            <v>20.020152274152959</v>
          </cell>
          <cell r="LL504">
            <v>17.982747259685677</v>
          </cell>
          <cell r="LM504">
            <v>15.721193701553757</v>
          </cell>
          <cell r="LN504">
            <v>20.244300817817596</v>
          </cell>
          <cell r="LY504">
            <v>10.708525400268581</v>
          </cell>
          <cell r="LZ504">
            <v>14.730476692982464</v>
          </cell>
          <cell r="MA504">
            <v>11.870949885755934</v>
          </cell>
          <cell r="MB504">
            <v>9.6544719773798295</v>
          </cell>
          <cell r="MC504">
            <v>14.087427794132038</v>
          </cell>
        </row>
        <row r="505">
          <cell r="A505">
            <v>40233</v>
          </cell>
          <cell r="LJ505">
            <v>17.876031194304225</v>
          </cell>
          <cell r="LK505">
            <v>20.020152274152959</v>
          </cell>
          <cell r="LL505">
            <v>17.982747259685677</v>
          </cell>
          <cell r="LM505">
            <v>15.721193701553757</v>
          </cell>
          <cell r="LN505">
            <v>20.244300817817596</v>
          </cell>
          <cell r="LY505">
            <v>10.692130199189227</v>
          </cell>
          <cell r="LZ505">
            <v>14.730476692982464</v>
          </cell>
          <cell r="MA505">
            <v>11.870949885755934</v>
          </cell>
          <cell r="MB505">
            <v>9.6544719773798295</v>
          </cell>
          <cell r="MC505">
            <v>14.087427794132038</v>
          </cell>
        </row>
        <row r="506">
          <cell r="A506">
            <v>40234</v>
          </cell>
          <cell r="LJ506">
            <v>17.883227185390194</v>
          </cell>
          <cell r="LK506">
            <v>20.020152274152959</v>
          </cell>
          <cell r="LL506">
            <v>17.982747259685677</v>
          </cell>
          <cell r="LM506">
            <v>15.721193701553757</v>
          </cell>
          <cell r="LN506">
            <v>20.244300817817596</v>
          </cell>
          <cell r="LY506">
            <v>10.696228384690254</v>
          </cell>
          <cell r="LZ506">
            <v>14.730476692982464</v>
          </cell>
          <cell r="MA506">
            <v>11.870949885755934</v>
          </cell>
          <cell r="MB506">
            <v>9.6544719773798295</v>
          </cell>
          <cell r="MC506">
            <v>14.087427794132038</v>
          </cell>
        </row>
        <row r="507">
          <cell r="A507">
            <v>40235</v>
          </cell>
          <cell r="LJ507">
            <v>17.744094935845357</v>
          </cell>
          <cell r="LK507">
            <v>20.020152274152959</v>
          </cell>
          <cell r="LL507">
            <v>17.982747259685677</v>
          </cell>
          <cell r="LM507">
            <v>15.721193701553757</v>
          </cell>
          <cell r="LN507">
            <v>20.244300817817596</v>
          </cell>
          <cell r="LY507">
            <v>10.616991242648513</v>
          </cell>
          <cell r="LZ507">
            <v>14.730476692982464</v>
          </cell>
          <cell r="MA507">
            <v>11.870949885755934</v>
          </cell>
          <cell r="MB507">
            <v>9.6544719773798295</v>
          </cell>
          <cell r="MC507">
            <v>14.087427794132038</v>
          </cell>
        </row>
        <row r="508">
          <cell r="A508">
            <v>40238</v>
          </cell>
          <cell r="LJ508">
            <v>17.878219533173176</v>
          </cell>
          <cell r="LK508">
            <v>20.020152274152959</v>
          </cell>
          <cell r="LL508">
            <v>17.982747259685677</v>
          </cell>
          <cell r="LM508">
            <v>15.721193701553757</v>
          </cell>
          <cell r="LN508">
            <v>20.244300817817596</v>
          </cell>
          <cell r="LY508">
            <v>10.743827394741748</v>
          </cell>
          <cell r="LZ508">
            <v>14.730476692982464</v>
          </cell>
          <cell r="MA508">
            <v>11.870949885755934</v>
          </cell>
          <cell r="MB508">
            <v>9.6544719773798295</v>
          </cell>
          <cell r="MC508">
            <v>14.087427794132038</v>
          </cell>
        </row>
        <row r="509">
          <cell r="A509">
            <v>40239</v>
          </cell>
          <cell r="LJ509">
            <v>17.918555031586443</v>
          </cell>
          <cell r="LK509">
            <v>20.020152274152959</v>
          </cell>
          <cell r="LL509">
            <v>17.982747259685677</v>
          </cell>
          <cell r="LM509">
            <v>15.721193701553757</v>
          </cell>
          <cell r="LN509">
            <v>20.244300817817596</v>
          </cell>
          <cell r="LY509">
            <v>10.766919258587322</v>
          </cell>
          <cell r="LZ509">
            <v>14.730476692982464</v>
          </cell>
          <cell r="MA509">
            <v>11.870949885755934</v>
          </cell>
          <cell r="MB509">
            <v>9.6544719773798295</v>
          </cell>
          <cell r="MC509">
            <v>14.087427794132038</v>
          </cell>
        </row>
        <row r="510">
          <cell r="A510">
            <v>40240</v>
          </cell>
          <cell r="LJ510">
            <v>17.863984102974758</v>
          </cell>
          <cell r="LK510">
            <v>20.020152274152959</v>
          </cell>
          <cell r="LL510">
            <v>17.982747259685677</v>
          </cell>
          <cell r="LM510">
            <v>15.721193701553757</v>
          </cell>
          <cell r="LN510">
            <v>20.244300817817596</v>
          </cell>
          <cell r="LY510">
            <v>10.757145177966535</v>
          </cell>
          <cell r="LZ510">
            <v>14.730476692982464</v>
          </cell>
          <cell r="MA510">
            <v>11.870949885755934</v>
          </cell>
          <cell r="MB510">
            <v>9.6544719773798295</v>
          </cell>
          <cell r="MC510">
            <v>14.087427794132038</v>
          </cell>
        </row>
        <row r="511">
          <cell r="A511">
            <v>40241</v>
          </cell>
          <cell r="LJ511">
            <v>18.006346946644125</v>
          </cell>
          <cell r="LK511">
            <v>20.020152274152959</v>
          </cell>
          <cell r="LL511">
            <v>17.982747259685677</v>
          </cell>
          <cell r="LM511">
            <v>15.721193701553757</v>
          </cell>
          <cell r="LN511">
            <v>20.244300817817596</v>
          </cell>
          <cell r="LY511">
            <v>10.838810142983219</v>
          </cell>
          <cell r="LZ511">
            <v>14.730476692982464</v>
          </cell>
          <cell r="MA511">
            <v>11.870949885755934</v>
          </cell>
          <cell r="MB511">
            <v>9.6544719773798295</v>
          </cell>
          <cell r="MC511">
            <v>14.087427794132038</v>
          </cell>
        </row>
        <row r="512">
          <cell r="A512">
            <v>40242</v>
          </cell>
          <cell r="LJ512">
            <v>18.257851410267818</v>
          </cell>
          <cell r="LK512">
            <v>20.020152274152959</v>
          </cell>
          <cell r="LL512">
            <v>17.982747259685677</v>
          </cell>
          <cell r="LM512">
            <v>15.721193701553757</v>
          </cell>
          <cell r="LN512">
            <v>20.244300817817596</v>
          </cell>
          <cell r="LY512">
            <v>10.983279467631032</v>
          </cell>
          <cell r="LZ512">
            <v>14.730476692982464</v>
          </cell>
          <cell r="MA512">
            <v>11.870949885755934</v>
          </cell>
          <cell r="MB512">
            <v>9.6544719773798295</v>
          </cell>
          <cell r="MC512">
            <v>14.087427794132038</v>
          </cell>
        </row>
        <row r="513">
          <cell r="A513">
            <v>40245</v>
          </cell>
          <cell r="LJ513">
            <v>18.16771482850956</v>
          </cell>
          <cell r="LK513">
            <v>20.020152274152959</v>
          </cell>
          <cell r="LL513">
            <v>17.982747259685677</v>
          </cell>
          <cell r="LM513">
            <v>15.721193701553757</v>
          </cell>
          <cell r="LN513">
            <v>20.244300817817596</v>
          </cell>
          <cell r="LY513">
            <v>10.895994781607563</v>
          </cell>
          <cell r="LZ513">
            <v>14.730476692982464</v>
          </cell>
          <cell r="MA513">
            <v>11.870949885755934</v>
          </cell>
          <cell r="MB513">
            <v>9.6544719773798295</v>
          </cell>
          <cell r="MC513">
            <v>14.087427794132038</v>
          </cell>
        </row>
        <row r="514">
          <cell r="A514">
            <v>40246</v>
          </cell>
          <cell r="LJ514">
            <v>18.393031755556454</v>
          </cell>
          <cell r="LK514">
            <v>20.020152274152959</v>
          </cell>
          <cell r="LL514">
            <v>17.982747259685677</v>
          </cell>
          <cell r="LM514">
            <v>15.721193701553757</v>
          </cell>
          <cell r="LN514">
            <v>20.244300817817596</v>
          </cell>
          <cell r="LY514">
            <v>11.02482948255107</v>
          </cell>
          <cell r="LZ514">
            <v>14.730476692982464</v>
          </cell>
          <cell r="MA514">
            <v>11.870949885755934</v>
          </cell>
          <cell r="MB514">
            <v>9.6544719773798295</v>
          </cell>
          <cell r="MC514">
            <v>14.087427794132038</v>
          </cell>
        </row>
        <row r="515">
          <cell r="A515">
            <v>40247</v>
          </cell>
          <cell r="LJ515">
            <v>18.480789655311451</v>
          </cell>
          <cell r="LK515">
            <v>20.020152274152959</v>
          </cell>
          <cell r="LL515">
            <v>17.982747259685677</v>
          </cell>
          <cell r="LM515">
            <v>15.721193701553757</v>
          </cell>
          <cell r="LN515">
            <v>20.244300817817596</v>
          </cell>
          <cell r="LY515">
            <v>11.075008858413108</v>
          </cell>
          <cell r="LZ515">
            <v>14.730476692982464</v>
          </cell>
          <cell r="MA515">
            <v>11.870949885755934</v>
          </cell>
          <cell r="MB515">
            <v>9.6544719773798295</v>
          </cell>
          <cell r="MC515">
            <v>14.087427794132038</v>
          </cell>
        </row>
        <row r="516">
          <cell r="A516">
            <v>40248</v>
          </cell>
          <cell r="LJ516">
            <v>18.566173181508777</v>
          </cell>
          <cell r="LK516">
            <v>20.020152274152959</v>
          </cell>
          <cell r="LL516">
            <v>17.982747259685677</v>
          </cell>
          <cell r="LM516">
            <v>15.721193701553757</v>
          </cell>
          <cell r="LN516">
            <v>20.244300817817596</v>
          </cell>
          <cell r="LY516">
            <v>11.123830583470832</v>
          </cell>
          <cell r="LZ516">
            <v>14.730476692982464</v>
          </cell>
          <cell r="MA516">
            <v>11.870949885755934</v>
          </cell>
          <cell r="MB516">
            <v>9.6544719773798295</v>
          </cell>
          <cell r="MC516">
            <v>14.087427794132038</v>
          </cell>
        </row>
        <row r="517">
          <cell r="A517">
            <v>40249</v>
          </cell>
          <cell r="LJ517">
            <v>18.565343739305678</v>
          </cell>
          <cell r="LK517">
            <v>20.020152274152959</v>
          </cell>
          <cell r="LL517">
            <v>17.982747259685677</v>
          </cell>
          <cell r="LM517">
            <v>15.721193701553757</v>
          </cell>
          <cell r="LN517">
            <v>20.244300817817596</v>
          </cell>
          <cell r="LY517">
            <v>11.099230580189323</v>
          </cell>
          <cell r="LZ517">
            <v>14.730476692982464</v>
          </cell>
          <cell r="MA517">
            <v>11.870949885755934</v>
          </cell>
          <cell r="MB517">
            <v>9.6544719773798295</v>
          </cell>
          <cell r="MC517">
            <v>14.087427794132038</v>
          </cell>
        </row>
        <row r="518">
          <cell r="A518">
            <v>40252</v>
          </cell>
          <cell r="LJ518">
            <v>18.54157715122248</v>
          </cell>
          <cell r="LK518">
            <v>20.020152274152959</v>
          </cell>
          <cell r="LL518">
            <v>17.982747259685677</v>
          </cell>
          <cell r="LM518">
            <v>15.721193701553757</v>
          </cell>
          <cell r="LN518">
            <v>20.244300817817596</v>
          </cell>
          <cell r="LY518">
            <v>11.08567082747386</v>
          </cell>
          <cell r="LZ518">
            <v>14.730476692982464</v>
          </cell>
          <cell r="MA518">
            <v>11.870949885755934</v>
          </cell>
          <cell r="MB518">
            <v>9.6544719773798295</v>
          </cell>
          <cell r="MC518">
            <v>14.087427794132038</v>
          </cell>
        </row>
        <row r="519">
          <cell r="A519">
            <v>40253</v>
          </cell>
          <cell r="LJ519">
            <v>18.532072512262822</v>
          </cell>
          <cell r="LK519">
            <v>20.020152274152959</v>
          </cell>
          <cell r="LL519">
            <v>17.982747259685677</v>
          </cell>
          <cell r="LM519">
            <v>15.721193701553757</v>
          </cell>
          <cell r="LN519">
            <v>20.244300817817596</v>
          </cell>
          <cell r="LY519">
            <v>11.080248065338562</v>
          </cell>
          <cell r="LZ519">
            <v>14.730476692982464</v>
          </cell>
          <cell r="MA519">
            <v>11.870949885755934</v>
          </cell>
          <cell r="MB519">
            <v>9.6544719773798295</v>
          </cell>
          <cell r="MC519">
            <v>14.087427794132038</v>
          </cell>
        </row>
        <row r="520">
          <cell r="A520">
            <v>40254</v>
          </cell>
          <cell r="LJ520">
            <v>18.396609424312711</v>
          </cell>
          <cell r="LK520">
            <v>20.020152274152959</v>
          </cell>
          <cell r="LL520">
            <v>17.982747259685677</v>
          </cell>
          <cell r="LM520">
            <v>15.721193701553757</v>
          </cell>
          <cell r="LN520">
            <v>20.244300817817596</v>
          </cell>
          <cell r="LY520">
            <v>11.00296116289187</v>
          </cell>
          <cell r="LZ520">
            <v>14.730476692982464</v>
          </cell>
          <cell r="MA520">
            <v>11.870949885755934</v>
          </cell>
          <cell r="MB520">
            <v>9.6544719773798295</v>
          </cell>
          <cell r="MC520">
            <v>14.087427794132038</v>
          </cell>
        </row>
        <row r="521">
          <cell r="A521">
            <v>40255</v>
          </cell>
          <cell r="LJ521">
            <v>18.534447840222061</v>
          </cell>
          <cell r="LK521">
            <v>20.020152274152959</v>
          </cell>
          <cell r="LL521">
            <v>17.982747259685677</v>
          </cell>
          <cell r="LM521">
            <v>15.721193701553757</v>
          </cell>
          <cell r="LN521">
            <v>20.244300817817596</v>
          </cell>
          <cell r="LY521">
            <v>11.081603281309517</v>
          </cell>
          <cell r="LZ521">
            <v>14.730476692982464</v>
          </cell>
          <cell r="MA521">
            <v>11.870949885755934</v>
          </cell>
          <cell r="MB521">
            <v>9.6544719773798295</v>
          </cell>
          <cell r="MC521">
            <v>14.087427794132038</v>
          </cell>
        </row>
        <row r="522">
          <cell r="A522">
            <v>40256</v>
          </cell>
          <cell r="LJ522">
            <v>18.294420890528158</v>
          </cell>
          <cell r="LK522">
            <v>20.020152274152959</v>
          </cell>
          <cell r="LL522">
            <v>17.982747259685677</v>
          </cell>
          <cell r="LM522">
            <v>15.721193701553757</v>
          </cell>
          <cell r="LN522">
            <v>20.244300817817596</v>
          </cell>
          <cell r="LY522">
            <v>10.944658673547421</v>
          </cell>
          <cell r="LZ522">
            <v>14.730476692982464</v>
          </cell>
          <cell r="MA522">
            <v>11.870949885755934</v>
          </cell>
          <cell r="MB522">
            <v>9.6544719773798295</v>
          </cell>
          <cell r="MC522">
            <v>14.087427794132038</v>
          </cell>
        </row>
        <row r="523">
          <cell r="A523">
            <v>40259</v>
          </cell>
          <cell r="LJ523">
            <v>18.40849271835431</v>
          </cell>
          <cell r="LK523">
            <v>20.020152274152959</v>
          </cell>
          <cell r="LL523">
            <v>17.982747259685677</v>
          </cell>
          <cell r="LM523">
            <v>15.721193701553757</v>
          </cell>
          <cell r="LN523">
            <v>20.244300817817596</v>
          </cell>
          <cell r="LY523">
            <v>11.009741039249603</v>
          </cell>
          <cell r="LZ523">
            <v>14.730476692982464</v>
          </cell>
          <cell r="MA523">
            <v>11.870949885755934</v>
          </cell>
          <cell r="MB523">
            <v>9.6544719773798295</v>
          </cell>
          <cell r="MC523">
            <v>14.087427794132038</v>
          </cell>
        </row>
        <row r="524">
          <cell r="A524">
            <v>40260</v>
          </cell>
          <cell r="LJ524">
            <v>18.429880413703941</v>
          </cell>
          <cell r="LK524">
            <v>20.020152274152959</v>
          </cell>
          <cell r="LL524">
            <v>17.982747259685677</v>
          </cell>
          <cell r="LM524">
            <v>15.721193701553757</v>
          </cell>
          <cell r="LN524">
            <v>20.244300817817596</v>
          </cell>
          <cell r="LY524">
            <v>11.021943542153238</v>
          </cell>
          <cell r="LZ524">
            <v>14.730476692982464</v>
          </cell>
          <cell r="MA524">
            <v>11.870949885755934</v>
          </cell>
          <cell r="MB524">
            <v>9.6544719773798295</v>
          </cell>
          <cell r="MC524">
            <v>14.087427794132038</v>
          </cell>
        </row>
        <row r="525">
          <cell r="A525">
            <v>40261</v>
          </cell>
          <cell r="LJ525">
            <v>18.147074508536448</v>
          </cell>
          <cell r="LK525">
            <v>20.020152274152959</v>
          </cell>
          <cell r="LL525">
            <v>17.982747259685677</v>
          </cell>
          <cell r="LM525">
            <v>15.721193701553757</v>
          </cell>
          <cell r="LN525">
            <v>20.244300817817596</v>
          </cell>
          <cell r="LY525">
            <v>10.860591894742997</v>
          </cell>
          <cell r="LZ525">
            <v>14.730476692982464</v>
          </cell>
          <cell r="MA525">
            <v>11.870949885755934</v>
          </cell>
          <cell r="MB525">
            <v>9.6544719773798295</v>
          </cell>
          <cell r="MC525">
            <v>14.087427794132038</v>
          </cell>
        </row>
        <row r="526">
          <cell r="A526">
            <v>40262</v>
          </cell>
          <cell r="LJ526">
            <v>18.173216186927259</v>
          </cell>
          <cell r="LK526">
            <v>20.020152274152959</v>
          </cell>
          <cell r="LL526">
            <v>17.982747259685677</v>
          </cell>
          <cell r="LM526">
            <v>15.721193701553757</v>
          </cell>
          <cell r="LN526">
            <v>20.244300817817596</v>
          </cell>
          <cell r="LY526">
            <v>10.875506727840021</v>
          </cell>
          <cell r="LZ526">
            <v>14.730476692982464</v>
          </cell>
          <cell r="MA526">
            <v>11.870949885755934</v>
          </cell>
          <cell r="MB526">
            <v>9.6544719773798295</v>
          </cell>
          <cell r="MC526">
            <v>14.087427794132038</v>
          </cell>
        </row>
        <row r="527">
          <cell r="A527">
            <v>40263</v>
          </cell>
          <cell r="LJ527">
            <v>18.208866306703676</v>
          </cell>
          <cell r="LK527">
            <v>20.020152274152959</v>
          </cell>
          <cell r="LL527">
            <v>17.982747259685677</v>
          </cell>
          <cell r="LM527">
            <v>15.721193701553757</v>
          </cell>
          <cell r="LN527">
            <v>20.244300817817596</v>
          </cell>
          <cell r="LY527">
            <v>10.859088023612676</v>
          </cell>
          <cell r="LZ527">
            <v>14.730476692982464</v>
          </cell>
          <cell r="MA527">
            <v>11.870949885755934</v>
          </cell>
          <cell r="MB527">
            <v>9.6544719773798295</v>
          </cell>
          <cell r="MC527">
            <v>14.087427794132038</v>
          </cell>
        </row>
        <row r="528">
          <cell r="A528">
            <v>40266</v>
          </cell>
          <cell r="LJ528">
            <v>18.387105023004676</v>
          </cell>
          <cell r="LK528">
            <v>20.020152274152959</v>
          </cell>
          <cell r="LL528">
            <v>17.982747259685677</v>
          </cell>
          <cell r="LM528">
            <v>15.721193701553757</v>
          </cell>
          <cell r="LN528">
            <v>20.244300817817596</v>
          </cell>
          <cell r="LY528">
            <v>10.960436996926125</v>
          </cell>
          <cell r="LZ528">
            <v>14.730476692982464</v>
          </cell>
          <cell r="MA528">
            <v>11.870949885755934</v>
          </cell>
          <cell r="MB528">
            <v>9.6544719773798295</v>
          </cell>
          <cell r="MC528">
            <v>14.087427794132038</v>
          </cell>
        </row>
        <row r="529">
          <cell r="A529">
            <v>40267</v>
          </cell>
          <cell r="LJ529">
            <v>18.980922855962753</v>
          </cell>
          <cell r="LK529">
            <v>20.020152274152959</v>
          </cell>
          <cell r="LL529">
            <v>17.982747259685677</v>
          </cell>
          <cell r="LM529">
            <v>15.721193701553757</v>
          </cell>
          <cell r="LN529">
            <v>20.244300817817596</v>
          </cell>
          <cell r="LY529">
            <v>11.368452869113884</v>
          </cell>
          <cell r="LZ529">
            <v>14.730476692982464</v>
          </cell>
          <cell r="MA529">
            <v>11.870949885755934</v>
          </cell>
          <cell r="MB529">
            <v>9.6544719773798295</v>
          </cell>
          <cell r="MC529">
            <v>14.087427794132038</v>
          </cell>
        </row>
        <row r="530">
          <cell r="A530">
            <v>40268</v>
          </cell>
          <cell r="LJ530">
            <v>18.753282939696604</v>
          </cell>
          <cell r="LK530">
            <v>20.020152274152959</v>
          </cell>
          <cell r="LL530">
            <v>17.982747259685677</v>
          </cell>
          <cell r="LM530">
            <v>15.721193701553757</v>
          </cell>
          <cell r="LN530">
            <v>20.244300817817596</v>
          </cell>
          <cell r="LY530">
            <v>11.196853276711403</v>
          </cell>
          <cell r="LZ530">
            <v>14.730476692982464</v>
          </cell>
          <cell r="MA530">
            <v>11.870949885755934</v>
          </cell>
          <cell r="MB530">
            <v>9.6544719773798295</v>
          </cell>
          <cell r="MC530">
            <v>14.087427794132038</v>
          </cell>
        </row>
        <row r="531">
          <cell r="A531">
            <v>40269</v>
          </cell>
          <cell r="LJ531">
            <v>18.708898658381319</v>
          </cell>
          <cell r="LK531">
            <v>20.020152274152959</v>
          </cell>
          <cell r="LL531">
            <v>17.982747259685677</v>
          </cell>
          <cell r="LM531">
            <v>15.721193701553757</v>
          </cell>
          <cell r="LN531">
            <v>20.244300817817596</v>
          </cell>
          <cell r="LY531">
            <v>11.221414705108023</v>
          </cell>
          <cell r="LZ531">
            <v>14.730476692982464</v>
          </cell>
          <cell r="MA531">
            <v>11.870949885755934</v>
          </cell>
          <cell r="MB531">
            <v>9.6544719773798295</v>
          </cell>
          <cell r="MC531">
            <v>14.087427794132038</v>
          </cell>
        </row>
        <row r="532">
          <cell r="A532">
            <v>40270</v>
          </cell>
          <cell r="LJ532">
            <v>18.708898658381319</v>
          </cell>
          <cell r="LK532">
            <v>20.020152274152959</v>
          </cell>
          <cell r="LL532">
            <v>17.982747259685677</v>
          </cell>
          <cell r="LM532">
            <v>15.721193701553757</v>
          </cell>
          <cell r="LN532">
            <v>20.244300817817596</v>
          </cell>
          <cell r="LY532">
            <v>11.221414705108023</v>
          </cell>
          <cell r="LZ532">
            <v>14.730476692982464</v>
          </cell>
          <cell r="MA532">
            <v>11.870949885755934</v>
          </cell>
          <cell r="MB532">
            <v>9.6544719773798295</v>
          </cell>
          <cell r="MC532">
            <v>14.087427794132038</v>
          </cell>
        </row>
        <row r="533">
          <cell r="A533">
            <v>40273</v>
          </cell>
          <cell r="LJ533">
            <v>18.639807165921507</v>
          </cell>
          <cell r="LK533">
            <v>20.020152274152959</v>
          </cell>
          <cell r="LL533">
            <v>17.982747259685677</v>
          </cell>
          <cell r="LM533">
            <v>15.721193701553757</v>
          </cell>
          <cell r="LN533">
            <v>20.244300817817596</v>
          </cell>
          <cell r="LY533">
            <v>11.184435865962099</v>
          </cell>
          <cell r="LZ533">
            <v>14.730476692982464</v>
          </cell>
          <cell r="MA533">
            <v>11.870949885755934</v>
          </cell>
          <cell r="MB533">
            <v>9.6544719773798295</v>
          </cell>
          <cell r="MC533">
            <v>14.087427794132038</v>
          </cell>
        </row>
        <row r="534">
          <cell r="A534">
            <v>40274</v>
          </cell>
          <cell r="LJ534">
            <v>18.563773105837875</v>
          </cell>
          <cell r="LK534">
            <v>20.020152274152959</v>
          </cell>
          <cell r="LL534">
            <v>17.982747259685677</v>
          </cell>
          <cell r="LM534">
            <v>15.721193701553757</v>
          </cell>
          <cell r="LN534">
            <v>20.244300817817596</v>
          </cell>
          <cell r="LY534">
            <v>11.14082867378022</v>
          </cell>
          <cell r="LZ534">
            <v>14.730476692982464</v>
          </cell>
          <cell r="MA534">
            <v>11.870949885755934</v>
          </cell>
          <cell r="MB534">
            <v>9.6544719773798295</v>
          </cell>
          <cell r="MC534">
            <v>14.087427794132038</v>
          </cell>
        </row>
        <row r="535">
          <cell r="A535">
            <v>40275</v>
          </cell>
          <cell r="LJ535">
            <v>18.543289358367094</v>
          </cell>
          <cell r="LK535">
            <v>20.020152274152959</v>
          </cell>
          <cell r="LL535">
            <v>17.982747259685677</v>
          </cell>
          <cell r="LM535">
            <v>15.721193701553757</v>
          </cell>
          <cell r="LN535">
            <v>20.244300817817596</v>
          </cell>
          <cell r="LY535">
            <v>11.118364562872292</v>
          </cell>
          <cell r="LZ535">
            <v>14.730476692982464</v>
          </cell>
          <cell r="MA535">
            <v>11.870949885755934</v>
          </cell>
          <cell r="MB535">
            <v>9.6544719773798295</v>
          </cell>
          <cell r="MC535">
            <v>14.087427794132038</v>
          </cell>
        </row>
        <row r="536">
          <cell r="A536">
            <v>40276</v>
          </cell>
          <cell r="LJ536">
            <v>18.416437796948195</v>
          </cell>
          <cell r="LK536">
            <v>20.020152274152959</v>
          </cell>
          <cell r="LL536">
            <v>17.982747259685677</v>
          </cell>
          <cell r="LM536">
            <v>15.721193701553757</v>
          </cell>
          <cell r="LN536">
            <v>20.244300817817596</v>
          </cell>
          <cell r="LY536">
            <v>11.045685733045685</v>
          </cell>
          <cell r="LZ536">
            <v>14.730476692982464</v>
          </cell>
          <cell r="MA536">
            <v>11.870949885755934</v>
          </cell>
          <cell r="MB536">
            <v>9.6544719773798295</v>
          </cell>
          <cell r="MC536">
            <v>14.087427794132038</v>
          </cell>
        </row>
        <row r="537">
          <cell r="A537">
            <v>40277</v>
          </cell>
          <cell r="LJ537">
            <v>18.524838092164774</v>
          </cell>
          <cell r="LK537">
            <v>20.020152274152959</v>
          </cell>
          <cell r="LL537">
            <v>17.982747259685677</v>
          </cell>
          <cell r="LM537">
            <v>15.721193701553757</v>
          </cell>
          <cell r="LN537">
            <v>20.244300817817596</v>
          </cell>
          <cell r="LY537">
            <v>11.107793022235315</v>
          </cell>
          <cell r="LZ537">
            <v>14.730476692982464</v>
          </cell>
          <cell r="MA537">
            <v>11.870949885755934</v>
          </cell>
          <cell r="MB537">
            <v>9.6544719773798295</v>
          </cell>
          <cell r="MC537">
            <v>14.087427794132038</v>
          </cell>
        </row>
        <row r="538">
          <cell r="A538">
            <v>40280</v>
          </cell>
          <cell r="LJ538">
            <v>18.534061995481352</v>
          </cell>
          <cell r="LK538">
            <v>20.020152274152959</v>
          </cell>
          <cell r="LL538">
            <v>17.982747259685677</v>
          </cell>
          <cell r="LM538">
            <v>15.721193701553757</v>
          </cell>
          <cell r="LN538">
            <v>20.244300817817596</v>
          </cell>
          <cell r="LY538">
            <v>11.113077801484259</v>
          </cell>
          <cell r="LZ538">
            <v>14.730476692982464</v>
          </cell>
          <cell r="MA538">
            <v>11.870949885755934</v>
          </cell>
          <cell r="MB538">
            <v>9.6544719773798295</v>
          </cell>
          <cell r="MC538">
            <v>14.087427794132038</v>
          </cell>
        </row>
        <row r="539">
          <cell r="A539">
            <v>40281</v>
          </cell>
          <cell r="LJ539">
            <v>18.273443424514028</v>
          </cell>
          <cell r="LK539">
            <v>20.020152274152959</v>
          </cell>
          <cell r="LL539">
            <v>17.982747259685677</v>
          </cell>
          <cell r="LM539">
            <v>15.721193701553757</v>
          </cell>
          <cell r="LN539">
            <v>20.244300817817596</v>
          </cell>
          <cell r="LY539">
            <v>10.965890166423407</v>
          </cell>
          <cell r="LZ539">
            <v>14.730476692982464</v>
          </cell>
          <cell r="MA539">
            <v>11.870949885755934</v>
          </cell>
          <cell r="MB539">
            <v>9.6544719773798295</v>
          </cell>
          <cell r="MC539">
            <v>14.087427794132038</v>
          </cell>
        </row>
        <row r="540">
          <cell r="A540">
            <v>40282</v>
          </cell>
          <cell r="LJ540">
            <v>18.658608330644423</v>
          </cell>
          <cell r="LK540">
            <v>20.020152274152959</v>
          </cell>
          <cell r="LL540">
            <v>17.982747259685677</v>
          </cell>
          <cell r="LM540">
            <v>15.721193701553757</v>
          </cell>
          <cell r="LN540">
            <v>20.244300817817596</v>
          </cell>
          <cell r="LY540">
            <v>11.186610971025187</v>
          </cell>
          <cell r="LZ540">
            <v>14.730476692982464</v>
          </cell>
          <cell r="MA540">
            <v>11.870949885755934</v>
          </cell>
          <cell r="MB540">
            <v>9.6544719773798295</v>
          </cell>
          <cell r="MC540">
            <v>14.087427794132038</v>
          </cell>
        </row>
        <row r="541">
          <cell r="A541">
            <v>40283</v>
          </cell>
          <cell r="LJ541">
            <v>18.685468980459095</v>
          </cell>
          <cell r="LK541">
            <v>20.020152274152959</v>
          </cell>
          <cell r="LL541">
            <v>17.982747259685677</v>
          </cell>
          <cell r="LM541">
            <v>15.721193701553757</v>
          </cell>
          <cell r="LN541">
            <v>20.244300817817596</v>
          </cell>
          <cell r="LY541">
            <v>11.198718969402279</v>
          </cell>
          <cell r="LZ541">
            <v>14.730476692982464</v>
          </cell>
          <cell r="MA541">
            <v>11.870949885755934</v>
          </cell>
          <cell r="MB541">
            <v>9.6544719773798295</v>
          </cell>
          <cell r="MC541">
            <v>14.087427794132038</v>
          </cell>
        </row>
        <row r="542">
          <cell r="A542">
            <v>40284</v>
          </cell>
          <cell r="LJ542">
            <v>18.394345287472579</v>
          </cell>
          <cell r="LK542">
            <v>20.020152274152959</v>
          </cell>
          <cell r="LL542">
            <v>17.982747259685677</v>
          </cell>
          <cell r="LM542">
            <v>15.721193701553757</v>
          </cell>
          <cell r="LN542">
            <v>20.244300817817596</v>
          </cell>
          <cell r="LY542">
            <v>11.081595501263926</v>
          </cell>
          <cell r="LZ542">
            <v>14.730476692982464</v>
          </cell>
          <cell r="MA542">
            <v>11.870949885755934</v>
          </cell>
          <cell r="MB542">
            <v>9.6544719773798295</v>
          </cell>
          <cell r="MC542">
            <v>14.087427794132038</v>
          </cell>
        </row>
        <row r="543">
          <cell r="A543">
            <v>40287</v>
          </cell>
          <cell r="LJ543">
            <v>18.415085761951371</v>
          </cell>
          <cell r="LK543">
            <v>20.020152274152959</v>
          </cell>
          <cell r="LL543">
            <v>17.982747259685677</v>
          </cell>
          <cell r="LM543">
            <v>15.721193701553757</v>
          </cell>
          <cell r="LN543">
            <v>20.244300817817596</v>
          </cell>
          <cell r="LY543">
            <v>11.093532595454324</v>
          </cell>
          <cell r="LZ543">
            <v>14.730476692982464</v>
          </cell>
          <cell r="MA543">
            <v>11.870949885755934</v>
          </cell>
          <cell r="MB543">
            <v>9.6544719773798295</v>
          </cell>
          <cell r="MC543">
            <v>14.087427794132038</v>
          </cell>
        </row>
        <row r="544">
          <cell r="A544">
            <v>40288</v>
          </cell>
          <cell r="LJ544">
            <v>18.622461473946082</v>
          </cell>
          <cell r="LK544">
            <v>20.020152274152959</v>
          </cell>
          <cell r="LL544">
            <v>17.982747259685677</v>
          </cell>
          <cell r="LM544">
            <v>15.721193701553757</v>
          </cell>
          <cell r="LN544">
            <v>20.244300817817596</v>
          </cell>
          <cell r="LY544">
            <v>11.212886827654401</v>
          </cell>
          <cell r="LZ544">
            <v>14.730476692982464</v>
          </cell>
          <cell r="MA544">
            <v>11.870949885755934</v>
          </cell>
          <cell r="MB544">
            <v>9.6544719773798295</v>
          </cell>
          <cell r="MC544">
            <v>14.087427794132038</v>
          </cell>
        </row>
        <row r="545">
          <cell r="A545">
            <v>40289</v>
          </cell>
          <cell r="LJ545">
            <v>18.772232207047171</v>
          </cell>
          <cell r="LK545">
            <v>20.020152274152959</v>
          </cell>
          <cell r="LL545">
            <v>17.982747259685677</v>
          </cell>
          <cell r="LM545">
            <v>15.721193701553757</v>
          </cell>
          <cell r="LN545">
            <v>20.244300817817596</v>
          </cell>
          <cell r="LY545">
            <v>11.29908675282104</v>
          </cell>
          <cell r="LZ545">
            <v>14.730476692982464</v>
          </cell>
          <cell r="MA545">
            <v>11.870949885755934</v>
          </cell>
          <cell r="MB545">
            <v>9.6544719773798295</v>
          </cell>
          <cell r="MC545">
            <v>14.087427794132038</v>
          </cell>
        </row>
        <row r="546">
          <cell r="A546">
            <v>40290</v>
          </cell>
          <cell r="LJ546">
            <v>19.445058895096786</v>
          </cell>
          <cell r="LK546">
            <v>20.020152274152959</v>
          </cell>
          <cell r="LL546">
            <v>17.982747259685677</v>
          </cell>
          <cell r="LM546">
            <v>15.721193701553757</v>
          </cell>
          <cell r="LN546">
            <v>20.244300817817596</v>
          </cell>
          <cell r="LY546">
            <v>11.945147819002836</v>
          </cell>
          <cell r="LZ546">
            <v>14.730476692982464</v>
          </cell>
          <cell r="MA546">
            <v>11.870949885755934</v>
          </cell>
          <cell r="MB546">
            <v>9.6544719773798295</v>
          </cell>
          <cell r="MC546">
            <v>14.087427794132038</v>
          </cell>
        </row>
        <row r="547">
          <cell r="A547">
            <v>40291</v>
          </cell>
          <cell r="LJ547">
            <v>19.302593944125874</v>
          </cell>
          <cell r="LK547">
            <v>20.020152274152959</v>
          </cell>
          <cell r="LL547">
            <v>17.982747259685677</v>
          </cell>
          <cell r="LM547">
            <v>15.721193701553757</v>
          </cell>
          <cell r="LN547">
            <v>20.244300817817596</v>
          </cell>
          <cell r="LY547">
            <v>11.96926528847098</v>
          </cell>
          <cell r="LZ547">
            <v>14.730476692982464</v>
          </cell>
          <cell r="MA547">
            <v>11.870949885755934</v>
          </cell>
          <cell r="MB547">
            <v>9.6544719773798295</v>
          </cell>
          <cell r="MC547">
            <v>14.087427794132038</v>
          </cell>
        </row>
        <row r="548">
          <cell r="A548">
            <v>40294</v>
          </cell>
          <cell r="LJ548">
            <v>18.756040548354946</v>
          </cell>
          <cell r="LK548">
            <v>20.020152274152959</v>
          </cell>
          <cell r="LL548">
            <v>17.982747259685677</v>
          </cell>
          <cell r="LM548">
            <v>15.721193701553757</v>
          </cell>
          <cell r="LN548">
            <v>20.244300817817596</v>
          </cell>
          <cell r="LY548">
            <v>11.688709536803083</v>
          </cell>
          <cell r="LZ548">
            <v>14.730476692982464</v>
          </cell>
          <cell r="MA548">
            <v>11.870949885755934</v>
          </cell>
          <cell r="MB548">
            <v>9.6544719773798295</v>
          </cell>
          <cell r="MC548">
            <v>14.087427794132038</v>
          </cell>
        </row>
        <row r="549">
          <cell r="A549">
            <v>40295</v>
          </cell>
          <cell r="LJ549">
            <v>18.341010422466308</v>
          </cell>
          <cell r="LK549">
            <v>20.020152274152959</v>
          </cell>
          <cell r="LL549">
            <v>17.982747259685677</v>
          </cell>
          <cell r="LM549">
            <v>15.721193701553757</v>
          </cell>
          <cell r="LN549">
            <v>20.244300817817596</v>
          </cell>
          <cell r="LY549">
            <v>11.421497528392052</v>
          </cell>
          <cell r="LZ549">
            <v>14.730476692982464</v>
          </cell>
          <cell r="MA549">
            <v>11.870949885755934</v>
          </cell>
          <cell r="MB549">
            <v>9.6544719773798295</v>
          </cell>
          <cell r="MC549">
            <v>14.087427794132038</v>
          </cell>
        </row>
        <row r="550">
          <cell r="A550">
            <v>40296</v>
          </cell>
          <cell r="LJ550">
            <v>18.396081919955787</v>
          </cell>
          <cell r="LK550">
            <v>20.020152274152959</v>
          </cell>
          <cell r="LL550">
            <v>17.982747259685677</v>
          </cell>
          <cell r="LM550">
            <v>15.721193701553757</v>
          </cell>
          <cell r="LN550">
            <v>20.244300817817596</v>
          </cell>
          <cell r="LY550">
            <v>11.440862989590252</v>
          </cell>
          <cell r="LZ550">
            <v>14.730476692982464</v>
          </cell>
          <cell r="MA550">
            <v>11.870949885755934</v>
          </cell>
          <cell r="MB550">
            <v>9.6544719773798295</v>
          </cell>
          <cell r="MC550">
            <v>14.087427794132038</v>
          </cell>
        </row>
        <row r="551">
          <cell r="A551">
            <v>40297</v>
          </cell>
          <cell r="LJ551">
            <v>18.726510904892663</v>
          </cell>
          <cell r="LK551">
            <v>20.020152274152959</v>
          </cell>
          <cell r="LL551">
            <v>17.982747259685677</v>
          </cell>
          <cell r="LM551">
            <v>15.721193701553757</v>
          </cell>
          <cell r="LN551">
            <v>20.244300817817596</v>
          </cell>
          <cell r="LY551">
            <v>11.631723524738351</v>
          </cell>
          <cell r="LZ551">
            <v>14.730476692982464</v>
          </cell>
          <cell r="MA551">
            <v>11.870949885755934</v>
          </cell>
          <cell r="MB551">
            <v>9.6544719773798295</v>
          </cell>
          <cell r="MC551">
            <v>14.087427794132038</v>
          </cell>
        </row>
        <row r="552">
          <cell r="A552">
            <v>40298</v>
          </cell>
          <cell r="LJ552">
            <v>18.469845660932176</v>
          </cell>
          <cell r="LK552">
            <v>20.020152274152959</v>
          </cell>
          <cell r="LL552">
            <v>17.982747259685677</v>
          </cell>
          <cell r="LM552">
            <v>15.721193701553757</v>
          </cell>
          <cell r="LN552">
            <v>20.244300817817596</v>
          </cell>
          <cell r="LY552">
            <v>11.538838573261035</v>
          </cell>
          <cell r="LZ552">
            <v>14.730476692982464</v>
          </cell>
          <cell r="MA552">
            <v>11.870949885755934</v>
          </cell>
          <cell r="MB552">
            <v>9.6544719773798295</v>
          </cell>
          <cell r="MC552">
            <v>14.087427794132038</v>
          </cell>
        </row>
        <row r="553">
          <cell r="A553">
            <v>40301</v>
          </cell>
          <cell r="LJ553">
            <v>18.514457214962373</v>
          </cell>
          <cell r="LK553">
            <v>20.020152274152959</v>
          </cell>
          <cell r="LL553">
            <v>17.982747259685677</v>
          </cell>
          <cell r="LM553">
            <v>15.721193701553757</v>
          </cell>
          <cell r="LN553">
            <v>20.244300817817596</v>
          </cell>
          <cell r="LY553">
            <v>11.584942576292796</v>
          </cell>
          <cell r="LZ553">
            <v>14.730476692982464</v>
          </cell>
          <cell r="MA553">
            <v>11.870949885755934</v>
          </cell>
          <cell r="MB553">
            <v>9.6544719773798295</v>
          </cell>
          <cell r="MC553">
            <v>14.087427794132038</v>
          </cell>
        </row>
        <row r="554">
          <cell r="A554">
            <v>40302</v>
          </cell>
          <cell r="LJ554">
            <v>18.007568681890859</v>
          </cell>
          <cell r="LK554">
            <v>20.020152274152959</v>
          </cell>
          <cell r="LL554">
            <v>17.982747259685677</v>
          </cell>
          <cell r="LM554">
            <v>15.721193701553757</v>
          </cell>
          <cell r="LN554">
            <v>20.244300817817596</v>
          </cell>
          <cell r="LY554">
            <v>11.289882826057292</v>
          </cell>
          <cell r="LZ554">
            <v>14.730476692982464</v>
          </cell>
          <cell r="MA554">
            <v>11.870949885755934</v>
          </cell>
          <cell r="MB554">
            <v>9.6544719773798295</v>
          </cell>
          <cell r="MC554">
            <v>14.087427794132038</v>
          </cell>
        </row>
        <row r="555">
          <cell r="A555">
            <v>40303</v>
          </cell>
          <cell r="LJ555">
            <v>17.860269005195295</v>
          </cell>
          <cell r="LK555">
            <v>20.020152274152959</v>
          </cell>
          <cell r="LL555">
            <v>17.982747259685677</v>
          </cell>
          <cell r="LM555">
            <v>15.721193701553757</v>
          </cell>
          <cell r="LN555">
            <v>20.244300817817596</v>
          </cell>
          <cell r="LY555">
            <v>11.204139703102427</v>
          </cell>
          <cell r="LZ555">
            <v>14.730476692982464</v>
          </cell>
          <cell r="MA555">
            <v>11.870949885755934</v>
          </cell>
          <cell r="MB555">
            <v>9.6544719773798295</v>
          </cell>
          <cell r="MC555">
            <v>14.087427794132038</v>
          </cell>
        </row>
        <row r="556">
          <cell r="A556">
            <v>40304</v>
          </cell>
          <cell r="LJ556">
            <v>17.388037193553043</v>
          </cell>
          <cell r="LK556">
            <v>20.020152274152959</v>
          </cell>
          <cell r="LL556">
            <v>17.982747259685677</v>
          </cell>
          <cell r="LM556">
            <v>15.721193701553757</v>
          </cell>
          <cell r="LN556">
            <v>20.244300817817596</v>
          </cell>
          <cell r="LY556">
            <v>10.929253625975949</v>
          </cell>
          <cell r="LZ556">
            <v>14.730476692982464</v>
          </cell>
          <cell r="MA556">
            <v>11.870949885755934</v>
          </cell>
          <cell r="MB556">
            <v>9.6544719773798295</v>
          </cell>
          <cell r="MC556">
            <v>14.087427794132038</v>
          </cell>
        </row>
        <row r="557">
          <cell r="A557">
            <v>40305</v>
          </cell>
          <cell r="LJ557">
            <v>17.197317296008539</v>
          </cell>
          <cell r="LK557">
            <v>20.020152274152959</v>
          </cell>
          <cell r="LL557">
            <v>17.982747259685677</v>
          </cell>
          <cell r="LM557">
            <v>15.721193701553757</v>
          </cell>
          <cell r="LN557">
            <v>20.244300817817596</v>
          </cell>
          <cell r="LY557">
            <v>10.891016562543415</v>
          </cell>
          <cell r="LZ557">
            <v>14.730476692982464</v>
          </cell>
          <cell r="MA557">
            <v>11.870949885755934</v>
          </cell>
          <cell r="MB557">
            <v>9.6544719773798295</v>
          </cell>
          <cell r="MC557">
            <v>14.087427794132038</v>
          </cell>
        </row>
        <row r="558">
          <cell r="A558">
            <v>40308</v>
          </cell>
          <cell r="LJ558">
            <v>18.134645667596537</v>
          </cell>
          <cell r="LK558">
            <v>20.020152274152959</v>
          </cell>
          <cell r="LL558">
            <v>17.982747259685677</v>
          </cell>
          <cell r="LM558">
            <v>15.721193701553757</v>
          </cell>
          <cell r="LN558">
            <v>20.244300817817596</v>
          </cell>
          <cell r="LY558">
            <v>11.366004473389731</v>
          </cell>
          <cell r="LZ558">
            <v>14.730476692982464</v>
          </cell>
          <cell r="MA558">
            <v>11.870949885755934</v>
          </cell>
          <cell r="MB558">
            <v>9.6544719773798295</v>
          </cell>
          <cell r="MC558">
            <v>14.087427794132038</v>
          </cell>
        </row>
        <row r="559">
          <cell r="A559">
            <v>40309</v>
          </cell>
          <cell r="LJ559">
            <v>18.145201711537222</v>
          </cell>
          <cell r="LK559">
            <v>20.020152274152959</v>
          </cell>
          <cell r="LL559">
            <v>17.982747259685677</v>
          </cell>
          <cell r="LM559">
            <v>15.721193701553757</v>
          </cell>
          <cell r="LN559">
            <v>20.244300817817596</v>
          </cell>
          <cell r="LY559">
            <v>11.372226252960244</v>
          </cell>
          <cell r="LZ559">
            <v>14.730476692982464</v>
          </cell>
          <cell r="MA559">
            <v>11.870949885755934</v>
          </cell>
          <cell r="MB559">
            <v>9.6544719773798295</v>
          </cell>
          <cell r="MC559">
            <v>14.087427794132038</v>
          </cell>
        </row>
        <row r="560">
          <cell r="A560">
            <v>40310</v>
          </cell>
          <cell r="LJ560">
            <v>18.839887676167944</v>
          </cell>
          <cell r="LK560">
            <v>20.020152274152959</v>
          </cell>
          <cell r="LL560">
            <v>17.982747259685677</v>
          </cell>
          <cell r="LM560">
            <v>15.721193701553757</v>
          </cell>
          <cell r="LN560">
            <v>20.244300817817596</v>
          </cell>
          <cell r="LY560">
            <v>11.778450103218372</v>
          </cell>
          <cell r="LZ560">
            <v>14.730476692982464</v>
          </cell>
          <cell r="MA560">
            <v>11.870949885755934</v>
          </cell>
          <cell r="MB560">
            <v>9.6544719773798295</v>
          </cell>
          <cell r="MC560">
            <v>14.087427794132038</v>
          </cell>
        </row>
        <row r="561">
          <cell r="A561">
            <v>40311</v>
          </cell>
          <cell r="LJ561">
            <v>18.56618884498663</v>
          </cell>
          <cell r="LK561">
            <v>20.020152274152959</v>
          </cell>
          <cell r="LL561">
            <v>17.982747259685677</v>
          </cell>
          <cell r="LM561">
            <v>15.721193701553757</v>
          </cell>
          <cell r="LN561">
            <v>20.244300817817596</v>
          </cell>
          <cell r="LY561">
            <v>11.61900018797634</v>
          </cell>
          <cell r="LZ561">
            <v>14.730476692982464</v>
          </cell>
          <cell r="MA561">
            <v>11.870949885755934</v>
          </cell>
          <cell r="MB561">
            <v>9.6544719773798295</v>
          </cell>
          <cell r="MC561">
            <v>14.087427794132038</v>
          </cell>
        </row>
        <row r="562">
          <cell r="A562">
            <v>40312</v>
          </cell>
          <cell r="LJ562">
            <v>18.355726999125814</v>
          </cell>
          <cell r="LK562">
            <v>20.020152274152959</v>
          </cell>
          <cell r="LL562">
            <v>17.982747259685677</v>
          </cell>
          <cell r="LM562">
            <v>15.721193701553757</v>
          </cell>
          <cell r="LN562">
            <v>20.244300817817596</v>
          </cell>
          <cell r="LY562">
            <v>11.459936790880374</v>
          </cell>
          <cell r="LZ562">
            <v>14.730476692982464</v>
          </cell>
          <cell r="MA562">
            <v>11.870949885755934</v>
          </cell>
          <cell r="MB562">
            <v>9.6544719773798295</v>
          </cell>
          <cell r="MC562">
            <v>14.087427794132038</v>
          </cell>
        </row>
        <row r="563">
          <cell r="A563">
            <v>40315</v>
          </cell>
          <cell r="LJ563">
            <v>18.111198042962332</v>
          </cell>
          <cell r="LK563">
            <v>20.020152274152959</v>
          </cell>
          <cell r="LL563">
            <v>17.982747259685677</v>
          </cell>
          <cell r="LM563">
            <v>15.721193701553757</v>
          </cell>
          <cell r="LN563">
            <v>20.244300817817596</v>
          </cell>
          <cell r="LY563">
            <v>11.356704634952013</v>
          </cell>
          <cell r="LZ563">
            <v>14.730476692982464</v>
          </cell>
          <cell r="MA563">
            <v>11.870949885755934</v>
          </cell>
          <cell r="MB563">
            <v>9.6544719773798295</v>
          </cell>
          <cell r="MC563">
            <v>14.087427794132038</v>
          </cell>
        </row>
        <row r="564">
          <cell r="A564">
            <v>40316</v>
          </cell>
          <cell r="LJ564">
            <v>17.797898757539237</v>
          </cell>
          <cell r="LK564">
            <v>20.020152274152959</v>
          </cell>
          <cell r="LL564">
            <v>17.982747259685677</v>
          </cell>
          <cell r="LM564">
            <v>15.721193701553757</v>
          </cell>
          <cell r="LN564">
            <v>20.244300817817596</v>
          </cell>
          <cell r="LY564">
            <v>11.174106863566429</v>
          </cell>
          <cell r="LZ564">
            <v>14.730476692982464</v>
          </cell>
          <cell r="MA564">
            <v>11.870949885755934</v>
          </cell>
          <cell r="MB564">
            <v>9.6544719773798295</v>
          </cell>
          <cell r="MC564">
            <v>14.087427794132038</v>
          </cell>
        </row>
        <row r="565">
          <cell r="A565">
            <v>40317</v>
          </cell>
          <cell r="LJ565">
            <v>17.323661723999134</v>
          </cell>
          <cell r="LK565">
            <v>20.020152274152959</v>
          </cell>
          <cell r="LL565">
            <v>17.982747259685677</v>
          </cell>
          <cell r="LM565">
            <v>15.721193701553757</v>
          </cell>
          <cell r="LN565">
            <v>20.244300817817596</v>
          </cell>
          <cell r="LY565">
            <v>10.897711003563138</v>
          </cell>
          <cell r="LZ565">
            <v>14.730476692982464</v>
          </cell>
          <cell r="MA565">
            <v>11.870949885755934</v>
          </cell>
          <cell r="MB565">
            <v>9.6544719773798295</v>
          </cell>
          <cell r="MC565">
            <v>14.087427794132038</v>
          </cell>
        </row>
        <row r="566">
          <cell r="A566">
            <v>40318</v>
          </cell>
          <cell r="LJ566">
            <v>16.853714297978186</v>
          </cell>
          <cell r="LK566">
            <v>20.020152274152959</v>
          </cell>
          <cell r="LL566">
            <v>17.982747259685677</v>
          </cell>
          <cell r="LM566">
            <v>15.721193701553757</v>
          </cell>
          <cell r="LN566">
            <v>20.244300817817596</v>
          </cell>
          <cell r="LY566">
            <v>10.566338861752445</v>
          </cell>
          <cell r="LZ566">
            <v>14.730476692982464</v>
          </cell>
          <cell r="MA566">
            <v>11.870949885755934</v>
          </cell>
          <cell r="MB566">
            <v>9.6544719773798295</v>
          </cell>
          <cell r="MC566">
            <v>14.087427794132038</v>
          </cell>
        </row>
        <row r="567">
          <cell r="A567">
            <v>40319</v>
          </cell>
          <cell r="LJ567">
            <v>17.097911550936541</v>
          </cell>
          <cell r="LK567">
            <v>20.020152274152959</v>
          </cell>
          <cell r="LL567">
            <v>17.982747259685677</v>
          </cell>
          <cell r="LM567">
            <v>15.721193701553757</v>
          </cell>
          <cell r="LN567">
            <v>20.244300817817596</v>
          </cell>
          <cell r="LY567">
            <v>10.735509024200439</v>
          </cell>
          <cell r="LZ567">
            <v>14.730476692982464</v>
          </cell>
          <cell r="MA567">
            <v>11.870949885755934</v>
          </cell>
          <cell r="MB567">
            <v>9.6544719773798295</v>
          </cell>
          <cell r="MC567">
            <v>14.087427794132038</v>
          </cell>
        </row>
        <row r="568">
          <cell r="A568">
            <v>40322</v>
          </cell>
          <cell r="LJ568">
            <v>16.847542041287106</v>
          </cell>
          <cell r="LK568">
            <v>20.020152274152959</v>
          </cell>
          <cell r="LL568">
            <v>17.982747259685677</v>
          </cell>
          <cell r="LM568">
            <v>15.721193701553757</v>
          </cell>
          <cell r="LN568">
            <v>20.244300817817596</v>
          </cell>
          <cell r="LY568">
            <v>10.589973177344683</v>
          </cell>
          <cell r="LZ568">
            <v>14.730476692982464</v>
          </cell>
          <cell r="MA568">
            <v>11.870949885755934</v>
          </cell>
          <cell r="MB568">
            <v>9.6544719773798295</v>
          </cell>
          <cell r="MC568">
            <v>14.087427794132038</v>
          </cell>
        </row>
        <row r="569">
          <cell r="A569">
            <v>40323</v>
          </cell>
          <cell r="LJ569">
            <v>16.877500837243101</v>
          </cell>
          <cell r="LK569">
            <v>20.020152274152959</v>
          </cell>
          <cell r="LL569">
            <v>17.982747259685677</v>
          </cell>
          <cell r="LM569">
            <v>15.721193701553757</v>
          </cell>
          <cell r="LN569">
            <v>20.244300817817596</v>
          </cell>
          <cell r="LY569">
            <v>10.607387752890801</v>
          </cell>
          <cell r="LZ569">
            <v>14.730476692982464</v>
          </cell>
          <cell r="MA569">
            <v>11.870949885755934</v>
          </cell>
          <cell r="MB569">
            <v>9.6544719773798295</v>
          </cell>
          <cell r="MC569">
            <v>14.087427794132038</v>
          </cell>
        </row>
        <row r="570">
          <cell r="A570">
            <v>40324</v>
          </cell>
          <cell r="LJ570">
            <v>16.843261357327794</v>
          </cell>
          <cell r="LK570">
            <v>20.020152274152959</v>
          </cell>
          <cell r="LL570">
            <v>17.982747259685677</v>
          </cell>
          <cell r="LM570">
            <v>15.721193701553757</v>
          </cell>
          <cell r="LN570">
            <v>20.244300817817596</v>
          </cell>
          <cell r="LY570">
            <v>10.587484883278794</v>
          </cell>
          <cell r="LZ570">
            <v>14.730476692982464</v>
          </cell>
          <cell r="MA570">
            <v>11.870949885755934</v>
          </cell>
          <cell r="MB570">
            <v>9.6544719773798295</v>
          </cell>
          <cell r="MC570">
            <v>14.087427794132038</v>
          </cell>
        </row>
        <row r="571">
          <cell r="A571">
            <v>40325</v>
          </cell>
          <cell r="LJ571">
            <v>17.22630767469634</v>
          </cell>
          <cell r="LK571">
            <v>20.020152274152959</v>
          </cell>
          <cell r="LL571">
            <v>17.982747259685677</v>
          </cell>
          <cell r="LM571">
            <v>15.721193701553757</v>
          </cell>
          <cell r="LN571">
            <v>20.244300817817596</v>
          </cell>
          <cell r="LY571">
            <v>10.810143665737034</v>
          </cell>
          <cell r="LZ571">
            <v>14.730476692982464</v>
          </cell>
          <cell r="MA571">
            <v>11.870949885755934</v>
          </cell>
          <cell r="MB571">
            <v>9.6544719773798295</v>
          </cell>
          <cell r="MC571">
            <v>14.087427794132038</v>
          </cell>
        </row>
        <row r="572">
          <cell r="A572">
            <v>40326</v>
          </cell>
          <cell r="LJ572">
            <v>16.986635167134395</v>
          </cell>
          <cell r="LK572">
            <v>20.020152274152959</v>
          </cell>
          <cell r="LL572">
            <v>17.982747259685677</v>
          </cell>
          <cell r="LM572">
            <v>15.721193701553757</v>
          </cell>
          <cell r="LN572">
            <v>20.244300817817596</v>
          </cell>
          <cell r="LY572">
            <v>10.670825817469847</v>
          </cell>
          <cell r="LZ572">
            <v>14.730476692982464</v>
          </cell>
          <cell r="MA572">
            <v>11.870949885755934</v>
          </cell>
          <cell r="MB572">
            <v>9.6544719773798295</v>
          </cell>
          <cell r="MC572">
            <v>14.087427794132038</v>
          </cell>
        </row>
        <row r="573">
          <cell r="A573">
            <v>40329</v>
          </cell>
          <cell r="LJ573">
            <v>16.986635167134395</v>
          </cell>
          <cell r="LK573">
            <v>20.020152274152959</v>
          </cell>
          <cell r="LL573">
            <v>17.982747259685677</v>
          </cell>
          <cell r="LM573">
            <v>15.721193701553757</v>
          </cell>
          <cell r="LN573">
            <v>20.244300817817596</v>
          </cell>
          <cell r="LY573">
            <v>10.670825817469847</v>
          </cell>
          <cell r="LZ573">
            <v>14.730476692982464</v>
          </cell>
          <cell r="MA573">
            <v>11.870949885755934</v>
          </cell>
          <cell r="MB573">
            <v>9.6544719773798295</v>
          </cell>
          <cell r="MC573">
            <v>14.087427794132038</v>
          </cell>
        </row>
        <row r="574">
          <cell r="A574">
            <v>40330</v>
          </cell>
          <cell r="LJ574">
            <v>16.654369816649719</v>
          </cell>
          <cell r="LK574">
            <v>20.020152274152959</v>
          </cell>
          <cell r="LL574">
            <v>17.982747259685677</v>
          </cell>
          <cell r="LM574">
            <v>15.721193701553757</v>
          </cell>
          <cell r="LN574">
            <v>20.244300817817596</v>
          </cell>
          <cell r="LY574">
            <v>10.495965277580359</v>
          </cell>
          <cell r="LZ574">
            <v>14.730476692982464</v>
          </cell>
          <cell r="MA574">
            <v>11.870949885755934</v>
          </cell>
          <cell r="MB574">
            <v>9.6544719773798295</v>
          </cell>
          <cell r="MC574">
            <v>14.087427794132038</v>
          </cell>
        </row>
        <row r="575">
          <cell r="A575">
            <v>40331</v>
          </cell>
          <cell r="LJ575">
            <v>17.168078912709369</v>
          </cell>
          <cell r="LK575">
            <v>20.020152274152959</v>
          </cell>
          <cell r="LL575">
            <v>17.982747259685677</v>
          </cell>
          <cell r="LM575">
            <v>15.721193701553757</v>
          </cell>
          <cell r="LN575">
            <v>20.244300817817596</v>
          </cell>
          <cell r="LY575">
            <v>10.795372590855791</v>
          </cell>
          <cell r="LZ575">
            <v>14.730476692982464</v>
          </cell>
          <cell r="MA575">
            <v>11.870949885755934</v>
          </cell>
          <cell r="MB575">
            <v>9.6544719773798295</v>
          </cell>
          <cell r="MC575">
            <v>14.087427794132038</v>
          </cell>
        </row>
        <row r="576">
          <cell r="A576">
            <v>40332</v>
          </cell>
          <cell r="LJ576">
            <v>17.227271689473586</v>
          </cell>
          <cell r="LK576">
            <v>20.020152274152959</v>
          </cell>
          <cell r="LL576">
            <v>17.982747259685677</v>
          </cell>
          <cell r="LM576">
            <v>15.721193701553757</v>
          </cell>
          <cell r="LN576">
            <v>20.244300817817596</v>
          </cell>
          <cell r="LY576">
            <v>10.846090874999177</v>
          </cell>
          <cell r="LZ576">
            <v>14.730476692982464</v>
          </cell>
          <cell r="MA576">
            <v>11.870949885755934</v>
          </cell>
          <cell r="MB576">
            <v>9.6544719773798295</v>
          </cell>
          <cell r="MC576">
            <v>14.087427794132038</v>
          </cell>
        </row>
        <row r="577">
          <cell r="A577">
            <v>40333</v>
          </cell>
          <cell r="LJ577">
            <v>16.468555391345223</v>
          </cell>
          <cell r="LK577">
            <v>20.020152274152959</v>
          </cell>
          <cell r="LL577">
            <v>17.982747259685677</v>
          </cell>
          <cell r="LM577">
            <v>15.721193701553757</v>
          </cell>
          <cell r="LN577">
            <v>20.244300817817596</v>
          </cell>
          <cell r="LY577">
            <v>10.410564309566251</v>
          </cell>
          <cell r="LZ577">
            <v>14.730476692982464</v>
          </cell>
          <cell r="MA577">
            <v>11.870949885755934</v>
          </cell>
          <cell r="MB577">
            <v>9.6544719773798295</v>
          </cell>
          <cell r="MC577">
            <v>14.087427794132038</v>
          </cell>
        </row>
        <row r="578">
          <cell r="A578">
            <v>40336</v>
          </cell>
          <cell r="LJ578">
            <v>16.117078768733037</v>
          </cell>
          <cell r="LK578">
            <v>20.020152274152959</v>
          </cell>
          <cell r="LL578">
            <v>17.982747259685677</v>
          </cell>
          <cell r="LM578">
            <v>15.721193701553757</v>
          </cell>
          <cell r="LN578">
            <v>20.244300817817596</v>
          </cell>
          <cell r="LY578">
            <v>10.205284361241155</v>
          </cell>
          <cell r="LZ578">
            <v>14.730476692982464</v>
          </cell>
          <cell r="MA578">
            <v>11.870949885755934</v>
          </cell>
          <cell r="MB578">
            <v>9.6544719773798295</v>
          </cell>
          <cell r="MC578">
            <v>14.087427794132038</v>
          </cell>
        </row>
        <row r="579">
          <cell r="A579">
            <v>40337</v>
          </cell>
          <cell r="LJ579">
            <v>16.233532291327016</v>
          </cell>
          <cell r="LK579">
            <v>20.020152274152959</v>
          </cell>
          <cell r="LL579">
            <v>17.982747259685677</v>
          </cell>
          <cell r="LM579">
            <v>15.721193701553757</v>
          </cell>
          <cell r="LN579">
            <v>20.244300817817596</v>
          </cell>
          <cell r="LY579">
            <v>10.273299050021024</v>
          </cell>
          <cell r="LZ579">
            <v>14.730476692982464</v>
          </cell>
          <cell r="MA579">
            <v>11.870949885755934</v>
          </cell>
          <cell r="MB579">
            <v>9.6544719773798295</v>
          </cell>
          <cell r="MC579">
            <v>14.087427794132038</v>
          </cell>
        </row>
        <row r="580">
          <cell r="A580">
            <v>40338</v>
          </cell>
          <cell r="LJ580">
            <v>16.13189835145058</v>
          </cell>
          <cell r="LK580">
            <v>20.020152274152959</v>
          </cell>
          <cell r="LL580">
            <v>17.982747259685677</v>
          </cell>
          <cell r="LM580">
            <v>15.721193701553757</v>
          </cell>
          <cell r="LN580">
            <v>20.244300817817596</v>
          </cell>
          <cell r="LY580">
            <v>10.213939739661056</v>
          </cell>
          <cell r="LZ580">
            <v>14.730476692982464</v>
          </cell>
          <cell r="MA580">
            <v>11.870949885755934</v>
          </cell>
          <cell r="MB580">
            <v>9.6544719773798295</v>
          </cell>
          <cell r="MC580">
            <v>14.087427794132038</v>
          </cell>
        </row>
        <row r="581">
          <cell r="A581">
            <v>40339</v>
          </cell>
          <cell r="LJ581">
            <v>16.679675103730919</v>
          </cell>
          <cell r="LK581">
            <v>20.020152274152959</v>
          </cell>
          <cell r="LL581">
            <v>17.982747259685677</v>
          </cell>
          <cell r="LM581">
            <v>15.721193701553757</v>
          </cell>
          <cell r="LN581">
            <v>20.244300817817596</v>
          </cell>
          <cell r="LY581">
            <v>10.515676233193375</v>
          </cell>
          <cell r="LZ581">
            <v>14.730476692982464</v>
          </cell>
          <cell r="MA581">
            <v>11.870949885755934</v>
          </cell>
          <cell r="MB581">
            <v>9.6544719773798295</v>
          </cell>
          <cell r="MC581">
            <v>14.087427794132038</v>
          </cell>
        </row>
        <row r="582">
          <cell r="A582">
            <v>40340</v>
          </cell>
          <cell r="LJ582">
            <v>16.68816215963955</v>
          </cell>
          <cell r="LK582">
            <v>20.020152274152959</v>
          </cell>
          <cell r="LL582">
            <v>17.982747259685677</v>
          </cell>
          <cell r="LM582">
            <v>15.721193701553757</v>
          </cell>
          <cell r="LN582">
            <v>20.244300817817596</v>
          </cell>
          <cell r="LY582">
            <v>10.520623841994404</v>
          </cell>
          <cell r="LZ582">
            <v>14.730476692982464</v>
          </cell>
          <cell r="MA582">
            <v>11.870949885755934</v>
          </cell>
          <cell r="MB582">
            <v>9.6544719773798295</v>
          </cell>
          <cell r="MC582">
            <v>14.087427794132038</v>
          </cell>
        </row>
        <row r="583">
          <cell r="A583">
            <v>40343</v>
          </cell>
          <cell r="LJ583">
            <v>16.839758570615761</v>
          </cell>
          <cell r="LK583">
            <v>20.020152274152959</v>
          </cell>
          <cell r="LL583">
            <v>17.982747259685677</v>
          </cell>
          <cell r="LM583">
            <v>15.721193701553757</v>
          </cell>
          <cell r="LN583">
            <v>20.244300817817596</v>
          </cell>
          <cell r="LY583">
            <v>10.619731094553678</v>
          </cell>
          <cell r="LZ583">
            <v>14.730476692982464</v>
          </cell>
          <cell r="MA583">
            <v>11.870949885755934</v>
          </cell>
          <cell r="MB583">
            <v>9.6544719773798295</v>
          </cell>
          <cell r="MC583">
            <v>14.087427794132038</v>
          </cell>
        </row>
        <row r="584">
          <cell r="A584">
            <v>40344</v>
          </cell>
          <cell r="LJ584">
            <v>17.267759838868173</v>
          </cell>
          <cell r="LK584">
            <v>20.020152274152959</v>
          </cell>
          <cell r="LL584">
            <v>17.982747259685677</v>
          </cell>
          <cell r="LM584">
            <v>15.721193701553757</v>
          </cell>
          <cell r="LN584">
            <v>20.244300817817596</v>
          </cell>
          <cell r="LY584">
            <v>10.869317643139008</v>
          </cell>
          <cell r="LZ584">
            <v>14.730476692982464</v>
          </cell>
          <cell r="MA584">
            <v>11.870949885755934</v>
          </cell>
          <cell r="MB584">
            <v>9.6544719773798295</v>
          </cell>
          <cell r="MC584">
            <v>14.087427794132038</v>
          </cell>
        </row>
        <row r="585">
          <cell r="A585">
            <v>40345</v>
          </cell>
          <cell r="LJ585">
            <v>17.286790586507216</v>
          </cell>
          <cell r="LK585">
            <v>20.020152274152959</v>
          </cell>
          <cell r="LL585">
            <v>17.982747259685677</v>
          </cell>
          <cell r="LM585">
            <v>15.721193701553757</v>
          </cell>
          <cell r="LN585">
            <v>20.244300817817596</v>
          </cell>
          <cell r="LY585">
            <v>10.879223525036839</v>
          </cell>
          <cell r="LZ585">
            <v>14.730476692982464</v>
          </cell>
          <cell r="MA585">
            <v>11.870949885755934</v>
          </cell>
          <cell r="MB585">
            <v>9.6544719773798295</v>
          </cell>
          <cell r="MC585">
            <v>14.087427794132038</v>
          </cell>
        </row>
        <row r="586">
          <cell r="A586">
            <v>40346</v>
          </cell>
          <cell r="LJ586">
            <v>17.218871136526214</v>
          </cell>
          <cell r="LK586">
            <v>20.020152274152959</v>
          </cell>
          <cell r="LL586">
            <v>17.982747259685677</v>
          </cell>
          <cell r="LM586">
            <v>15.721193701553757</v>
          </cell>
          <cell r="LN586">
            <v>20.244300817817596</v>
          </cell>
          <cell r="LY586">
            <v>10.839596034399216</v>
          </cell>
          <cell r="LZ586">
            <v>14.730476692982464</v>
          </cell>
          <cell r="MA586">
            <v>11.870949885755934</v>
          </cell>
          <cell r="MB586">
            <v>9.6544719773798295</v>
          </cell>
          <cell r="MC586">
            <v>14.087427794132038</v>
          </cell>
        </row>
        <row r="587">
          <cell r="A587">
            <v>40347</v>
          </cell>
          <cell r="LJ587">
            <v>17.283575081248951</v>
          </cell>
          <cell r="LK587">
            <v>20.020152274152959</v>
          </cell>
          <cell r="LL587">
            <v>17.982747259685677</v>
          </cell>
          <cell r="LM587">
            <v>15.721193701553757</v>
          </cell>
          <cell r="LN587">
            <v>20.244300817817596</v>
          </cell>
          <cell r="LY587">
            <v>10.876748107246554</v>
          </cell>
          <cell r="LZ587">
            <v>14.730476692982464</v>
          </cell>
          <cell r="MA587">
            <v>11.870949885755934</v>
          </cell>
          <cell r="MB587">
            <v>9.6544719773798295</v>
          </cell>
          <cell r="MC587">
            <v>14.087427794132038</v>
          </cell>
        </row>
        <row r="588">
          <cell r="A588">
            <v>40350</v>
          </cell>
          <cell r="LJ588">
            <v>17.20188660421854</v>
          </cell>
          <cell r="LK588">
            <v>20.020152274152959</v>
          </cell>
          <cell r="LL588">
            <v>17.982747259685677</v>
          </cell>
          <cell r="LM588">
            <v>15.721193701553757</v>
          </cell>
          <cell r="LN588">
            <v>20.244300817817596</v>
          </cell>
          <cell r="LY588">
            <v>10.811703981517205</v>
          </cell>
          <cell r="LZ588">
            <v>14.730476692982464</v>
          </cell>
          <cell r="MA588">
            <v>11.870949885755934</v>
          </cell>
          <cell r="MB588">
            <v>9.6544719773798295</v>
          </cell>
          <cell r="MC588">
            <v>14.087427794132038</v>
          </cell>
        </row>
        <row r="589">
          <cell r="A589">
            <v>40351</v>
          </cell>
          <cell r="LJ589">
            <v>16.832548592582217</v>
          </cell>
          <cell r="LK589">
            <v>20.020152274152959</v>
          </cell>
          <cell r="LL589">
            <v>17.982747259685677</v>
          </cell>
          <cell r="LM589">
            <v>15.721193701553757</v>
          </cell>
          <cell r="LN589">
            <v>20.244300817817596</v>
          </cell>
          <cell r="LY589">
            <v>10.596572145954976</v>
          </cell>
          <cell r="LZ589">
            <v>14.730476692982464</v>
          </cell>
          <cell r="MA589">
            <v>11.870949885755934</v>
          </cell>
          <cell r="MB589">
            <v>9.6544719773798295</v>
          </cell>
          <cell r="MC589">
            <v>14.087427794132038</v>
          </cell>
        </row>
        <row r="590">
          <cell r="A590">
            <v>40352</v>
          </cell>
          <cell r="LJ590">
            <v>16.798585895892899</v>
          </cell>
          <cell r="LK590">
            <v>20.020152274152959</v>
          </cell>
          <cell r="LL590">
            <v>17.982747259685677</v>
          </cell>
          <cell r="LM590">
            <v>15.721193701553757</v>
          </cell>
          <cell r="LN590">
            <v>20.244300817817596</v>
          </cell>
          <cell r="LY590">
            <v>10.576789569969781</v>
          </cell>
          <cell r="LZ590">
            <v>14.730476692982464</v>
          </cell>
          <cell r="MA590">
            <v>11.870949885755934</v>
          </cell>
          <cell r="MB590">
            <v>9.6544719773798295</v>
          </cell>
          <cell r="MC590">
            <v>14.087427794132038</v>
          </cell>
        </row>
        <row r="591">
          <cell r="A591">
            <v>40353</v>
          </cell>
          <cell r="LJ591">
            <v>16.458961900698561</v>
          </cell>
          <cell r="LK591">
            <v>20.020152274152959</v>
          </cell>
          <cell r="LL591">
            <v>17.982747259685677</v>
          </cell>
          <cell r="LM591">
            <v>15.721193701553757</v>
          </cell>
          <cell r="LN591">
            <v>20.244300817817596</v>
          </cell>
          <cell r="LY591">
            <v>10.378965541071617</v>
          </cell>
          <cell r="LZ591">
            <v>14.730476692982464</v>
          </cell>
          <cell r="MA591">
            <v>11.870949885755934</v>
          </cell>
          <cell r="MB591">
            <v>9.6544719773798295</v>
          </cell>
          <cell r="MC591">
            <v>14.087427794132038</v>
          </cell>
        </row>
        <row r="592">
          <cell r="A592">
            <v>40354</v>
          </cell>
          <cell r="LJ592">
            <v>16.600043304470766</v>
          </cell>
          <cell r="LK592">
            <v>20.020152274152959</v>
          </cell>
          <cell r="LL592">
            <v>17.982747259685677</v>
          </cell>
          <cell r="LM592">
            <v>15.721193701553757</v>
          </cell>
          <cell r="LN592">
            <v>20.244300817817596</v>
          </cell>
          <cell r="LY592">
            <v>10.457501236755069</v>
          </cell>
          <cell r="LZ592">
            <v>14.730476692982464</v>
          </cell>
          <cell r="MA592">
            <v>11.870949885755934</v>
          </cell>
          <cell r="MB592">
            <v>9.6544719773798295</v>
          </cell>
          <cell r="MC592">
            <v>14.087427794132038</v>
          </cell>
        </row>
        <row r="593">
          <cell r="A593">
            <v>40357</v>
          </cell>
          <cell r="LJ593">
            <v>16.476307557796535</v>
          </cell>
          <cell r="LK593">
            <v>20.020152274152959</v>
          </cell>
          <cell r="LL593">
            <v>17.982747259685677</v>
          </cell>
          <cell r="LM593">
            <v>15.721193701553757</v>
          </cell>
          <cell r="LN593">
            <v>20.244300817817596</v>
          </cell>
          <cell r="LY593">
            <v>10.388283878800907</v>
          </cell>
          <cell r="LZ593">
            <v>14.730476692982464</v>
          </cell>
          <cell r="MA593">
            <v>11.870949885755934</v>
          </cell>
          <cell r="MB593">
            <v>9.6544719773798295</v>
          </cell>
          <cell r="MC593">
            <v>14.087427794132038</v>
          </cell>
        </row>
        <row r="594">
          <cell r="A594">
            <v>40358</v>
          </cell>
          <cell r="LJ594">
            <v>15.950013793923034</v>
          </cell>
          <cell r="LK594">
            <v>20.020152274152959</v>
          </cell>
          <cell r="LL594">
            <v>17.982747259685677</v>
          </cell>
          <cell r="LM594">
            <v>15.721193701553757</v>
          </cell>
          <cell r="LN594">
            <v>20.244300817817596</v>
          </cell>
          <cell r="LY594">
            <v>10.081727000043571</v>
          </cell>
          <cell r="LZ594">
            <v>14.730476692982464</v>
          </cell>
          <cell r="MA594">
            <v>11.870949885755934</v>
          </cell>
          <cell r="MB594">
            <v>9.6544719773798295</v>
          </cell>
          <cell r="MC594">
            <v>14.087427794132038</v>
          </cell>
        </row>
        <row r="595">
          <cell r="A595">
            <v>40359</v>
          </cell>
          <cell r="LJ595">
            <v>15.754780549295235</v>
          </cell>
          <cell r="LK595">
            <v>20.020152274152959</v>
          </cell>
          <cell r="LL595">
            <v>17.982747259685677</v>
          </cell>
          <cell r="LM595">
            <v>15.721193701553757</v>
          </cell>
          <cell r="LN595">
            <v>20.244300817817596</v>
          </cell>
          <cell r="LY595">
            <v>9.9680143981981963</v>
          </cell>
          <cell r="LZ595">
            <v>14.730476692982464</v>
          </cell>
          <cell r="MA595">
            <v>11.870949885755934</v>
          </cell>
          <cell r="MB595">
            <v>9.6544719773798295</v>
          </cell>
          <cell r="MC595">
            <v>14.087427794132038</v>
          </cell>
        </row>
        <row r="596">
          <cell r="A596">
            <v>40360</v>
          </cell>
          <cell r="LJ596">
            <v>15.381824322955559</v>
          </cell>
          <cell r="LK596">
            <v>20.020152274152959</v>
          </cell>
          <cell r="LL596">
            <v>17.982747259685677</v>
          </cell>
          <cell r="LM596">
            <v>15.721193701553757</v>
          </cell>
          <cell r="LN596">
            <v>20.244300817817596</v>
          </cell>
          <cell r="LY596">
            <v>9.7622974724366642</v>
          </cell>
          <cell r="LZ596">
            <v>14.730476692982464</v>
          </cell>
          <cell r="MA596">
            <v>11.870949885755934</v>
          </cell>
          <cell r="MB596">
            <v>9.6544719773798295</v>
          </cell>
          <cell r="MC596">
            <v>14.087427794132038</v>
          </cell>
        </row>
        <row r="597">
          <cell r="A597">
            <v>40361</v>
          </cell>
          <cell r="LJ597">
            <v>15.209800846016048</v>
          </cell>
          <cell r="LK597">
            <v>20.020152274152959</v>
          </cell>
          <cell r="LL597">
            <v>17.982747259685677</v>
          </cell>
          <cell r="LM597">
            <v>15.721193701553757</v>
          </cell>
          <cell r="LN597">
            <v>20.244300817817596</v>
          </cell>
          <cell r="LY597">
            <v>9.6618918992834537</v>
          </cell>
          <cell r="LZ597">
            <v>14.730476692982464</v>
          </cell>
          <cell r="MA597">
            <v>11.870949885755934</v>
          </cell>
          <cell r="MB597">
            <v>9.6544719773798295</v>
          </cell>
          <cell r="MC597">
            <v>14.087427794132038</v>
          </cell>
        </row>
        <row r="598">
          <cell r="A598">
            <v>40364</v>
          </cell>
          <cell r="LJ598">
            <v>15.209800846016048</v>
          </cell>
          <cell r="LK598">
            <v>20.020152274152959</v>
          </cell>
          <cell r="LL598">
            <v>17.982747259685677</v>
          </cell>
          <cell r="LM598">
            <v>15.721193701553757</v>
          </cell>
          <cell r="LN598">
            <v>20.244300817817596</v>
          </cell>
          <cell r="LY598">
            <v>9.6618918992834537</v>
          </cell>
          <cell r="LZ598">
            <v>14.730476692982464</v>
          </cell>
          <cell r="MA598">
            <v>11.870949885755934</v>
          </cell>
          <cell r="MB598">
            <v>9.6544719773798295</v>
          </cell>
          <cell r="MC598">
            <v>14.087427794132038</v>
          </cell>
        </row>
        <row r="599">
          <cell r="A599">
            <v>40365</v>
          </cell>
          <cell r="LJ599">
            <v>15.062945078984027</v>
          </cell>
          <cell r="LK599">
            <v>20.020152274152959</v>
          </cell>
          <cell r="LL599">
            <v>17.982747259685677</v>
          </cell>
          <cell r="LM599">
            <v>15.721193701553757</v>
          </cell>
          <cell r="LN599">
            <v>20.244300817817596</v>
          </cell>
          <cell r="LY599">
            <v>9.5761760555972533</v>
          </cell>
          <cell r="LZ599">
            <v>14.730476692982464</v>
          </cell>
          <cell r="MA599">
            <v>11.870949885755934</v>
          </cell>
          <cell r="MB599">
            <v>9.6544719773798295</v>
          </cell>
          <cell r="MC599">
            <v>14.087427794132038</v>
          </cell>
        </row>
        <row r="600">
          <cell r="A600">
            <v>40366</v>
          </cell>
          <cell r="LJ600">
            <v>15.616837733076357</v>
          </cell>
          <cell r="LK600">
            <v>20.020152274152959</v>
          </cell>
          <cell r="LL600">
            <v>17.982747259685677</v>
          </cell>
          <cell r="LM600">
            <v>15.721193701553757</v>
          </cell>
          <cell r="LN600">
            <v>20.244300817817596</v>
          </cell>
          <cell r="LY600">
            <v>9.9220754944963172</v>
          </cell>
          <cell r="LZ600">
            <v>14.730476692982464</v>
          </cell>
          <cell r="MA600">
            <v>11.870949885755934</v>
          </cell>
          <cell r="MB600">
            <v>9.6544719773798295</v>
          </cell>
          <cell r="MC600">
            <v>14.087427794132038</v>
          </cell>
        </row>
        <row r="601">
          <cell r="A601">
            <v>40367</v>
          </cell>
          <cell r="LJ601">
            <v>15.759532264209151</v>
          </cell>
          <cell r="LK601">
            <v>20.020152274152959</v>
          </cell>
          <cell r="LL601">
            <v>17.982747259685677</v>
          </cell>
          <cell r="LM601">
            <v>15.721193701553757</v>
          </cell>
          <cell r="LN601">
            <v>20.244300817817596</v>
          </cell>
          <cell r="LY601">
            <v>10.005550935210813</v>
          </cell>
          <cell r="LZ601">
            <v>14.730476692982464</v>
          </cell>
          <cell r="MA601">
            <v>11.870949885755934</v>
          </cell>
          <cell r="MB601">
            <v>9.6544719773798295</v>
          </cell>
          <cell r="MC601">
            <v>14.087427794132038</v>
          </cell>
        </row>
        <row r="602">
          <cell r="A602">
            <v>40368</v>
          </cell>
          <cell r="LJ602">
            <v>15.835080674073243</v>
          </cell>
          <cell r="LK602">
            <v>20.020152274152959</v>
          </cell>
          <cell r="LL602">
            <v>17.982747259685677</v>
          </cell>
          <cell r="LM602">
            <v>15.721193701553757</v>
          </cell>
          <cell r="LN602">
            <v>20.244300817817596</v>
          </cell>
          <cell r="LY602">
            <v>10.049746299662559</v>
          </cell>
          <cell r="LZ602">
            <v>14.730476692982464</v>
          </cell>
          <cell r="MA602">
            <v>11.870949885755934</v>
          </cell>
          <cell r="MB602">
            <v>9.6544719773798295</v>
          </cell>
          <cell r="MC602">
            <v>14.087427794132038</v>
          </cell>
        </row>
        <row r="603">
          <cell r="A603">
            <v>40371</v>
          </cell>
          <cell r="LJ603">
            <v>15.767970111453197</v>
          </cell>
          <cell r="LK603">
            <v>20.020152274152959</v>
          </cell>
          <cell r="LL603">
            <v>17.982747259685677</v>
          </cell>
          <cell r="LM603">
            <v>15.721193701553757</v>
          </cell>
          <cell r="LN603">
            <v>20.244300817817596</v>
          </cell>
          <cell r="LY603">
            <v>10.014943230298039</v>
          </cell>
          <cell r="LZ603">
            <v>14.730476692982464</v>
          </cell>
          <cell r="MA603">
            <v>11.870949885755934</v>
          </cell>
          <cell r="MB603">
            <v>9.6544719773798295</v>
          </cell>
          <cell r="MC603">
            <v>14.087427794132038</v>
          </cell>
        </row>
        <row r="604">
          <cell r="A604">
            <v>40372</v>
          </cell>
          <cell r="LJ604">
            <v>16.019636708762931</v>
          </cell>
          <cell r="LK604">
            <v>20.020152274152959</v>
          </cell>
          <cell r="LL604">
            <v>17.982747259685677</v>
          </cell>
          <cell r="LM604">
            <v>15.721193701553757</v>
          </cell>
          <cell r="LN604">
            <v>20.244300817817596</v>
          </cell>
          <cell r="LY604">
            <v>10.179541290512059</v>
          </cell>
          <cell r="LZ604">
            <v>14.730476692982464</v>
          </cell>
          <cell r="MA604">
            <v>11.870949885755934</v>
          </cell>
          <cell r="MB604">
            <v>9.6544719773798295</v>
          </cell>
          <cell r="MC604">
            <v>14.087427794132038</v>
          </cell>
        </row>
        <row r="605">
          <cell r="A605">
            <v>40373</v>
          </cell>
          <cell r="LJ605">
            <v>16.019636708762931</v>
          </cell>
          <cell r="LK605">
            <v>20.020152274152959</v>
          </cell>
          <cell r="LL605">
            <v>17.982747259685677</v>
          </cell>
          <cell r="LM605">
            <v>15.721193701553757</v>
          </cell>
          <cell r="LN605">
            <v>20.244300817817596</v>
          </cell>
          <cell r="LY605">
            <v>10.205942698196424</v>
          </cell>
          <cell r="LZ605">
            <v>14.730476692982464</v>
          </cell>
          <cell r="MA605">
            <v>11.870949885755934</v>
          </cell>
          <cell r="MB605">
            <v>9.6544719773798295</v>
          </cell>
          <cell r="MC605">
            <v>14.087427794132038</v>
          </cell>
        </row>
        <row r="606">
          <cell r="A606">
            <v>40374</v>
          </cell>
          <cell r="LJ606">
            <v>16.131318215040288</v>
          </cell>
          <cell r="LK606">
            <v>20.020152274152959</v>
          </cell>
          <cell r="LL606">
            <v>17.982747259685677</v>
          </cell>
          <cell r="LM606">
            <v>15.721193701553757</v>
          </cell>
          <cell r="LN606">
            <v>20.244300817817596</v>
          </cell>
          <cell r="LY606">
            <v>10.270203089399192</v>
          </cell>
          <cell r="LZ606">
            <v>14.730476692982464</v>
          </cell>
          <cell r="MA606">
            <v>11.870949885755934</v>
          </cell>
          <cell r="MB606">
            <v>9.6544719773798295</v>
          </cell>
          <cell r="MC606">
            <v>14.087427794132038</v>
          </cell>
        </row>
        <row r="607">
          <cell r="A607">
            <v>40375</v>
          </cell>
          <cell r="LJ607">
            <v>15.735921215213761</v>
          </cell>
          <cell r="LK607">
            <v>20.020152274152959</v>
          </cell>
          <cell r="LL607">
            <v>17.982747259685677</v>
          </cell>
          <cell r="LM607">
            <v>15.721193701553757</v>
          </cell>
          <cell r="LN607">
            <v>20.244300817817596</v>
          </cell>
          <cell r="LY607">
            <v>10.085288823720646</v>
          </cell>
          <cell r="LZ607">
            <v>14.730476692982464</v>
          </cell>
          <cell r="MA607">
            <v>11.870949885755934</v>
          </cell>
          <cell r="MB607">
            <v>9.6544719773798295</v>
          </cell>
          <cell r="MC607">
            <v>14.087427794132038</v>
          </cell>
        </row>
        <row r="608">
          <cell r="A608">
            <v>40378</v>
          </cell>
          <cell r="LJ608">
            <v>15.853698373724516</v>
          </cell>
          <cell r="LK608">
            <v>20.020152274152959</v>
          </cell>
          <cell r="LL608">
            <v>17.982747259685677</v>
          </cell>
          <cell r="LM608">
            <v>15.721193701553757</v>
          </cell>
          <cell r="LN608">
            <v>20.244300817817596</v>
          </cell>
          <cell r="LY608">
            <v>10.154848573985145</v>
          </cell>
          <cell r="LZ608">
            <v>14.730476692982464</v>
          </cell>
          <cell r="MA608">
            <v>11.870949885755934</v>
          </cell>
          <cell r="MB608">
            <v>9.6544719773798295</v>
          </cell>
          <cell r="MC608">
            <v>14.087427794132038</v>
          </cell>
        </row>
        <row r="609">
          <cell r="A609">
            <v>40379</v>
          </cell>
          <cell r="LJ609">
            <v>16.033815707842855</v>
          </cell>
          <cell r="LK609">
            <v>20.020152274152959</v>
          </cell>
          <cell r="LL609">
            <v>17.982747259685677</v>
          </cell>
          <cell r="LM609">
            <v>15.721193701553757</v>
          </cell>
          <cell r="LN609">
            <v>20.244300817817596</v>
          </cell>
          <cell r="LY609">
            <v>10.261674845120892</v>
          </cell>
          <cell r="LZ609">
            <v>14.730476692982464</v>
          </cell>
          <cell r="MA609">
            <v>11.870949885755934</v>
          </cell>
          <cell r="MB609">
            <v>9.6544719773798295</v>
          </cell>
          <cell r="MC609">
            <v>14.087427794132038</v>
          </cell>
        </row>
        <row r="610">
          <cell r="A610">
            <v>40380</v>
          </cell>
          <cell r="LJ610">
            <v>15.899215764625772</v>
          </cell>
          <cell r="LK610">
            <v>20.020152274152959</v>
          </cell>
          <cell r="LL610">
            <v>17.982747259685677</v>
          </cell>
          <cell r="LM610">
            <v>15.721193701553757</v>
          </cell>
          <cell r="LN610">
            <v>20.244300817817596</v>
          </cell>
          <cell r="LY610">
            <v>9.9966080624264961</v>
          </cell>
          <cell r="LZ610">
            <v>14.730476692982464</v>
          </cell>
          <cell r="MA610">
            <v>11.870949885755934</v>
          </cell>
          <cell r="MB610">
            <v>9.6544719773798295</v>
          </cell>
          <cell r="MC610">
            <v>14.087427794132038</v>
          </cell>
        </row>
        <row r="611">
          <cell r="A611">
            <v>40381</v>
          </cell>
          <cell r="LJ611">
            <v>15.722998703042727</v>
          </cell>
          <cell r="LK611">
            <v>20.020152274152959</v>
          </cell>
          <cell r="LL611">
            <v>17.982747259685677</v>
          </cell>
          <cell r="LM611">
            <v>15.721193701553757</v>
          </cell>
          <cell r="LN611">
            <v>20.244300817817596</v>
          </cell>
          <cell r="LY611">
            <v>9.9016524581623031</v>
          </cell>
          <cell r="LZ611">
            <v>14.730476692982464</v>
          </cell>
          <cell r="MA611">
            <v>11.870949885755934</v>
          </cell>
          <cell r="MB611">
            <v>9.6544719773798295</v>
          </cell>
          <cell r="MC611">
            <v>14.087427794132038</v>
          </cell>
        </row>
        <row r="612">
          <cell r="A612">
            <v>40382</v>
          </cell>
          <cell r="LJ612">
            <v>15.971402264155655</v>
          </cell>
          <cell r="LK612">
            <v>20.020152274152959</v>
          </cell>
          <cell r="LL612">
            <v>17.982747259685677</v>
          </cell>
          <cell r="LM612">
            <v>15.721193701553757</v>
          </cell>
          <cell r="LN612">
            <v>20.244300817817596</v>
          </cell>
          <cell r="LY612">
            <v>9.9514002340207686</v>
          </cell>
          <cell r="LZ612">
            <v>14.730476692982464</v>
          </cell>
          <cell r="MA612">
            <v>11.870949885755934</v>
          </cell>
          <cell r="MB612">
            <v>9.6544719773798295</v>
          </cell>
          <cell r="MC612">
            <v>14.087427794132038</v>
          </cell>
        </row>
        <row r="613">
          <cell r="A613">
            <v>40385</v>
          </cell>
          <cell r="LJ613">
            <v>16.073406487246583</v>
          </cell>
          <cell r="LK613">
            <v>20.020152274152959</v>
          </cell>
          <cell r="LL613">
            <v>17.982747259685677</v>
          </cell>
          <cell r="LM613">
            <v>15.721193701553757</v>
          </cell>
          <cell r="LN613">
            <v>20.244300817817596</v>
          </cell>
          <cell r="LY613">
            <v>10.012669331511907</v>
          </cell>
          <cell r="LZ613">
            <v>14.730476692982464</v>
          </cell>
          <cell r="MA613">
            <v>11.870949885755934</v>
          </cell>
          <cell r="MB613">
            <v>9.6544719773798295</v>
          </cell>
          <cell r="MC613">
            <v>14.087427794132038</v>
          </cell>
        </row>
        <row r="614">
          <cell r="A614">
            <v>40386</v>
          </cell>
          <cell r="LJ614">
            <v>15.963430366772942</v>
          </cell>
          <cell r="LK614">
            <v>20.020152274152959</v>
          </cell>
          <cell r="LL614">
            <v>17.982747259685677</v>
          </cell>
          <cell r="LM614">
            <v>15.721193701553757</v>
          </cell>
          <cell r="LN614">
            <v>20.244300817817596</v>
          </cell>
          <cell r="LY614">
            <v>9.9487207676304656</v>
          </cell>
          <cell r="LZ614">
            <v>14.730476692982464</v>
          </cell>
          <cell r="MA614">
            <v>11.870949885755934</v>
          </cell>
          <cell r="MB614">
            <v>9.6544719773798295</v>
          </cell>
          <cell r="MC614">
            <v>14.087427794132038</v>
          </cell>
        </row>
        <row r="615">
          <cell r="A615">
            <v>40387</v>
          </cell>
          <cell r="LJ615">
            <v>15.842586650889503</v>
          </cell>
          <cell r="LK615">
            <v>20.020152274152959</v>
          </cell>
          <cell r="LL615">
            <v>17.982747259685677</v>
          </cell>
          <cell r="LM615">
            <v>15.721193701553757</v>
          </cell>
          <cell r="LN615">
            <v>20.244300817817596</v>
          </cell>
          <cell r="LY615">
            <v>9.8779170183639557</v>
          </cell>
          <cell r="LZ615">
            <v>14.730476692982464</v>
          </cell>
          <cell r="MA615">
            <v>11.870949885755934</v>
          </cell>
          <cell r="MB615">
            <v>9.6544719773798295</v>
          </cell>
          <cell r="MC615">
            <v>14.087427794132038</v>
          </cell>
        </row>
        <row r="616">
          <cell r="A616">
            <v>40388</v>
          </cell>
          <cell r="LJ616">
            <v>15.950930054254707</v>
          </cell>
          <cell r="LK616">
            <v>20.020152274152959</v>
          </cell>
          <cell r="LL616">
            <v>17.982747259685677</v>
          </cell>
          <cell r="LM616">
            <v>15.721193701553757</v>
          </cell>
          <cell r="LN616">
            <v>20.244300817817596</v>
          </cell>
          <cell r="LY616">
            <v>9.9413966880387097</v>
          </cell>
          <cell r="LZ616">
            <v>14.730476692982464</v>
          </cell>
          <cell r="MA616">
            <v>11.870949885755934</v>
          </cell>
          <cell r="MB616">
            <v>9.6544719773798295</v>
          </cell>
          <cell r="MC616">
            <v>14.087427794132038</v>
          </cell>
        </row>
        <row r="617">
          <cell r="A617">
            <v>40389</v>
          </cell>
          <cell r="LJ617">
            <v>16.005095713918195</v>
          </cell>
          <cell r="LK617">
            <v>20.020152274152959</v>
          </cell>
          <cell r="LL617">
            <v>17.982747259685677</v>
          </cell>
          <cell r="LM617">
            <v>15.721193701553757</v>
          </cell>
          <cell r="LN617">
            <v>20.244300817817596</v>
          </cell>
          <cell r="LY617">
            <v>9.9731329827862822</v>
          </cell>
          <cell r="LZ617">
            <v>14.730476692982464</v>
          </cell>
          <cell r="MA617">
            <v>11.870949885755934</v>
          </cell>
          <cell r="MB617">
            <v>9.6544719773798295</v>
          </cell>
          <cell r="MC617">
            <v>14.087427794132038</v>
          </cell>
        </row>
        <row r="618">
          <cell r="A618">
            <v>40392</v>
          </cell>
          <cell r="LJ618">
            <v>16.076784065808869</v>
          </cell>
          <cell r="LK618">
            <v>20.020152274152959</v>
          </cell>
          <cell r="LL618">
            <v>17.982747259685677</v>
          </cell>
          <cell r="LM618">
            <v>15.721193701553757</v>
          </cell>
          <cell r="LN618">
            <v>20.244300817817596</v>
          </cell>
          <cell r="LY618">
            <v>10.036437778057891</v>
          </cell>
          <cell r="LZ618">
            <v>14.730476692982464</v>
          </cell>
          <cell r="MA618">
            <v>11.870949885755934</v>
          </cell>
          <cell r="MB618">
            <v>9.6544719773798295</v>
          </cell>
          <cell r="MC618">
            <v>14.087427794132038</v>
          </cell>
        </row>
        <row r="619">
          <cell r="A619">
            <v>40393</v>
          </cell>
          <cell r="LJ619">
            <v>15.916263829788827</v>
          </cell>
          <cell r="LK619">
            <v>20.020152274152959</v>
          </cell>
          <cell r="LL619">
            <v>17.982747259685677</v>
          </cell>
          <cell r="LM619">
            <v>15.721193701553757</v>
          </cell>
          <cell r="LN619">
            <v>20.244300817817596</v>
          </cell>
          <cell r="LY619">
            <v>9.9441151436650816</v>
          </cell>
          <cell r="LZ619">
            <v>14.730476692982464</v>
          </cell>
          <cell r="MA619">
            <v>11.870949885755934</v>
          </cell>
          <cell r="MB619">
            <v>9.6544719773798295</v>
          </cell>
          <cell r="MC619">
            <v>14.087427794132038</v>
          </cell>
        </row>
        <row r="620">
          <cell r="A620">
            <v>40394</v>
          </cell>
          <cell r="LJ620">
            <v>16.240352265982228</v>
          </cell>
          <cell r="LK620">
            <v>20.020152274152959</v>
          </cell>
          <cell r="LL620">
            <v>17.982747259685677</v>
          </cell>
          <cell r="LM620">
            <v>15.721193701553757</v>
          </cell>
          <cell r="LN620">
            <v>20.244300817817596</v>
          </cell>
          <cell r="LY620">
            <v>10.111294244040765</v>
          </cell>
          <cell r="LZ620">
            <v>14.730476692982464</v>
          </cell>
          <cell r="MA620">
            <v>11.870949885755934</v>
          </cell>
          <cell r="MB620">
            <v>9.6544719773798295</v>
          </cell>
          <cell r="MC620">
            <v>14.087427794132038</v>
          </cell>
        </row>
        <row r="621">
          <cell r="A621">
            <v>40395</v>
          </cell>
          <cell r="LJ621">
            <v>16.368162890033961</v>
          </cell>
          <cell r="LK621">
            <v>20.020152274152959</v>
          </cell>
          <cell r="LL621">
            <v>17.982747259685677</v>
          </cell>
          <cell r="LM621">
            <v>15.721193701553757</v>
          </cell>
          <cell r="LN621">
            <v>20.244300817817596</v>
          </cell>
          <cell r="LY621">
            <v>10.186228919612608</v>
          </cell>
          <cell r="LZ621">
            <v>14.730476692982464</v>
          </cell>
          <cell r="MA621">
            <v>11.870949885755934</v>
          </cell>
          <cell r="MB621">
            <v>9.6544719773798295</v>
          </cell>
          <cell r="MC621">
            <v>14.087427794132038</v>
          </cell>
        </row>
        <row r="622">
          <cell r="A622">
            <v>40396</v>
          </cell>
          <cell r="LJ622">
            <v>16.087798502541354</v>
          </cell>
          <cell r="LK622">
            <v>20.020152274152959</v>
          </cell>
          <cell r="LL622">
            <v>17.982747259685677</v>
          </cell>
          <cell r="LM622">
            <v>15.721193701553757</v>
          </cell>
          <cell r="LN622">
            <v>20.244300817817596</v>
          </cell>
          <cell r="LY622">
            <v>10.021852800064412</v>
          </cell>
          <cell r="LZ622">
            <v>14.730476692982464</v>
          </cell>
          <cell r="MA622">
            <v>11.870949885755934</v>
          </cell>
          <cell r="MB622">
            <v>9.6544719773798295</v>
          </cell>
          <cell r="MC622">
            <v>14.087427794132038</v>
          </cell>
        </row>
        <row r="623">
          <cell r="A623">
            <v>40399</v>
          </cell>
          <cell r="LJ623">
            <v>16.157888053303285</v>
          </cell>
          <cell r="LK623">
            <v>20.020152274152959</v>
          </cell>
          <cell r="LL623">
            <v>17.982747259685677</v>
          </cell>
          <cell r="LM623">
            <v>15.721193701553757</v>
          </cell>
          <cell r="LN623">
            <v>20.244300817817596</v>
          </cell>
          <cell r="LY623">
            <v>10.062945923474839</v>
          </cell>
          <cell r="LZ623">
            <v>14.730476692982464</v>
          </cell>
          <cell r="MA623">
            <v>11.870949885755934</v>
          </cell>
          <cell r="MB623">
            <v>9.6544719773798295</v>
          </cell>
          <cell r="MC623">
            <v>14.087427794132038</v>
          </cell>
        </row>
        <row r="624">
          <cell r="A624">
            <v>40400</v>
          </cell>
          <cell r="LJ624">
            <v>16.046572580646764</v>
          </cell>
          <cell r="LK624">
            <v>20.020152274152959</v>
          </cell>
          <cell r="LL624">
            <v>17.982747259685677</v>
          </cell>
          <cell r="LM624">
            <v>15.721193701553757</v>
          </cell>
          <cell r="LN624">
            <v>20.244300817817596</v>
          </cell>
          <cell r="LY624">
            <v>9.9976822656879367</v>
          </cell>
          <cell r="LZ624">
            <v>14.730476692982464</v>
          </cell>
          <cell r="MA624">
            <v>11.870949885755934</v>
          </cell>
          <cell r="MB624">
            <v>9.6544719773798295</v>
          </cell>
          <cell r="MC624">
            <v>14.087427794132038</v>
          </cell>
        </row>
        <row r="625">
          <cell r="A625">
            <v>40401</v>
          </cell>
          <cell r="LJ625">
            <v>15.481722079294377</v>
          </cell>
          <cell r="LK625">
            <v>20.020152274152959</v>
          </cell>
          <cell r="LL625">
            <v>17.982747259685677</v>
          </cell>
          <cell r="LM625">
            <v>15.721193701553757</v>
          </cell>
          <cell r="LN625">
            <v>20.244300817817596</v>
          </cell>
          <cell r="LY625">
            <v>9.6665134807808055</v>
          </cell>
          <cell r="LZ625">
            <v>14.730476692982464</v>
          </cell>
          <cell r="MA625">
            <v>11.870949885755934</v>
          </cell>
          <cell r="MB625">
            <v>9.6544719773798295</v>
          </cell>
          <cell r="MC625">
            <v>14.087427794132038</v>
          </cell>
        </row>
        <row r="626">
          <cell r="A626">
            <v>40402</v>
          </cell>
          <cell r="LJ626">
            <v>15.341542977770516</v>
          </cell>
          <cell r="LK626">
            <v>20.020152274152959</v>
          </cell>
          <cell r="LL626">
            <v>17.982747259685677</v>
          </cell>
          <cell r="LM626">
            <v>15.721193701553757</v>
          </cell>
          <cell r="LN626">
            <v>20.244300817817596</v>
          </cell>
          <cell r="LY626">
            <v>9.5843272339599519</v>
          </cell>
          <cell r="LZ626">
            <v>14.730476692982464</v>
          </cell>
          <cell r="MA626">
            <v>11.870949885755934</v>
          </cell>
          <cell r="MB626">
            <v>9.6544719773798295</v>
          </cell>
          <cell r="MC626">
            <v>14.087427794132038</v>
          </cell>
        </row>
        <row r="627">
          <cell r="A627">
            <v>40403</v>
          </cell>
          <cell r="LJ627">
            <v>15.263205851310978</v>
          </cell>
          <cell r="LK627">
            <v>20.020152274152959</v>
          </cell>
          <cell r="LL627">
            <v>17.982747259685677</v>
          </cell>
          <cell r="LM627">
            <v>15.721193701553757</v>
          </cell>
          <cell r="LN627">
            <v>20.244300817817596</v>
          </cell>
          <cell r="LY627">
            <v>9.5383986016570539</v>
          </cell>
          <cell r="LZ627">
            <v>14.730476692982464</v>
          </cell>
          <cell r="MA627">
            <v>11.870949885755934</v>
          </cell>
          <cell r="MB627">
            <v>9.6544719773798295</v>
          </cell>
          <cell r="MC627">
            <v>14.087427794132038</v>
          </cell>
        </row>
        <row r="628">
          <cell r="A628">
            <v>40406</v>
          </cell>
          <cell r="LJ628">
            <v>15.337422075995994</v>
          </cell>
          <cell r="LK628">
            <v>20.020152274152959</v>
          </cell>
          <cell r="LL628">
            <v>17.982747259685677</v>
          </cell>
          <cell r="LM628">
            <v>15.721193701553757</v>
          </cell>
          <cell r="LN628">
            <v>20.244300817817596</v>
          </cell>
          <cell r="LY628">
            <v>9.5819111716034122</v>
          </cell>
          <cell r="LZ628">
            <v>14.730476692982464</v>
          </cell>
          <cell r="MA628">
            <v>11.870949885755934</v>
          </cell>
          <cell r="MB628">
            <v>9.6544719773798295</v>
          </cell>
          <cell r="MC628">
            <v>14.087427794132038</v>
          </cell>
        </row>
        <row r="629">
          <cell r="A629">
            <v>40407</v>
          </cell>
          <cell r="LJ629">
            <v>15.488927473905173</v>
          </cell>
          <cell r="LK629">
            <v>20.020152274152959</v>
          </cell>
          <cell r="LL629">
            <v>17.982747259685677</v>
          </cell>
          <cell r="LM629">
            <v>15.721193701553757</v>
          </cell>
          <cell r="LN629">
            <v>20.244300817817596</v>
          </cell>
          <cell r="LY629">
            <v>9.6587928506624579</v>
          </cell>
          <cell r="LZ629">
            <v>14.730476692982464</v>
          </cell>
          <cell r="MA629">
            <v>11.870949885755934</v>
          </cell>
          <cell r="MB629">
            <v>9.6544719773798295</v>
          </cell>
          <cell r="MC629">
            <v>14.087427794132038</v>
          </cell>
        </row>
        <row r="630">
          <cell r="A630">
            <v>40408</v>
          </cell>
          <cell r="LJ630">
            <v>15.385942559135479</v>
          </cell>
          <cell r="LK630">
            <v>20.020152274152959</v>
          </cell>
          <cell r="LL630">
            <v>17.982747259685677</v>
          </cell>
          <cell r="LM630">
            <v>15.721193701553757</v>
          </cell>
          <cell r="LN630">
            <v>20.244300817817596</v>
          </cell>
          <cell r="LY630">
            <v>9.5984847523246994</v>
          </cell>
          <cell r="LZ630">
            <v>14.730476692982464</v>
          </cell>
          <cell r="MA630">
            <v>11.870949885755934</v>
          </cell>
          <cell r="MB630">
            <v>9.6544719773798295</v>
          </cell>
          <cell r="MC630">
            <v>14.087427794132038</v>
          </cell>
        </row>
        <row r="631">
          <cell r="A631">
            <v>40409</v>
          </cell>
          <cell r="LJ631">
            <v>14.97812023694919</v>
          </cell>
          <cell r="LK631">
            <v>20.020152274152959</v>
          </cell>
          <cell r="LL631">
            <v>17.982747259685677</v>
          </cell>
          <cell r="LM631">
            <v>15.721193701553757</v>
          </cell>
          <cell r="LN631">
            <v>20.244300817817596</v>
          </cell>
          <cell r="LY631">
            <v>9.3596634767452169</v>
          </cell>
          <cell r="LZ631">
            <v>14.730476692982464</v>
          </cell>
          <cell r="MA631">
            <v>11.870949885755934</v>
          </cell>
          <cell r="MB631">
            <v>9.6544719773798295</v>
          </cell>
          <cell r="MC631">
            <v>14.087427794132038</v>
          </cell>
        </row>
        <row r="632">
          <cell r="A632">
            <v>40410</v>
          </cell>
          <cell r="LJ632">
            <v>14.965762459116487</v>
          </cell>
          <cell r="LK632">
            <v>20.020152274152959</v>
          </cell>
          <cell r="LL632">
            <v>17.982747259685677</v>
          </cell>
          <cell r="LM632">
            <v>15.721193701553757</v>
          </cell>
          <cell r="LN632">
            <v>20.244300817817596</v>
          </cell>
          <cell r="LY632">
            <v>9.3524267461770805</v>
          </cell>
          <cell r="LZ632">
            <v>14.730476692982464</v>
          </cell>
          <cell r="MA632">
            <v>11.870949885755934</v>
          </cell>
          <cell r="MB632">
            <v>9.6544719773798295</v>
          </cell>
          <cell r="MC632">
            <v>14.087427794132038</v>
          </cell>
        </row>
        <row r="633">
          <cell r="A633">
            <v>40413</v>
          </cell>
          <cell r="LJ633">
            <v>14.9740029000567</v>
          </cell>
          <cell r="LK633">
            <v>20.020152274152959</v>
          </cell>
          <cell r="LL633">
            <v>17.982747259685677</v>
          </cell>
          <cell r="LM633">
            <v>15.721193701553757</v>
          </cell>
          <cell r="LN633">
            <v>20.244300817817596</v>
          </cell>
          <cell r="LY633">
            <v>9.3572523589736747</v>
          </cell>
          <cell r="LZ633">
            <v>14.730476692982464</v>
          </cell>
          <cell r="MA633">
            <v>11.870949885755934</v>
          </cell>
          <cell r="MB633">
            <v>9.6544719773798295</v>
          </cell>
          <cell r="MC633">
            <v>14.087427794132038</v>
          </cell>
        </row>
        <row r="634">
          <cell r="A634">
            <v>40414</v>
          </cell>
          <cell r="LJ634">
            <v>14.722719708018644</v>
          </cell>
          <cell r="LK634">
            <v>20.020152274152959</v>
          </cell>
          <cell r="LL634">
            <v>17.982747259685677</v>
          </cell>
          <cell r="LM634">
            <v>15.721193701553757</v>
          </cell>
          <cell r="LN634">
            <v>20.244300817817596</v>
          </cell>
          <cell r="LY634">
            <v>9.2101005990295484</v>
          </cell>
          <cell r="LZ634">
            <v>14.730476692982464</v>
          </cell>
          <cell r="MA634">
            <v>11.870949885755934</v>
          </cell>
          <cell r="MB634">
            <v>9.6544719773798295</v>
          </cell>
          <cell r="MC634">
            <v>14.087427794132038</v>
          </cell>
        </row>
        <row r="635">
          <cell r="A635">
            <v>40415</v>
          </cell>
          <cell r="LJ635">
            <v>14.842185504668761</v>
          </cell>
          <cell r="LK635">
            <v>20.020152274152959</v>
          </cell>
          <cell r="LL635">
            <v>17.982747259685677</v>
          </cell>
          <cell r="LM635">
            <v>15.721193701553757</v>
          </cell>
          <cell r="LN635">
            <v>20.244300817817596</v>
          </cell>
          <cell r="LY635">
            <v>9.2800599229604916</v>
          </cell>
          <cell r="LZ635">
            <v>14.730476692982464</v>
          </cell>
          <cell r="MA635">
            <v>11.870949885755934</v>
          </cell>
          <cell r="MB635">
            <v>9.6544719773798295</v>
          </cell>
          <cell r="MC635">
            <v>14.087427794132038</v>
          </cell>
        </row>
        <row r="636">
          <cell r="A636">
            <v>40416</v>
          </cell>
          <cell r="LJ636">
            <v>14.780390848350013</v>
          </cell>
          <cell r="LK636">
            <v>20.020152274152959</v>
          </cell>
          <cell r="LL636">
            <v>17.982747259685677</v>
          </cell>
          <cell r="LM636">
            <v>15.721193701553757</v>
          </cell>
          <cell r="LN636">
            <v>20.244300817817596</v>
          </cell>
          <cell r="LY636">
            <v>9.2438728928662997</v>
          </cell>
          <cell r="LZ636">
            <v>14.730476692982464</v>
          </cell>
          <cell r="MA636">
            <v>11.870949885755934</v>
          </cell>
          <cell r="MB636">
            <v>9.6544719773798295</v>
          </cell>
          <cell r="MC636">
            <v>14.087427794132038</v>
          </cell>
        </row>
        <row r="637">
          <cell r="A637">
            <v>40417</v>
          </cell>
          <cell r="LJ637">
            <v>15.134659367097424</v>
          </cell>
          <cell r="LK637">
            <v>20.020152274152959</v>
          </cell>
          <cell r="LL637">
            <v>17.982747259685677</v>
          </cell>
          <cell r="LM637">
            <v>15.721193701553757</v>
          </cell>
          <cell r="LN637">
            <v>20.244300817817596</v>
          </cell>
          <cell r="LY637">
            <v>9.4513329923805749</v>
          </cell>
          <cell r="LZ637">
            <v>14.730476692982464</v>
          </cell>
          <cell r="MA637">
            <v>11.870949885755934</v>
          </cell>
          <cell r="MB637">
            <v>9.6544719773798295</v>
          </cell>
          <cell r="MC637">
            <v>14.087427794132038</v>
          </cell>
        </row>
        <row r="638">
          <cell r="A638">
            <v>40420</v>
          </cell>
          <cell r="LJ638">
            <v>14.969885975103864</v>
          </cell>
          <cell r="LK638">
            <v>20.020152274152959</v>
          </cell>
          <cell r="LL638">
            <v>17.982747259685677</v>
          </cell>
          <cell r="LM638">
            <v>15.721193701553757</v>
          </cell>
          <cell r="LN638">
            <v>20.244300817817596</v>
          </cell>
          <cell r="LY638">
            <v>9.354841482434523</v>
          </cell>
          <cell r="LZ638">
            <v>14.730476692982464</v>
          </cell>
          <cell r="MA638">
            <v>11.870949885755934</v>
          </cell>
          <cell r="MB638">
            <v>9.6544719773798295</v>
          </cell>
          <cell r="MC638">
            <v>14.087427794132038</v>
          </cell>
        </row>
        <row r="639">
          <cell r="A639">
            <v>40421</v>
          </cell>
          <cell r="LJ639">
            <v>14.965762459116487</v>
          </cell>
          <cell r="LK639">
            <v>20.020152274152959</v>
          </cell>
          <cell r="LL639">
            <v>17.982747259685677</v>
          </cell>
          <cell r="LM639">
            <v>15.721193701553757</v>
          </cell>
          <cell r="LN639">
            <v>20.244300817817596</v>
          </cell>
          <cell r="LY639">
            <v>9.3524267461770805</v>
          </cell>
          <cell r="LZ639">
            <v>14.730476692982464</v>
          </cell>
          <cell r="MA639">
            <v>11.870949885755934</v>
          </cell>
          <cell r="MB639">
            <v>9.6544719773798295</v>
          </cell>
          <cell r="MC639">
            <v>14.087427794132038</v>
          </cell>
        </row>
        <row r="640">
          <cell r="A640">
            <v>40422</v>
          </cell>
          <cell r="LJ640">
            <v>15.491093131025094</v>
          </cell>
          <cell r="LK640">
            <v>20.020152274152959</v>
          </cell>
          <cell r="LL640">
            <v>17.982747259685677</v>
          </cell>
          <cell r="LM640">
            <v>15.721193701553757</v>
          </cell>
          <cell r="LN640">
            <v>20.244300817817596</v>
          </cell>
          <cell r="LY640">
            <v>9.6791000874694912</v>
          </cell>
          <cell r="LZ640">
            <v>14.730476692982464</v>
          </cell>
          <cell r="MA640">
            <v>11.870949885755934</v>
          </cell>
          <cell r="MB640">
            <v>9.6544719773798295</v>
          </cell>
          <cell r="MC640">
            <v>14.087427794132038</v>
          </cell>
        </row>
        <row r="641">
          <cell r="A641">
            <v>40423</v>
          </cell>
          <cell r="LJ641">
            <v>15.678613628696842</v>
          </cell>
          <cell r="LK641">
            <v>20.020152274152959</v>
          </cell>
          <cell r="LL641">
            <v>17.982747259685677</v>
          </cell>
          <cell r="LM641">
            <v>15.721193701553757</v>
          </cell>
          <cell r="LN641">
            <v>20.244300817817596</v>
          </cell>
          <cell r="LY641">
            <v>9.7891984324502506</v>
          </cell>
          <cell r="LZ641">
            <v>14.730476692982464</v>
          </cell>
          <cell r="MA641">
            <v>11.870949885755934</v>
          </cell>
          <cell r="MB641">
            <v>9.6544719773798295</v>
          </cell>
          <cell r="MC641">
            <v>14.087427794132038</v>
          </cell>
        </row>
        <row r="642">
          <cell r="A642">
            <v>40424</v>
          </cell>
          <cell r="LJ642">
            <v>15.992513725414261</v>
          </cell>
          <cell r="LK642">
            <v>20.020152274152959</v>
          </cell>
          <cell r="LL642">
            <v>17.982747259685677</v>
          </cell>
          <cell r="LM642">
            <v>15.721193701553757</v>
          </cell>
          <cell r="LN642">
            <v>20.244300817817596</v>
          </cell>
          <cell r="LY642">
            <v>9.9734976507596222</v>
          </cell>
          <cell r="LZ642">
            <v>14.730476692982464</v>
          </cell>
          <cell r="MA642">
            <v>11.870949885755934</v>
          </cell>
          <cell r="MB642">
            <v>9.6544719773798295</v>
          </cell>
          <cell r="MC642">
            <v>14.087427794132038</v>
          </cell>
        </row>
        <row r="643">
          <cell r="A643">
            <v>40427</v>
          </cell>
          <cell r="LJ643">
            <v>15.992513725414261</v>
          </cell>
          <cell r="LK643">
            <v>20.020152274152959</v>
          </cell>
          <cell r="LL643">
            <v>17.982747259685677</v>
          </cell>
          <cell r="LM643">
            <v>15.721193701553757</v>
          </cell>
          <cell r="LN643">
            <v>20.244300817817596</v>
          </cell>
          <cell r="LY643">
            <v>9.9734976507596222</v>
          </cell>
          <cell r="LZ643">
            <v>14.730476692982464</v>
          </cell>
          <cell r="MA643">
            <v>11.870949885755934</v>
          </cell>
          <cell r="MB643">
            <v>9.6544719773798295</v>
          </cell>
          <cell r="MC643">
            <v>14.087427794132038</v>
          </cell>
        </row>
        <row r="644">
          <cell r="A644">
            <v>40428</v>
          </cell>
          <cell r="LJ644">
            <v>15.955825924955846</v>
          </cell>
          <cell r="LK644">
            <v>20.020152274152959</v>
          </cell>
          <cell r="LL644">
            <v>17.982747259685677</v>
          </cell>
          <cell r="LM644">
            <v>15.721193701553757</v>
          </cell>
          <cell r="LN644">
            <v>20.244300817817596</v>
          </cell>
          <cell r="LY644">
            <v>9.9519572529812077</v>
          </cell>
          <cell r="LZ644">
            <v>14.730476692982464</v>
          </cell>
          <cell r="MA644">
            <v>11.870949885755934</v>
          </cell>
          <cell r="MB644">
            <v>9.6544719773798295</v>
          </cell>
          <cell r="MC644">
            <v>14.087427794132038</v>
          </cell>
        </row>
        <row r="645">
          <cell r="A645">
            <v>40429</v>
          </cell>
          <cell r="LJ645">
            <v>16.06997041405042</v>
          </cell>
          <cell r="LK645">
            <v>20.020152274152959</v>
          </cell>
          <cell r="LL645">
            <v>17.982747259685677</v>
          </cell>
          <cell r="LM645">
            <v>15.721193701553757</v>
          </cell>
          <cell r="LN645">
            <v>20.244300817817596</v>
          </cell>
          <cell r="LY645">
            <v>10.018974563056744</v>
          </cell>
          <cell r="LZ645">
            <v>14.730476692982464</v>
          </cell>
          <cell r="MA645">
            <v>11.870949885755934</v>
          </cell>
          <cell r="MB645">
            <v>9.6544719773798295</v>
          </cell>
          <cell r="MC645">
            <v>14.087427794132038</v>
          </cell>
        </row>
        <row r="646">
          <cell r="A646">
            <v>40430</v>
          </cell>
          <cell r="LJ646">
            <v>16.098503376956391</v>
          </cell>
          <cell r="LK646">
            <v>20.020152274152959</v>
          </cell>
          <cell r="LL646">
            <v>17.982747259685677</v>
          </cell>
          <cell r="LM646">
            <v>15.721193701553757</v>
          </cell>
          <cell r="LN646">
            <v>20.244300817817596</v>
          </cell>
          <cell r="LY646">
            <v>10.035727035625602</v>
          </cell>
          <cell r="LZ646">
            <v>14.730476692982464</v>
          </cell>
          <cell r="MA646">
            <v>11.870949885755934</v>
          </cell>
          <cell r="MB646">
            <v>9.6544719773798295</v>
          </cell>
          <cell r="MC646">
            <v>14.087427794132038</v>
          </cell>
        </row>
        <row r="647">
          <cell r="A647">
            <v>40431</v>
          </cell>
          <cell r="LJ647">
            <v>16.139271857473791</v>
          </cell>
          <cell r="LK647">
            <v>20.020152274152959</v>
          </cell>
          <cell r="LL647">
            <v>17.982747259685677</v>
          </cell>
          <cell r="LM647">
            <v>15.721193701553757</v>
          </cell>
          <cell r="LN647">
            <v>20.244300817817596</v>
          </cell>
          <cell r="LY647">
            <v>10.059663310795919</v>
          </cell>
          <cell r="LZ647">
            <v>14.730476692982464</v>
          </cell>
          <cell r="MA647">
            <v>11.870949885755934</v>
          </cell>
          <cell r="MB647">
            <v>9.6544719773798295</v>
          </cell>
          <cell r="MC647">
            <v>14.087427794132038</v>
          </cell>
        </row>
        <row r="648">
          <cell r="A648">
            <v>40434</v>
          </cell>
          <cell r="LJ648">
            <v>16.368076954397395</v>
          </cell>
          <cell r="LK648">
            <v>20.020152274152959</v>
          </cell>
          <cell r="LL648">
            <v>17.982747259685677</v>
          </cell>
          <cell r="LM648">
            <v>15.721193701553757</v>
          </cell>
          <cell r="LN648">
            <v>20.244300817817596</v>
          </cell>
          <cell r="LY648">
            <v>10.21651307494075</v>
          </cell>
          <cell r="LZ648">
            <v>14.730476692982464</v>
          </cell>
          <cell r="MA648">
            <v>11.870949885755934</v>
          </cell>
          <cell r="MB648">
            <v>9.6544719773798295</v>
          </cell>
          <cell r="MC648">
            <v>14.087427794132038</v>
          </cell>
        </row>
        <row r="649">
          <cell r="A649">
            <v>40435</v>
          </cell>
          <cell r="LJ649">
            <v>16.364001628664496</v>
          </cell>
          <cell r="LK649">
            <v>20.020152274152959</v>
          </cell>
          <cell r="LL649">
            <v>17.982747259685677</v>
          </cell>
          <cell r="LM649">
            <v>15.721193701553757</v>
          </cell>
          <cell r="LN649">
            <v>20.244300817817596</v>
          </cell>
          <cell r="LY649">
            <v>10.21411489065723</v>
          </cell>
          <cell r="LZ649">
            <v>14.730476692982464</v>
          </cell>
          <cell r="MA649">
            <v>11.870949885755934</v>
          </cell>
          <cell r="MB649">
            <v>9.6544719773798295</v>
          </cell>
          <cell r="MC649">
            <v>14.087427794132038</v>
          </cell>
        </row>
        <row r="650">
          <cell r="A650">
            <v>40436</v>
          </cell>
          <cell r="LJ650">
            <v>16.306998371335506</v>
          </cell>
          <cell r="LK650">
            <v>20.020152274152959</v>
          </cell>
          <cell r="LL650">
            <v>17.982747259685677</v>
          </cell>
          <cell r="LM650">
            <v>15.721193701553757</v>
          </cell>
          <cell r="LN650">
            <v>20.244300817817596</v>
          </cell>
          <cell r="LY650">
            <v>10.180570500638982</v>
          </cell>
          <cell r="LZ650">
            <v>14.730476692982464</v>
          </cell>
          <cell r="MA650">
            <v>11.870949885755934</v>
          </cell>
          <cell r="MB650">
            <v>9.6544719773798295</v>
          </cell>
          <cell r="MC650">
            <v>14.087427794132038</v>
          </cell>
        </row>
        <row r="651">
          <cell r="A651">
            <v>40437</v>
          </cell>
          <cell r="LJ651">
            <v>16.323760276004435</v>
          </cell>
          <cell r="LK651">
            <v>20.020152274152959</v>
          </cell>
          <cell r="LL651">
            <v>17.982747259685677</v>
          </cell>
          <cell r="LM651">
            <v>15.721193701553757</v>
          </cell>
          <cell r="LN651">
            <v>20.244300817817596</v>
          </cell>
          <cell r="LY651">
            <v>10.193382930897798</v>
          </cell>
          <cell r="LZ651">
            <v>14.730476692982464</v>
          </cell>
          <cell r="MA651">
            <v>11.870949885755934</v>
          </cell>
          <cell r="MB651">
            <v>9.6544719773798295</v>
          </cell>
          <cell r="MC651">
            <v>14.087427794132038</v>
          </cell>
        </row>
        <row r="652">
          <cell r="A652">
            <v>40438</v>
          </cell>
          <cell r="LJ652">
            <v>16.571644120073305</v>
          </cell>
          <cell r="LK652">
            <v>20.020152274152959</v>
          </cell>
          <cell r="LL652">
            <v>17.982747259685677</v>
          </cell>
          <cell r="LM652">
            <v>15.721193701553757</v>
          </cell>
          <cell r="LN652">
            <v>20.244300817817596</v>
          </cell>
          <cell r="LY652">
            <v>10.339312395309845</v>
          </cell>
          <cell r="LZ652">
            <v>14.730476692982464</v>
          </cell>
          <cell r="MA652">
            <v>11.870949885755934</v>
          </cell>
          <cell r="MB652">
            <v>9.6544719773798295</v>
          </cell>
          <cell r="MC652">
            <v>14.087427794132038</v>
          </cell>
        </row>
        <row r="653">
          <cell r="A653">
            <v>40441</v>
          </cell>
          <cell r="LJ653">
            <v>16.713868897892173</v>
          </cell>
          <cell r="LK653">
            <v>20.020152274152959</v>
          </cell>
          <cell r="LL653">
            <v>17.982747259685677</v>
          </cell>
          <cell r="LM653">
            <v>15.721193701553757</v>
          </cell>
          <cell r="LN653">
            <v>20.244300817817596</v>
          </cell>
          <cell r="LY653">
            <v>10.423040262816464</v>
          </cell>
          <cell r="LZ653">
            <v>14.730476692982464</v>
          </cell>
          <cell r="MA653">
            <v>11.870949885755934</v>
          </cell>
          <cell r="MB653">
            <v>9.6544719773798295</v>
          </cell>
          <cell r="MC653">
            <v>14.087427794132038</v>
          </cell>
        </row>
        <row r="654">
          <cell r="A654">
            <v>40442</v>
          </cell>
          <cell r="LJ654">
            <v>16.677297497185908</v>
          </cell>
          <cell r="LK654">
            <v>20.020152274152959</v>
          </cell>
          <cell r="LL654">
            <v>17.982747259685677</v>
          </cell>
          <cell r="LM654">
            <v>15.721193701553757</v>
          </cell>
          <cell r="LN654">
            <v>20.244300817817596</v>
          </cell>
          <cell r="LY654">
            <v>10.401510643014452</v>
          </cell>
          <cell r="LZ654">
            <v>14.730476692982464</v>
          </cell>
          <cell r="MA654">
            <v>11.870949885755934</v>
          </cell>
          <cell r="MB654">
            <v>9.6544719773798295</v>
          </cell>
          <cell r="MC654">
            <v>14.087427794132038</v>
          </cell>
        </row>
        <row r="655">
          <cell r="A655">
            <v>40443</v>
          </cell>
          <cell r="LJ655">
            <v>16.514753152391673</v>
          </cell>
          <cell r="LK655">
            <v>20.020152274152959</v>
          </cell>
          <cell r="LL655">
            <v>17.982747259685677</v>
          </cell>
          <cell r="LM655">
            <v>15.721193701553757</v>
          </cell>
          <cell r="LN655">
            <v>20.244300817817596</v>
          </cell>
          <cell r="LY655">
            <v>10.305933960117303</v>
          </cell>
          <cell r="LZ655">
            <v>14.730476692982464</v>
          </cell>
          <cell r="MA655">
            <v>11.870949885755934</v>
          </cell>
          <cell r="MB655">
            <v>9.6544719773798295</v>
          </cell>
          <cell r="MC655">
            <v>14.087427794132038</v>
          </cell>
        </row>
        <row r="656">
          <cell r="A656">
            <v>40444</v>
          </cell>
          <cell r="LJ656">
            <v>16.299372975784593</v>
          </cell>
          <cell r="LK656">
            <v>20.020152274152959</v>
          </cell>
          <cell r="LL656">
            <v>17.982747259685677</v>
          </cell>
          <cell r="LM656">
            <v>15.721193701553757</v>
          </cell>
          <cell r="LN656">
            <v>20.244300817817596</v>
          </cell>
          <cell r="LY656">
            <v>10.179138042551203</v>
          </cell>
          <cell r="LZ656">
            <v>14.730476692982464</v>
          </cell>
          <cell r="MA656">
            <v>11.870949885755934</v>
          </cell>
          <cell r="MB656">
            <v>9.6544719773798295</v>
          </cell>
          <cell r="MC656">
            <v>14.087427794132038</v>
          </cell>
        </row>
        <row r="657">
          <cell r="A657">
            <v>40445</v>
          </cell>
          <cell r="LJ657">
            <v>16.754508031842914</v>
          </cell>
          <cell r="LK657">
            <v>20.020152274152959</v>
          </cell>
          <cell r="LL657">
            <v>17.982747259685677</v>
          </cell>
          <cell r="LM657">
            <v>15.721193701553757</v>
          </cell>
          <cell r="LN657">
            <v>20.244300817817596</v>
          </cell>
          <cell r="LY657">
            <v>10.447079447180528</v>
          </cell>
          <cell r="LZ657">
            <v>14.730476692982464</v>
          </cell>
          <cell r="MA657">
            <v>11.870949885755934</v>
          </cell>
          <cell r="MB657">
            <v>9.6544719773798295</v>
          </cell>
          <cell r="MC657">
            <v>14.087427794132038</v>
          </cell>
        </row>
        <row r="658">
          <cell r="A658">
            <v>40448</v>
          </cell>
          <cell r="LJ658">
            <v>16.579766989186574</v>
          </cell>
          <cell r="LK658">
            <v>20.020152274152959</v>
          </cell>
          <cell r="LL658">
            <v>17.982747259685677</v>
          </cell>
          <cell r="LM658">
            <v>15.721193701553757</v>
          </cell>
          <cell r="LN658">
            <v>20.244300817817596</v>
          </cell>
          <cell r="LY658">
            <v>10.3442080911017</v>
          </cell>
          <cell r="LZ658">
            <v>14.730476692982464</v>
          </cell>
          <cell r="MA658">
            <v>11.870949885755934</v>
          </cell>
          <cell r="MB658">
            <v>9.6544719773798295</v>
          </cell>
          <cell r="MC658">
            <v>14.087427794132038</v>
          </cell>
        </row>
        <row r="659">
          <cell r="A659">
            <v>40449</v>
          </cell>
          <cell r="LJ659">
            <v>16.843909168857664</v>
          </cell>
          <cell r="LK659">
            <v>20.020152274152959</v>
          </cell>
          <cell r="LL659">
            <v>17.982747259685677</v>
          </cell>
          <cell r="LM659">
            <v>15.721193701553757</v>
          </cell>
          <cell r="LN659">
            <v>20.244300817817596</v>
          </cell>
          <cell r="LY659">
            <v>10.499710563831144</v>
          </cell>
          <cell r="LZ659">
            <v>14.730476692982464</v>
          </cell>
          <cell r="MA659">
            <v>11.870949885755934</v>
          </cell>
          <cell r="MB659">
            <v>9.6544719773798295</v>
          </cell>
          <cell r="MC659">
            <v>14.087427794132038</v>
          </cell>
        </row>
        <row r="660">
          <cell r="A660">
            <v>40450</v>
          </cell>
          <cell r="LJ660">
            <v>16.486304620798673</v>
          </cell>
          <cell r="LK660">
            <v>20.020152274152959</v>
          </cell>
          <cell r="LL660">
            <v>17.982747259685677</v>
          </cell>
          <cell r="LM660">
            <v>15.721193701553757</v>
          </cell>
          <cell r="LN660">
            <v>20.244300817817596</v>
          </cell>
          <cell r="LY660">
            <v>10.289186097228679</v>
          </cell>
          <cell r="LZ660">
            <v>14.730476692982464</v>
          </cell>
          <cell r="MA660">
            <v>11.870949885755934</v>
          </cell>
          <cell r="MB660">
            <v>9.6544719773798295</v>
          </cell>
          <cell r="MC660">
            <v>14.087427794132038</v>
          </cell>
        </row>
        <row r="661">
          <cell r="A661">
            <v>40451</v>
          </cell>
          <cell r="LJ661">
            <v>16.502556454529568</v>
          </cell>
          <cell r="LK661">
            <v>20.020152274152959</v>
          </cell>
          <cell r="LL661">
            <v>17.982747259685677</v>
          </cell>
          <cell r="LM661">
            <v>15.721193701553757</v>
          </cell>
          <cell r="LN661">
            <v>20.244300817817596</v>
          </cell>
          <cell r="LY661">
            <v>10.298753673049736</v>
          </cell>
          <cell r="LZ661">
            <v>14.730476692982464</v>
          </cell>
          <cell r="MA661">
            <v>11.870949885755934</v>
          </cell>
          <cell r="MB661">
            <v>9.6544719773798295</v>
          </cell>
          <cell r="MC661">
            <v>14.087427794132038</v>
          </cell>
        </row>
        <row r="662">
          <cell r="A662">
            <v>40452</v>
          </cell>
          <cell r="LJ662">
            <v>16.244076942254626</v>
          </cell>
          <cell r="LK662">
            <v>20.020152274152959</v>
          </cell>
          <cell r="LL662">
            <v>17.982747259685677</v>
          </cell>
          <cell r="LM662">
            <v>15.721193701553757</v>
          </cell>
          <cell r="LN662">
            <v>20.244300817817596</v>
          </cell>
          <cell r="LY662">
            <v>10.170560126110127</v>
          </cell>
          <cell r="LZ662">
            <v>14.730476692982464</v>
          </cell>
          <cell r="MA662">
            <v>11.870949885755934</v>
          </cell>
          <cell r="MB662">
            <v>9.6544719773798295</v>
          </cell>
          <cell r="MC662">
            <v>14.087427794132038</v>
          </cell>
        </row>
        <row r="663">
          <cell r="A663">
            <v>40455</v>
          </cell>
          <cell r="LJ663">
            <v>15.970658528545238</v>
          </cell>
          <cell r="LK663">
            <v>20.020152274152959</v>
          </cell>
          <cell r="LL663">
            <v>17.982747259685677</v>
          </cell>
          <cell r="LM663">
            <v>15.721193701553757</v>
          </cell>
          <cell r="LN663">
            <v>20.244300817817596</v>
          </cell>
          <cell r="LY663">
            <v>10.009118398522435</v>
          </cell>
          <cell r="LZ663">
            <v>14.730476692982464</v>
          </cell>
          <cell r="MA663">
            <v>11.870949885755934</v>
          </cell>
          <cell r="MB663">
            <v>9.6544719773798295</v>
          </cell>
          <cell r="MC663">
            <v>14.087427794132038</v>
          </cell>
        </row>
        <row r="664">
          <cell r="A664">
            <v>40456</v>
          </cell>
          <cell r="LJ664">
            <v>16.39686979807637</v>
          </cell>
          <cell r="LK664">
            <v>20.020152274152959</v>
          </cell>
          <cell r="LL664">
            <v>17.982747259685677</v>
          </cell>
          <cell r="LM664">
            <v>15.721193701553757</v>
          </cell>
          <cell r="LN664">
            <v>20.244300817817596</v>
          </cell>
          <cell r="LY664">
            <v>10.260777687803461</v>
          </cell>
          <cell r="LZ664">
            <v>14.730476692982464</v>
          </cell>
          <cell r="MA664">
            <v>11.870949885755934</v>
          </cell>
          <cell r="MB664">
            <v>9.6544719773798295</v>
          </cell>
          <cell r="MC664">
            <v>14.087427794132038</v>
          </cell>
        </row>
        <row r="665">
          <cell r="A665">
            <v>40457</v>
          </cell>
          <cell r="LJ665">
            <v>16.437074296560528</v>
          </cell>
          <cell r="LK665">
            <v>20.020152274152959</v>
          </cell>
          <cell r="LL665">
            <v>17.982747259685677</v>
          </cell>
          <cell r="LM665">
            <v>15.721193701553757</v>
          </cell>
          <cell r="LN665">
            <v>20.244300817817596</v>
          </cell>
          <cell r="LY665">
            <v>10.284516702319792</v>
          </cell>
          <cell r="LZ665">
            <v>14.730476692982464</v>
          </cell>
          <cell r="MA665">
            <v>11.870949885755934</v>
          </cell>
          <cell r="MB665">
            <v>9.6544719773798295</v>
          </cell>
          <cell r="MC665">
            <v>14.087427794132038</v>
          </cell>
        </row>
        <row r="666">
          <cell r="A666">
            <v>40458</v>
          </cell>
          <cell r="LJ666">
            <v>16.38330152607924</v>
          </cell>
          <cell r="LK666">
            <v>20.020152274152959</v>
          </cell>
          <cell r="LL666">
            <v>17.982747259685677</v>
          </cell>
          <cell r="LM666">
            <v>15.721193701553757</v>
          </cell>
          <cell r="LN666">
            <v>20.244300817817596</v>
          </cell>
          <cell r="LY666">
            <v>10.245753409504879</v>
          </cell>
          <cell r="LZ666">
            <v>14.730476692982464</v>
          </cell>
          <cell r="MA666">
            <v>11.870949885755934</v>
          </cell>
          <cell r="MB666">
            <v>9.6544719773798295</v>
          </cell>
          <cell r="MC666">
            <v>14.087427794132038</v>
          </cell>
        </row>
        <row r="667">
          <cell r="A667">
            <v>40459</v>
          </cell>
          <cell r="LJ667">
            <v>16.652875326735618</v>
          </cell>
          <cell r="LK667">
            <v>20.020152274152959</v>
          </cell>
          <cell r="LL667">
            <v>17.982747259685677</v>
          </cell>
          <cell r="LM667">
            <v>15.721193701553757</v>
          </cell>
          <cell r="LN667">
            <v>20.244300817817596</v>
          </cell>
          <cell r="LY667">
            <v>10.404810391890271</v>
          </cell>
          <cell r="LZ667">
            <v>14.730476692982464</v>
          </cell>
          <cell r="MA667">
            <v>11.870949885755934</v>
          </cell>
          <cell r="MB667">
            <v>9.6544719773798295</v>
          </cell>
          <cell r="MC667">
            <v>14.087427794132038</v>
          </cell>
        </row>
        <row r="668">
          <cell r="A668">
            <v>40462</v>
          </cell>
          <cell r="LJ668">
            <v>16.616659849231144</v>
          </cell>
          <cell r="LK668">
            <v>20.020152274152959</v>
          </cell>
          <cell r="LL668">
            <v>17.982747259685677</v>
          </cell>
          <cell r="LM668">
            <v>15.721193701553757</v>
          </cell>
          <cell r="LN668">
            <v>20.244300817817596</v>
          </cell>
          <cell r="LY668">
            <v>10.383442126304068</v>
          </cell>
          <cell r="LZ668">
            <v>14.730476692982464</v>
          </cell>
          <cell r="MA668">
            <v>11.870949885755934</v>
          </cell>
          <cell r="MB668">
            <v>9.6544719773798295</v>
          </cell>
          <cell r="MC668">
            <v>14.087427794132038</v>
          </cell>
        </row>
        <row r="669">
          <cell r="A669">
            <v>40463</v>
          </cell>
          <cell r="LJ669">
            <v>16.635210805920682</v>
          </cell>
          <cell r="LK669">
            <v>20.020152274152959</v>
          </cell>
          <cell r="LL669">
            <v>17.982747259685677</v>
          </cell>
          <cell r="LM669">
            <v>15.721193701553757</v>
          </cell>
          <cell r="LN669">
            <v>20.244300817817596</v>
          </cell>
          <cell r="LY669">
            <v>10.393205299809017</v>
          </cell>
          <cell r="LZ669">
            <v>14.730476692982464</v>
          </cell>
          <cell r="MA669">
            <v>11.870949885755934</v>
          </cell>
          <cell r="MB669">
            <v>9.6544719773798295</v>
          </cell>
          <cell r="MC669">
            <v>14.087427794132038</v>
          </cell>
        </row>
        <row r="670">
          <cell r="A670">
            <v>40464</v>
          </cell>
          <cell r="LJ670">
            <v>16.880014806327868</v>
          </cell>
          <cell r="LK670">
            <v>20.020152274152959</v>
          </cell>
          <cell r="LL670">
            <v>17.982747259685677</v>
          </cell>
          <cell r="LM670">
            <v>15.721193701553757</v>
          </cell>
          <cell r="LN670">
            <v>20.244300817817596</v>
          </cell>
          <cell r="LY670">
            <v>10.548978028071941</v>
          </cell>
          <cell r="LZ670">
            <v>14.730476692982464</v>
          </cell>
          <cell r="MA670">
            <v>11.870949885755934</v>
          </cell>
          <cell r="MB670">
            <v>9.6544719773798295</v>
          </cell>
          <cell r="MC670">
            <v>14.087427794132038</v>
          </cell>
        </row>
        <row r="671">
          <cell r="A671">
            <v>40465</v>
          </cell>
          <cell r="LJ671">
            <v>16.789512573076149</v>
          </cell>
          <cell r="LK671">
            <v>20.020152274152959</v>
          </cell>
          <cell r="LL671">
            <v>17.982747259685677</v>
          </cell>
          <cell r="LM671">
            <v>15.721193701553757</v>
          </cell>
          <cell r="LN671">
            <v>20.244300817817596</v>
          </cell>
          <cell r="LY671">
            <v>10.467715374621747</v>
          </cell>
          <cell r="LZ671">
            <v>14.730476692982464</v>
          </cell>
          <cell r="MA671">
            <v>11.870949885755934</v>
          </cell>
          <cell r="MB671">
            <v>9.6544719773798295</v>
          </cell>
          <cell r="MC671">
            <v>14.087427794132038</v>
          </cell>
        </row>
        <row r="672">
          <cell r="A672">
            <v>40466</v>
          </cell>
          <cell r="LJ672">
            <v>16.821615696431326</v>
          </cell>
          <cell r="LK672">
            <v>20.020152274152959</v>
          </cell>
          <cell r="LL672">
            <v>17.982747259685677</v>
          </cell>
          <cell r="LM672">
            <v>15.721193701553757</v>
          </cell>
          <cell r="LN672">
            <v>20.244300817817596</v>
          </cell>
          <cell r="LY672">
            <v>10.506844425781527</v>
          </cell>
          <cell r="LZ672">
            <v>14.730476692982464</v>
          </cell>
          <cell r="MA672">
            <v>11.870949885755934</v>
          </cell>
          <cell r="MB672">
            <v>9.6544719773798295</v>
          </cell>
          <cell r="MC672">
            <v>14.087427794132038</v>
          </cell>
        </row>
        <row r="673">
          <cell r="A673">
            <v>40469</v>
          </cell>
          <cell r="LJ673">
            <v>16.841674430302422</v>
          </cell>
          <cell r="LK673">
            <v>20.020152274152959</v>
          </cell>
          <cell r="LL673">
            <v>17.982747259685677</v>
          </cell>
          <cell r="LM673">
            <v>15.721193701553757</v>
          </cell>
          <cell r="LN673">
            <v>20.244300817817596</v>
          </cell>
          <cell r="LY673">
            <v>10.518685539694737</v>
          </cell>
          <cell r="LZ673">
            <v>14.730476692982464</v>
          </cell>
          <cell r="MA673">
            <v>11.870949885755934</v>
          </cell>
          <cell r="MB673">
            <v>9.6544719773798295</v>
          </cell>
          <cell r="MC673">
            <v>14.087427794132038</v>
          </cell>
        </row>
        <row r="674">
          <cell r="A674">
            <v>40470</v>
          </cell>
          <cell r="LJ674">
            <v>16.536704790403487</v>
          </cell>
          <cell r="LK674">
            <v>20.020152274152959</v>
          </cell>
          <cell r="LL674">
            <v>17.982747259685677</v>
          </cell>
          <cell r="LM674">
            <v>15.721193701553757</v>
          </cell>
          <cell r="LN674">
            <v>20.244300817817596</v>
          </cell>
          <cell r="LY674">
            <v>10.33853663086111</v>
          </cell>
          <cell r="LZ674">
            <v>14.730476692982464</v>
          </cell>
          <cell r="MA674">
            <v>11.870949885755934</v>
          </cell>
          <cell r="MB674">
            <v>9.6544719773798295</v>
          </cell>
          <cell r="MC674">
            <v>14.087427794132038</v>
          </cell>
        </row>
        <row r="675">
          <cell r="A675">
            <v>40471</v>
          </cell>
          <cell r="LJ675">
            <v>16.689192820585035</v>
          </cell>
          <cell r="LK675">
            <v>20.020152274152959</v>
          </cell>
          <cell r="LL675">
            <v>17.982747259685677</v>
          </cell>
          <cell r="LM675">
            <v>15.721193701553757</v>
          </cell>
          <cell r="LN675">
            <v>20.244300817817596</v>
          </cell>
          <cell r="LY675">
            <v>10.428552652598912</v>
          </cell>
          <cell r="LZ675">
            <v>14.730476692982464</v>
          </cell>
          <cell r="MA675">
            <v>11.870949885755934</v>
          </cell>
          <cell r="MB675">
            <v>9.6544719773798295</v>
          </cell>
          <cell r="MC675">
            <v>14.087427794132038</v>
          </cell>
        </row>
        <row r="676">
          <cell r="A676">
            <v>40472</v>
          </cell>
          <cell r="LJ676">
            <v>17.302389301802073</v>
          </cell>
          <cell r="LK676">
            <v>20.020152274152959</v>
          </cell>
          <cell r="LL676">
            <v>17.982747259685677</v>
          </cell>
          <cell r="LM676">
            <v>15.721193701553757</v>
          </cell>
          <cell r="LN676">
            <v>20.244300817817596</v>
          </cell>
          <cell r="LY676">
            <v>10.717881168255655</v>
          </cell>
          <cell r="LZ676">
            <v>14.730476692982464</v>
          </cell>
          <cell r="MA676">
            <v>11.870949885755934</v>
          </cell>
          <cell r="MB676">
            <v>9.6544719773798295</v>
          </cell>
          <cell r="MC676">
            <v>14.087427794132038</v>
          </cell>
        </row>
        <row r="677">
          <cell r="A677">
            <v>40473</v>
          </cell>
          <cell r="LJ677">
            <v>16.945358470131367</v>
          </cell>
          <cell r="LK677">
            <v>20.020152274152959</v>
          </cell>
          <cell r="LL677">
            <v>17.982747259685677</v>
          </cell>
          <cell r="LM677">
            <v>15.721193701553757</v>
          </cell>
          <cell r="LN677">
            <v>20.244300817817596</v>
          </cell>
          <cell r="LY677">
            <v>10.363077634761765</v>
          </cell>
          <cell r="LZ677">
            <v>14.730476692982464</v>
          </cell>
          <cell r="MA677">
            <v>11.870949885755934</v>
          </cell>
          <cell r="MB677">
            <v>9.6544719773798295</v>
          </cell>
          <cell r="MC677">
            <v>14.087427794132038</v>
          </cell>
        </row>
        <row r="678">
          <cell r="A678">
            <v>40476</v>
          </cell>
          <cell r="LJ678">
            <v>16.725119360653814</v>
          </cell>
          <cell r="LK678">
            <v>20.020152274152959</v>
          </cell>
          <cell r="LL678">
            <v>17.982747259685677</v>
          </cell>
          <cell r="LM678">
            <v>15.721193701553757</v>
          </cell>
          <cell r="LN678">
            <v>20.244300817817596</v>
          </cell>
          <cell r="LY678">
            <v>10.223813806073121</v>
          </cell>
          <cell r="LZ678">
            <v>14.730476692982464</v>
          </cell>
          <cell r="MA678">
            <v>11.870949885755934</v>
          </cell>
          <cell r="MB678">
            <v>9.6544719773798295</v>
          </cell>
          <cell r="MC678">
            <v>14.087427794132038</v>
          </cell>
        </row>
        <row r="679">
          <cell r="A679">
            <v>40477</v>
          </cell>
          <cell r="LJ679">
            <v>16.727844844031974</v>
          </cell>
          <cell r="LK679">
            <v>20.020152274152959</v>
          </cell>
          <cell r="LL679">
            <v>17.982747259685677</v>
          </cell>
          <cell r="LM679">
            <v>15.721193701553757</v>
          </cell>
          <cell r="LN679">
            <v>20.244300817817596</v>
          </cell>
          <cell r="LY679">
            <v>10.218224776946302</v>
          </cell>
          <cell r="LZ679">
            <v>14.730476692982464</v>
          </cell>
          <cell r="MA679">
            <v>11.870949885755934</v>
          </cell>
          <cell r="MB679">
            <v>9.6544719773798295</v>
          </cell>
          <cell r="MC679">
            <v>14.087427794132038</v>
          </cell>
        </row>
        <row r="680">
          <cell r="A680">
            <v>40478</v>
          </cell>
          <cell r="LJ680">
            <v>16.69670698427808</v>
          </cell>
          <cell r="LK680">
            <v>20.020152274152959</v>
          </cell>
          <cell r="LL680">
            <v>17.982747259685677</v>
          </cell>
          <cell r="LM680">
            <v>15.721193701553757</v>
          </cell>
          <cell r="LN680">
            <v>20.244300817817596</v>
          </cell>
          <cell r="LY680">
            <v>10.199999774780633</v>
          </cell>
          <cell r="LZ680">
            <v>14.730476692982464</v>
          </cell>
          <cell r="MA680">
            <v>11.870949885755934</v>
          </cell>
          <cell r="MB680">
            <v>9.6544719773798295</v>
          </cell>
          <cell r="MC680">
            <v>14.087427794132038</v>
          </cell>
        </row>
        <row r="681">
          <cell r="A681">
            <v>40479</v>
          </cell>
          <cell r="LJ681">
            <v>16.766776706362975</v>
          </cell>
          <cell r="LK681">
            <v>20.020152274152959</v>
          </cell>
          <cell r="LL681">
            <v>17.982747259685677</v>
          </cell>
          <cell r="LM681">
            <v>15.721193701553757</v>
          </cell>
          <cell r="LN681">
            <v>20.244300817817596</v>
          </cell>
          <cell r="LY681">
            <v>10.241725301638144</v>
          </cell>
          <cell r="LZ681">
            <v>14.730476692982464</v>
          </cell>
          <cell r="MA681">
            <v>11.870949885755934</v>
          </cell>
          <cell r="MB681">
            <v>9.6544719773798295</v>
          </cell>
          <cell r="MC681">
            <v>14.087427794132038</v>
          </cell>
        </row>
        <row r="682">
          <cell r="A682">
            <v>40480</v>
          </cell>
          <cell r="LJ682">
            <v>16.879668479468403</v>
          </cell>
          <cell r="LK682">
            <v>20.020152274152959</v>
          </cell>
          <cell r="LL682">
            <v>17.982747259685677</v>
          </cell>
          <cell r="LM682">
            <v>15.721193701553757</v>
          </cell>
          <cell r="LN682">
            <v>20.244300817817596</v>
          </cell>
          <cell r="LY682">
            <v>10.307805507797989</v>
          </cell>
          <cell r="LZ682">
            <v>14.730476692982464</v>
          </cell>
          <cell r="MA682">
            <v>11.870949885755934</v>
          </cell>
          <cell r="MB682">
            <v>9.6544719773798295</v>
          </cell>
          <cell r="MC682">
            <v>14.087427794132038</v>
          </cell>
        </row>
        <row r="683">
          <cell r="A683">
            <v>40483</v>
          </cell>
          <cell r="LJ683">
            <v>16.634609231055194</v>
          </cell>
          <cell r="LK683">
            <v>20.020152274152959</v>
          </cell>
          <cell r="LL683">
            <v>17.982747259685677</v>
          </cell>
          <cell r="LM683">
            <v>15.721193701553757</v>
          </cell>
          <cell r="LN683">
            <v>20.244300817817596</v>
          </cell>
          <cell r="LY683">
            <v>10.179654418466328</v>
          </cell>
          <cell r="LZ683">
            <v>14.730476692982464</v>
          </cell>
          <cell r="MA683">
            <v>11.870949885755934</v>
          </cell>
          <cell r="MB683">
            <v>9.6544719773798295</v>
          </cell>
          <cell r="MC683">
            <v>14.087427794132038</v>
          </cell>
        </row>
        <row r="684">
          <cell r="A684">
            <v>40484</v>
          </cell>
          <cell r="LJ684">
            <v>16.819436695105008</v>
          </cell>
          <cell r="LK684">
            <v>20.020152274152959</v>
          </cell>
          <cell r="LL684">
            <v>17.982747259685677</v>
          </cell>
          <cell r="LM684">
            <v>15.721193701553757</v>
          </cell>
          <cell r="LN684">
            <v>20.244300817817596</v>
          </cell>
          <cell r="LY684">
            <v>10.288053858233134</v>
          </cell>
          <cell r="LZ684">
            <v>14.730476692982464</v>
          </cell>
          <cell r="MA684">
            <v>11.870949885755934</v>
          </cell>
          <cell r="MB684">
            <v>9.6544719773798295</v>
          </cell>
          <cell r="MC684">
            <v>14.087427794132038</v>
          </cell>
        </row>
        <row r="685">
          <cell r="A685">
            <v>40485</v>
          </cell>
          <cell r="LJ685">
            <v>16.866112870139265</v>
          </cell>
          <cell r="LK685">
            <v>20.020152274152959</v>
          </cell>
          <cell r="LL685">
            <v>17.982747259685677</v>
          </cell>
          <cell r="LM685">
            <v>15.721193701553757</v>
          </cell>
          <cell r="LN685">
            <v>20.244300817817596</v>
          </cell>
          <cell r="LY685">
            <v>10.315182499884868</v>
          </cell>
          <cell r="LZ685">
            <v>14.730476692982464</v>
          </cell>
          <cell r="MA685">
            <v>11.870949885755934</v>
          </cell>
          <cell r="MB685">
            <v>9.6544719773798295</v>
          </cell>
          <cell r="MC685">
            <v>14.087427794132038</v>
          </cell>
        </row>
        <row r="686">
          <cell r="A686">
            <v>40486</v>
          </cell>
          <cell r="LJ686">
            <v>17.212680393813958</v>
          </cell>
          <cell r="LK686">
            <v>20.020152274152959</v>
          </cell>
          <cell r="LL686">
            <v>17.982747259685677</v>
          </cell>
          <cell r="LM686">
            <v>15.721193701553757</v>
          </cell>
          <cell r="LN686">
            <v>20.244300817817596</v>
          </cell>
          <cell r="LY686">
            <v>10.518435760631938</v>
          </cell>
          <cell r="LZ686">
            <v>14.730476692982464</v>
          </cell>
          <cell r="MA686">
            <v>11.870949885755934</v>
          </cell>
          <cell r="MB686">
            <v>9.6544719773798295</v>
          </cell>
          <cell r="MC686">
            <v>14.087427794132038</v>
          </cell>
        </row>
        <row r="687">
          <cell r="A687">
            <v>40487</v>
          </cell>
          <cell r="LJ687">
            <v>17.32820290170552</v>
          </cell>
          <cell r="LK687">
            <v>20.020152274152959</v>
          </cell>
          <cell r="LL687">
            <v>17.982747259685677</v>
          </cell>
          <cell r="LM687">
            <v>15.721193701553757</v>
          </cell>
          <cell r="LN687">
            <v>20.244300817817596</v>
          </cell>
          <cell r="LY687">
            <v>10.586186847547626</v>
          </cell>
          <cell r="LZ687">
            <v>14.730476692982464</v>
          </cell>
          <cell r="MA687">
            <v>11.870949885755934</v>
          </cell>
          <cell r="MB687">
            <v>9.6544719773798295</v>
          </cell>
          <cell r="MC687">
            <v>14.087427794132038</v>
          </cell>
        </row>
        <row r="688">
          <cell r="A688">
            <v>40490</v>
          </cell>
          <cell r="LJ688">
            <v>17.05480005660711</v>
          </cell>
          <cell r="LK688">
            <v>20.020152274152959</v>
          </cell>
          <cell r="LL688">
            <v>17.982747259685677</v>
          </cell>
          <cell r="LM688">
            <v>15.721193701553757</v>
          </cell>
          <cell r="LN688">
            <v>20.244300817817596</v>
          </cell>
          <cell r="LY688">
            <v>10.425842856931997</v>
          </cell>
          <cell r="LZ688">
            <v>14.730476692982464</v>
          </cell>
          <cell r="MA688">
            <v>11.870949885755934</v>
          </cell>
          <cell r="MB688">
            <v>9.6544719773798295</v>
          </cell>
          <cell r="MC688">
            <v>14.087427794132038</v>
          </cell>
        </row>
        <row r="689">
          <cell r="A689">
            <v>40491</v>
          </cell>
          <cell r="LJ689">
            <v>16.712086710328936</v>
          </cell>
          <cell r="LK689">
            <v>20.020152274152959</v>
          </cell>
          <cell r="LL689">
            <v>17.982747259685677</v>
          </cell>
          <cell r="LM689">
            <v>15.721193701553757</v>
          </cell>
          <cell r="LN689">
            <v>20.244300817817596</v>
          </cell>
          <cell r="LY689">
            <v>10.224849975677596</v>
          </cell>
          <cell r="LZ689">
            <v>14.730476692982464</v>
          </cell>
          <cell r="MA689">
            <v>11.870949885755934</v>
          </cell>
          <cell r="MB689">
            <v>9.6544719773798295</v>
          </cell>
          <cell r="MC689">
            <v>14.087427794132038</v>
          </cell>
        </row>
        <row r="690">
          <cell r="A690">
            <v>40492</v>
          </cell>
          <cell r="LJ690">
            <v>16.81990625442393</v>
          </cell>
          <cell r="LK690">
            <v>20.020152274152959</v>
          </cell>
          <cell r="LL690">
            <v>17.982747259685677</v>
          </cell>
          <cell r="LM690">
            <v>15.721193701553757</v>
          </cell>
          <cell r="LN690">
            <v>20.244300817817596</v>
          </cell>
          <cell r="LY690">
            <v>10.28808346529372</v>
          </cell>
          <cell r="LZ690">
            <v>14.730476692982464</v>
          </cell>
          <cell r="MA690">
            <v>11.870949885755934</v>
          </cell>
          <cell r="MB690">
            <v>9.6544719773798295</v>
          </cell>
          <cell r="MC690">
            <v>14.087427794132038</v>
          </cell>
        </row>
        <row r="691">
          <cell r="A691">
            <v>40493</v>
          </cell>
          <cell r="LJ691">
            <v>16.977786976701946</v>
          </cell>
          <cell r="LK691">
            <v>20.020152274152959</v>
          </cell>
          <cell r="LL691">
            <v>17.982747259685677</v>
          </cell>
          <cell r="LM691">
            <v>15.721193701553757</v>
          </cell>
          <cell r="LN691">
            <v>20.244300817817596</v>
          </cell>
          <cell r="LY691">
            <v>10.38067659482836</v>
          </cell>
          <cell r="LZ691">
            <v>14.730476692982464</v>
          </cell>
          <cell r="MA691">
            <v>11.870949885755934</v>
          </cell>
          <cell r="MB691">
            <v>9.6544719773798295</v>
          </cell>
          <cell r="MC691">
            <v>14.087427794132038</v>
          </cell>
        </row>
        <row r="692">
          <cell r="A692">
            <v>40494</v>
          </cell>
          <cell r="LJ692">
            <v>16.769845076240902</v>
          </cell>
          <cell r="LK692">
            <v>20.020152274152959</v>
          </cell>
          <cell r="LL692">
            <v>17.982747259685677</v>
          </cell>
          <cell r="LM692">
            <v>15.721193701553757</v>
          </cell>
          <cell r="LN692">
            <v>20.244300817817596</v>
          </cell>
          <cell r="LY692">
            <v>10.258723825375206</v>
          </cell>
          <cell r="LZ692">
            <v>14.730476692982464</v>
          </cell>
          <cell r="MA692">
            <v>11.870949885755934</v>
          </cell>
          <cell r="MB692">
            <v>9.6544719773798295</v>
          </cell>
          <cell r="MC692">
            <v>14.087427794132038</v>
          </cell>
        </row>
        <row r="693">
          <cell r="A693">
            <v>40497</v>
          </cell>
          <cell r="LJ693">
            <v>16.858415682410325</v>
          </cell>
          <cell r="LK693">
            <v>20.020152274152959</v>
          </cell>
          <cell r="LL693">
            <v>17.982747259685677</v>
          </cell>
          <cell r="LM693">
            <v>15.721193701553757</v>
          </cell>
          <cell r="LN693">
            <v>20.244300817817596</v>
          </cell>
          <cell r="LY693">
            <v>10.310668290105774</v>
          </cell>
          <cell r="LZ693">
            <v>14.730476692982464</v>
          </cell>
          <cell r="MA693">
            <v>11.870949885755934</v>
          </cell>
          <cell r="MB693">
            <v>9.6544719773798295</v>
          </cell>
          <cell r="MC693">
            <v>14.087427794132038</v>
          </cell>
        </row>
        <row r="694">
          <cell r="A694">
            <v>40498</v>
          </cell>
          <cell r="LJ694">
            <v>16.481041694545809</v>
          </cell>
          <cell r="LK694">
            <v>20.020152274152959</v>
          </cell>
          <cell r="LL694">
            <v>17.982747259685677</v>
          </cell>
          <cell r="LM694">
            <v>15.721193701553757</v>
          </cell>
          <cell r="LN694">
            <v>20.244300817817596</v>
          </cell>
          <cell r="LY694">
            <v>10.089347801846218</v>
          </cell>
          <cell r="LZ694">
            <v>14.730476692982464</v>
          </cell>
          <cell r="MA694">
            <v>11.870949885755934</v>
          </cell>
          <cell r="MB694">
            <v>9.6544719773798295</v>
          </cell>
          <cell r="MC694">
            <v>14.087427794132038</v>
          </cell>
        </row>
        <row r="695">
          <cell r="A695">
            <v>40499</v>
          </cell>
          <cell r="LJ695">
            <v>16.396325650844073</v>
          </cell>
          <cell r="LK695">
            <v>20.020152274152959</v>
          </cell>
          <cell r="LL695">
            <v>17.982747259685677</v>
          </cell>
          <cell r="LM695">
            <v>15.721193701553757</v>
          </cell>
          <cell r="LN695">
            <v>20.244300817817596</v>
          </cell>
          <cell r="LY695">
            <v>10.039663942443017</v>
          </cell>
          <cell r="LZ695">
            <v>14.730476692982464</v>
          </cell>
          <cell r="MA695">
            <v>11.870949885755934</v>
          </cell>
          <cell r="MB695">
            <v>9.6544719773798295</v>
          </cell>
          <cell r="MC695">
            <v>14.087427794132038</v>
          </cell>
        </row>
        <row r="696">
          <cell r="A696">
            <v>40500</v>
          </cell>
          <cell r="LJ696">
            <v>16.646625380620399</v>
          </cell>
          <cell r="LK696">
            <v>20.020152274152959</v>
          </cell>
          <cell r="LL696">
            <v>17.982747259685677</v>
          </cell>
          <cell r="LM696">
            <v>15.721193701553757</v>
          </cell>
          <cell r="LN696">
            <v>20.244300817817596</v>
          </cell>
          <cell r="LY696">
            <v>10.186458528680422</v>
          </cell>
          <cell r="LZ696">
            <v>14.730476692982464</v>
          </cell>
          <cell r="MA696">
            <v>11.870949885755934</v>
          </cell>
          <cell r="MB696">
            <v>9.6544719773798295</v>
          </cell>
          <cell r="MC696">
            <v>14.087427794132038</v>
          </cell>
        </row>
        <row r="697">
          <cell r="A697">
            <v>40501</v>
          </cell>
          <cell r="LJ697">
            <v>16.823755040823986</v>
          </cell>
          <cell r="LK697">
            <v>20.020152274152959</v>
          </cell>
          <cell r="LL697">
            <v>17.982747259685677</v>
          </cell>
          <cell r="LM697">
            <v>15.721193701553757</v>
          </cell>
          <cell r="LN697">
            <v>20.244300817817596</v>
          </cell>
          <cell r="LY697">
            <v>10.290340683100617</v>
          </cell>
          <cell r="LZ697">
            <v>14.730476692982464</v>
          </cell>
          <cell r="MA697">
            <v>11.870949885755934</v>
          </cell>
          <cell r="MB697">
            <v>9.6544719773798295</v>
          </cell>
          <cell r="MC697">
            <v>14.087427794132038</v>
          </cell>
        </row>
        <row r="698">
          <cell r="A698">
            <v>40504</v>
          </cell>
          <cell r="LJ698">
            <v>16.808354504227299</v>
          </cell>
          <cell r="LK698">
            <v>20.020152274152959</v>
          </cell>
          <cell r="LL698">
            <v>17.982747259685677</v>
          </cell>
          <cell r="LM698">
            <v>15.721193701553757</v>
          </cell>
          <cell r="LN698">
            <v>20.244300817817596</v>
          </cell>
          <cell r="LY698">
            <v>10.28130865018726</v>
          </cell>
          <cell r="LZ698">
            <v>14.730476692982464</v>
          </cell>
          <cell r="MA698">
            <v>11.870949885755934</v>
          </cell>
          <cell r="MB698">
            <v>9.6544719773798295</v>
          </cell>
          <cell r="MC698">
            <v>14.087427794132038</v>
          </cell>
        </row>
        <row r="699">
          <cell r="A699">
            <v>40505</v>
          </cell>
          <cell r="LJ699">
            <v>16.577309488444172</v>
          </cell>
          <cell r="LK699">
            <v>20.020152274152959</v>
          </cell>
          <cell r="LL699">
            <v>17.982747259685677</v>
          </cell>
          <cell r="LM699">
            <v>15.721193701553757</v>
          </cell>
          <cell r="LN699">
            <v>20.244300817817596</v>
          </cell>
          <cell r="LY699">
            <v>10.145806476355881</v>
          </cell>
          <cell r="LZ699">
            <v>14.730476692982464</v>
          </cell>
          <cell r="MA699">
            <v>11.870949885755934</v>
          </cell>
          <cell r="MB699">
            <v>9.6544719773798295</v>
          </cell>
          <cell r="MC699">
            <v>14.087427794132038</v>
          </cell>
        </row>
        <row r="700">
          <cell r="A700">
            <v>40506</v>
          </cell>
          <cell r="LJ700">
            <v>17.035545342613915</v>
          </cell>
          <cell r="LK700">
            <v>20.020152274152959</v>
          </cell>
          <cell r="LL700">
            <v>17.982747259685677</v>
          </cell>
          <cell r="LM700">
            <v>15.721193701553757</v>
          </cell>
          <cell r="LN700">
            <v>20.244300817817596</v>
          </cell>
          <cell r="LY700">
            <v>10.41455044452597</v>
          </cell>
          <cell r="LZ700">
            <v>14.730476692982464</v>
          </cell>
          <cell r="MA700">
            <v>11.870949885755934</v>
          </cell>
          <cell r="MB700">
            <v>9.6544719773798295</v>
          </cell>
          <cell r="MC700">
            <v>14.087427794132038</v>
          </cell>
        </row>
        <row r="701">
          <cell r="A701">
            <v>40507</v>
          </cell>
          <cell r="LJ701">
            <v>17.035545342613915</v>
          </cell>
          <cell r="LK701">
            <v>20.020152274152959</v>
          </cell>
          <cell r="LL701">
            <v>17.982747259685677</v>
          </cell>
          <cell r="LM701">
            <v>15.721193701553757</v>
          </cell>
          <cell r="LN701">
            <v>20.244300817817596</v>
          </cell>
          <cell r="LY701">
            <v>10.41455044452597</v>
          </cell>
          <cell r="LZ701">
            <v>14.730476692982464</v>
          </cell>
          <cell r="MA701">
            <v>11.870949885755934</v>
          </cell>
          <cell r="MB701">
            <v>9.6544719773798295</v>
          </cell>
          <cell r="MC701">
            <v>14.087427794132038</v>
          </cell>
        </row>
        <row r="702">
          <cell r="A702">
            <v>40508</v>
          </cell>
          <cell r="LJ702">
            <v>16.931574199847802</v>
          </cell>
          <cell r="LK702">
            <v>20.020152274152959</v>
          </cell>
          <cell r="LL702">
            <v>17.982747259685677</v>
          </cell>
          <cell r="LM702">
            <v>15.721193701553757</v>
          </cell>
          <cell r="LN702">
            <v>20.244300817817596</v>
          </cell>
          <cell r="LY702">
            <v>10.353573946882042</v>
          </cell>
          <cell r="LZ702">
            <v>14.730476692982464</v>
          </cell>
          <cell r="MA702">
            <v>11.870949885755934</v>
          </cell>
          <cell r="MB702">
            <v>9.6544719773798295</v>
          </cell>
          <cell r="MC702">
            <v>14.087427794132038</v>
          </cell>
        </row>
        <row r="703">
          <cell r="A703">
            <v>40511</v>
          </cell>
          <cell r="LJ703">
            <v>16.685129032539166</v>
          </cell>
          <cell r="LK703">
            <v>20.020152274152959</v>
          </cell>
          <cell r="LL703">
            <v>17.982747259685677</v>
          </cell>
          <cell r="LM703">
            <v>15.721193701553757</v>
          </cell>
          <cell r="LN703">
            <v>20.244300817817596</v>
          </cell>
          <cell r="LY703">
            <v>10.209039965972005</v>
          </cell>
          <cell r="LZ703">
            <v>14.730476692982464</v>
          </cell>
          <cell r="MA703">
            <v>11.870949885755934</v>
          </cell>
          <cell r="MB703">
            <v>9.6544719773798295</v>
          </cell>
          <cell r="MC703">
            <v>14.087427794132038</v>
          </cell>
        </row>
        <row r="704">
          <cell r="A704">
            <v>40512</v>
          </cell>
          <cell r="LJ704">
            <v>16.654328344416971</v>
          </cell>
          <cell r="LK704">
            <v>20.020152274152959</v>
          </cell>
          <cell r="LL704">
            <v>17.982747259685677</v>
          </cell>
          <cell r="LM704">
            <v>15.721193701553757</v>
          </cell>
          <cell r="LN704">
            <v>20.244300817817596</v>
          </cell>
          <cell r="LY704">
            <v>10.190976125979988</v>
          </cell>
          <cell r="LZ704">
            <v>14.730476692982464</v>
          </cell>
          <cell r="MA704">
            <v>11.870949885755934</v>
          </cell>
          <cell r="MB704">
            <v>9.6544719773798295</v>
          </cell>
          <cell r="MC704">
            <v>14.087427794132038</v>
          </cell>
        </row>
        <row r="705">
          <cell r="A705">
            <v>40513</v>
          </cell>
          <cell r="LJ705">
            <v>16.806209003435903</v>
          </cell>
          <cell r="LK705">
            <v>20.020152274152959</v>
          </cell>
          <cell r="LL705">
            <v>17.982747259685677</v>
          </cell>
          <cell r="LM705">
            <v>15.721193701553757</v>
          </cell>
          <cell r="LN705">
            <v>20.244300817817596</v>
          </cell>
          <cell r="LY705">
            <v>10.295546385328107</v>
          </cell>
          <cell r="LZ705">
            <v>14.730476692982464</v>
          </cell>
          <cell r="MA705">
            <v>11.870949885755934</v>
          </cell>
          <cell r="MB705">
            <v>9.6544719773798295</v>
          </cell>
          <cell r="MC705">
            <v>14.087427794132038</v>
          </cell>
        </row>
        <row r="706">
          <cell r="A706">
            <v>40514</v>
          </cell>
          <cell r="LJ706">
            <v>16.950960300470054</v>
          </cell>
          <cell r="LK706">
            <v>20.020152274152959</v>
          </cell>
          <cell r="LL706">
            <v>17.982747259685677</v>
          </cell>
          <cell r="LM706">
            <v>15.721193701553757</v>
          </cell>
          <cell r="LN706">
            <v>20.244300817817596</v>
          </cell>
          <cell r="LY706">
            <v>10.380605181460654</v>
          </cell>
          <cell r="LZ706">
            <v>14.730476692982464</v>
          </cell>
          <cell r="MA706">
            <v>11.870949885755934</v>
          </cell>
          <cell r="MB706">
            <v>9.6544719773798295</v>
          </cell>
          <cell r="MC706">
            <v>14.087427794132038</v>
          </cell>
        </row>
        <row r="707">
          <cell r="A707">
            <v>40515</v>
          </cell>
          <cell r="LJ707">
            <v>16.981428984999354</v>
          </cell>
          <cell r="LK707">
            <v>20.020152274152959</v>
          </cell>
          <cell r="LL707">
            <v>17.982747259685677</v>
          </cell>
          <cell r="LM707">
            <v>15.721193701553757</v>
          </cell>
          <cell r="LN707">
            <v>20.244300817817596</v>
          </cell>
          <cell r="LY707">
            <v>10.398509198066408</v>
          </cell>
          <cell r="LZ707">
            <v>14.730476692982464</v>
          </cell>
          <cell r="MA707">
            <v>11.870949885755934</v>
          </cell>
          <cell r="MB707">
            <v>9.6544719773798295</v>
          </cell>
          <cell r="MC707">
            <v>14.087427794132038</v>
          </cell>
        </row>
        <row r="708">
          <cell r="A708">
            <v>40518</v>
          </cell>
          <cell r="LJ708">
            <v>17.042377781671632</v>
          </cell>
          <cell r="LK708">
            <v>20.020152274152959</v>
          </cell>
          <cell r="LL708">
            <v>17.982747259685677</v>
          </cell>
          <cell r="LM708">
            <v>15.721193701553757</v>
          </cell>
          <cell r="LN708">
            <v>20.244300817817596</v>
          </cell>
          <cell r="LY708">
            <v>10.434323946375352</v>
          </cell>
          <cell r="LZ708">
            <v>14.730476692982464</v>
          </cell>
          <cell r="MA708">
            <v>11.870949885755934</v>
          </cell>
          <cell r="MB708">
            <v>9.6544719773798295</v>
          </cell>
          <cell r="MC708">
            <v>14.087427794132038</v>
          </cell>
        </row>
        <row r="709">
          <cell r="A709">
            <v>40519</v>
          </cell>
          <cell r="LJ709">
            <v>17.186489938227158</v>
          </cell>
          <cell r="LK709">
            <v>20.020152274152959</v>
          </cell>
          <cell r="LL709">
            <v>17.982747259685677</v>
          </cell>
          <cell r="LM709">
            <v>15.721193701553757</v>
          </cell>
          <cell r="LN709">
            <v>20.244300817817596</v>
          </cell>
          <cell r="LY709">
            <v>10.528735911038176</v>
          </cell>
          <cell r="LZ709">
            <v>14.730476692982464</v>
          </cell>
          <cell r="MA709">
            <v>11.870949885755934</v>
          </cell>
          <cell r="MB709">
            <v>9.6544719773798295</v>
          </cell>
          <cell r="MC709">
            <v>14.087427794132038</v>
          </cell>
        </row>
        <row r="710">
          <cell r="A710">
            <v>40520</v>
          </cell>
          <cell r="LJ710">
            <v>17.231964982756661</v>
          </cell>
          <cell r="LK710">
            <v>20.020152274152959</v>
          </cell>
          <cell r="LL710">
            <v>17.982747259685677</v>
          </cell>
          <cell r="LM710">
            <v>15.721193701553757</v>
          </cell>
          <cell r="LN710">
            <v>20.244300817817596</v>
          </cell>
          <cell r="LY710">
            <v>10.555488138603682</v>
          </cell>
          <cell r="LZ710">
            <v>14.730476692982464</v>
          </cell>
          <cell r="MA710">
            <v>11.870949885755934</v>
          </cell>
          <cell r="MB710">
            <v>9.6544719773798295</v>
          </cell>
          <cell r="MC710">
            <v>14.087427794132038</v>
          </cell>
        </row>
        <row r="711">
          <cell r="A711">
            <v>40521</v>
          </cell>
          <cell r="LJ711">
            <v>17.247127373327775</v>
          </cell>
          <cell r="LK711">
            <v>20.020152274152959</v>
          </cell>
          <cell r="LL711">
            <v>17.982747259685677</v>
          </cell>
          <cell r="LM711">
            <v>15.721193701553757</v>
          </cell>
          <cell r="LN711">
            <v>20.244300817817596</v>
          </cell>
          <cell r="LY711">
            <v>10.564407925867057</v>
          </cell>
          <cell r="LZ711">
            <v>14.730476692982464</v>
          </cell>
          <cell r="MA711">
            <v>11.870949885755934</v>
          </cell>
          <cell r="MB711">
            <v>9.6544719773798295</v>
          </cell>
          <cell r="MC711">
            <v>14.087427794132038</v>
          </cell>
        </row>
        <row r="712">
          <cell r="A712">
            <v>40522</v>
          </cell>
          <cell r="LJ712">
            <v>17.383558570508203</v>
          </cell>
          <cell r="LK712">
            <v>20.020152274152959</v>
          </cell>
          <cell r="LL712">
            <v>17.982747259685677</v>
          </cell>
          <cell r="LM712">
            <v>15.721193701553757</v>
          </cell>
          <cell r="LN712">
            <v>20.244300817817596</v>
          </cell>
          <cell r="LY712">
            <v>10.644668175675882</v>
          </cell>
          <cell r="LZ712">
            <v>14.730476692982464</v>
          </cell>
          <cell r="MA712">
            <v>11.870949885755934</v>
          </cell>
          <cell r="MB712">
            <v>9.6544719773798295</v>
          </cell>
          <cell r="MC712">
            <v>14.087427794132038</v>
          </cell>
        </row>
        <row r="713">
          <cell r="A713">
            <v>40525</v>
          </cell>
          <cell r="LJ713">
            <v>17.33898071468872</v>
          </cell>
          <cell r="LK713">
            <v>20.020152274152959</v>
          </cell>
          <cell r="LL713">
            <v>17.982747259685677</v>
          </cell>
          <cell r="LM713">
            <v>15.721193701553757</v>
          </cell>
          <cell r="LN713">
            <v>20.244300817817596</v>
          </cell>
          <cell r="LY713">
            <v>10.616263895903714</v>
          </cell>
          <cell r="LZ713">
            <v>14.730476692982464</v>
          </cell>
          <cell r="MA713">
            <v>11.870949885755934</v>
          </cell>
          <cell r="MB713">
            <v>9.6544719773798295</v>
          </cell>
          <cell r="MC713">
            <v>14.087427794132038</v>
          </cell>
        </row>
        <row r="714">
          <cell r="A714">
            <v>40526</v>
          </cell>
          <cell r="LJ714">
            <v>17.316261686489678</v>
          </cell>
          <cell r="LK714">
            <v>20.020152274152959</v>
          </cell>
          <cell r="LL714">
            <v>17.982747259685677</v>
          </cell>
          <cell r="LM714">
            <v>15.721193701553757</v>
          </cell>
          <cell r="LN714">
            <v>20.244300817817596</v>
          </cell>
          <cell r="LY714">
            <v>10.601926060168926</v>
          </cell>
          <cell r="LZ714">
            <v>14.730476692982464</v>
          </cell>
          <cell r="MA714">
            <v>11.870949885755934</v>
          </cell>
          <cell r="MB714">
            <v>9.6544719773798295</v>
          </cell>
          <cell r="MC714">
            <v>14.087427794132038</v>
          </cell>
        </row>
        <row r="715">
          <cell r="A715">
            <v>40527</v>
          </cell>
          <cell r="LJ715">
            <v>17.384418392423708</v>
          </cell>
          <cell r="LK715">
            <v>20.020152274152959</v>
          </cell>
          <cell r="LL715">
            <v>17.982747259685677</v>
          </cell>
          <cell r="LM715">
            <v>15.721193701553757</v>
          </cell>
          <cell r="LN715">
            <v>20.244300817817596</v>
          </cell>
          <cell r="LY715">
            <v>10.642010919614966</v>
          </cell>
          <cell r="LZ715">
            <v>14.730476692982464</v>
          </cell>
          <cell r="MA715">
            <v>11.870949885755934</v>
          </cell>
          <cell r="MB715">
            <v>9.6544719773798295</v>
          </cell>
          <cell r="MC715">
            <v>14.087427794132038</v>
          </cell>
        </row>
        <row r="716">
          <cell r="A716">
            <v>40528</v>
          </cell>
          <cell r="LJ716">
            <v>17.647944027458227</v>
          </cell>
          <cell r="LK716">
            <v>20.020152274152959</v>
          </cell>
          <cell r="LL716">
            <v>17.982747259685677</v>
          </cell>
          <cell r="LM716">
            <v>15.721193701553757</v>
          </cell>
          <cell r="LN716">
            <v>20.244300817817596</v>
          </cell>
          <cell r="LY716">
            <v>10.795344707815186</v>
          </cell>
          <cell r="LZ716">
            <v>14.730476692982464</v>
          </cell>
          <cell r="MA716">
            <v>11.870949885755934</v>
          </cell>
          <cell r="MB716">
            <v>9.6544719773798295</v>
          </cell>
          <cell r="MC716">
            <v>14.087427794132038</v>
          </cell>
        </row>
        <row r="717">
          <cell r="A717">
            <v>40529</v>
          </cell>
          <cell r="LJ717">
            <v>17.637211510921507</v>
          </cell>
          <cell r="LK717">
            <v>20.020152274152959</v>
          </cell>
          <cell r="LL717">
            <v>17.982747259685677</v>
          </cell>
          <cell r="LM717">
            <v>15.721193701553757</v>
          </cell>
          <cell r="LN717">
            <v>20.244300817817596</v>
          </cell>
          <cell r="LY717">
            <v>10.787498842533928</v>
          </cell>
          <cell r="LZ717">
            <v>14.730476692982464</v>
          </cell>
          <cell r="MA717">
            <v>11.870949885755934</v>
          </cell>
          <cell r="MB717">
            <v>9.6544719773798295</v>
          </cell>
          <cell r="MC717">
            <v>14.087427794132038</v>
          </cell>
        </row>
        <row r="718">
          <cell r="A718">
            <v>40532</v>
          </cell>
          <cell r="LJ718">
            <v>17.563487993151817</v>
          </cell>
          <cell r="LK718">
            <v>20.020152274152959</v>
          </cell>
          <cell r="LL718">
            <v>17.982747259685677</v>
          </cell>
          <cell r="LM718">
            <v>15.721193701553757</v>
          </cell>
          <cell r="LN718">
            <v>20.244300817817596</v>
          </cell>
          <cell r="LY718">
            <v>10.783068894281469</v>
          </cell>
          <cell r="LZ718">
            <v>14.730476692982464</v>
          </cell>
          <cell r="MA718">
            <v>11.870949885755934</v>
          </cell>
          <cell r="MB718">
            <v>9.6544719773798295</v>
          </cell>
          <cell r="MC718">
            <v>14.087427794132038</v>
          </cell>
        </row>
        <row r="719">
          <cell r="A719">
            <v>40533</v>
          </cell>
          <cell r="LJ719">
            <v>17.78500157688438</v>
          </cell>
          <cell r="LK719">
            <v>20.020152274152959</v>
          </cell>
          <cell r="LL719">
            <v>17.982747259685677</v>
          </cell>
          <cell r="LM719">
            <v>15.721193701553757</v>
          </cell>
          <cell r="LN719">
            <v>20.244300817817596</v>
          </cell>
          <cell r="LY719">
            <v>10.913823618335041</v>
          </cell>
          <cell r="LZ719">
            <v>14.730476692982464</v>
          </cell>
          <cell r="MA719">
            <v>11.870949885755934</v>
          </cell>
          <cell r="MB719">
            <v>9.6544719773798295</v>
          </cell>
          <cell r="MC719">
            <v>14.087427794132038</v>
          </cell>
        </row>
        <row r="720">
          <cell r="A720">
            <v>40534</v>
          </cell>
          <cell r="LJ720">
            <v>17.694891645516392</v>
          </cell>
          <cell r="LK720">
            <v>20.020152274152959</v>
          </cell>
          <cell r="LL720">
            <v>17.982747259685677</v>
          </cell>
          <cell r="LM720">
            <v>15.721193701553757</v>
          </cell>
          <cell r="LN720">
            <v>20.244300817817596</v>
          </cell>
          <cell r="LY720">
            <v>10.860633655841669</v>
          </cell>
          <cell r="LZ720">
            <v>14.730476692982464</v>
          </cell>
          <cell r="MA720">
            <v>11.870949885755934</v>
          </cell>
          <cell r="MB720">
            <v>9.6544719773798295</v>
          </cell>
          <cell r="MC720">
            <v>14.087427794132038</v>
          </cell>
        </row>
        <row r="721">
          <cell r="A721">
            <v>40535</v>
          </cell>
          <cell r="LJ721">
            <v>17.640185796522118</v>
          </cell>
          <cell r="LK721">
            <v>20.020152274152959</v>
          </cell>
          <cell r="LL721">
            <v>17.982747259685677</v>
          </cell>
          <cell r="LM721">
            <v>15.721193701553757</v>
          </cell>
          <cell r="LN721">
            <v>20.244300817817596</v>
          </cell>
          <cell r="LY721">
            <v>10.805704292824061</v>
          </cell>
          <cell r="LZ721">
            <v>14.730476692982464</v>
          </cell>
          <cell r="MA721">
            <v>11.870949885755934</v>
          </cell>
          <cell r="MB721">
            <v>9.6544719773798295</v>
          </cell>
          <cell r="MC721">
            <v>14.087427794132038</v>
          </cell>
        </row>
        <row r="722">
          <cell r="A722">
            <v>40536</v>
          </cell>
          <cell r="LJ722">
            <v>17.640185796522118</v>
          </cell>
          <cell r="LK722">
            <v>20.020152274152959</v>
          </cell>
          <cell r="LL722">
            <v>17.982747259685677</v>
          </cell>
          <cell r="LM722">
            <v>15.721193701553757</v>
          </cell>
          <cell r="LN722">
            <v>20.244300817817596</v>
          </cell>
          <cell r="LY722">
            <v>10.805704292824061</v>
          </cell>
          <cell r="LZ722">
            <v>14.730476692982464</v>
          </cell>
          <cell r="MA722">
            <v>11.870949885755934</v>
          </cell>
          <cell r="MB722">
            <v>9.6544719773798295</v>
          </cell>
          <cell r="MC722">
            <v>14.087427794132038</v>
          </cell>
        </row>
        <row r="723">
          <cell r="A723">
            <v>40539</v>
          </cell>
          <cell r="LJ723">
            <v>17.666388570744161</v>
          </cell>
          <cell r="LK723">
            <v>20.020152274152959</v>
          </cell>
          <cell r="LL723">
            <v>17.982747259685677</v>
          </cell>
          <cell r="LM723">
            <v>15.721193701553757</v>
          </cell>
          <cell r="LN723">
            <v>20.244300817817596</v>
          </cell>
          <cell r="LY723">
            <v>10.821140726325876</v>
          </cell>
          <cell r="LZ723">
            <v>14.730476692982464</v>
          </cell>
          <cell r="MA723">
            <v>11.870949885755934</v>
          </cell>
          <cell r="MB723">
            <v>9.6544719773798295</v>
          </cell>
          <cell r="MC723">
            <v>14.087427794132038</v>
          </cell>
        </row>
        <row r="724">
          <cell r="A724">
            <v>40540</v>
          </cell>
          <cell r="LJ724">
            <v>17.681357841706156</v>
          </cell>
          <cell r="LK724">
            <v>20.020152274152959</v>
          </cell>
          <cell r="LL724">
            <v>17.982747259685677</v>
          </cell>
          <cell r="LM724">
            <v>15.721193701553757</v>
          </cell>
          <cell r="LN724">
            <v>20.244300817817596</v>
          </cell>
          <cell r="LY724">
            <v>10.82995934048548</v>
          </cell>
          <cell r="LZ724">
            <v>14.730476692982464</v>
          </cell>
          <cell r="MA724">
            <v>11.870949885755934</v>
          </cell>
          <cell r="MB724">
            <v>9.6544719773798295</v>
          </cell>
          <cell r="MC724">
            <v>14.087427794132038</v>
          </cell>
        </row>
        <row r="725">
          <cell r="A725">
            <v>40541</v>
          </cell>
          <cell r="LJ725">
            <v>17.651414059751325</v>
          </cell>
          <cell r="LK725">
            <v>20.020152274152959</v>
          </cell>
          <cell r="LL725">
            <v>17.982747259685677</v>
          </cell>
          <cell r="LM725">
            <v>15.721193701553757</v>
          </cell>
          <cell r="LN725">
            <v>20.244300817817596</v>
          </cell>
          <cell r="LY725">
            <v>10.812319025188266</v>
          </cell>
          <cell r="LZ725">
            <v>14.730476692982464</v>
          </cell>
          <cell r="MA725">
            <v>11.870949885755934</v>
          </cell>
          <cell r="MB725">
            <v>9.6544719773798295</v>
          </cell>
          <cell r="MC725">
            <v>14.087427794132038</v>
          </cell>
        </row>
        <row r="726">
          <cell r="A726">
            <v>40542</v>
          </cell>
          <cell r="LJ726">
            <v>17.643932418573666</v>
          </cell>
          <cell r="LK726">
            <v>20.020152274152959</v>
          </cell>
          <cell r="LL726">
            <v>17.982747259685677</v>
          </cell>
          <cell r="LM726">
            <v>15.721193701553757</v>
          </cell>
          <cell r="LN726">
            <v>20.244300817817596</v>
          </cell>
          <cell r="LY726">
            <v>10.807911482095891</v>
          </cell>
          <cell r="LZ726">
            <v>14.730476692982464</v>
          </cell>
          <cell r="MA726">
            <v>11.870949885755934</v>
          </cell>
          <cell r="MB726">
            <v>9.6544719773798295</v>
          </cell>
          <cell r="MC726">
            <v>14.087427794132038</v>
          </cell>
        </row>
        <row r="727">
          <cell r="A727">
            <v>40543</v>
          </cell>
          <cell r="LJ727">
            <v>17.655160681802869</v>
          </cell>
          <cell r="LK727">
            <v>20.020152274152959</v>
          </cell>
          <cell r="LL727">
            <v>17.982747259685677</v>
          </cell>
          <cell r="LM727">
            <v>15.721193701553757</v>
          </cell>
          <cell r="LN727">
            <v>20.244300817817596</v>
          </cell>
          <cell r="LY727">
            <v>10.814526214460097</v>
          </cell>
          <cell r="LZ727">
            <v>14.730476692982464</v>
          </cell>
          <cell r="MA727">
            <v>11.870949885755934</v>
          </cell>
          <cell r="MB727">
            <v>9.6544719773798295</v>
          </cell>
          <cell r="MC727">
            <v>14.087427794132038</v>
          </cell>
        </row>
        <row r="728">
          <cell r="A728">
            <v>40546</v>
          </cell>
          <cell r="LJ728">
            <v>17.489335727510543</v>
          </cell>
          <cell r="LK728">
            <v>20.020152274152959</v>
          </cell>
          <cell r="LL728">
            <v>17.982747259685677</v>
          </cell>
          <cell r="LM728">
            <v>15.721193701553757</v>
          </cell>
          <cell r="LN728">
            <v>20.244300817817596</v>
          </cell>
          <cell r="LY728">
            <v>10.720442538299984</v>
          </cell>
          <cell r="LZ728">
            <v>14.730476692982464</v>
          </cell>
          <cell r="MA728">
            <v>11.870949885755934</v>
          </cell>
          <cell r="MB728">
            <v>9.6544719773798295</v>
          </cell>
          <cell r="MC728">
            <v>14.087427794132038</v>
          </cell>
        </row>
        <row r="729">
          <cell r="A729">
            <v>40547</v>
          </cell>
          <cell r="LJ729">
            <v>17.369843034664967</v>
          </cell>
          <cell r="LK729">
            <v>20.020152274152959</v>
          </cell>
          <cell r="LL729">
            <v>17.982747259685677</v>
          </cell>
          <cell r="LM729">
            <v>15.721193701553757</v>
          </cell>
          <cell r="LN729">
            <v>20.244300817817596</v>
          </cell>
          <cell r="LY729">
            <v>10.785585508973513</v>
          </cell>
          <cell r="LZ729">
            <v>14.730476692982464</v>
          </cell>
          <cell r="MA729">
            <v>11.870949885755934</v>
          </cell>
          <cell r="MB729">
            <v>9.6544719773798295</v>
          </cell>
          <cell r="MC729">
            <v>14.087427794132038</v>
          </cell>
        </row>
        <row r="730">
          <cell r="A730">
            <v>40548</v>
          </cell>
          <cell r="LJ730">
            <v>17.34493214863458</v>
          </cell>
          <cell r="LK730">
            <v>20.020152274152959</v>
          </cell>
          <cell r="LL730">
            <v>17.982747259685677</v>
          </cell>
          <cell r="LM730">
            <v>15.721193701553757</v>
          </cell>
          <cell r="LN730">
            <v>20.244300817817596</v>
          </cell>
          <cell r="LY730">
            <v>10.775634841656835</v>
          </cell>
          <cell r="LZ730">
            <v>14.730476692982464</v>
          </cell>
          <cell r="MA730">
            <v>11.870949885755934</v>
          </cell>
          <cell r="MB730">
            <v>9.6544719773798295</v>
          </cell>
          <cell r="MC730">
            <v>14.087427794132038</v>
          </cell>
        </row>
        <row r="731">
          <cell r="A731">
            <v>40549</v>
          </cell>
          <cell r="LJ731">
            <v>17.356033350234739</v>
          </cell>
          <cell r="LK731">
            <v>20.020152274152959</v>
          </cell>
          <cell r="LL731">
            <v>17.982747259685677</v>
          </cell>
          <cell r="LM731">
            <v>15.721193701553757</v>
          </cell>
          <cell r="LN731">
            <v>20.244300817817596</v>
          </cell>
          <cell r="LY731">
            <v>10.782266128500542</v>
          </cell>
          <cell r="LZ731">
            <v>14.730476692982464</v>
          </cell>
          <cell r="MA731">
            <v>11.870949885755934</v>
          </cell>
          <cell r="MB731">
            <v>9.6544719773798295</v>
          </cell>
          <cell r="MC731">
            <v>14.087427794132038</v>
          </cell>
        </row>
        <row r="732">
          <cell r="A732">
            <v>40550</v>
          </cell>
          <cell r="LJ732">
            <v>17.34493214863458</v>
          </cell>
          <cell r="LK732">
            <v>20.020152274152959</v>
          </cell>
          <cell r="LL732">
            <v>17.982747259685677</v>
          </cell>
          <cell r="LM732">
            <v>15.721193701553757</v>
          </cell>
          <cell r="LN732">
            <v>20.244300817817596</v>
          </cell>
          <cell r="LY732">
            <v>10.775634841656835</v>
          </cell>
          <cell r="LZ732">
            <v>14.730476692982464</v>
          </cell>
          <cell r="MA732">
            <v>11.870949885755934</v>
          </cell>
          <cell r="MB732">
            <v>9.6544719773798295</v>
          </cell>
          <cell r="MC732">
            <v>14.087427794132038</v>
          </cell>
        </row>
        <row r="733">
          <cell r="A733">
            <v>40553</v>
          </cell>
          <cell r="LJ733">
            <v>17.126595071479763</v>
          </cell>
          <cell r="LK733">
            <v>20.020152274152959</v>
          </cell>
          <cell r="LL733">
            <v>17.982747259685677</v>
          </cell>
          <cell r="LM733">
            <v>15.721193701553757</v>
          </cell>
          <cell r="LN733">
            <v>20.244300817817596</v>
          </cell>
          <cell r="LY733">
            <v>10.645211501969964</v>
          </cell>
          <cell r="LZ733">
            <v>14.730476692982464</v>
          </cell>
          <cell r="MA733">
            <v>11.870949885755934</v>
          </cell>
          <cell r="MB733">
            <v>9.6544719773798295</v>
          </cell>
          <cell r="MC733">
            <v>14.087427794132038</v>
          </cell>
        </row>
        <row r="734">
          <cell r="A734">
            <v>40554</v>
          </cell>
          <cell r="LJ734">
            <v>17.267456530030405</v>
          </cell>
          <cell r="LK734">
            <v>20.020152274152959</v>
          </cell>
          <cell r="LL734">
            <v>17.982747259685677</v>
          </cell>
          <cell r="LM734">
            <v>15.721193701553757</v>
          </cell>
          <cell r="LN734">
            <v>20.244300817817596</v>
          </cell>
          <cell r="LY734">
            <v>10.750182653714072</v>
          </cell>
          <cell r="LZ734">
            <v>14.730476692982464</v>
          </cell>
          <cell r="MA734">
            <v>11.870949885755934</v>
          </cell>
          <cell r="MB734">
            <v>9.6544719773798295</v>
          </cell>
          <cell r="MC734">
            <v>14.087427794132038</v>
          </cell>
        </row>
        <row r="735">
          <cell r="A735">
            <v>40555</v>
          </cell>
          <cell r="LJ735">
            <v>17.422818532927444</v>
          </cell>
          <cell r="LK735">
            <v>20.020152274152959</v>
          </cell>
          <cell r="LL735">
            <v>17.982747259685677</v>
          </cell>
          <cell r="LM735">
            <v>15.721193701553757</v>
          </cell>
          <cell r="LN735">
            <v>20.244300817817596</v>
          </cell>
          <cell r="LY735">
            <v>10.843169566216586</v>
          </cell>
          <cell r="LZ735">
            <v>14.730476692982464</v>
          </cell>
          <cell r="MA735">
            <v>11.870949885755934</v>
          </cell>
          <cell r="MB735">
            <v>9.6544719773798295</v>
          </cell>
          <cell r="MC735">
            <v>14.087427794132038</v>
          </cell>
        </row>
        <row r="736">
          <cell r="A736">
            <v>40556</v>
          </cell>
          <cell r="LJ736">
            <v>17.351141679098173</v>
          </cell>
          <cell r="LK736">
            <v>20.020152274152959</v>
          </cell>
          <cell r="LL736">
            <v>17.982747259685677</v>
          </cell>
          <cell r="LM736">
            <v>15.721193701553757</v>
          </cell>
          <cell r="LN736">
            <v>20.244300817817596</v>
          </cell>
          <cell r="LY736">
            <v>10.796677881153048</v>
          </cell>
          <cell r="LZ736">
            <v>14.730476692982464</v>
          </cell>
          <cell r="MA736">
            <v>11.870949885755934</v>
          </cell>
          <cell r="MB736">
            <v>9.6544719773798295</v>
          </cell>
          <cell r="MC736">
            <v>14.087427794132038</v>
          </cell>
        </row>
        <row r="737">
          <cell r="A737">
            <v>40557</v>
          </cell>
          <cell r="LJ737">
            <v>17.447349670774766</v>
          </cell>
          <cell r="LK737">
            <v>20.020152274152959</v>
          </cell>
          <cell r="LL737">
            <v>17.982747259685677</v>
          </cell>
          <cell r="LM737">
            <v>15.721193701553757</v>
          </cell>
          <cell r="LN737">
            <v>20.244300817817596</v>
          </cell>
          <cell r="LY737">
            <v>10.854240153661914</v>
          </cell>
          <cell r="LZ737">
            <v>14.730476692982464</v>
          </cell>
          <cell r="MA737">
            <v>11.870949885755934</v>
          </cell>
          <cell r="MB737">
            <v>9.6544719773798295</v>
          </cell>
          <cell r="MC737">
            <v>14.087427794132038</v>
          </cell>
        </row>
        <row r="738">
          <cell r="A738">
            <v>40560</v>
          </cell>
          <cell r="LJ738">
            <v>17.447349670774766</v>
          </cell>
          <cell r="LK738">
            <v>20.020152274152959</v>
          </cell>
          <cell r="LL738">
            <v>17.982747259685677</v>
          </cell>
          <cell r="LM738">
            <v>15.721193701553757</v>
          </cell>
          <cell r="LN738">
            <v>20.244300817817596</v>
          </cell>
          <cell r="LY738">
            <v>10.854240153661914</v>
          </cell>
          <cell r="LZ738">
            <v>14.730476692982464</v>
          </cell>
          <cell r="MA738">
            <v>11.870949885755934</v>
          </cell>
          <cell r="MB738">
            <v>9.6544719773798295</v>
          </cell>
          <cell r="MC738">
            <v>14.087427794132038</v>
          </cell>
        </row>
        <row r="739">
          <cell r="A739">
            <v>40561</v>
          </cell>
          <cell r="LJ739">
            <v>17.528230728003724</v>
          </cell>
          <cell r="LK739">
            <v>20.020152274152959</v>
          </cell>
          <cell r="LL739">
            <v>17.982747259685677</v>
          </cell>
          <cell r="LM739">
            <v>15.721193701553757</v>
          </cell>
          <cell r="LN739">
            <v>20.244300817817596</v>
          </cell>
          <cell r="LY739">
            <v>10.896643203266933</v>
          </cell>
          <cell r="LZ739">
            <v>14.730476692982464</v>
          </cell>
          <cell r="MA739">
            <v>11.870949885755934</v>
          </cell>
          <cell r="MB739">
            <v>9.6544719773798295</v>
          </cell>
          <cell r="MC739">
            <v>14.087427794132038</v>
          </cell>
        </row>
        <row r="740">
          <cell r="A740">
            <v>40562</v>
          </cell>
          <cell r="LJ740">
            <v>17.384071931544842</v>
          </cell>
          <cell r="LK740">
            <v>20.020152274152959</v>
          </cell>
          <cell r="LL740">
            <v>17.982747259685677</v>
          </cell>
          <cell r="LM740">
            <v>15.721193701553757</v>
          </cell>
          <cell r="LN740">
            <v>20.244300817817596</v>
          </cell>
          <cell r="LY740">
            <v>10.810435267949373</v>
          </cell>
          <cell r="LZ740">
            <v>14.730476692982464</v>
          </cell>
          <cell r="MA740">
            <v>11.870949885755934</v>
          </cell>
          <cell r="MB740">
            <v>9.6544719773798295</v>
          </cell>
          <cell r="MC740">
            <v>14.087427794132038</v>
          </cell>
        </row>
        <row r="741">
          <cell r="A741">
            <v>40563</v>
          </cell>
          <cell r="LJ741">
            <v>17.099449239471699</v>
          </cell>
          <cell r="LK741">
            <v>20.020152274152959</v>
          </cell>
          <cell r="LL741">
            <v>17.982747259685677</v>
          </cell>
          <cell r="LM741">
            <v>15.721193701553757</v>
          </cell>
          <cell r="LN741">
            <v>20.244300817817596</v>
          </cell>
          <cell r="LY741">
            <v>10.640228973010235</v>
          </cell>
          <cell r="LZ741">
            <v>14.730476692982464</v>
          </cell>
          <cell r="MA741">
            <v>11.870949885755934</v>
          </cell>
          <cell r="MB741">
            <v>9.6544719773798295</v>
          </cell>
          <cell r="MC741">
            <v>14.087427794132038</v>
          </cell>
        </row>
        <row r="742">
          <cell r="A742">
            <v>40564</v>
          </cell>
          <cell r="LJ742">
            <v>17.128794509907241</v>
          </cell>
          <cell r="LK742">
            <v>20.020152274152959</v>
          </cell>
          <cell r="LL742">
            <v>17.982747259685677</v>
          </cell>
          <cell r="LM742">
            <v>15.721193701553757</v>
          </cell>
          <cell r="LN742">
            <v>20.244300817817596</v>
          </cell>
          <cell r="LY742">
            <v>10.649069265208068</v>
          </cell>
          <cell r="LZ742">
            <v>14.730476692982464</v>
          </cell>
          <cell r="MA742">
            <v>11.870949885755934</v>
          </cell>
          <cell r="MB742">
            <v>9.6544719773798295</v>
          </cell>
          <cell r="MC742">
            <v>14.087427794132038</v>
          </cell>
        </row>
        <row r="743">
          <cell r="A743">
            <v>40567</v>
          </cell>
          <cell r="LJ743">
            <v>17.516400503270184</v>
          </cell>
          <cell r="LK743">
            <v>20.020152274152959</v>
          </cell>
          <cell r="LL743">
            <v>17.982747259685677</v>
          </cell>
          <cell r="LM743">
            <v>15.721193701553757</v>
          </cell>
          <cell r="LN743">
            <v>20.244300817817596</v>
          </cell>
          <cell r="LY743">
            <v>10.885835545382736</v>
          </cell>
          <cell r="LZ743">
            <v>14.730476692982464</v>
          </cell>
          <cell r="MA743">
            <v>11.870949885755934</v>
          </cell>
          <cell r="MB743">
            <v>9.6544719773798295</v>
          </cell>
          <cell r="MC743">
            <v>14.087427794132038</v>
          </cell>
        </row>
        <row r="744">
          <cell r="A744">
            <v>40568</v>
          </cell>
          <cell r="LJ744">
            <v>17.446141501246565</v>
          </cell>
          <cell r="LK744">
            <v>20.020152274152959</v>
          </cell>
          <cell r="LL744">
            <v>17.982747259685677</v>
          </cell>
          <cell r="LM744">
            <v>15.721193701553757</v>
          </cell>
          <cell r="LN744">
            <v>20.244300817817596</v>
          </cell>
          <cell r="LY744">
            <v>10.843835198077652</v>
          </cell>
          <cell r="LZ744">
            <v>14.730476692982464</v>
          </cell>
          <cell r="MA744">
            <v>11.870949885755934</v>
          </cell>
          <cell r="MB744">
            <v>9.6544719773798295</v>
          </cell>
          <cell r="MC744">
            <v>14.087427794132038</v>
          </cell>
        </row>
        <row r="745">
          <cell r="A745">
            <v>40569</v>
          </cell>
          <cell r="LJ745">
            <v>17.490513058263158</v>
          </cell>
          <cell r="LK745">
            <v>20.020152274152959</v>
          </cell>
          <cell r="LL745">
            <v>17.982747259685677</v>
          </cell>
          <cell r="LM745">
            <v>15.721193701553757</v>
          </cell>
          <cell r="LN745">
            <v>20.244300817817596</v>
          </cell>
          <cell r="LY745">
            <v>10.879391820953908</v>
          </cell>
          <cell r="LZ745">
            <v>14.730476692982464</v>
          </cell>
          <cell r="MA745">
            <v>11.870949885755934</v>
          </cell>
          <cell r="MB745">
            <v>9.6544719773798295</v>
          </cell>
          <cell r="MC745">
            <v>14.087427794132038</v>
          </cell>
        </row>
        <row r="746">
          <cell r="A746">
            <v>40570</v>
          </cell>
          <cell r="LJ746">
            <v>17.250159328262367</v>
          </cell>
          <cell r="LK746">
            <v>20.020152274152959</v>
          </cell>
          <cell r="LL746">
            <v>17.982747259685677</v>
          </cell>
          <cell r="LM746">
            <v>15.721193701553757</v>
          </cell>
          <cell r="LN746">
            <v>20.244300817817596</v>
          </cell>
          <cell r="LY746">
            <v>10.735710017265431</v>
          </cell>
          <cell r="LZ746">
            <v>14.730476692982464</v>
          </cell>
          <cell r="MA746">
            <v>11.870949885755934</v>
          </cell>
          <cell r="MB746">
            <v>9.6544719773798295</v>
          </cell>
          <cell r="MC746">
            <v>14.087427794132038</v>
          </cell>
        </row>
        <row r="747">
          <cell r="A747">
            <v>40571</v>
          </cell>
          <cell r="LJ747">
            <v>16.968321370143389</v>
          </cell>
          <cell r="LK747">
            <v>20.020152274152959</v>
          </cell>
          <cell r="LL747">
            <v>17.982747259685677</v>
          </cell>
          <cell r="LM747">
            <v>15.721193701553757</v>
          </cell>
          <cell r="LN747">
            <v>20.244300817817596</v>
          </cell>
          <cell r="LY747">
            <v>10.553137401780054</v>
          </cell>
          <cell r="LZ747">
            <v>14.730476692982464</v>
          </cell>
          <cell r="MA747">
            <v>11.870949885755934</v>
          </cell>
          <cell r="MB747">
            <v>9.6544719773798295</v>
          </cell>
          <cell r="MC747">
            <v>14.087427794132038</v>
          </cell>
        </row>
        <row r="748">
          <cell r="A748">
            <v>40574</v>
          </cell>
          <cell r="LJ748">
            <v>16.996502604736182</v>
          </cell>
          <cell r="LK748">
            <v>20.020152274152959</v>
          </cell>
          <cell r="LL748">
            <v>17.982747259685677</v>
          </cell>
          <cell r="LM748">
            <v>15.721193701553757</v>
          </cell>
          <cell r="LN748">
            <v>20.244300817817596</v>
          </cell>
          <cell r="LY748">
            <v>10.538189007656094</v>
          </cell>
          <cell r="LZ748">
            <v>14.730476692982464</v>
          </cell>
          <cell r="MA748">
            <v>11.870949885755934</v>
          </cell>
          <cell r="MB748">
            <v>9.6544719773798295</v>
          </cell>
          <cell r="MC748">
            <v>14.087427794132038</v>
          </cell>
        </row>
        <row r="749">
          <cell r="A749">
            <v>40575</v>
          </cell>
          <cell r="LJ749">
            <v>17.344568083540533</v>
          </cell>
          <cell r="LK749">
            <v>20.020152274152959</v>
          </cell>
          <cell r="LL749">
            <v>17.982747259685677</v>
          </cell>
          <cell r="LM749">
            <v>15.721193701553757</v>
          </cell>
          <cell r="LN749">
            <v>20.244300817817596</v>
          </cell>
          <cell r="LY749">
            <v>10.745666863699128</v>
          </cell>
          <cell r="LZ749">
            <v>14.730476692982464</v>
          </cell>
          <cell r="MA749">
            <v>11.870949885755934</v>
          </cell>
          <cell r="MB749">
            <v>9.6544719773798295</v>
          </cell>
          <cell r="MC749">
            <v>14.087427794132038</v>
          </cell>
        </row>
        <row r="750">
          <cell r="A750">
            <v>40576</v>
          </cell>
          <cell r="LJ750">
            <v>17.35463988571162</v>
          </cell>
          <cell r="LK750">
            <v>20.020152274152959</v>
          </cell>
          <cell r="LL750">
            <v>17.982747259685677</v>
          </cell>
          <cell r="LM750">
            <v>15.721193701553757</v>
          </cell>
          <cell r="LN750">
            <v>20.244300817817596</v>
          </cell>
          <cell r="LY750">
            <v>10.764956781303104</v>
          </cell>
          <cell r="LZ750">
            <v>14.730476692982464</v>
          </cell>
          <cell r="MA750">
            <v>11.870949885755934</v>
          </cell>
          <cell r="MB750">
            <v>9.6544719773798295</v>
          </cell>
          <cell r="MC750">
            <v>14.087427794132038</v>
          </cell>
        </row>
        <row r="751">
          <cell r="A751">
            <v>40577</v>
          </cell>
          <cell r="LJ751">
            <v>17.270925574865263</v>
          </cell>
          <cell r="LK751">
            <v>20.020152274152959</v>
          </cell>
          <cell r="LL751">
            <v>17.982747259685677</v>
          </cell>
          <cell r="LM751">
            <v>15.721193701553757</v>
          </cell>
          <cell r="LN751">
            <v>20.244300817817596</v>
          </cell>
          <cell r="LY751">
            <v>10.715036153014582</v>
          </cell>
          <cell r="LZ751">
            <v>14.730476692982464</v>
          </cell>
          <cell r="MA751">
            <v>11.870949885755934</v>
          </cell>
          <cell r="MB751">
            <v>9.6544719773798295</v>
          </cell>
          <cell r="MC751">
            <v>14.087427794132038</v>
          </cell>
        </row>
        <row r="752">
          <cell r="A752">
            <v>40578</v>
          </cell>
          <cell r="LJ752">
            <v>17.463835456055623</v>
          </cell>
          <cell r="LK752">
            <v>20.020152274152959</v>
          </cell>
          <cell r="LL752">
            <v>17.982747259685677</v>
          </cell>
          <cell r="LM752">
            <v>15.721193701553757</v>
          </cell>
          <cell r="LN752">
            <v>20.244300817817596</v>
          </cell>
          <cell r="LY752">
            <v>10.830072427872791</v>
          </cell>
          <cell r="LZ752">
            <v>14.730476692982464</v>
          </cell>
          <cell r="MA752">
            <v>11.870949885755934</v>
          </cell>
          <cell r="MB752">
            <v>9.6544719773798295</v>
          </cell>
          <cell r="MC752">
            <v>14.087427794132038</v>
          </cell>
        </row>
        <row r="753">
          <cell r="A753">
            <v>40581</v>
          </cell>
          <cell r="LJ753">
            <v>17.846017222397677</v>
          </cell>
          <cell r="LK753">
            <v>20.020152274152959</v>
          </cell>
          <cell r="LL753">
            <v>17.982747259685677</v>
          </cell>
          <cell r="LM753">
            <v>15.721193701553757</v>
          </cell>
          <cell r="LN753">
            <v>20.244300817817596</v>
          </cell>
          <cell r="LY753">
            <v>10.944813191514635</v>
          </cell>
          <cell r="LZ753">
            <v>14.730476692982464</v>
          </cell>
          <cell r="MA753">
            <v>11.870949885755934</v>
          </cell>
          <cell r="MB753">
            <v>9.6544719773798295</v>
          </cell>
          <cell r="MC753">
            <v>14.087427794132038</v>
          </cell>
        </row>
        <row r="754">
          <cell r="A754">
            <v>40582</v>
          </cell>
          <cell r="LJ754">
            <v>18.093399278909139</v>
          </cell>
          <cell r="LK754">
            <v>20.020152274152959</v>
          </cell>
          <cell r="LL754">
            <v>17.982747259685677</v>
          </cell>
          <cell r="LM754">
            <v>15.721193701553757</v>
          </cell>
          <cell r="LN754">
            <v>20.244300817817596</v>
          </cell>
          <cell r="LY754">
            <v>11.096155235579927</v>
          </cell>
          <cell r="LZ754">
            <v>14.730476692982464</v>
          </cell>
          <cell r="MA754">
            <v>11.870949885755934</v>
          </cell>
          <cell r="MB754">
            <v>9.6544719773798295</v>
          </cell>
          <cell r="MC754">
            <v>14.087427794132038</v>
          </cell>
        </row>
        <row r="755">
          <cell r="A755">
            <v>40583</v>
          </cell>
          <cell r="LJ755">
            <v>18.122635781907285</v>
          </cell>
          <cell r="LK755">
            <v>20.020152274152959</v>
          </cell>
          <cell r="LL755">
            <v>17.982747259685677</v>
          </cell>
          <cell r="LM755">
            <v>15.721193701553757</v>
          </cell>
          <cell r="LN755">
            <v>20.244300817817596</v>
          </cell>
          <cell r="LY755">
            <v>11.045347401977761</v>
          </cell>
          <cell r="LZ755">
            <v>14.730476692982464</v>
          </cell>
          <cell r="MA755">
            <v>11.870949885755934</v>
          </cell>
          <cell r="MB755">
            <v>9.6544719773798295</v>
          </cell>
          <cell r="MC755">
            <v>14.087427794132038</v>
          </cell>
        </row>
        <row r="756">
          <cell r="A756">
            <v>40584</v>
          </cell>
          <cell r="LJ756">
            <v>18.548066136960475</v>
          </cell>
          <cell r="LK756">
            <v>20.020152274152959</v>
          </cell>
          <cell r="LL756">
            <v>17.982747259685677</v>
          </cell>
          <cell r="LM756">
            <v>15.721193701553757</v>
          </cell>
          <cell r="LN756">
            <v>20.244300817817596</v>
          </cell>
          <cell r="LY756">
            <v>11.295035664543191</v>
          </cell>
          <cell r="LZ756">
            <v>14.730476692982464</v>
          </cell>
          <cell r="MA756">
            <v>11.870949885755934</v>
          </cell>
          <cell r="MB756">
            <v>9.6544719773798295</v>
          </cell>
          <cell r="MC756">
            <v>14.087427794132038</v>
          </cell>
        </row>
        <row r="757">
          <cell r="A757">
            <v>40585</v>
          </cell>
          <cell r="LJ757">
            <v>18.766232650201282</v>
          </cell>
          <cell r="LK757">
            <v>20.020152274152959</v>
          </cell>
          <cell r="LL757">
            <v>17.982747259685677</v>
          </cell>
          <cell r="LM757">
            <v>15.721193701553757</v>
          </cell>
          <cell r="LN757">
            <v>20.244300817817596</v>
          </cell>
          <cell r="LY757">
            <v>11.511114194038308</v>
          </cell>
          <cell r="LZ757">
            <v>14.730476692982464</v>
          </cell>
          <cell r="MA757">
            <v>11.870949885755934</v>
          </cell>
          <cell r="MB757">
            <v>9.6544719773798295</v>
          </cell>
          <cell r="MC757">
            <v>14.087427794132038</v>
          </cell>
        </row>
        <row r="758">
          <cell r="A758">
            <v>40588</v>
          </cell>
          <cell r="LJ758">
            <v>18.6862421527075</v>
          </cell>
          <cell r="LK758">
            <v>20.020152274152959</v>
          </cell>
          <cell r="LL758">
            <v>17.982747259685677</v>
          </cell>
          <cell r="LM758">
            <v>15.721193701553757</v>
          </cell>
          <cell r="LN758">
            <v>20.244300817817596</v>
          </cell>
          <cell r="LY758">
            <v>11.463791925413732</v>
          </cell>
          <cell r="LZ758">
            <v>14.730476692982464</v>
          </cell>
          <cell r="MA758">
            <v>11.870949885755934</v>
          </cell>
          <cell r="MB758">
            <v>9.6544719773798295</v>
          </cell>
          <cell r="MC758">
            <v>14.087427794132038</v>
          </cell>
        </row>
        <row r="759">
          <cell r="A759">
            <v>40589</v>
          </cell>
          <cell r="LJ759">
            <v>18.689876134106104</v>
          </cell>
          <cell r="LK759">
            <v>20.020152274152959</v>
          </cell>
          <cell r="LL759">
            <v>17.982747259685677</v>
          </cell>
          <cell r="LM759">
            <v>15.721193701553757</v>
          </cell>
          <cell r="LN759">
            <v>20.244300817817596</v>
          </cell>
          <cell r="LY759">
            <v>11.465941783825789</v>
          </cell>
          <cell r="LZ759">
            <v>14.730476692982464</v>
          </cell>
          <cell r="MA759">
            <v>11.870949885755934</v>
          </cell>
          <cell r="MB759">
            <v>9.6544719773798295</v>
          </cell>
          <cell r="MC759">
            <v>14.087427794132038</v>
          </cell>
        </row>
        <row r="760">
          <cell r="A760">
            <v>40590</v>
          </cell>
          <cell r="LJ760">
            <v>18.638970214371973</v>
          </cell>
          <cell r="LK760">
            <v>20.020152274152959</v>
          </cell>
          <cell r="LL760">
            <v>17.982747259685677</v>
          </cell>
          <cell r="LM760">
            <v>15.721193701553757</v>
          </cell>
          <cell r="LN760">
            <v>20.244300817817596</v>
          </cell>
          <cell r="LY760">
            <v>11.435825911519498</v>
          </cell>
          <cell r="LZ760">
            <v>14.730476692982464</v>
          </cell>
          <cell r="MA760">
            <v>11.870949885755934</v>
          </cell>
          <cell r="MB760">
            <v>9.6544719773798295</v>
          </cell>
          <cell r="MC760">
            <v>14.087427794132038</v>
          </cell>
        </row>
        <row r="761">
          <cell r="A761">
            <v>40591</v>
          </cell>
          <cell r="LJ761">
            <v>18.598972056694606</v>
          </cell>
          <cell r="LK761">
            <v>20.020152274152959</v>
          </cell>
          <cell r="LL761">
            <v>17.982747259685677</v>
          </cell>
          <cell r="LM761">
            <v>15.721193701553757</v>
          </cell>
          <cell r="LN761">
            <v>20.244300817817596</v>
          </cell>
          <cell r="LY761">
            <v>11.412163056287932</v>
          </cell>
          <cell r="LZ761">
            <v>14.730476692982464</v>
          </cell>
          <cell r="MA761">
            <v>11.870949885755934</v>
          </cell>
          <cell r="MB761">
            <v>9.6544719773798295</v>
          </cell>
          <cell r="MC761">
            <v>14.087427794132038</v>
          </cell>
        </row>
        <row r="762">
          <cell r="A762">
            <v>40592</v>
          </cell>
          <cell r="LJ762">
            <v>18.831686494868041</v>
          </cell>
          <cell r="LK762">
            <v>20.020152274152959</v>
          </cell>
          <cell r="LL762">
            <v>17.982747259685677</v>
          </cell>
          <cell r="LM762">
            <v>15.721193701553757</v>
          </cell>
          <cell r="LN762">
            <v>20.244300817817596</v>
          </cell>
          <cell r="LY762">
            <v>11.549836598784845</v>
          </cell>
          <cell r="LZ762">
            <v>14.730476692982464</v>
          </cell>
          <cell r="MA762">
            <v>11.870949885755934</v>
          </cell>
          <cell r="MB762">
            <v>9.6544719773798295</v>
          </cell>
          <cell r="MC762">
            <v>14.087427794132038</v>
          </cell>
        </row>
        <row r="763">
          <cell r="A763">
            <v>40595</v>
          </cell>
          <cell r="LJ763">
            <v>18.831686494868041</v>
          </cell>
          <cell r="LK763">
            <v>20.020152274152959</v>
          </cell>
          <cell r="LL763">
            <v>17.982747259685677</v>
          </cell>
          <cell r="LM763">
            <v>15.721193701553757</v>
          </cell>
          <cell r="LN763">
            <v>20.244300817817596</v>
          </cell>
          <cell r="LY763">
            <v>11.549836598784845</v>
          </cell>
          <cell r="LZ763">
            <v>14.730476692982464</v>
          </cell>
          <cell r="MA763">
            <v>11.870949885755934</v>
          </cell>
          <cell r="MB763">
            <v>9.6544719773798295</v>
          </cell>
          <cell r="MC763">
            <v>14.087427794132038</v>
          </cell>
        </row>
        <row r="764">
          <cell r="A764">
            <v>40596</v>
          </cell>
          <cell r="LJ764">
            <v>18.351710057204851</v>
          </cell>
          <cell r="LK764">
            <v>20.020152274152959</v>
          </cell>
          <cell r="LL764">
            <v>17.982747259685677</v>
          </cell>
          <cell r="LM764">
            <v>15.721193701553757</v>
          </cell>
          <cell r="LN764">
            <v>20.244300817817596</v>
          </cell>
          <cell r="LY764">
            <v>11.26588319646568</v>
          </cell>
          <cell r="LZ764">
            <v>14.730476692982464</v>
          </cell>
          <cell r="MA764">
            <v>11.870949885755934</v>
          </cell>
          <cell r="MB764">
            <v>9.6544719773798295</v>
          </cell>
          <cell r="MC764">
            <v>14.087427794132038</v>
          </cell>
        </row>
        <row r="765">
          <cell r="A765">
            <v>40597</v>
          </cell>
          <cell r="LJ765">
            <v>18.031731704495787</v>
          </cell>
          <cell r="LK765">
            <v>20.020152274152959</v>
          </cell>
          <cell r="LL765">
            <v>17.982747259685677</v>
          </cell>
          <cell r="LM765">
            <v>15.721193701553757</v>
          </cell>
          <cell r="LN765">
            <v>20.244300817817596</v>
          </cell>
          <cell r="LY765">
            <v>11.076584441796436</v>
          </cell>
          <cell r="LZ765">
            <v>14.730476692982464</v>
          </cell>
          <cell r="MA765">
            <v>11.870949885755934</v>
          </cell>
          <cell r="MB765">
            <v>9.6544719773798295</v>
          </cell>
          <cell r="MC765">
            <v>14.087427794132038</v>
          </cell>
        </row>
        <row r="766">
          <cell r="A766">
            <v>40598</v>
          </cell>
          <cell r="LJ766">
            <v>18.093545749902987</v>
          </cell>
          <cell r="LK766">
            <v>20.020152274152959</v>
          </cell>
          <cell r="LL766">
            <v>17.982747259685677</v>
          </cell>
          <cell r="LM766">
            <v>15.721193701553757</v>
          </cell>
          <cell r="LN766">
            <v>20.244300817817596</v>
          </cell>
          <cell r="LY766">
            <v>11.113153546292358</v>
          </cell>
          <cell r="LZ766">
            <v>14.730476692982464</v>
          </cell>
          <cell r="MA766">
            <v>11.870949885755934</v>
          </cell>
          <cell r="MB766">
            <v>9.6544719773798295</v>
          </cell>
          <cell r="MC766">
            <v>14.087427794132038</v>
          </cell>
        </row>
        <row r="767">
          <cell r="A767">
            <v>40599</v>
          </cell>
          <cell r="LJ767">
            <v>18.36625798213748</v>
          </cell>
          <cell r="LK767">
            <v>20.020152274152959</v>
          </cell>
          <cell r="LL767">
            <v>17.982747259685677</v>
          </cell>
          <cell r="LM767">
            <v>15.721193701553757</v>
          </cell>
          <cell r="LN767">
            <v>20.244300817817596</v>
          </cell>
          <cell r="LY767">
            <v>11.274489728905928</v>
          </cell>
          <cell r="LZ767">
            <v>14.730476692982464</v>
          </cell>
          <cell r="MA767">
            <v>11.870949885755934</v>
          </cell>
          <cell r="MB767">
            <v>9.6544719773798295</v>
          </cell>
          <cell r="MC767">
            <v>14.087427794132038</v>
          </cell>
        </row>
        <row r="768">
          <cell r="A768">
            <v>40602</v>
          </cell>
          <cell r="LJ768">
            <v>18.398981995540382</v>
          </cell>
          <cell r="LK768">
            <v>20.020152274152959</v>
          </cell>
          <cell r="LL768">
            <v>17.982747259685677</v>
          </cell>
          <cell r="LM768">
            <v>15.721193701553757</v>
          </cell>
          <cell r="LN768">
            <v>20.244300817817596</v>
          </cell>
          <cell r="LY768">
            <v>11.293849210359918</v>
          </cell>
          <cell r="LZ768">
            <v>14.730476692982464</v>
          </cell>
          <cell r="MA768">
            <v>11.870949885755934</v>
          </cell>
          <cell r="MB768">
            <v>9.6544719773798295</v>
          </cell>
          <cell r="MC768">
            <v>14.087427794132038</v>
          </cell>
        </row>
        <row r="769">
          <cell r="A769">
            <v>40603</v>
          </cell>
          <cell r="LJ769">
            <v>17.788031591573539</v>
          </cell>
          <cell r="LK769">
            <v>20.020152274152959</v>
          </cell>
          <cell r="LL769">
            <v>17.982747259685677</v>
          </cell>
          <cell r="LM769">
            <v>15.721193701553757</v>
          </cell>
          <cell r="LN769">
            <v>20.244300817817596</v>
          </cell>
          <cell r="LY769">
            <v>10.946792204748618</v>
          </cell>
          <cell r="LZ769">
            <v>14.730476692982464</v>
          </cell>
          <cell r="MA769">
            <v>11.870949885755934</v>
          </cell>
          <cell r="MB769">
            <v>9.6544719773798295</v>
          </cell>
          <cell r="MC769">
            <v>14.087427794132038</v>
          </cell>
        </row>
        <row r="770">
          <cell r="A770">
            <v>40604</v>
          </cell>
          <cell r="LJ770">
            <v>18.079578587053646</v>
          </cell>
          <cell r="LK770">
            <v>20.020152274152959</v>
          </cell>
          <cell r="LL770">
            <v>17.982747259685677</v>
          </cell>
          <cell r="LM770">
            <v>15.721193701553757</v>
          </cell>
          <cell r="LN770">
            <v>20.244300817817596</v>
          </cell>
          <cell r="LY770">
            <v>11.11956331391305</v>
          </cell>
          <cell r="LZ770">
            <v>14.730476692982464</v>
          </cell>
          <cell r="MA770">
            <v>11.870949885755934</v>
          </cell>
          <cell r="MB770">
            <v>9.6544719773798295</v>
          </cell>
          <cell r="MC770">
            <v>14.087427794132038</v>
          </cell>
        </row>
        <row r="771">
          <cell r="A771">
            <v>40605</v>
          </cell>
          <cell r="LJ771">
            <v>18.37634167264644</v>
          </cell>
          <cell r="LK771">
            <v>20.020152274152959</v>
          </cell>
          <cell r="LL771">
            <v>17.982747259685677</v>
          </cell>
          <cell r="LM771">
            <v>15.721193701553757</v>
          </cell>
          <cell r="LN771">
            <v>20.244300817817596</v>
          </cell>
          <cell r="LY771">
            <v>11.302533895366727</v>
          </cell>
          <cell r="LZ771">
            <v>14.730476692982464</v>
          </cell>
          <cell r="MA771">
            <v>11.870949885755934</v>
          </cell>
          <cell r="MB771">
            <v>9.6544719773798295</v>
          </cell>
          <cell r="MC771">
            <v>14.087427794132038</v>
          </cell>
        </row>
        <row r="772">
          <cell r="A772">
            <v>40606</v>
          </cell>
          <cell r="LJ772">
            <v>18.257644670087277</v>
          </cell>
          <cell r="LK772">
            <v>20.020152274152959</v>
          </cell>
          <cell r="LL772">
            <v>17.982747259685677</v>
          </cell>
          <cell r="LM772">
            <v>15.721193701553757</v>
          </cell>
          <cell r="LN772">
            <v>20.244300817817596</v>
          </cell>
          <cell r="LY772">
            <v>11.232147882297006</v>
          </cell>
          <cell r="LZ772">
            <v>14.730476692982464</v>
          </cell>
          <cell r="MA772">
            <v>11.870949885755934</v>
          </cell>
          <cell r="MB772">
            <v>9.6544719773798295</v>
          </cell>
          <cell r="MC772">
            <v>14.087427794132038</v>
          </cell>
        </row>
        <row r="773">
          <cell r="A773">
            <v>40609</v>
          </cell>
          <cell r="LJ773">
            <v>18.034641330405492</v>
          </cell>
          <cell r="LK773">
            <v>20.020152274152959</v>
          </cell>
          <cell r="LL773">
            <v>17.982747259685677</v>
          </cell>
          <cell r="LM773">
            <v>15.721193701553757</v>
          </cell>
          <cell r="LN773">
            <v>20.244300817817596</v>
          </cell>
          <cell r="LY773">
            <v>11.099909362005731</v>
          </cell>
          <cell r="LZ773">
            <v>14.730476692982464</v>
          </cell>
          <cell r="MA773">
            <v>11.870949885755934</v>
          </cell>
          <cell r="MB773">
            <v>9.6544719773798295</v>
          </cell>
          <cell r="MC773">
            <v>14.087427794132038</v>
          </cell>
        </row>
        <row r="774">
          <cell r="A774">
            <v>40610</v>
          </cell>
          <cell r="LJ774">
            <v>18.483415896673776</v>
          </cell>
          <cell r="LK774">
            <v>20.020152274152959</v>
          </cell>
          <cell r="LL774">
            <v>17.982747259685677</v>
          </cell>
          <cell r="LM774">
            <v>15.721193701553757</v>
          </cell>
          <cell r="LN774">
            <v>20.244300817817596</v>
          </cell>
          <cell r="LY774">
            <v>11.387848478041407</v>
          </cell>
          <cell r="LZ774">
            <v>14.730476692982464</v>
          </cell>
          <cell r="MA774">
            <v>11.870949885755934</v>
          </cell>
          <cell r="MB774">
            <v>9.6544719773798295</v>
          </cell>
          <cell r="MC774">
            <v>14.087427794132038</v>
          </cell>
        </row>
        <row r="775">
          <cell r="A775">
            <v>40611</v>
          </cell>
          <cell r="LJ775">
            <v>18.540852340850186</v>
          </cell>
          <cell r="LK775">
            <v>20.020152274152959</v>
          </cell>
          <cell r="LL775">
            <v>17.982747259685677</v>
          </cell>
          <cell r="LM775">
            <v>15.721193701553757</v>
          </cell>
          <cell r="LN775">
            <v>20.244300817817596</v>
          </cell>
          <cell r="LY775">
            <v>11.421975462875421</v>
          </cell>
          <cell r="LZ775">
            <v>14.730476692982464</v>
          </cell>
          <cell r="MA775">
            <v>11.870949885755934</v>
          </cell>
          <cell r="MB775">
            <v>9.6544719773798295</v>
          </cell>
          <cell r="MC775">
            <v>14.087427794132038</v>
          </cell>
        </row>
        <row r="776">
          <cell r="A776">
            <v>40612</v>
          </cell>
          <cell r="LJ776">
            <v>18.095726449704568</v>
          </cell>
          <cell r="LK776">
            <v>20.020152274152959</v>
          </cell>
          <cell r="LL776">
            <v>17.982747259685677</v>
          </cell>
          <cell r="LM776">
            <v>15.721193701553757</v>
          </cell>
          <cell r="LN776">
            <v>20.244300817817596</v>
          </cell>
          <cell r="LY776">
            <v>11.157495222948032</v>
          </cell>
          <cell r="LZ776">
            <v>14.730476692982464</v>
          </cell>
          <cell r="MA776">
            <v>11.870949885755934</v>
          </cell>
          <cell r="MB776">
            <v>9.6544719773798295</v>
          </cell>
          <cell r="MC776">
            <v>14.087427794132038</v>
          </cell>
        </row>
        <row r="777">
          <cell r="A777">
            <v>40613</v>
          </cell>
          <cell r="LJ777">
            <v>18.451109579501317</v>
          </cell>
          <cell r="LK777">
            <v>20.020152274152959</v>
          </cell>
          <cell r="LL777">
            <v>17.982747259685677</v>
          </cell>
          <cell r="LM777">
            <v>15.721193701553757</v>
          </cell>
          <cell r="LN777">
            <v>20.244300817817596</v>
          </cell>
          <cell r="LY777">
            <v>11.437376526185302</v>
          </cell>
          <cell r="LZ777">
            <v>14.730476692982464</v>
          </cell>
          <cell r="MA777">
            <v>11.870949885755934</v>
          </cell>
          <cell r="MB777">
            <v>9.6544719773798295</v>
          </cell>
          <cell r="MC777">
            <v>14.087427794132038</v>
          </cell>
        </row>
        <row r="778">
          <cell r="A778">
            <v>40616</v>
          </cell>
          <cell r="LJ778">
            <v>18.28957368598649</v>
          </cell>
          <cell r="LK778">
            <v>20.020152274152959</v>
          </cell>
          <cell r="LL778">
            <v>17.982747259685677</v>
          </cell>
          <cell r="LM778">
            <v>15.721193701553757</v>
          </cell>
          <cell r="LN778">
            <v>20.244300817817596</v>
          </cell>
          <cell r="LY778">
            <v>11.340795160096254</v>
          </cell>
          <cell r="LZ778">
            <v>14.730476692982464</v>
          </cell>
          <cell r="MA778">
            <v>11.870949885755934</v>
          </cell>
          <cell r="MB778">
            <v>9.6544719773798295</v>
          </cell>
          <cell r="MC778">
            <v>14.087427794132038</v>
          </cell>
        </row>
        <row r="779">
          <cell r="A779">
            <v>40617</v>
          </cell>
          <cell r="LJ779">
            <v>18.110088163288751</v>
          </cell>
          <cell r="LK779">
            <v>20.020152274152959</v>
          </cell>
          <cell r="LL779">
            <v>17.982747259685677</v>
          </cell>
          <cell r="LM779">
            <v>15.721193701553757</v>
          </cell>
          <cell r="LN779">
            <v>20.244300817817596</v>
          </cell>
          <cell r="LY779">
            <v>11.233481815686124</v>
          </cell>
          <cell r="LZ779">
            <v>14.730476692982464</v>
          </cell>
          <cell r="MA779">
            <v>11.870949885755934</v>
          </cell>
          <cell r="MB779">
            <v>9.6544719773798295</v>
          </cell>
          <cell r="MC779">
            <v>14.087427794132038</v>
          </cell>
        </row>
        <row r="780">
          <cell r="A780">
            <v>40618</v>
          </cell>
          <cell r="LJ780">
            <v>17.743936261101179</v>
          </cell>
          <cell r="LK780">
            <v>20.020152274152959</v>
          </cell>
          <cell r="LL780">
            <v>17.982747259685677</v>
          </cell>
          <cell r="LM780">
            <v>15.721193701553757</v>
          </cell>
          <cell r="LN780">
            <v>20.244300817817596</v>
          </cell>
          <cell r="LY780">
            <v>11.014561734582708</v>
          </cell>
          <cell r="LZ780">
            <v>14.730476692982464</v>
          </cell>
          <cell r="MA780">
            <v>11.870949885755934</v>
          </cell>
          <cell r="MB780">
            <v>9.6544719773798295</v>
          </cell>
          <cell r="MC780">
            <v>14.087427794132038</v>
          </cell>
        </row>
        <row r="781">
          <cell r="A781">
            <v>40619</v>
          </cell>
          <cell r="LJ781">
            <v>17.887522525433099</v>
          </cell>
          <cell r="LK781">
            <v>20.020152274152959</v>
          </cell>
          <cell r="LL781">
            <v>17.982747259685677</v>
          </cell>
          <cell r="LM781">
            <v>15.721193701553757</v>
          </cell>
          <cell r="LN781">
            <v>20.244300817817596</v>
          </cell>
          <cell r="LY781">
            <v>11.100411122350678</v>
          </cell>
          <cell r="LZ781">
            <v>14.730476692982464</v>
          </cell>
          <cell r="MA781">
            <v>11.870949885755934</v>
          </cell>
          <cell r="MB781">
            <v>9.6544719773798295</v>
          </cell>
          <cell r="MC781">
            <v>14.087427794132038</v>
          </cell>
        </row>
        <row r="782">
          <cell r="A782">
            <v>40620</v>
          </cell>
          <cell r="LJ782">
            <v>18.095726449704568</v>
          </cell>
          <cell r="LK782">
            <v>20.020152274152959</v>
          </cell>
          <cell r="LL782">
            <v>17.982747259685677</v>
          </cell>
          <cell r="LM782">
            <v>15.721193701553757</v>
          </cell>
          <cell r="LN782">
            <v>20.244300817817596</v>
          </cell>
          <cell r="LY782">
            <v>11.224895031119807</v>
          </cell>
          <cell r="LZ782">
            <v>14.730476692982464</v>
          </cell>
          <cell r="MA782">
            <v>11.870949885755934</v>
          </cell>
          <cell r="MB782">
            <v>9.6544719773798295</v>
          </cell>
          <cell r="MC782">
            <v>14.087427794132038</v>
          </cell>
        </row>
        <row r="783">
          <cell r="A783">
            <v>40623</v>
          </cell>
          <cell r="LJ783">
            <v>18.411622764507815</v>
          </cell>
          <cell r="LK783">
            <v>20.020152274152959</v>
          </cell>
          <cell r="LL783">
            <v>17.982747259685677</v>
          </cell>
          <cell r="LM783">
            <v>15.721193701553757</v>
          </cell>
          <cell r="LN783">
            <v>20.244300817817596</v>
          </cell>
          <cell r="LY783">
            <v>11.413767590415075</v>
          </cell>
          <cell r="LZ783">
            <v>14.730476692982464</v>
          </cell>
          <cell r="MA783">
            <v>11.870949885755934</v>
          </cell>
          <cell r="MB783">
            <v>9.6544719773798295</v>
          </cell>
          <cell r="MC783">
            <v>14.087427794132038</v>
          </cell>
        </row>
        <row r="784">
          <cell r="A784">
            <v>40624</v>
          </cell>
          <cell r="LJ784">
            <v>18.404441907715722</v>
          </cell>
          <cell r="LK784">
            <v>20.020152274152959</v>
          </cell>
          <cell r="LL784">
            <v>17.982747259685677</v>
          </cell>
          <cell r="LM784">
            <v>15.721193701553757</v>
          </cell>
          <cell r="LN784">
            <v>20.244300817817596</v>
          </cell>
          <cell r="LY784">
            <v>11.409474198131916</v>
          </cell>
          <cell r="LZ784">
            <v>14.730476692982464</v>
          </cell>
          <cell r="MA784">
            <v>11.870949885755934</v>
          </cell>
          <cell r="MB784">
            <v>9.6544719773798295</v>
          </cell>
          <cell r="MC784">
            <v>14.087427794132038</v>
          </cell>
        </row>
        <row r="785">
          <cell r="A785">
            <v>40625</v>
          </cell>
          <cell r="LJ785">
            <v>18.524528631237789</v>
          </cell>
          <cell r="LK785">
            <v>20.020152274152959</v>
          </cell>
          <cell r="LL785">
            <v>17.982747259685677</v>
          </cell>
          <cell r="LM785">
            <v>15.721193701553757</v>
          </cell>
          <cell r="LN785">
            <v>20.244300817817596</v>
          </cell>
          <cell r="LY785">
            <v>11.433623464899384</v>
          </cell>
          <cell r="LZ785">
            <v>14.730476692982464</v>
          </cell>
          <cell r="MA785">
            <v>11.870949885755934</v>
          </cell>
          <cell r="MB785">
            <v>9.6544719773798295</v>
          </cell>
          <cell r="MC785">
            <v>14.087427794132038</v>
          </cell>
        </row>
        <row r="786">
          <cell r="A786">
            <v>40626</v>
          </cell>
          <cell r="LJ786">
            <v>18.560522084486916</v>
          </cell>
          <cell r="LK786">
            <v>20.020152274152959</v>
          </cell>
          <cell r="LL786">
            <v>17.982747259685677</v>
          </cell>
          <cell r="LM786">
            <v>15.721193701553757</v>
          </cell>
          <cell r="LN786">
            <v>20.244300817817596</v>
          </cell>
          <cell r="LY786">
            <v>11.45505244752454</v>
          </cell>
          <cell r="LZ786">
            <v>14.730476692982464</v>
          </cell>
          <cell r="MA786">
            <v>11.870949885755934</v>
          </cell>
          <cell r="MB786">
            <v>9.6544719773798295</v>
          </cell>
          <cell r="MC786">
            <v>14.087427794132038</v>
          </cell>
        </row>
        <row r="787">
          <cell r="A787">
            <v>40627</v>
          </cell>
          <cell r="LJ787">
            <v>18.682889820054328</v>
          </cell>
          <cell r="LK787">
            <v>20.020152274152959</v>
          </cell>
          <cell r="LL787">
            <v>17.982747259685677</v>
          </cell>
          <cell r="LM787">
            <v>15.721193701553757</v>
          </cell>
          <cell r="LN787">
            <v>20.244300817817596</v>
          </cell>
          <cell r="LY787">
            <v>11.527905031609876</v>
          </cell>
          <cell r="LZ787">
            <v>14.730476692982464</v>
          </cell>
          <cell r="MA787">
            <v>11.870949885755934</v>
          </cell>
          <cell r="MB787">
            <v>9.6544719773798295</v>
          </cell>
          <cell r="MC787">
            <v>14.087427794132038</v>
          </cell>
        </row>
        <row r="788">
          <cell r="A788">
            <v>40630</v>
          </cell>
          <cell r="LJ788">
            <v>18.54972516423113</v>
          </cell>
          <cell r="LK788">
            <v>20.020152274152959</v>
          </cell>
          <cell r="LL788">
            <v>17.982747259685677</v>
          </cell>
          <cell r="LM788">
            <v>15.721193701553757</v>
          </cell>
          <cell r="LN788">
            <v>20.244300817817596</v>
          </cell>
          <cell r="LY788">
            <v>11.448624416988958</v>
          </cell>
          <cell r="LZ788">
            <v>14.730476692982464</v>
          </cell>
          <cell r="MA788">
            <v>11.870949885755934</v>
          </cell>
          <cell r="MB788">
            <v>9.6544719773798295</v>
          </cell>
          <cell r="MC788">
            <v>14.087427794132038</v>
          </cell>
        </row>
        <row r="789">
          <cell r="A789">
            <v>40631</v>
          </cell>
          <cell r="LJ789">
            <v>18.690089446468434</v>
          </cell>
          <cell r="LK789">
            <v>20.020152274152959</v>
          </cell>
          <cell r="LL789">
            <v>17.982747259685677</v>
          </cell>
          <cell r="LM789">
            <v>15.721193701553757</v>
          </cell>
          <cell r="LN789">
            <v>20.244300817817596</v>
          </cell>
          <cell r="LY789">
            <v>11.532191385249456</v>
          </cell>
          <cell r="LZ789">
            <v>14.730476692982464</v>
          </cell>
          <cell r="MA789">
            <v>11.870949885755934</v>
          </cell>
          <cell r="MB789">
            <v>9.6544719773798295</v>
          </cell>
          <cell r="MC789">
            <v>14.087427794132038</v>
          </cell>
        </row>
        <row r="790">
          <cell r="A790">
            <v>40632</v>
          </cell>
          <cell r="LJ790">
            <v>18.70088636672422</v>
          </cell>
          <cell r="LK790">
            <v>20.020152274152959</v>
          </cell>
          <cell r="LL790">
            <v>17.982747259685677</v>
          </cell>
          <cell r="LM790">
            <v>15.721193701553757</v>
          </cell>
          <cell r="LN790">
            <v>20.244300817817596</v>
          </cell>
          <cell r="LY790">
            <v>11.538619415785037</v>
          </cell>
          <cell r="LZ790">
            <v>14.730476692982464</v>
          </cell>
          <cell r="MA790">
            <v>11.870949885755934</v>
          </cell>
          <cell r="MB790">
            <v>9.6544719773798295</v>
          </cell>
          <cell r="MC790">
            <v>14.087427794132038</v>
          </cell>
        </row>
        <row r="791">
          <cell r="A791">
            <v>40633</v>
          </cell>
          <cell r="LJ791">
            <v>18.679292526212645</v>
          </cell>
          <cell r="LK791">
            <v>20.020152274152959</v>
          </cell>
          <cell r="LL791">
            <v>17.982747259685677</v>
          </cell>
          <cell r="LM791">
            <v>15.721193701553757</v>
          </cell>
          <cell r="LN791">
            <v>20.244300817817596</v>
          </cell>
          <cell r="LY791">
            <v>11.521232081476462</v>
          </cell>
          <cell r="LZ791">
            <v>14.730476692982464</v>
          </cell>
          <cell r="MA791">
            <v>11.870949885755934</v>
          </cell>
          <cell r="MB791">
            <v>9.6544719773798295</v>
          </cell>
          <cell r="MC791">
            <v>14.087427794132038</v>
          </cell>
        </row>
        <row r="792">
          <cell r="A792">
            <v>40634</v>
          </cell>
          <cell r="LJ792">
            <v>18.715908702526754</v>
          </cell>
          <cell r="LK792">
            <v>20.020152274152959</v>
          </cell>
          <cell r="LL792">
            <v>17.982747259685677</v>
          </cell>
          <cell r="LM792">
            <v>15.721193701553757</v>
          </cell>
          <cell r="LN792">
            <v>20.244300817817596</v>
          </cell>
          <cell r="LY792">
            <v>11.542638475546751</v>
          </cell>
          <cell r="LZ792">
            <v>14.730476692982464</v>
          </cell>
          <cell r="MA792">
            <v>11.870949885755934</v>
          </cell>
          <cell r="MB792">
            <v>9.6544719773798295</v>
          </cell>
          <cell r="MC792">
            <v>14.087427794132038</v>
          </cell>
        </row>
        <row r="793">
          <cell r="A793">
            <v>40637</v>
          </cell>
          <cell r="LJ793">
            <v>18.619781831647664</v>
          </cell>
          <cell r="LK793">
            <v>20.020152274152959</v>
          </cell>
          <cell r="LL793">
            <v>17.982747259685677</v>
          </cell>
          <cell r="LM793">
            <v>15.721193701553757</v>
          </cell>
          <cell r="LN793">
            <v>20.244300817817596</v>
          </cell>
          <cell r="LY793">
            <v>11.485411310374063</v>
          </cell>
          <cell r="LZ793">
            <v>14.730476692982464</v>
          </cell>
          <cell r="MA793">
            <v>11.870949885755934</v>
          </cell>
          <cell r="MB793">
            <v>9.6544719773798295</v>
          </cell>
          <cell r="MC793">
            <v>14.087427794132038</v>
          </cell>
        </row>
        <row r="794">
          <cell r="A794">
            <v>40638</v>
          </cell>
          <cell r="LJ794">
            <v>18.609101978042617</v>
          </cell>
          <cell r="LK794">
            <v>20.020152274152959</v>
          </cell>
          <cell r="LL794">
            <v>17.982747259685677</v>
          </cell>
          <cell r="LM794">
            <v>15.721193701553757</v>
          </cell>
          <cell r="LN794">
            <v>20.244300817817596</v>
          </cell>
          <cell r="LY794">
            <v>11.479053278112257</v>
          </cell>
          <cell r="LZ794">
            <v>14.730476692982464</v>
          </cell>
          <cell r="MA794">
            <v>11.870949885755934</v>
          </cell>
          <cell r="MB794">
            <v>9.6544719773798295</v>
          </cell>
          <cell r="MC794">
            <v>14.087427794132038</v>
          </cell>
        </row>
        <row r="795">
          <cell r="A795">
            <v>40639</v>
          </cell>
          <cell r="LJ795">
            <v>18.573503296736451</v>
          </cell>
          <cell r="LK795">
            <v>20.020152274152959</v>
          </cell>
          <cell r="LL795">
            <v>17.982747259685677</v>
          </cell>
          <cell r="LM795">
            <v>15.721193701553757</v>
          </cell>
          <cell r="LN795">
            <v>20.244300817817596</v>
          </cell>
          <cell r="LY795">
            <v>11.457860331786142</v>
          </cell>
          <cell r="LZ795">
            <v>14.730476692982464</v>
          </cell>
          <cell r="MA795">
            <v>11.870949885755934</v>
          </cell>
          <cell r="MB795">
            <v>9.6544719773798295</v>
          </cell>
          <cell r="MC795">
            <v>14.087427794132038</v>
          </cell>
        </row>
        <row r="796">
          <cell r="A796">
            <v>40640</v>
          </cell>
          <cell r="LJ796">
            <v>18.530777117958017</v>
          </cell>
          <cell r="LK796">
            <v>20.020152274152959</v>
          </cell>
          <cell r="LL796">
            <v>17.982747259685677</v>
          </cell>
          <cell r="LM796">
            <v>15.721193701553757</v>
          </cell>
          <cell r="LN796">
            <v>20.244300817817596</v>
          </cell>
          <cell r="LY796">
            <v>11.432424175716665</v>
          </cell>
          <cell r="LZ796">
            <v>14.730476692982464</v>
          </cell>
          <cell r="MA796">
            <v>11.870949885755934</v>
          </cell>
          <cell r="MB796">
            <v>9.6544719773798295</v>
          </cell>
          <cell r="MC796">
            <v>14.087427794132038</v>
          </cell>
        </row>
        <row r="797">
          <cell r="A797">
            <v>40641</v>
          </cell>
          <cell r="LJ797">
            <v>18.352767690578727</v>
          </cell>
          <cell r="LK797">
            <v>20.020152274152959</v>
          </cell>
          <cell r="LL797">
            <v>17.982747259685677</v>
          </cell>
          <cell r="LM797">
            <v>15.721193701553757</v>
          </cell>
          <cell r="LN797">
            <v>20.244300817817596</v>
          </cell>
          <cell r="LY797">
            <v>11.421875613347167</v>
          </cell>
          <cell r="LZ797">
            <v>14.730476692982464</v>
          </cell>
          <cell r="MA797">
            <v>11.870949885755934</v>
          </cell>
          <cell r="MB797">
            <v>9.6544719773798295</v>
          </cell>
          <cell r="MC797">
            <v>14.087427794132038</v>
          </cell>
        </row>
        <row r="798">
          <cell r="A798">
            <v>40644</v>
          </cell>
          <cell r="LJ798">
            <v>18.416853932586111</v>
          </cell>
          <cell r="LK798">
            <v>20.020152274152959</v>
          </cell>
          <cell r="LL798">
            <v>17.982747259685677</v>
          </cell>
          <cell r="LM798">
            <v>15.721193701553757</v>
          </cell>
          <cell r="LN798">
            <v>20.244300817817596</v>
          </cell>
          <cell r="LY798">
            <v>11.460349481367444</v>
          </cell>
          <cell r="LZ798">
            <v>14.730476692982464</v>
          </cell>
          <cell r="MA798">
            <v>11.870949885755934</v>
          </cell>
          <cell r="MB798">
            <v>9.6544719773798295</v>
          </cell>
          <cell r="MC798">
            <v>14.087427794132038</v>
          </cell>
        </row>
        <row r="799">
          <cell r="A799">
            <v>40645</v>
          </cell>
          <cell r="LJ799">
            <v>18.370569701373221</v>
          </cell>
          <cell r="LK799">
            <v>20.020152274152959</v>
          </cell>
          <cell r="LL799">
            <v>17.982747259685677</v>
          </cell>
          <cell r="LM799">
            <v>15.721193701553757</v>
          </cell>
          <cell r="LN799">
            <v>20.244300817817596</v>
          </cell>
          <cell r="LY799">
            <v>11.432562965146076</v>
          </cell>
          <cell r="LZ799">
            <v>14.730476692982464</v>
          </cell>
          <cell r="MA799">
            <v>11.870949885755934</v>
          </cell>
          <cell r="MB799">
            <v>9.6544719773798295</v>
          </cell>
          <cell r="MC799">
            <v>14.087427794132038</v>
          </cell>
        </row>
        <row r="800">
          <cell r="A800">
            <v>40646</v>
          </cell>
          <cell r="LJ800">
            <v>18.50309886768007</v>
          </cell>
          <cell r="LK800">
            <v>20.020152274152959</v>
          </cell>
          <cell r="LL800">
            <v>17.982747259685677</v>
          </cell>
          <cell r="LM800">
            <v>15.721193701553757</v>
          </cell>
          <cell r="LN800">
            <v>20.244300817817596</v>
          </cell>
          <cell r="LY800">
            <v>11.374736290140522</v>
          </cell>
          <cell r="LZ800">
            <v>14.730476692982464</v>
          </cell>
          <cell r="MA800">
            <v>11.870949885755934</v>
          </cell>
          <cell r="MB800">
            <v>9.6544719773798295</v>
          </cell>
          <cell r="MC800">
            <v>14.087427794132038</v>
          </cell>
        </row>
        <row r="801">
          <cell r="A801">
            <v>40647</v>
          </cell>
          <cell r="LJ801">
            <v>18.417965439119442</v>
          </cell>
          <cell r="LK801">
            <v>20.020152274152959</v>
          </cell>
          <cell r="LL801">
            <v>17.982747259685677</v>
          </cell>
          <cell r="LM801">
            <v>15.721193701553757</v>
          </cell>
          <cell r="LN801">
            <v>20.244300817817596</v>
          </cell>
          <cell r="LY801">
            <v>11.324230425668292</v>
          </cell>
          <cell r="LZ801">
            <v>14.730476692982464</v>
          </cell>
          <cell r="MA801">
            <v>11.870949885755934</v>
          </cell>
          <cell r="MB801">
            <v>9.6544719773798295</v>
          </cell>
          <cell r="MC801">
            <v>14.087427794132038</v>
          </cell>
        </row>
        <row r="802">
          <cell r="A802">
            <v>40648</v>
          </cell>
          <cell r="LJ802">
            <v>18.698205501742446</v>
          </cell>
          <cell r="LK802">
            <v>20.020152274152959</v>
          </cell>
          <cell r="LL802">
            <v>17.982747259685677</v>
          </cell>
          <cell r="LM802">
            <v>15.721193701553757</v>
          </cell>
          <cell r="LN802">
            <v>20.244300817817596</v>
          </cell>
          <cell r="LY802">
            <v>11.502907779397418</v>
          </cell>
          <cell r="LZ802">
            <v>14.730476692982464</v>
          </cell>
          <cell r="MA802">
            <v>11.870949885755934</v>
          </cell>
          <cell r="MB802">
            <v>9.6544719773798295</v>
          </cell>
          <cell r="MC802">
            <v>14.087427794132038</v>
          </cell>
        </row>
        <row r="803">
          <cell r="A803">
            <v>40651</v>
          </cell>
          <cell r="LJ803">
            <v>18.449890386145331</v>
          </cell>
          <cell r="LK803">
            <v>20.020152274152959</v>
          </cell>
          <cell r="LL803">
            <v>17.982747259685677</v>
          </cell>
          <cell r="LM803">
            <v>15.721193701553757</v>
          </cell>
          <cell r="LN803">
            <v>20.244300817817596</v>
          </cell>
          <cell r="LY803">
            <v>11.355428516153403</v>
          </cell>
          <cell r="LZ803">
            <v>14.730476692982464</v>
          </cell>
          <cell r="MA803">
            <v>11.870949885755934</v>
          </cell>
          <cell r="MB803">
            <v>9.6544719773798295</v>
          </cell>
          <cell r="MC803">
            <v>14.087427794132038</v>
          </cell>
        </row>
        <row r="804">
          <cell r="A804">
            <v>40652</v>
          </cell>
          <cell r="LJ804">
            <v>18.673376721660713</v>
          </cell>
          <cell r="LK804">
            <v>20.020152274152959</v>
          </cell>
          <cell r="LL804">
            <v>17.982747259685677</v>
          </cell>
          <cell r="LM804">
            <v>15.721193701553757</v>
          </cell>
          <cell r="LN804">
            <v>20.244300817817596</v>
          </cell>
          <cell r="LY804">
            <v>11.488161475351864</v>
          </cell>
          <cell r="LZ804">
            <v>14.730476692982464</v>
          </cell>
          <cell r="MA804">
            <v>11.870949885755934</v>
          </cell>
          <cell r="MB804">
            <v>9.6544719773798295</v>
          </cell>
          <cell r="MC804">
            <v>14.087427794132038</v>
          </cell>
        </row>
        <row r="805">
          <cell r="A805">
            <v>40653</v>
          </cell>
          <cell r="LJ805">
            <v>19.052022409961889</v>
          </cell>
          <cell r="LK805">
            <v>20.020152274152959</v>
          </cell>
          <cell r="LL805">
            <v>17.982747259685677</v>
          </cell>
          <cell r="LM805">
            <v>15.721193701553757</v>
          </cell>
          <cell r="LN805">
            <v>20.244300817817596</v>
          </cell>
          <cell r="LY805">
            <v>11.97775709127165</v>
          </cell>
          <cell r="LZ805">
            <v>14.730476692982464</v>
          </cell>
          <cell r="MA805">
            <v>11.870949885755934</v>
          </cell>
          <cell r="MB805">
            <v>9.6544719773798295</v>
          </cell>
          <cell r="MC805">
            <v>14.087427794132038</v>
          </cell>
        </row>
        <row r="806">
          <cell r="A806">
            <v>40654</v>
          </cell>
          <cell r="LJ806">
            <v>18.916849444199315</v>
          </cell>
          <cell r="LK806">
            <v>20.020152274152959</v>
          </cell>
          <cell r="LL806">
            <v>17.982747259685677</v>
          </cell>
          <cell r="LM806">
            <v>15.721193701553757</v>
          </cell>
          <cell r="LN806">
            <v>20.244300817817596</v>
          </cell>
          <cell r="LY806">
            <v>11.895544581454937</v>
          </cell>
          <cell r="LZ806">
            <v>14.730476692982464</v>
          </cell>
          <cell r="MA806">
            <v>11.870949885755934</v>
          </cell>
          <cell r="MB806">
            <v>9.6544719773798295</v>
          </cell>
          <cell r="MC806">
            <v>14.087427794132038</v>
          </cell>
        </row>
        <row r="807">
          <cell r="A807">
            <v>40655</v>
          </cell>
          <cell r="LJ807">
            <v>18.916849444199315</v>
          </cell>
          <cell r="LK807">
            <v>20.020152274152959</v>
          </cell>
          <cell r="LL807">
            <v>17.982747259685677</v>
          </cell>
          <cell r="LM807">
            <v>15.721193701553757</v>
          </cell>
          <cell r="LN807">
            <v>20.244300817817596</v>
          </cell>
          <cell r="LY807">
            <v>11.895544581454937</v>
          </cell>
          <cell r="LZ807">
            <v>14.730476692982464</v>
          </cell>
          <cell r="MA807">
            <v>11.870949885755934</v>
          </cell>
          <cell r="MB807">
            <v>9.6544719773798295</v>
          </cell>
          <cell r="MC807">
            <v>14.087427794132038</v>
          </cell>
        </row>
        <row r="808">
          <cell r="A808">
            <v>40658</v>
          </cell>
          <cell r="LJ808">
            <v>18.653619564252644</v>
          </cell>
          <cell r="LK808">
            <v>20.020152274152959</v>
          </cell>
          <cell r="LL808">
            <v>17.982747259685677</v>
          </cell>
          <cell r="LM808">
            <v>15.721193701553757</v>
          </cell>
          <cell r="LN808">
            <v>20.244300817817596</v>
          </cell>
          <cell r="LY808">
            <v>11.73544756081858</v>
          </cell>
          <cell r="LZ808">
            <v>14.730476692982464</v>
          </cell>
          <cell r="MA808">
            <v>11.870949885755934</v>
          </cell>
          <cell r="MB808">
            <v>9.6544719773798295</v>
          </cell>
          <cell r="MC808">
            <v>14.087427794132038</v>
          </cell>
        </row>
        <row r="809">
          <cell r="A809">
            <v>40659</v>
          </cell>
          <cell r="LJ809">
            <v>18.972026223778119</v>
          </cell>
          <cell r="LK809">
            <v>20.020152274152959</v>
          </cell>
          <cell r="LL809">
            <v>17.982747259685677</v>
          </cell>
          <cell r="LM809">
            <v>15.721193701553757</v>
          </cell>
          <cell r="LN809">
            <v>20.244300817817596</v>
          </cell>
          <cell r="LY809">
            <v>11.990339542965184</v>
          </cell>
          <cell r="LZ809">
            <v>14.730476692982464</v>
          </cell>
          <cell r="MA809">
            <v>11.870949885755934</v>
          </cell>
          <cell r="MB809">
            <v>9.6544719773798295</v>
          </cell>
          <cell r="MC809">
            <v>14.087427794132038</v>
          </cell>
        </row>
        <row r="810">
          <cell r="A810">
            <v>40660</v>
          </cell>
          <cell r="LJ810">
            <v>19.257836236935724</v>
          </cell>
          <cell r="LK810">
            <v>20.020152274152959</v>
          </cell>
          <cell r="LL810">
            <v>17.982747259685677</v>
          </cell>
          <cell r="LM810">
            <v>15.721193701553757</v>
          </cell>
          <cell r="LN810">
            <v>20.244300817817596</v>
          </cell>
          <cell r="LY810">
            <v>12.034884430826608</v>
          </cell>
          <cell r="LZ810">
            <v>14.730476692982464</v>
          </cell>
          <cell r="MA810">
            <v>11.870949885755934</v>
          </cell>
          <cell r="MB810">
            <v>9.6544719773798295</v>
          </cell>
          <cell r="MC810">
            <v>14.087427794132038</v>
          </cell>
        </row>
        <row r="811">
          <cell r="A811">
            <v>40661</v>
          </cell>
          <cell r="LJ811">
            <v>19.432052264810306</v>
          </cell>
          <cell r="LK811">
            <v>20.020152274152959</v>
          </cell>
          <cell r="LL811">
            <v>17.982747259685677</v>
          </cell>
          <cell r="LM811">
            <v>15.721193701553757</v>
          </cell>
          <cell r="LN811">
            <v>20.244300817817596</v>
          </cell>
          <cell r="LY811">
            <v>12.140316860827435</v>
          </cell>
          <cell r="LZ811">
            <v>14.730476692982464</v>
          </cell>
          <cell r="MA811">
            <v>11.870949885755934</v>
          </cell>
          <cell r="MB811">
            <v>9.6544719773798295</v>
          </cell>
          <cell r="MC811">
            <v>14.087427794132038</v>
          </cell>
        </row>
        <row r="812">
          <cell r="A812">
            <v>40662</v>
          </cell>
          <cell r="LJ812">
            <v>19.247383623695303</v>
          </cell>
          <cell r="LK812">
            <v>20.020152274152959</v>
          </cell>
          <cell r="LL812">
            <v>17.982747259685677</v>
          </cell>
          <cell r="LM812">
            <v>15.721193701553757</v>
          </cell>
          <cell r="LN812">
            <v>20.244300817817596</v>
          </cell>
          <cell r="LY812">
            <v>12.028558695891419</v>
          </cell>
          <cell r="LZ812">
            <v>14.730476692982464</v>
          </cell>
          <cell r="MA812">
            <v>11.870949885755934</v>
          </cell>
          <cell r="MB812">
            <v>9.6544719773798295</v>
          </cell>
          <cell r="MC812">
            <v>14.087427794132038</v>
          </cell>
        </row>
        <row r="813">
          <cell r="A813">
            <v>40665</v>
          </cell>
          <cell r="LJ813">
            <v>19.040886207938538</v>
          </cell>
          <cell r="LK813">
            <v>20.020152274152959</v>
          </cell>
          <cell r="LL813">
            <v>17.982747259685677</v>
          </cell>
          <cell r="LM813">
            <v>15.721193701553757</v>
          </cell>
          <cell r="LN813">
            <v>20.244300817817596</v>
          </cell>
          <cell r="LY813">
            <v>11.903268723084016</v>
          </cell>
          <cell r="LZ813">
            <v>14.730476692982464</v>
          </cell>
          <cell r="MA813">
            <v>11.870949885755934</v>
          </cell>
          <cell r="MB813">
            <v>9.6544719773798295</v>
          </cell>
          <cell r="MC813">
            <v>14.087427794132038</v>
          </cell>
        </row>
        <row r="814">
          <cell r="A814">
            <v>40666</v>
          </cell>
          <cell r="LJ814">
            <v>19.051226679307405</v>
          </cell>
          <cell r="LK814">
            <v>20.020152274152959</v>
          </cell>
          <cell r="LL814">
            <v>17.982747259685677</v>
          </cell>
          <cell r="LM814">
            <v>15.721193701553757</v>
          </cell>
          <cell r="LN814">
            <v>20.244300817817596</v>
          </cell>
          <cell r="LY814">
            <v>11.909528568898317</v>
          </cell>
          <cell r="LZ814">
            <v>14.730476692982464</v>
          </cell>
          <cell r="MA814">
            <v>11.870949885755934</v>
          </cell>
          <cell r="MB814">
            <v>9.6544719773798295</v>
          </cell>
          <cell r="MC814">
            <v>14.087427794132038</v>
          </cell>
        </row>
        <row r="815">
          <cell r="A815">
            <v>40667</v>
          </cell>
          <cell r="LJ815">
            <v>18.954712740749077</v>
          </cell>
          <cell r="LK815">
            <v>20.020152274152959</v>
          </cell>
          <cell r="LL815">
            <v>17.982747259685677</v>
          </cell>
          <cell r="LM815">
            <v>15.721193701553757</v>
          </cell>
          <cell r="LN815">
            <v>20.244300817817596</v>
          </cell>
          <cell r="LY815">
            <v>11.851101602394143</v>
          </cell>
          <cell r="LZ815">
            <v>14.730476692982464</v>
          </cell>
          <cell r="MA815">
            <v>11.870949885755934</v>
          </cell>
          <cell r="MB815">
            <v>9.6544719773798295</v>
          </cell>
          <cell r="MC815">
            <v>14.087427794132038</v>
          </cell>
        </row>
        <row r="816">
          <cell r="A816">
            <v>40668</v>
          </cell>
          <cell r="LJ816">
            <v>18.661726054549728</v>
          </cell>
          <cell r="LK816">
            <v>20.020152274152959</v>
          </cell>
          <cell r="LL816">
            <v>17.982747259685677</v>
          </cell>
          <cell r="LM816">
            <v>15.721193701553757</v>
          </cell>
          <cell r="LN816">
            <v>20.244300817817596</v>
          </cell>
          <cell r="LY816">
            <v>11.67373527006492</v>
          </cell>
          <cell r="LZ816">
            <v>14.730476692982464</v>
          </cell>
          <cell r="MA816">
            <v>11.870949885755934</v>
          </cell>
          <cell r="MB816">
            <v>9.6544719773798295</v>
          </cell>
          <cell r="MC816">
            <v>14.087427794132038</v>
          </cell>
        </row>
        <row r="817">
          <cell r="A817">
            <v>40669</v>
          </cell>
          <cell r="LJ817">
            <v>18.689296738336193</v>
          </cell>
          <cell r="LK817">
            <v>20.020152274152959</v>
          </cell>
          <cell r="LL817">
            <v>17.982747259685677</v>
          </cell>
          <cell r="LM817">
            <v>15.721193701553757</v>
          </cell>
          <cell r="LN817">
            <v>20.244300817817596</v>
          </cell>
          <cell r="LY817">
            <v>11.690425827326919</v>
          </cell>
          <cell r="LZ817">
            <v>14.730476692982464</v>
          </cell>
          <cell r="MA817">
            <v>11.870949885755934</v>
          </cell>
          <cell r="MB817">
            <v>9.6544719773798295</v>
          </cell>
          <cell r="MC817">
            <v>14.087427794132038</v>
          </cell>
        </row>
        <row r="818">
          <cell r="A818">
            <v>40672</v>
          </cell>
          <cell r="LJ818">
            <v>18.83407298892865</v>
          </cell>
          <cell r="LK818">
            <v>20.020152274152959</v>
          </cell>
          <cell r="LL818">
            <v>17.982747259685677</v>
          </cell>
          <cell r="LM818">
            <v>15.721193701553757</v>
          </cell>
          <cell r="LN818">
            <v>20.244300817817596</v>
          </cell>
          <cell r="LY818">
            <v>11.778069511444665</v>
          </cell>
          <cell r="LZ818">
            <v>14.730476692982464</v>
          </cell>
          <cell r="MA818">
            <v>11.870949885755934</v>
          </cell>
          <cell r="MB818">
            <v>9.6544719773798295</v>
          </cell>
          <cell r="MC818">
            <v>14.087427794132038</v>
          </cell>
        </row>
        <row r="819">
          <cell r="A819">
            <v>40673</v>
          </cell>
          <cell r="LJ819">
            <v>18.982288939637442</v>
          </cell>
          <cell r="LK819">
            <v>20.020152274152959</v>
          </cell>
          <cell r="LL819">
            <v>17.982747259685677</v>
          </cell>
          <cell r="LM819">
            <v>15.721193701553757</v>
          </cell>
          <cell r="LN819">
            <v>20.244300817817596</v>
          </cell>
          <cell r="LY819">
            <v>11.867795498351866</v>
          </cell>
          <cell r="LZ819">
            <v>14.730476692982464</v>
          </cell>
          <cell r="MA819">
            <v>11.870949885755934</v>
          </cell>
          <cell r="MB819">
            <v>9.6544719773798295</v>
          </cell>
          <cell r="MC819">
            <v>14.087427794132038</v>
          </cell>
        </row>
        <row r="820">
          <cell r="A820">
            <v>40674</v>
          </cell>
          <cell r="LJ820">
            <v>18.622530816310856</v>
          </cell>
          <cell r="LK820">
            <v>20.020152274152959</v>
          </cell>
          <cell r="LL820">
            <v>17.982747259685677</v>
          </cell>
          <cell r="LM820">
            <v>15.721193701553757</v>
          </cell>
          <cell r="LN820">
            <v>20.244300817817596</v>
          </cell>
          <cell r="LY820">
            <v>11.646607323963774</v>
          </cell>
          <cell r="LZ820">
            <v>14.730476692982464</v>
          </cell>
          <cell r="MA820">
            <v>11.870949885755934</v>
          </cell>
          <cell r="MB820">
            <v>9.6544719773798295</v>
          </cell>
          <cell r="MC820">
            <v>14.087427794132038</v>
          </cell>
        </row>
        <row r="821">
          <cell r="A821">
            <v>40675</v>
          </cell>
          <cell r="LJ821">
            <v>18.736314800450167</v>
          </cell>
          <cell r="LK821">
            <v>20.020152274152959</v>
          </cell>
          <cell r="LL821">
            <v>17.982747259685677</v>
          </cell>
          <cell r="LM821">
            <v>15.721193701553757</v>
          </cell>
          <cell r="LN821">
            <v>20.244300817817596</v>
          </cell>
          <cell r="LY821">
            <v>11.715468340611368</v>
          </cell>
          <cell r="LZ821">
            <v>14.730476692982464</v>
          </cell>
          <cell r="MA821">
            <v>11.870949885755934</v>
          </cell>
          <cell r="MB821">
            <v>9.6544719773798295</v>
          </cell>
          <cell r="MC821">
            <v>14.087427794132038</v>
          </cell>
        </row>
        <row r="822">
          <cell r="A822">
            <v>40676</v>
          </cell>
          <cell r="LJ822">
            <v>18.570808033792101</v>
          </cell>
          <cell r="LK822">
            <v>20.020152274152959</v>
          </cell>
          <cell r="LL822">
            <v>17.982747259685677</v>
          </cell>
          <cell r="LM822">
            <v>15.721193701553757</v>
          </cell>
          <cell r="LN822">
            <v>20.244300817817596</v>
          </cell>
          <cell r="LY822">
            <v>11.615305173533503</v>
          </cell>
          <cell r="LZ822">
            <v>14.730476692982464</v>
          </cell>
          <cell r="MA822">
            <v>11.870949885755934</v>
          </cell>
          <cell r="MB822">
            <v>9.6544719773798295</v>
          </cell>
          <cell r="MC822">
            <v>14.087427794132038</v>
          </cell>
        </row>
        <row r="823">
          <cell r="A823">
            <v>40679</v>
          </cell>
          <cell r="LJ823">
            <v>18.577334375158728</v>
          </cell>
          <cell r="LK823">
            <v>20.020152274152959</v>
          </cell>
          <cell r="LL823">
            <v>17.982747259685677</v>
          </cell>
          <cell r="LM823">
            <v>15.721193701553757</v>
          </cell>
          <cell r="LN823">
            <v>20.244300817817596</v>
          </cell>
          <cell r="LY823">
            <v>11.454160958317434</v>
          </cell>
          <cell r="LZ823">
            <v>14.730476692982464</v>
          </cell>
          <cell r="MA823">
            <v>11.870949885755934</v>
          </cell>
          <cell r="MB823">
            <v>9.6544719773798295</v>
          </cell>
          <cell r="MC823">
            <v>14.087427794132038</v>
          </cell>
        </row>
        <row r="824">
          <cell r="A824">
            <v>40680</v>
          </cell>
          <cell r="LJ824">
            <v>18.425934408133855</v>
          </cell>
          <cell r="LK824">
            <v>20.020152274152959</v>
          </cell>
          <cell r="LL824">
            <v>17.982747259685677</v>
          </cell>
          <cell r="LM824">
            <v>15.721193701553757</v>
          </cell>
          <cell r="LN824">
            <v>20.244300817817596</v>
          </cell>
          <cell r="LY824">
            <v>11.363830955088657</v>
          </cell>
          <cell r="LZ824">
            <v>14.730476692982464</v>
          </cell>
          <cell r="MA824">
            <v>11.870949885755934</v>
          </cell>
          <cell r="MB824">
            <v>9.6544719773798295</v>
          </cell>
          <cell r="MC824">
            <v>14.087427794132038</v>
          </cell>
        </row>
        <row r="825">
          <cell r="A825">
            <v>40681</v>
          </cell>
          <cell r="LJ825">
            <v>18.887017111235718</v>
          </cell>
          <cell r="LK825">
            <v>20.020152274152959</v>
          </cell>
          <cell r="LL825">
            <v>17.982747259685677</v>
          </cell>
          <cell r="LM825">
            <v>15.721193701553757</v>
          </cell>
          <cell r="LN825">
            <v>20.244300817817596</v>
          </cell>
          <cell r="LY825">
            <v>11.638927461900201</v>
          </cell>
          <cell r="LZ825">
            <v>14.730476692982464</v>
          </cell>
          <cell r="MA825">
            <v>11.870949885755934</v>
          </cell>
          <cell r="MB825">
            <v>9.6544719773798295</v>
          </cell>
          <cell r="MC825">
            <v>14.087427794132038</v>
          </cell>
        </row>
        <row r="826">
          <cell r="A826">
            <v>40682</v>
          </cell>
          <cell r="LJ826">
            <v>19.000561495066439</v>
          </cell>
          <cell r="LK826">
            <v>20.020152274152959</v>
          </cell>
          <cell r="LL826">
            <v>17.982747259685677</v>
          </cell>
          <cell r="LM826">
            <v>15.721193701553757</v>
          </cell>
          <cell r="LN826">
            <v>20.244300817817596</v>
          </cell>
          <cell r="LY826">
            <v>11.706671628293273</v>
          </cell>
          <cell r="LZ826">
            <v>14.730476692982464</v>
          </cell>
          <cell r="MA826">
            <v>11.870949885755934</v>
          </cell>
          <cell r="MB826">
            <v>9.6544719773798295</v>
          </cell>
          <cell r="MC826">
            <v>14.087427794132038</v>
          </cell>
        </row>
        <row r="827">
          <cell r="A827">
            <v>40683</v>
          </cell>
          <cell r="LJ827">
            <v>18.807872974001754</v>
          </cell>
          <cell r="LK827">
            <v>20.020152274152959</v>
          </cell>
          <cell r="LL827">
            <v>17.982747259685677</v>
          </cell>
          <cell r="LM827">
            <v>15.721193701553757</v>
          </cell>
          <cell r="LN827">
            <v>20.244300817817596</v>
          </cell>
          <cell r="LY827">
            <v>11.591707569370708</v>
          </cell>
          <cell r="LZ827">
            <v>14.730476692982464</v>
          </cell>
          <cell r="MA827">
            <v>11.870949885755934</v>
          </cell>
          <cell r="MB827">
            <v>9.6544719773798295</v>
          </cell>
          <cell r="MC827">
            <v>14.087427794132038</v>
          </cell>
        </row>
        <row r="828">
          <cell r="A828">
            <v>40686</v>
          </cell>
          <cell r="LJ828">
            <v>18.484428762932104</v>
          </cell>
          <cell r="LK828">
            <v>20.020152274152959</v>
          </cell>
          <cell r="LL828">
            <v>17.982747259685677</v>
          </cell>
          <cell r="LM828">
            <v>15.721193701553757</v>
          </cell>
          <cell r="LN828">
            <v>20.244300817817596</v>
          </cell>
          <cell r="LY828">
            <v>11.39873053506626</v>
          </cell>
          <cell r="LZ828">
            <v>14.730476692982464</v>
          </cell>
          <cell r="MA828">
            <v>11.870949885755934</v>
          </cell>
          <cell r="MB828">
            <v>9.6544719773798295</v>
          </cell>
          <cell r="MC828">
            <v>14.087427794132038</v>
          </cell>
        </row>
        <row r="829">
          <cell r="A829">
            <v>40687</v>
          </cell>
          <cell r="LJ829">
            <v>18.322711990768848</v>
          </cell>
          <cell r="LK829">
            <v>20.020152274152959</v>
          </cell>
          <cell r="LL829">
            <v>17.982747259685677</v>
          </cell>
          <cell r="LM829">
            <v>15.721193701553757</v>
          </cell>
          <cell r="LN829">
            <v>20.244300817817596</v>
          </cell>
          <cell r="LY829">
            <v>11.302245199972003</v>
          </cell>
          <cell r="LZ829">
            <v>14.730476692982464</v>
          </cell>
          <cell r="MA829">
            <v>11.870949885755934</v>
          </cell>
          <cell r="MB829">
            <v>9.6544719773798295</v>
          </cell>
          <cell r="MC829">
            <v>14.087427794132038</v>
          </cell>
        </row>
        <row r="830">
          <cell r="A830">
            <v>40688</v>
          </cell>
          <cell r="LJ830">
            <v>18.549806607934585</v>
          </cell>
          <cell r="LK830">
            <v>20.020152274152959</v>
          </cell>
          <cell r="LL830">
            <v>17.982747259685677</v>
          </cell>
          <cell r="LM830">
            <v>15.721193701553757</v>
          </cell>
          <cell r="LN830">
            <v>20.244300817817596</v>
          </cell>
          <cell r="LY830">
            <v>11.437737022757204</v>
          </cell>
          <cell r="LZ830">
            <v>14.730476692982464</v>
          </cell>
          <cell r="MA830">
            <v>11.870949885755934</v>
          </cell>
          <cell r="MB830">
            <v>9.6544719773798295</v>
          </cell>
          <cell r="MC830">
            <v>14.087427794132038</v>
          </cell>
        </row>
        <row r="831">
          <cell r="A831">
            <v>40689</v>
          </cell>
          <cell r="LJ831">
            <v>18.453599380753602</v>
          </cell>
          <cell r="LK831">
            <v>20.020152274152959</v>
          </cell>
          <cell r="LL831">
            <v>17.982747259685677</v>
          </cell>
          <cell r="LM831">
            <v>15.721193701553757</v>
          </cell>
          <cell r="LN831">
            <v>20.244300817817596</v>
          </cell>
          <cell r="LY831">
            <v>11.378695404624201</v>
          </cell>
          <cell r="LZ831">
            <v>14.730476692982464</v>
          </cell>
          <cell r="MA831">
            <v>11.870949885755934</v>
          </cell>
          <cell r="MB831">
            <v>9.6544719773798295</v>
          </cell>
          <cell r="MC831">
            <v>14.087427794132038</v>
          </cell>
        </row>
        <row r="832">
          <cell r="A832">
            <v>40690</v>
          </cell>
          <cell r="LJ832">
            <v>18.728816719706067</v>
          </cell>
          <cell r="LK832">
            <v>20.020152274152959</v>
          </cell>
          <cell r="LL832">
            <v>17.982747259685677</v>
          </cell>
          <cell r="LM832">
            <v>15.721193701553757</v>
          </cell>
          <cell r="LN832">
            <v>20.244300817817596</v>
          </cell>
          <cell r="LY832">
            <v>11.542876038304495</v>
          </cell>
          <cell r="LZ832">
            <v>14.730476692982464</v>
          </cell>
          <cell r="MA832">
            <v>11.870949885755934</v>
          </cell>
          <cell r="MB832">
            <v>9.6544719773798295</v>
          </cell>
          <cell r="MC832">
            <v>14.087427794132038</v>
          </cell>
        </row>
        <row r="833">
          <cell r="A833">
            <v>40693</v>
          </cell>
          <cell r="LJ833">
            <v>18.728816719706067</v>
          </cell>
          <cell r="LK833">
            <v>20.020152274152959</v>
          </cell>
          <cell r="LL833">
            <v>17.982747259685677</v>
          </cell>
          <cell r="LM833">
            <v>15.721193701553757</v>
          </cell>
          <cell r="LN833">
            <v>20.244300817817596</v>
          </cell>
          <cell r="LY833">
            <v>11.542876038304495</v>
          </cell>
          <cell r="LZ833">
            <v>14.730476692982464</v>
          </cell>
          <cell r="MA833">
            <v>11.870949885755934</v>
          </cell>
          <cell r="MB833">
            <v>9.6544719773798295</v>
          </cell>
          <cell r="MC833">
            <v>14.087427794132038</v>
          </cell>
        </row>
        <row r="834">
          <cell r="A834">
            <v>40694</v>
          </cell>
          <cell r="LJ834">
            <v>18.759782919069618</v>
          </cell>
          <cell r="LK834">
            <v>20.020152274152959</v>
          </cell>
          <cell r="LL834">
            <v>17.982747259685677</v>
          </cell>
          <cell r="LM834">
            <v>15.721193701553757</v>
          </cell>
          <cell r="LN834">
            <v>20.244300817817596</v>
          </cell>
          <cell r="LY834">
            <v>11.561348894170079</v>
          </cell>
          <cell r="LZ834">
            <v>14.730476692982464</v>
          </cell>
          <cell r="MA834">
            <v>11.870949885755934</v>
          </cell>
          <cell r="MB834">
            <v>9.6544719773798295</v>
          </cell>
          <cell r="MC834">
            <v>14.087427794132038</v>
          </cell>
        </row>
        <row r="835">
          <cell r="A835">
            <v>40695</v>
          </cell>
          <cell r="LJ835">
            <v>17.861031335149864</v>
          </cell>
          <cell r="LK835">
            <v>20.020152274152959</v>
          </cell>
          <cell r="LL835">
            <v>17.982747259685677</v>
          </cell>
          <cell r="LM835">
            <v>15.721193701553757</v>
          </cell>
          <cell r="LN835">
            <v>20.244300817817596</v>
          </cell>
          <cell r="LY835">
            <v>11.017522152829137</v>
          </cell>
          <cell r="LZ835">
            <v>14.730476692982464</v>
          </cell>
          <cell r="MA835">
            <v>11.870949885755934</v>
          </cell>
          <cell r="MB835">
            <v>9.6544719773798295</v>
          </cell>
          <cell r="MC835">
            <v>14.087427794132038</v>
          </cell>
        </row>
        <row r="836">
          <cell r="A836">
            <v>40696</v>
          </cell>
          <cell r="LJ836">
            <v>18.014305177111716</v>
          </cell>
          <cell r="LK836">
            <v>20.020152274152959</v>
          </cell>
          <cell r="LL836">
            <v>17.982747259685677</v>
          </cell>
          <cell r="LM836">
            <v>15.721193701553757</v>
          </cell>
          <cell r="LN836">
            <v>20.244300817817596</v>
          </cell>
          <cell r="LY836">
            <v>11.108924419485966</v>
          </cell>
          <cell r="LZ836">
            <v>14.730476692982464</v>
          </cell>
          <cell r="MA836">
            <v>11.870949885755934</v>
          </cell>
          <cell r="MB836">
            <v>9.6544719773798295</v>
          </cell>
          <cell r="MC836">
            <v>14.087427794132038</v>
          </cell>
        </row>
        <row r="837">
          <cell r="A837">
            <v>40697</v>
          </cell>
          <cell r="LJ837">
            <v>17.673705722070846</v>
          </cell>
          <cell r="LK837">
            <v>20.020152274152959</v>
          </cell>
          <cell r="LL837">
            <v>17.982747259685677</v>
          </cell>
          <cell r="LM837">
            <v>15.721193701553757</v>
          </cell>
          <cell r="LN837">
            <v>20.244300817817596</v>
          </cell>
          <cell r="LY837">
            <v>10.90581368764586</v>
          </cell>
          <cell r="LZ837">
            <v>14.730476692982464</v>
          </cell>
          <cell r="MA837">
            <v>11.870949885755934</v>
          </cell>
          <cell r="MB837">
            <v>9.6544719773798295</v>
          </cell>
          <cell r="MC837">
            <v>14.087427794132038</v>
          </cell>
        </row>
        <row r="838">
          <cell r="A838">
            <v>40700</v>
          </cell>
          <cell r="LJ838">
            <v>17.581742506811988</v>
          </cell>
          <cell r="LK838">
            <v>20.020152274152959</v>
          </cell>
          <cell r="LL838">
            <v>17.982747259685677</v>
          </cell>
          <cell r="LM838">
            <v>15.721193701553757</v>
          </cell>
          <cell r="LN838">
            <v>20.244300817817596</v>
          </cell>
          <cell r="LY838">
            <v>10.850972977606101</v>
          </cell>
          <cell r="LZ838">
            <v>14.730476692982464</v>
          </cell>
          <cell r="MA838">
            <v>11.870949885755934</v>
          </cell>
          <cell r="MB838">
            <v>9.6544719773798295</v>
          </cell>
          <cell r="MC838">
            <v>14.087427794132038</v>
          </cell>
        </row>
        <row r="839">
          <cell r="A839">
            <v>40701</v>
          </cell>
          <cell r="LJ839">
            <v>17.690731607629427</v>
          </cell>
          <cell r="LK839">
            <v>20.020152274152959</v>
          </cell>
          <cell r="LL839">
            <v>17.982747259685677</v>
          </cell>
          <cell r="LM839">
            <v>15.721193701553757</v>
          </cell>
          <cell r="LN839">
            <v>20.244300817817596</v>
          </cell>
          <cell r="LY839">
            <v>10.915966786909083</v>
          </cell>
          <cell r="LZ839">
            <v>14.730476692982464</v>
          </cell>
          <cell r="MA839">
            <v>11.870949885755934</v>
          </cell>
          <cell r="MB839">
            <v>9.6544719773798295</v>
          </cell>
          <cell r="MC839">
            <v>14.087427794132038</v>
          </cell>
        </row>
        <row r="840">
          <cell r="A840">
            <v>40702</v>
          </cell>
          <cell r="LJ840">
            <v>17.558741199423192</v>
          </cell>
          <cell r="LK840">
            <v>20.020152274152959</v>
          </cell>
          <cell r="LL840">
            <v>17.982747259685677</v>
          </cell>
          <cell r="LM840">
            <v>15.721193701553757</v>
          </cell>
          <cell r="LN840">
            <v>20.244300817817596</v>
          </cell>
          <cell r="LY840">
            <v>10.88966866927557</v>
          </cell>
          <cell r="LZ840">
            <v>14.730476692982464</v>
          </cell>
          <cell r="MA840">
            <v>11.870949885755934</v>
          </cell>
          <cell r="MB840">
            <v>9.6544719773798295</v>
          </cell>
          <cell r="MC840">
            <v>14.087427794132038</v>
          </cell>
        </row>
        <row r="841">
          <cell r="A841">
            <v>40703</v>
          </cell>
          <cell r="LJ841">
            <v>17.758926796165916</v>
          </cell>
          <cell r="LK841">
            <v>20.020152274152959</v>
          </cell>
          <cell r="LL841">
            <v>17.982747259685677</v>
          </cell>
          <cell r="LM841">
            <v>15.721193701553757</v>
          </cell>
          <cell r="LN841">
            <v>20.244300817817596</v>
          </cell>
          <cell r="LY841">
            <v>11.009638794463442</v>
          </cell>
          <cell r="LZ841">
            <v>14.730476692982464</v>
          </cell>
          <cell r="MA841">
            <v>11.870949885755934</v>
          </cell>
          <cell r="MB841">
            <v>9.6544719773798295</v>
          </cell>
          <cell r="MC841">
            <v>14.087427794132038</v>
          </cell>
        </row>
        <row r="842">
          <cell r="A842">
            <v>40704</v>
          </cell>
          <cell r="LJ842">
            <v>17.463732632114684</v>
          </cell>
          <cell r="LK842">
            <v>20.020152274152959</v>
          </cell>
          <cell r="LL842">
            <v>17.982747259685677</v>
          </cell>
          <cell r="LM842">
            <v>15.721193701553757</v>
          </cell>
          <cell r="LN842">
            <v>20.244300817817596</v>
          </cell>
          <cell r="LY842">
            <v>10.832730558345588</v>
          </cell>
          <cell r="LZ842">
            <v>14.730476692982464</v>
          </cell>
          <cell r="MA842">
            <v>11.870949885755934</v>
          </cell>
          <cell r="MB842">
            <v>9.6544719773798295</v>
          </cell>
          <cell r="MC842">
            <v>14.087427794132038</v>
          </cell>
        </row>
        <row r="843">
          <cell r="A843">
            <v>40707</v>
          </cell>
          <cell r="LJ843">
            <v>17.416231062855207</v>
          </cell>
          <cell r="LK843">
            <v>20.020152274152959</v>
          </cell>
          <cell r="LL843">
            <v>17.982747259685677</v>
          </cell>
          <cell r="LM843">
            <v>15.721193701553757</v>
          </cell>
          <cell r="LN843">
            <v>20.244300817817596</v>
          </cell>
          <cell r="LY843">
            <v>11.101478928219345</v>
          </cell>
          <cell r="LZ843">
            <v>14.730476692982464</v>
          </cell>
          <cell r="MA843">
            <v>11.870949885755934</v>
          </cell>
          <cell r="MB843">
            <v>9.6544719773798295</v>
          </cell>
          <cell r="MC843">
            <v>14.087427794132038</v>
          </cell>
        </row>
        <row r="844">
          <cell r="A844">
            <v>40708</v>
          </cell>
          <cell r="LJ844">
            <v>17.765709050810077</v>
          </cell>
          <cell r="LK844">
            <v>20.020152274152959</v>
          </cell>
          <cell r="LL844">
            <v>17.982747259685677</v>
          </cell>
          <cell r="LM844">
            <v>15.721193701553757</v>
          </cell>
          <cell r="LN844">
            <v>20.244300817817596</v>
          </cell>
          <cell r="LY844">
            <v>11.316883159613784</v>
          </cell>
          <cell r="LZ844">
            <v>14.730476692982464</v>
          </cell>
          <cell r="MA844">
            <v>11.870949885755934</v>
          </cell>
          <cell r="MB844">
            <v>9.6544719773798295</v>
          </cell>
          <cell r="MC844">
            <v>14.087427794132038</v>
          </cell>
        </row>
        <row r="845">
          <cell r="A845">
            <v>40709</v>
          </cell>
          <cell r="LJ845">
            <v>17.548557468826871</v>
          </cell>
          <cell r="LK845">
            <v>20.020152274152959</v>
          </cell>
          <cell r="LL845">
            <v>17.982747259685677</v>
          </cell>
          <cell r="LM845">
            <v>15.721193701553757</v>
          </cell>
          <cell r="LN845">
            <v>20.244300817817596</v>
          </cell>
          <cell r="LY845">
            <v>11.183039623753613</v>
          </cell>
          <cell r="LZ845">
            <v>14.730476692982464</v>
          </cell>
          <cell r="MA845">
            <v>11.870949885755934</v>
          </cell>
          <cell r="MB845">
            <v>9.6544719773798295</v>
          </cell>
          <cell r="MC845">
            <v>14.087427794132038</v>
          </cell>
        </row>
        <row r="846">
          <cell r="A846">
            <v>40710</v>
          </cell>
          <cell r="LJ846">
            <v>17.511234540673509</v>
          </cell>
          <cell r="LK846">
            <v>20.020152274152959</v>
          </cell>
          <cell r="LL846">
            <v>17.982747259685677</v>
          </cell>
          <cell r="LM846">
            <v>15.721193701553757</v>
          </cell>
          <cell r="LN846">
            <v>20.244300817817596</v>
          </cell>
          <cell r="LY846">
            <v>11.160035266027645</v>
          </cell>
          <cell r="LZ846">
            <v>14.730476692982464</v>
          </cell>
          <cell r="MA846">
            <v>11.870949885755934</v>
          </cell>
          <cell r="MB846">
            <v>9.6544719773798295</v>
          </cell>
          <cell r="MC846">
            <v>14.087427794132038</v>
          </cell>
        </row>
        <row r="847">
          <cell r="A847">
            <v>40711</v>
          </cell>
          <cell r="LJ847">
            <v>17.598233726555208</v>
          </cell>
          <cell r="LK847">
            <v>20.020152274152959</v>
          </cell>
          <cell r="LL847">
            <v>17.982747259685677</v>
          </cell>
          <cell r="LM847">
            <v>15.721193701553757</v>
          </cell>
          <cell r="LN847">
            <v>20.244300817817596</v>
          </cell>
          <cell r="LY847">
            <v>11.177282955183591</v>
          </cell>
          <cell r="LZ847">
            <v>14.730476692982464</v>
          </cell>
          <cell r="MA847">
            <v>11.870949885755934</v>
          </cell>
          <cell r="MB847">
            <v>9.6544719773798295</v>
          </cell>
          <cell r="MC847">
            <v>14.087427794132038</v>
          </cell>
        </row>
        <row r="848">
          <cell r="A848">
            <v>40714</v>
          </cell>
          <cell r="LJ848">
            <v>17.649152507850296</v>
          </cell>
          <cell r="LK848">
            <v>20.020152274152959</v>
          </cell>
          <cell r="LL848">
            <v>17.982747259685677</v>
          </cell>
          <cell r="LM848">
            <v>15.721193701553757</v>
          </cell>
          <cell r="LN848">
            <v>20.244300817817596</v>
          </cell>
          <cell r="LY848">
            <v>11.208564925958344</v>
          </cell>
          <cell r="LZ848">
            <v>14.730476692982464</v>
          </cell>
          <cell r="MA848">
            <v>11.870949885755934</v>
          </cell>
          <cell r="MB848">
            <v>9.6544719773798295</v>
          </cell>
          <cell r="MC848">
            <v>14.087427794132038</v>
          </cell>
        </row>
        <row r="849">
          <cell r="A849">
            <v>40715</v>
          </cell>
          <cell r="LJ849">
            <v>18.015783077314776</v>
          </cell>
          <cell r="LK849">
            <v>20.020152274152959</v>
          </cell>
          <cell r="LL849">
            <v>17.982747259685677</v>
          </cell>
          <cell r="LM849">
            <v>15.721193701553757</v>
          </cell>
          <cell r="LN849">
            <v>20.244300817817596</v>
          </cell>
          <cell r="LY849">
            <v>11.433804542214169</v>
          </cell>
          <cell r="LZ849">
            <v>14.730476692982464</v>
          </cell>
          <cell r="MA849">
            <v>11.870949885755934</v>
          </cell>
          <cell r="MB849">
            <v>9.6544719773798295</v>
          </cell>
          <cell r="MC849">
            <v>14.087427794132038</v>
          </cell>
        </row>
        <row r="850">
          <cell r="A850">
            <v>40716</v>
          </cell>
          <cell r="LJ850">
            <v>17.93770584740728</v>
          </cell>
          <cell r="LK850">
            <v>20.020152274152959</v>
          </cell>
          <cell r="LL850">
            <v>17.982747259685677</v>
          </cell>
          <cell r="LM850">
            <v>15.721193701553757</v>
          </cell>
          <cell r="LN850">
            <v>20.244300817817596</v>
          </cell>
          <cell r="LY850">
            <v>11.385837769207845</v>
          </cell>
          <cell r="LZ850">
            <v>14.730476692982464</v>
          </cell>
          <cell r="MA850">
            <v>11.870949885755934</v>
          </cell>
          <cell r="MB850">
            <v>9.6544719773798295</v>
          </cell>
          <cell r="MC850">
            <v>14.087427794132038</v>
          </cell>
        </row>
        <row r="851">
          <cell r="A851">
            <v>40717</v>
          </cell>
          <cell r="LJ851">
            <v>17.713652889756432</v>
          </cell>
          <cell r="LK851">
            <v>20.020152274152959</v>
          </cell>
          <cell r="LL851">
            <v>17.982747259685677</v>
          </cell>
          <cell r="LM851">
            <v>15.721193701553757</v>
          </cell>
          <cell r="LN851">
            <v>20.244300817817596</v>
          </cell>
          <cell r="LY851">
            <v>11.248190757732582</v>
          </cell>
          <cell r="LZ851">
            <v>14.730476692982464</v>
          </cell>
          <cell r="MA851">
            <v>11.870949885755934</v>
          </cell>
          <cell r="MB851">
            <v>9.6544719773798295</v>
          </cell>
          <cell r="MC851">
            <v>14.087427794132038</v>
          </cell>
        </row>
        <row r="852">
          <cell r="A852">
            <v>40718</v>
          </cell>
          <cell r="LJ852">
            <v>17.418313841975728</v>
          </cell>
          <cell r="LK852">
            <v>20.020152274152959</v>
          </cell>
          <cell r="LL852">
            <v>17.982747259685677</v>
          </cell>
          <cell r="LM852">
            <v>15.721193701553757</v>
          </cell>
          <cell r="LN852">
            <v>20.244300817817596</v>
          </cell>
          <cell r="LY852">
            <v>11.066749112305549</v>
          </cell>
          <cell r="LZ852">
            <v>14.730476692982464</v>
          </cell>
          <cell r="MA852">
            <v>11.870949885755934</v>
          </cell>
          <cell r="MB852">
            <v>9.6544719773798295</v>
          </cell>
          <cell r="MC852">
            <v>14.087427794132038</v>
          </cell>
        </row>
        <row r="853">
          <cell r="A853">
            <v>40721</v>
          </cell>
          <cell r="LJ853">
            <v>17.360604260375119</v>
          </cell>
          <cell r="LK853">
            <v>20.020152274152959</v>
          </cell>
          <cell r="LL853">
            <v>17.982747259685677</v>
          </cell>
          <cell r="LM853">
            <v>15.721193701553757</v>
          </cell>
          <cell r="LN853">
            <v>20.244300817817596</v>
          </cell>
          <cell r="LY853">
            <v>11.031295211031054</v>
          </cell>
          <cell r="LZ853">
            <v>14.730476692982464</v>
          </cell>
          <cell r="MA853">
            <v>11.870949885755934</v>
          </cell>
          <cell r="MB853">
            <v>9.6544719773798295</v>
          </cell>
          <cell r="MC853">
            <v>14.087427794132038</v>
          </cell>
        </row>
        <row r="854">
          <cell r="A854">
            <v>40722</v>
          </cell>
          <cell r="LJ854">
            <v>17.700076381227191</v>
          </cell>
          <cell r="LK854">
            <v>20.020152274152959</v>
          </cell>
          <cell r="LL854">
            <v>17.982747259685677</v>
          </cell>
          <cell r="LM854">
            <v>15.721193701553757</v>
          </cell>
          <cell r="LN854">
            <v>20.244300817817596</v>
          </cell>
          <cell r="LY854">
            <v>11.239850025055311</v>
          </cell>
          <cell r="LZ854">
            <v>14.730476692982464</v>
          </cell>
          <cell r="MA854">
            <v>11.870949885755934</v>
          </cell>
          <cell r="MB854">
            <v>9.6544719773798295</v>
          </cell>
          <cell r="MC854">
            <v>14.087427794132038</v>
          </cell>
        </row>
        <row r="855">
          <cell r="A855">
            <v>40723</v>
          </cell>
          <cell r="LJ855">
            <v>17.700076381227191</v>
          </cell>
          <cell r="LK855">
            <v>20.020152274152959</v>
          </cell>
          <cell r="LL855">
            <v>17.982747259685677</v>
          </cell>
          <cell r="LM855">
            <v>15.721193701553757</v>
          </cell>
          <cell r="LN855">
            <v>20.244300817817596</v>
          </cell>
          <cell r="LY855">
            <v>11.239850025055311</v>
          </cell>
          <cell r="LZ855">
            <v>14.730476692982464</v>
          </cell>
          <cell r="MA855">
            <v>11.870949885755934</v>
          </cell>
          <cell r="MB855">
            <v>9.6544719773798295</v>
          </cell>
          <cell r="MC855">
            <v>14.087427794132038</v>
          </cell>
        </row>
        <row r="856">
          <cell r="A856">
            <v>40724</v>
          </cell>
          <cell r="LJ856">
            <v>17.984045817071102</v>
          </cell>
          <cell r="LK856">
            <v>20.020152274152959</v>
          </cell>
          <cell r="LL856">
            <v>17.982747259685677</v>
          </cell>
          <cell r="LM856">
            <v>15.721193701553757</v>
          </cell>
          <cell r="LN856">
            <v>20.244300817817596</v>
          </cell>
          <cell r="LY856">
            <v>11.416980285516107</v>
          </cell>
          <cell r="LZ856">
            <v>14.730476692982464</v>
          </cell>
          <cell r="MA856">
            <v>11.870949885755934</v>
          </cell>
          <cell r="MB856">
            <v>9.6544719773798295</v>
          </cell>
          <cell r="MC856">
            <v>14.087427794132038</v>
          </cell>
        </row>
        <row r="857">
          <cell r="A857">
            <v>40725</v>
          </cell>
          <cell r="LJ857">
            <v>18.314760651701008</v>
          </cell>
          <cell r="LK857">
            <v>20.020152274152959</v>
          </cell>
          <cell r="LL857">
            <v>17.982747259685677</v>
          </cell>
          <cell r="LM857">
            <v>15.721193701553757</v>
          </cell>
          <cell r="LN857">
            <v>20.244300817817596</v>
          </cell>
          <cell r="LY857">
            <v>11.624489581779999</v>
          </cell>
          <cell r="LZ857">
            <v>14.730476692982464</v>
          </cell>
          <cell r="MA857">
            <v>11.870949885755934</v>
          </cell>
          <cell r="MB857">
            <v>9.6544719773798295</v>
          </cell>
          <cell r="MC857">
            <v>14.087427794132038</v>
          </cell>
        </row>
        <row r="858">
          <cell r="A858">
            <v>40728</v>
          </cell>
          <cell r="LJ858">
            <v>17.49669864215128</v>
          </cell>
          <cell r="LK858">
            <v>20.020152274152959</v>
          </cell>
          <cell r="LL858">
            <v>17.982747259685677</v>
          </cell>
          <cell r="LM858">
            <v>15.721193701553757</v>
          </cell>
          <cell r="LN858">
            <v>20.244300817817596</v>
          </cell>
          <cell r="LY858">
            <v>10.430472947170871</v>
          </cell>
          <cell r="LZ858">
            <v>14.730476692982464</v>
          </cell>
          <cell r="MA858">
            <v>11.870949885755934</v>
          </cell>
          <cell r="MB858">
            <v>9.6544719773798295</v>
          </cell>
          <cell r="MC858">
            <v>14.087427794132038</v>
          </cell>
        </row>
        <row r="859">
          <cell r="A859">
            <v>40729</v>
          </cell>
          <cell r="LJ859">
            <v>17.451769473787508</v>
          </cell>
          <cell r="LK859">
            <v>20.020152274152959</v>
          </cell>
          <cell r="LL859">
            <v>17.982747259685677</v>
          </cell>
          <cell r="LM859">
            <v>15.721193701553757</v>
          </cell>
          <cell r="LN859">
            <v>20.244300817817596</v>
          </cell>
          <cell r="LY859">
            <v>10.404523719098512</v>
          </cell>
          <cell r="LZ859">
            <v>14.730476692982464</v>
          </cell>
          <cell r="MA859">
            <v>11.870949885755934</v>
          </cell>
          <cell r="MB859">
            <v>9.6544719773798295</v>
          </cell>
          <cell r="MC859">
            <v>14.087427794132038</v>
          </cell>
        </row>
        <row r="860">
          <cell r="A860">
            <v>40730</v>
          </cell>
          <cell r="LJ860">
            <v>17.472902724151542</v>
          </cell>
          <cell r="LK860">
            <v>20.020152274152959</v>
          </cell>
          <cell r="LL860">
            <v>17.982747259685677</v>
          </cell>
          <cell r="LM860">
            <v>15.721193701553757</v>
          </cell>
          <cell r="LN860">
            <v>20.244300817817596</v>
          </cell>
          <cell r="LY860">
            <v>10.323845002708847</v>
          </cell>
          <cell r="LZ860">
            <v>14.730476692982464</v>
          </cell>
          <cell r="MA860">
            <v>11.870949885755934</v>
          </cell>
          <cell r="MB860">
            <v>9.6544719773798295</v>
          </cell>
          <cell r="MC860">
            <v>14.087427794132038</v>
          </cell>
        </row>
        <row r="861">
          <cell r="A861">
            <v>40731</v>
          </cell>
          <cell r="LJ861">
            <v>17.591260502234146</v>
          </cell>
          <cell r="LK861">
            <v>20.020152274152959</v>
          </cell>
          <cell r="LL861">
            <v>17.982747259685677</v>
          </cell>
          <cell r="LM861">
            <v>15.721193701553757</v>
          </cell>
          <cell r="LN861">
            <v>20.244300817817596</v>
          </cell>
          <cell r="LY861">
            <v>10.39153066239626</v>
          </cell>
          <cell r="LZ861">
            <v>14.730476692982464</v>
          </cell>
          <cell r="MA861">
            <v>11.870949885755934</v>
          </cell>
          <cell r="MB861">
            <v>9.6544719773798295</v>
          </cell>
          <cell r="MC861">
            <v>14.087427794132038</v>
          </cell>
        </row>
        <row r="862">
          <cell r="A862">
            <v>40732</v>
          </cell>
          <cell r="LJ862">
            <v>17.401757564946514</v>
          </cell>
          <cell r="LK862">
            <v>20.020152274152959</v>
          </cell>
          <cell r="LL862">
            <v>17.982747259685677</v>
          </cell>
          <cell r="LM862">
            <v>15.721193701553757</v>
          </cell>
          <cell r="LN862">
            <v>20.244300817817596</v>
          </cell>
          <cell r="LY862">
            <v>10.298234049397102</v>
          </cell>
          <cell r="LZ862">
            <v>14.730476692982464</v>
          </cell>
          <cell r="MA862">
            <v>11.870949885755934</v>
          </cell>
          <cell r="MB862">
            <v>9.6544719773798295</v>
          </cell>
          <cell r="MC862">
            <v>14.087427794132038</v>
          </cell>
        </row>
        <row r="863">
          <cell r="A863">
            <v>40735</v>
          </cell>
          <cell r="LJ863">
            <v>17.101001926927619</v>
          </cell>
          <cell r="LK863">
            <v>20.020152274152959</v>
          </cell>
          <cell r="LL863">
            <v>17.982747259685677</v>
          </cell>
          <cell r="LM863">
            <v>15.721193701553757</v>
          </cell>
          <cell r="LN863">
            <v>20.244300817817596</v>
          </cell>
          <cell r="LY863">
            <v>10.192955372078147</v>
          </cell>
          <cell r="LZ863">
            <v>14.730476692982464</v>
          </cell>
          <cell r="MA863">
            <v>11.870949885755934</v>
          </cell>
          <cell r="MB863">
            <v>9.6544719773798295</v>
          </cell>
          <cell r="MC863">
            <v>14.087427794132038</v>
          </cell>
        </row>
        <row r="864">
          <cell r="A864">
            <v>40736</v>
          </cell>
          <cell r="LJ864">
            <v>16.982287621795937</v>
          </cell>
          <cell r="LK864">
            <v>20.020152274152959</v>
          </cell>
          <cell r="LL864">
            <v>17.982747259685677</v>
          </cell>
          <cell r="LM864">
            <v>15.721193701553757</v>
          </cell>
          <cell r="LN864">
            <v>20.244300817817596</v>
          </cell>
          <cell r="LY864">
            <v>10.169695767719425</v>
          </cell>
          <cell r="LZ864">
            <v>14.730476692982464</v>
          </cell>
          <cell r="MA864">
            <v>11.870949885755934</v>
          </cell>
          <cell r="MB864">
            <v>9.6544719773798295</v>
          </cell>
          <cell r="MC864">
            <v>14.087427794132038</v>
          </cell>
        </row>
        <row r="865">
          <cell r="A865">
            <v>40737</v>
          </cell>
          <cell r="LJ865">
            <v>17.007875114196992</v>
          </cell>
          <cell r="LK865">
            <v>20.020152274152959</v>
          </cell>
          <cell r="LL865">
            <v>17.982747259685677</v>
          </cell>
          <cell r="LM865">
            <v>15.721193701553757</v>
          </cell>
          <cell r="LN865">
            <v>20.244300817817596</v>
          </cell>
          <cell r="LY865">
            <v>10.249799918968771</v>
          </cell>
          <cell r="LZ865">
            <v>14.730476692982464</v>
          </cell>
          <cell r="MA865">
            <v>11.870949885755934</v>
          </cell>
          <cell r="MB865">
            <v>9.6544719773798295</v>
          </cell>
          <cell r="MC865">
            <v>14.087427794132038</v>
          </cell>
        </row>
        <row r="866">
          <cell r="A866">
            <v>40738</v>
          </cell>
          <cell r="LJ866">
            <v>16.729464644341064</v>
          </cell>
          <cell r="LK866">
            <v>20.020152274152959</v>
          </cell>
          <cell r="LL866">
            <v>17.982747259685677</v>
          </cell>
          <cell r="LM866">
            <v>15.721193701553757</v>
          </cell>
          <cell r="LN866">
            <v>20.244300817817596</v>
          </cell>
          <cell r="LY866">
            <v>10.078827749931932</v>
          </cell>
          <cell r="LZ866">
            <v>14.730476692982464</v>
          </cell>
          <cell r="MA866">
            <v>11.870949885755934</v>
          </cell>
          <cell r="MB866">
            <v>9.6544719773798295</v>
          </cell>
          <cell r="MC866">
            <v>14.087427794132038</v>
          </cell>
        </row>
        <row r="867">
          <cell r="A867">
            <v>40739</v>
          </cell>
          <cell r="LJ867">
            <v>16.77409355494936</v>
          </cell>
          <cell r="LK867">
            <v>20.020152274152959</v>
          </cell>
          <cell r="LL867">
            <v>17.982747259685677</v>
          </cell>
          <cell r="LM867">
            <v>15.721193701553757</v>
          </cell>
          <cell r="LN867">
            <v>20.244300817817596</v>
          </cell>
          <cell r="LY867">
            <v>10.141910137156007</v>
          </cell>
          <cell r="LZ867">
            <v>14.730476692982464</v>
          </cell>
          <cell r="MA867">
            <v>11.870949885755934</v>
          </cell>
          <cell r="MB867">
            <v>9.6544719773798295</v>
          </cell>
          <cell r="MC867">
            <v>14.087427794132038</v>
          </cell>
        </row>
        <row r="868">
          <cell r="A868">
            <v>40742</v>
          </cell>
          <cell r="LJ868">
            <v>16.729464644341064</v>
          </cell>
          <cell r="LK868">
            <v>20.020152274152959</v>
          </cell>
          <cell r="LL868">
            <v>17.982747259685677</v>
          </cell>
          <cell r="LM868">
            <v>15.721193701553757</v>
          </cell>
          <cell r="LN868">
            <v>20.244300817817596</v>
          </cell>
          <cell r="LY868">
            <v>10.115793962470649</v>
          </cell>
          <cell r="LZ868">
            <v>14.730476692982464</v>
          </cell>
          <cell r="MA868">
            <v>11.870949885755934</v>
          </cell>
          <cell r="MB868">
            <v>9.6544719773798295</v>
          </cell>
          <cell r="MC868">
            <v>14.087427794132038</v>
          </cell>
        </row>
        <row r="869">
          <cell r="A869">
            <v>40743</v>
          </cell>
          <cell r="LJ869">
            <v>16.903544663979464</v>
          </cell>
          <cell r="LK869">
            <v>20.020152274152959</v>
          </cell>
          <cell r="LL869">
            <v>17.982747259685677</v>
          </cell>
          <cell r="LM869">
            <v>15.721193701553757</v>
          </cell>
          <cell r="LN869">
            <v>20.244300817817596</v>
          </cell>
          <cell r="LY869">
            <v>10.214662151521109</v>
          </cell>
          <cell r="LZ869">
            <v>14.730476692982464</v>
          </cell>
          <cell r="MA869">
            <v>11.870949885755934</v>
          </cell>
          <cell r="MB869">
            <v>9.6544719773798295</v>
          </cell>
          <cell r="MC869">
            <v>14.087427794132038</v>
          </cell>
        </row>
        <row r="870">
          <cell r="A870">
            <v>40744</v>
          </cell>
          <cell r="LJ870">
            <v>16.953972500997871</v>
          </cell>
          <cell r="LK870">
            <v>20.020152274152959</v>
          </cell>
          <cell r="LL870">
            <v>17.982747259685677</v>
          </cell>
          <cell r="LM870">
            <v>15.721193701553757</v>
          </cell>
          <cell r="LN870">
            <v>20.244300817817596</v>
          </cell>
          <cell r="LY870">
            <v>10.253731518744942</v>
          </cell>
          <cell r="LZ870">
            <v>14.730476692982464</v>
          </cell>
          <cell r="MA870">
            <v>11.870949885755934</v>
          </cell>
          <cell r="MB870">
            <v>9.6544719773798295</v>
          </cell>
          <cell r="MC870">
            <v>14.087427794132038</v>
          </cell>
        </row>
        <row r="871">
          <cell r="A871">
            <v>40745</v>
          </cell>
          <cell r="LJ871">
            <v>16.711251861942781</v>
          </cell>
          <cell r="LK871">
            <v>20.020152274152959</v>
          </cell>
          <cell r="LL871">
            <v>17.982747259685677</v>
          </cell>
          <cell r="LM871">
            <v>15.721193701553757</v>
          </cell>
          <cell r="LN871">
            <v>20.244300817817596</v>
          </cell>
          <cell r="LY871">
            <v>11.431793799393725</v>
          </cell>
          <cell r="LZ871">
            <v>14.730476692982464</v>
          </cell>
          <cell r="MA871">
            <v>11.870949885755934</v>
          </cell>
          <cell r="MB871">
            <v>9.6544719773798295</v>
          </cell>
          <cell r="MC871">
            <v>14.087427794132038</v>
          </cell>
        </row>
        <row r="872">
          <cell r="A872">
            <v>40746</v>
          </cell>
          <cell r="LJ872">
            <v>16.475386678171024</v>
          </cell>
          <cell r="LK872">
            <v>20.020152274152959</v>
          </cell>
          <cell r="LL872">
            <v>17.982747259685677</v>
          </cell>
          <cell r="LM872">
            <v>15.721193701553757</v>
          </cell>
          <cell r="LN872">
            <v>20.244300817817596</v>
          </cell>
          <cell r="LY872">
            <v>11.293811898065139</v>
          </cell>
          <cell r="LZ872">
            <v>14.730476692982464</v>
          </cell>
          <cell r="MA872">
            <v>11.870949885755934</v>
          </cell>
          <cell r="MB872">
            <v>9.6544719773798295</v>
          </cell>
          <cell r="MC872">
            <v>14.087427794132038</v>
          </cell>
        </row>
        <row r="873">
          <cell r="A873">
            <v>40749</v>
          </cell>
          <cell r="LJ873">
            <v>16.462942882885613</v>
          </cell>
          <cell r="LK873">
            <v>20.020152274152959</v>
          </cell>
          <cell r="LL873">
            <v>17.982747259685677</v>
          </cell>
          <cell r="LM873">
            <v>15.721193701553757</v>
          </cell>
          <cell r="LN873">
            <v>20.244300817817596</v>
          </cell>
          <cell r="LY873">
            <v>11.036601867574062</v>
          </cell>
          <cell r="LZ873">
            <v>14.730476692982464</v>
          </cell>
          <cell r="MA873">
            <v>11.870949885755934</v>
          </cell>
          <cell r="MB873">
            <v>9.6544719773798295</v>
          </cell>
          <cell r="MC873">
            <v>14.087427794132038</v>
          </cell>
        </row>
        <row r="874">
          <cell r="A874">
            <v>40750</v>
          </cell>
          <cell r="LJ874">
            <v>16.101925841678703</v>
          </cell>
          <cell r="LK874">
            <v>20.020152274152959</v>
          </cell>
          <cell r="LL874">
            <v>17.982747259685677</v>
          </cell>
          <cell r="LM874">
            <v>15.721193701553757</v>
          </cell>
          <cell r="LN874">
            <v>20.244300817817596</v>
          </cell>
          <cell r="LY874">
            <v>10.830153557221301</v>
          </cell>
          <cell r="LZ874">
            <v>14.730476692982464</v>
          </cell>
          <cell r="MA874">
            <v>11.870949885755934</v>
          </cell>
          <cell r="MB874">
            <v>9.6544719773798295</v>
          </cell>
          <cell r="MC874">
            <v>14.087427794132038</v>
          </cell>
        </row>
        <row r="875">
          <cell r="A875">
            <v>40751</v>
          </cell>
          <cell r="LJ875">
            <v>15.710092237897362</v>
          </cell>
          <cell r="LK875">
            <v>20.020152274152959</v>
          </cell>
          <cell r="LL875">
            <v>17.982747259685677</v>
          </cell>
          <cell r="LM875">
            <v>15.721193701553757</v>
          </cell>
          <cell r="LN875">
            <v>20.244300817817596</v>
          </cell>
          <cell r="LY875">
            <v>10.547446382716609</v>
          </cell>
          <cell r="LZ875">
            <v>14.730476692982464</v>
          </cell>
          <cell r="MA875">
            <v>11.870949885755934</v>
          </cell>
          <cell r="MB875">
            <v>9.6544719773798295</v>
          </cell>
          <cell r="MC875">
            <v>14.087427794132038</v>
          </cell>
        </row>
        <row r="876">
          <cell r="A876">
            <v>40752</v>
          </cell>
          <cell r="LJ876">
            <v>15.588826463249276</v>
          </cell>
          <cell r="LK876">
            <v>20.020152274152959</v>
          </cell>
          <cell r="LL876">
            <v>17.982747259685677</v>
          </cell>
          <cell r="LM876">
            <v>15.721193701553757</v>
          </cell>
          <cell r="LN876">
            <v>20.244300817817596</v>
          </cell>
          <cell r="LY876">
            <v>10.446410963419996</v>
          </cell>
          <cell r="LZ876">
            <v>14.730476692982464</v>
          </cell>
          <cell r="MA876">
            <v>11.870949885755934</v>
          </cell>
          <cell r="MB876">
            <v>9.6544719773798295</v>
          </cell>
          <cell r="MC876">
            <v>14.087427794132038</v>
          </cell>
        </row>
        <row r="877">
          <cell r="A877">
            <v>40753</v>
          </cell>
          <cell r="LJ877">
            <v>15.661116640168562</v>
          </cell>
          <cell r="LK877">
            <v>20.020152274152959</v>
          </cell>
          <cell r="LL877">
            <v>17.982747259685677</v>
          </cell>
          <cell r="LM877">
            <v>15.721193701553757</v>
          </cell>
          <cell r="LN877">
            <v>20.244300817817596</v>
          </cell>
          <cell r="LY877">
            <v>10.493458321250019</v>
          </cell>
          <cell r="LZ877">
            <v>14.730476692982464</v>
          </cell>
          <cell r="MA877">
            <v>11.870949885755934</v>
          </cell>
          <cell r="MB877">
            <v>9.6544719773798295</v>
          </cell>
          <cell r="MC877">
            <v>14.087427794132038</v>
          </cell>
        </row>
        <row r="878">
          <cell r="A878">
            <v>40756</v>
          </cell>
          <cell r="LJ878">
            <v>15.23402875057821</v>
          </cell>
          <cell r="LK878">
            <v>20.020152274152959</v>
          </cell>
          <cell r="LL878">
            <v>17.982747259685677</v>
          </cell>
          <cell r="LM878">
            <v>15.721193701553757</v>
          </cell>
          <cell r="LN878">
            <v>20.244300817817596</v>
          </cell>
          <cell r="LY878">
            <v>10.203445118058628</v>
          </cell>
          <cell r="LZ878">
            <v>14.730476692982464</v>
          </cell>
          <cell r="MA878">
            <v>11.870949885755934</v>
          </cell>
          <cell r="MB878">
            <v>9.6544719773798295</v>
          </cell>
          <cell r="MC878">
            <v>14.087427794132038</v>
          </cell>
        </row>
        <row r="879">
          <cell r="A879">
            <v>40757</v>
          </cell>
          <cell r="LJ879">
            <v>14.648951369376119</v>
          </cell>
          <cell r="LK879">
            <v>20.020152274152959</v>
          </cell>
          <cell r="LL879">
            <v>17.982747259685677</v>
          </cell>
          <cell r="LM879">
            <v>15.721193701553757</v>
          </cell>
          <cell r="LN879">
            <v>20.244300817817596</v>
          </cell>
          <cell r="LY879">
            <v>9.8722880104025101</v>
          </cell>
          <cell r="LZ879">
            <v>14.730476692982464</v>
          </cell>
          <cell r="MA879">
            <v>11.870949885755934</v>
          </cell>
          <cell r="MB879">
            <v>9.6544719773798295</v>
          </cell>
          <cell r="MC879">
            <v>14.087427794132038</v>
          </cell>
        </row>
        <row r="880">
          <cell r="A880">
            <v>40758</v>
          </cell>
          <cell r="LJ880">
            <v>14.72129807490815</v>
          </cell>
          <cell r="LK880">
            <v>20.020152274152959</v>
          </cell>
          <cell r="LL880">
            <v>17.982747259685677</v>
          </cell>
          <cell r="LM880">
            <v>15.721193701553757</v>
          </cell>
          <cell r="LN880">
            <v>20.244300817817596</v>
          </cell>
          <cell r="LY880">
            <v>9.9132366550129234</v>
          </cell>
          <cell r="LZ880">
            <v>14.730476692982464</v>
          </cell>
          <cell r="MA880">
            <v>11.870949885755934</v>
          </cell>
          <cell r="MB880">
            <v>9.6544719773798295</v>
          </cell>
          <cell r="MC880">
            <v>14.087427794132038</v>
          </cell>
        </row>
        <row r="881">
          <cell r="A881">
            <v>40759</v>
          </cell>
          <cell r="LJ881">
            <v>13.88772197290748</v>
          </cell>
          <cell r="LK881">
            <v>20.020152274152959</v>
          </cell>
          <cell r="LL881">
            <v>17.982747259685677</v>
          </cell>
          <cell r="LM881">
            <v>15.721193701553757</v>
          </cell>
          <cell r="LN881">
            <v>20.244300817817596</v>
          </cell>
          <cell r="LY881">
            <v>9.4414278655795592</v>
          </cell>
          <cell r="LZ881">
            <v>14.730476692982464</v>
          </cell>
          <cell r="MA881">
            <v>11.870949885755934</v>
          </cell>
          <cell r="MB881">
            <v>9.6544719773798295</v>
          </cell>
          <cell r="MC881">
            <v>14.087427794132038</v>
          </cell>
        </row>
        <row r="882">
          <cell r="A882">
            <v>40760</v>
          </cell>
          <cell r="LJ882">
            <v>14.01582160536416</v>
          </cell>
          <cell r="LK882">
            <v>20.020152274152959</v>
          </cell>
          <cell r="LL882">
            <v>17.982747259685677</v>
          </cell>
          <cell r="LM882">
            <v>15.721193701553757</v>
          </cell>
          <cell r="LN882">
            <v>20.244300817817596</v>
          </cell>
          <cell r="LY882">
            <v>9.5192193028254124</v>
          </cell>
          <cell r="LZ882">
            <v>14.730476692982464</v>
          </cell>
          <cell r="MA882">
            <v>11.870949885755934</v>
          </cell>
          <cell r="MB882">
            <v>9.6544719773798295</v>
          </cell>
          <cell r="MC882">
            <v>14.087427794132038</v>
          </cell>
        </row>
        <row r="883">
          <cell r="A883">
            <v>40763</v>
          </cell>
          <cell r="LJ883">
            <v>12.97329266820428</v>
          </cell>
          <cell r="LK883">
            <v>20.020152274152959</v>
          </cell>
          <cell r="LL883">
            <v>17.982747259685677</v>
          </cell>
          <cell r="LM883">
            <v>15.721193701553757</v>
          </cell>
          <cell r="LN883">
            <v>20.244300817817596</v>
          </cell>
          <cell r="LY883">
            <v>8.9289403024798908</v>
          </cell>
          <cell r="LZ883">
            <v>14.730476692982464</v>
          </cell>
          <cell r="MA883">
            <v>11.870949885755934</v>
          </cell>
          <cell r="MB883">
            <v>9.6544719773798295</v>
          </cell>
          <cell r="MC883">
            <v>14.087427794132038</v>
          </cell>
        </row>
        <row r="884">
          <cell r="A884">
            <v>40764</v>
          </cell>
          <cell r="LJ884">
            <v>13.537077674949778</v>
          </cell>
          <cell r="LK884">
            <v>20.020152274152959</v>
          </cell>
          <cell r="LL884">
            <v>17.982747259685677</v>
          </cell>
          <cell r="LM884">
            <v>15.721193701553757</v>
          </cell>
          <cell r="LN884">
            <v>20.244300817817596</v>
          </cell>
          <cell r="LY884">
            <v>9.2481548953123287</v>
          </cell>
          <cell r="LZ884">
            <v>14.730476692982464</v>
          </cell>
          <cell r="MA884">
            <v>11.870949885755934</v>
          </cell>
          <cell r="MB884">
            <v>9.6544719773798295</v>
          </cell>
          <cell r="MC884">
            <v>14.087427794132038</v>
          </cell>
        </row>
        <row r="885">
          <cell r="A885">
            <v>40765</v>
          </cell>
          <cell r="LJ885">
            <v>13.081891697648736</v>
          </cell>
          <cell r="LK885">
            <v>20.020152274152959</v>
          </cell>
          <cell r="LL885">
            <v>17.982747259685677</v>
          </cell>
          <cell r="LM885">
            <v>15.721193701553757</v>
          </cell>
          <cell r="LN885">
            <v>20.244300817817596</v>
          </cell>
          <cell r="LY885">
            <v>8.9940726581867594</v>
          </cell>
          <cell r="LZ885">
            <v>14.730476692982464</v>
          </cell>
          <cell r="MA885">
            <v>11.870949885755934</v>
          </cell>
          <cell r="MB885">
            <v>9.6544719773798295</v>
          </cell>
          <cell r="MC885">
            <v>14.087427794132038</v>
          </cell>
        </row>
        <row r="886">
          <cell r="A886">
            <v>40766</v>
          </cell>
          <cell r="LJ886">
            <v>13.693189624130872</v>
          </cell>
          <cell r="LK886">
            <v>20.020152274152959</v>
          </cell>
          <cell r="LL886">
            <v>17.982747259685677</v>
          </cell>
          <cell r="LM886">
            <v>15.721193701553757</v>
          </cell>
          <cell r="LN886">
            <v>20.244300817817596</v>
          </cell>
          <cell r="LY886">
            <v>9.3354661349690762</v>
          </cell>
          <cell r="LZ886">
            <v>14.730476692982464</v>
          </cell>
          <cell r="MA886">
            <v>11.870949885755934</v>
          </cell>
          <cell r="MB886">
            <v>9.6544719773798295</v>
          </cell>
          <cell r="MC886">
            <v>14.087427794132038</v>
          </cell>
        </row>
        <row r="887">
          <cell r="A887">
            <v>40767</v>
          </cell>
          <cell r="LJ887">
            <v>13.94904795197151</v>
          </cell>
          <cell r="LK887">
            <v>20.020152274152959</v>
          </cell>
          <cell r="LL887">
            <v>17.982747259685677</v>
          </cell>
          <cell r="LM887">
            <v>15.721193701553757</v>
          </cell>
          <cell r="LN887">
            <v>20.244300817817596</v>
          </cell>
          <cell r="LY887">
            <v>9.4802449826498005</v>
          </cell>
          <cell r="LZ887">
            <v>14.730476692982464</v>
          </cell>
          <cell r="MA887">
            <v>11.870949885755934</v>
          </cell>
          <cell r="MB887">
            <v>9.6544719773798295</v>
          </cell>
          <cell r="MC887">
            <v>14.087427794132038</v>
          </cell>
        </row>
        <row r="888">
          <cell r="A888">
            <v>40770</v>
          </cell>
          <cell r="LJ888">
            <v>14.12593714924826</v>
          </cell>
          <cell r="LK888">
            <v>20.020152274152959</v>
          </cell>
          <cell r="LL888">
            <v>17.982747259685677</v>
          </cell>
          <cell r="LM888">
            <v>15.721193701553757</v>
          </cell>
          <cell r="LN888">
            <v>20.244300817817596</v>
          </cell>
          <cell r="LY888">
            <v>9.5803387117264887</v>
          </cell>
          <cell r="LZ888">
            <v>14.730476692982464</v>
          </cell>
          <cell r="MA888">
            <v>11.870949885755934</v>
          </cell>
          <cell r="MB888">
            <v>9.6544719773798295</v>
          </cell>
          <cell r="MC888">
            <v>14.087427794132038</v>
          </cell>
        </row>
        <row r="889">
          <cell r="A889">
            <v>40771</v>
          </cell>
          <cell r="LJ889">
            <v>13.94904795197151</v>
          </cell>
          <cell r="LK889">
            <v>20.020152274152959</v>
          </cell>
          <cell r="LL889">
            <v>17.982747259685677</v>
          </cell>
          <cell r="LM889">
            <v>15.721193701553757</v>
          </cell>
          <cell r="LN889">
            <v>20.244300817817596</v>
          </cell>
          <cell r="LY889">
            <v>9.4802449826498005</v>
          </cell>
          <cell r="LZ889">
            <v>14.730476692982464</v>
          </cell>
          <cell r="MA889">
            <v>11.870949885755934</v>
          </cell>
          <cell r="MB889">
            <v>9.6544719773798295</v>
          </cell>
          <cell r="MC889">
            <v>14.087427794132038</v>
          </cell>
        </row>
        <row r="890">
          <cell r="A890">
            <v>40772</v>
          </cell>
          <cell r="LJ890">
            <v>13.835462407955189</v>
          </cell>
          <cell r="LK890">
            <v>20.020152274152959</v>
          </cell>
          <cell r="LL890">
            <v>17.982747259685677</v>
          </cell>
          <cell r="LM890">
            <v>15.721193701553757</v>
          </cell>
          <cell r="LN890">
            <v>20.244300817817596</v>
          </cell>
          <cell r="LY890">
            <v>9.431400013727</v>
          </cell>
          <cell r="LZ890">
            <v>14.730476692982464</v>
          </cell>
          <cell r="MA890">
            <v>11.870949885755934</v>
          </cell>
          <cell r="MB890">
            <v>9.6544719773798295</v>
          </cell>
          <cell r="MC890">
            <v>14.087427794132038</v>
          </cell>
        </row>
        <row r="891">
          <cell r="A891">
            <v>40773</v>
          </cell>
          <cell r="LJ891">
            <v>13.101548480833285</v>
          </cell>
          <cell r="LK891">
            <v>20.020152274152959</v>
          </cell>
          <cell r="LL891">
            <v>17.982747259685677</v>
          </cell>
          <cell r="LM891">
            <v>15.721193701553757</v>
          </cell>
          <cell r="LN891">
            <v>20.244300817817596</v>
          </cell>
          <cell r="LY891">
            <v>8.9852611684515598</v>
          </cell>
          <cell r="LZ891">
            <v>14.730476692982464</v>
          </cell>
          <cell r="MA891">
            <v>11.870949885755934</v>
          </cell>
          <cell r="MB891">
            <v>9.6544719773798295</v>
          </cell>
          <cell r="MC891">
            <v>14.087427794132038</v>
          </cell>
        </row>
        <row r="892">
          <cell r="A892">
            <v>40774</v>
          </cell>
          <cell r="LJ892">
            <v>12.969304906171272</v>
          </cell>
          <cell r="LK892">
            <v>20.020152274152959</v>
          </cell>
          <cell r="LL892">
            <v>17.982747259685677</v>
          </cell>
          <cell r="LM892">
            <v>15.721193701553757</v>
          </cell>
          <cell r="LN892">
            <v>20.244300817817596</v>
          </cell>
          <cell r="LY892">
            <v>8.905206128699902</v>
          </cell>
          <cell r="LZ892">
            <v>14.730476692982464</v>
          </cell>
          <cell r="MA892">
            <v>11.870949885755934</v>
          </cell>
          <cell r="MB892">
            <v>9.6544719773798295</v>
          </cell>
          <cell r="MC892">
            <v>14.087427794132038</v>
          </cell>
        </row>
        <row r="893">
          <cell r="A893">
            <v>40777</v>
          </cell>
          <cell r="LJ893">
            <v>12.91197750117974</v>
          </cell>
          <cell r="LK893">
            <v>20.020152274152959</v>
          </cell>
          <cell r="LL893">
            <v>17.982747259685677</v>
          </cell>
          <cell r="LM893">
            <v>15.721193701553757</v>
          </cell>
          <cell r="LN893">
            <v>20.244300817817596</v>
          </cell>
          <cell r="LY893">
            <v>8.8942811654757996</v>
          </cell>
          <cell r="LZ893">
            <v>14.730476692982464</v>
          </cell>
          <cell r="MA893">
            <v>11.870949885755934</v>
          </cell>
          <cell r="MB893">
            <v>9.6544719773798295</v>
          </cell>
          <cell r="MC893">
            <v>14.087427794132038</v>
          </cell>
        </row>
        <row r="894">
          <cell r="A894">
            <v>40778</v>
          </cell>
          <cell r="LJ894">
            <v>13.29736409616277</v>
          </cell>
          <cell r="LK894">
            <v>20.020152274152959</v>
          </cell>
          <cell r="LL894">
            <v>17.982747259685677</v>
          </cell>
          <cell r="LM894">
            <v>15.721193701553757</v>
          </cell>
          <cell r="LN894">
            <v>20.244300817817596</v>
          </cell>
          <cell r="LY894">
            <v>9.1120526906250738</v>
          </cell>
          <cell r="LZ894">
            <v>14.730476692982464</v>
          </cell>
          <cell r="MA894">
            <v>11.870949885755934</v>
          </cell>
          <cell r="MB894">
            <v>9.6544719773798295</v>
          </cell>
          <cell r="MC894">
            <v>14.087427794132038</v>
          </cell>
        </row>
        <row r="895">
          <cell r="A895">
            <v>40779</v>
          </cell>
          <cell r="LJ895">
            <v>13.765554253246888</v>
          </cell>
          <cell r="LK895">
            <v>20.020152274152959</v>
          </cell>
          <cell r="LL895">
            <v>17.982747259685677</v>
          </cell>
          <cell r="LM895">
            <v>15.721193701553757</v>
          </cell>
          <cell r="LN895">
            <v>20.244300817817596</v>
          </cell>
          <cell r="LY895">
            <v>9.376614265665264</v>
          </cell>
          <cell r="LZ895">
            <v>14.730476692982464</v>
          </cell>
          <cell r="MA895">
            <v>11.870949885755934</v>
          </cell>
          <cell r="MB895">
            <v>9.6544719773798295</v>
          </cell>
          <cell r="MC895">
            <v>14.087427794132038</v>
          </cell>
        </row>
        <row r="896">
          <cell r="A896">
            <v>40780</v>
          </cell>
          <cell r="LJ896">
            <v>13.36742957970908</v>
          </cell>
          <cell r="LK896">
            <v>20.020152274152959</v>
          </cell>
          <cell r="LL896">
            <v>17.982747259685677</v>
          </cell>
          <cell r="LM896">
            <v>15.721193701553757</v>
          </cell>
          <cell r="LN896">
            <v>20.244300817817596</v>
          </cell>
          <cell r="LY896">
            <v>9.151644797384451</v>
          </cell>
          <cell r="LZ896">
            <v>14.730476692982464</v>
          </cell>
          <cell r="MA896">
            <v>11.870949885755934</v>
          </cell>
          <cell r="MB896">
            <v>9.6544719773798295</v>
          </cell>
          <cell r="MC896">
            <v>14.087427794132038</v>
          </cell>
        </row>
        <row r="897">
          <cell r="A897">
            <v>40781</v>
          </cell>
          <cell r="LJ897">
            <v>13.660453798429252</v>
          </cell>
          <cell r="LK897">
            <v>20.020152274152959</v>
          </cell>
          <cell r="LL897">
            <v>17.982747259685677</v>
          </cell>
          <cell r="LM897">
            <v>15.721193701553757</v>
          </cell>
          <cell r="LN897">
            <v>20.244300817817596</v>
          </cell>
          <cell r="LY897">
            <v>9.317224845697174</v>
          </cell>
          <cell r="LZ897">
            <v>14.730476692982464</v>
          </cell>
          <cell r="MA897">
            <v>11.870949885755934</v>
          </cell>
          <cell r="MB897">
            <v>9.6544719773798295</v>
          </cell>
          <cell r="MC897">
            <v>14.087427794132038</v>
          </cell>
        </row>
        <row r="898">
          <cell r="A898">
            <v>40784</v>
          </cell>
          <cell r="LJ898">
            <v>14.099980253017602</v>
          </cell>
          <cell r="LK898">
            <v>20.020152274152959</v>
          </cell>
          <cell r="LL898">
            <v>17.982747259685677</v>
          </cell>
          <cell r="LM898">
            <v>15.721193701553757</v>
          </cell>
          <cell r="LN898">
            <v>20.244300817817596</v>
          </cell>
          <cell r="LY898">
            <v>9.5655893389234468</v>
          </cell>
          <cell r="LZ898">
            <v>14.730476692982464</v>
          </cell>
          <cell r="MA898">
            <v>11.870949885755934</v>
          </cell>
          <cell r="MB898">
            <v>9.6544719773798295</v>
          </cell>
          <cell r="MC898">
            <v>14.087427794132038</v>
          </cell>
        </row>
        <row r="899">
          <cell r="A899">
            <v>40785</v>
          </cell>
          <cell r="LJ899">
            <v>14.348409412305717</v>
          </cell>
          <cell r="LK899">
            <v>20.020152274152959</v>
          </cell>
          <cell r="LL899">
            <v>17.982747259685677</v>
          </cell>
          <cell r="LM899">
            <v>15.721193701553757</v>
          </cell>
          <cell r="LN899">
            <v>20.244300817817596</v>
          </cell>
          <cell r="LY899">
            <v>9.7059699271795221</v>
          </cell>
          <cell r="LZ899">
            <v>14.730476692982464</v>
          </cell>
          <cell r="MA899">
            <v>11.870949885755934</v>
          </cell>
          <cell r="MB899">
            <v>9.6544719773798295</v>
          </cell>
          <cell r="MC899">
            <v>14.087427794132038</v>
          </cell>
        </row>
        <row r="900">
          <cell r="A900">
            <v>40786</v>
          </cell>
          <cell r="LJ900">
            <v>14.590472398814091</v>
          </cell>
          <cell r="LK900">
            <v>20.020152274152959</v>
          </cell>
          <cell r="LL900">
            <v>17.982747259685677</v>
          </cell>
          <cell r="LM900">
            <v>15.721193701553757</v>
          </cell>
          <cell r="LN900">
            <v>20.244300817817596</v>
          </cell>
          <cell r="LY900">
            <v>9.8427531636500039</v>
          </cell>
          <cell r="LZ900">
            <v>14.730476692982464</v>
          </cell>
          <cell r="MA900">
            <v>11.870949885755934</v>
          </cell>
          <cell r="MB900">
            <v>9.6544719773798295</v>
          </cell>
          <cell r="MC900">
            <v>14.087427794132038</v>
          </cell>
        </row>
        <row r="901">
          <cell r="A901">
            <v>40787</v>
          </cell>
          <cell r="LJ901">
            <v>14.034652798751635</v>
          </cell>
          <cell r="LK901">
            <v>20.020152274152959</v>
          </cell>
          <cell r="LL901">
            <v>17.982747259685677</v>
          </cell>
          <cell r="LM901">
            <v>15.721193701553757</v>
          </cell>
          <cell r="LN901">
            <v>20.244300817817596</v>
          </cell>
          <cell r="LY901">
            <v>9.4846307037999189</v>
          </cell>
          <cell r="LZ901">
            <v>14.730476692982464</v>
          </cell>
          <cell r="MA901">
            <v>11.870949885755934</v>
          </cell>
          <cell r="MB901">
            <v>9.6544719773798295</v>
          </cell>
          <cell r="MC901">
            <v>14.087427794132038</v>
          </cell>
        </row>
        <row r="902">
          <cell r="A902">
            <v>40788</v>
          </cell>
          <cell r="LJ902">
            <v>13.554067283920006</v>
          </cell>
          <cell r="LK902">
            <v>20.020152274152959</v>
          </cell>
          <cell r="LL902">
            <v>17.982747259685677</v>
          </cell>
          <cell r="LM902">
            <v>15.721193701553757</v>
          </cell>
          <cell r="LN902">
            <v>20.244300817817596</v>
          </cell>
          <cell r="LY902">
            <v>9.2080149088799477</v>
          </cell>
          <cell r="LZ902">
            <v>14.730476692982464</v>
          </cell>
          <cell r="MA902">
            <v>11.870949885755934</v>
          </cell>
          <cell r="MB902">
            <v>9.6544719773798295</v>
          </cell>
          <cell r="MC902">
            <v>14.087427794132038</v>
          </cell>
        </row>
        <row r="903">
          <cell r="A903">
            <v>40791</v>
          </cell>
          <cell r="LJ903">
            <v>13.554067283920006</v>
          </cell>
          <cell r="LK903">
            <v>20.020152274152959</v>
          </cell>
          <cell r="LL903">
            <v>17.982747259685677</v>
          </cell>
          <cell r="LM903">
            <v>15.721193701553757</v>
          </cell>
          <cell r="LN903">
            <v>20.244300817817596</v>
          </cell>
          <cell r="LY903">
            <v>9.2080149088799477</v>
          </cell>
          <cell r="LZ903">
            <v>14.730476692982464</v>
          </cell>
          <cell r="MA903">
            <v>11.870949885755934</v>
          </cell>
          <cell r="MB903">
            <v>9.6544719773798295</v>
          </cell>
          <cell r="MC903">
            <v>14.087427794132038</v>
          </cell>
        </row>
        <row r="904">
          <cell r="A904">
            <v>40792</v>
          </cell>
          <cell r="LJ904">
            <v>13.516287475392906</v>
          </cell>
          <cell r="LK904">
            <v>20.020152274152959</v>
          </cell>
          <cell r="LL904">
            <v>17.982747259685677</v>
          </cell>
          <cell r="LM904">
            <v>15.721193701553757</v>
          </cell>
          <cell r="LN904">
            <v>20.244300817817596</v>
          </cell>
          <cell r="LY904">
            <v>9.1867376301197048</v>
          </cell>
          <cell r="LZ904">
            <v>14.730476692982464</v>
          </cell>
          <cell r="MA904">
            <v>11.870949885755934</v>
          </cell>
          <cell r="MB904">
            <v>9.6544719773798295</v>
          </cell>
          <cell r="MC904">
            <v>14.087427794132038</v>
          </cell>
        </row>
        <row r="905">
          <cell r="A905">
            <v>40793</v>
          </cell>
          <cell r="LJ905">
            <v>13.92873360740578</v>
          </cell>
          <cell r="LK905">
            <v>20.020152274152959</v>
          </cell>
          <cell r="LL905">
            <v>17.982747259685677</v>
          </cell>
          <cell r="LM905">
            <v>15.721193701553757</v>
          </cell>
          <cell r="LN905">
            <v>20.244300817817596</v>
          </cell>
          <cell r="LY905">
            <v>9.4190239138928735</v>
          </cell>
          <cell r="LZ905">
            <v>14.730476692982464</v>
          </cell>
          <cell r="MA905">
            <v>11.870949885755934</v>
          </cell>
          <cell r="MB905">
            <v>9.6544719773798295</v>
          </cell>
          <cell r="MC905">
            <v>14.087427794132038</v>
          </cell>
        </row>
        <row r="906">
          <cell r="A906">
            <v>40794</v>
          </cell>
          <cell r="LJ906">
            <v>13.692599965209642</v>
          </cell>
          <cell r="LK906">
            <v>20.020152274152959</v>
          </cell>
          <cell r="LL906">
            <v>17.982747259685677</v>
          </cell>
          <cell r="LM906">
            <v>15.721193701553757</v>
          </cell>
          <cell r="LN906">
            <v>20.244300817817596</v>
          </cell>
          <cell r="LY906">
            <v>9.2860353804524589</v>
          </cell>
          <cell r="LZ906">
            <v>14.730476692982464</v>
          </cell>
          <cell r="MA906">
            <v>11.870949885755934</v>
          </cell>
          <cell r="MB906">
            <v>9.6544719773798295</v>
          </cell>
          <cell r="MC906">
            <v>14.087427794132038</v>
          </cell>
        </row>
        <row r="907">
          <cell r="A907">
            <v>40795</v>
          </cell>
          <cell r="LJ907">
            <v>13.409241483643413</v>
          </cell>
          <cell r="LK907">
            <v>20.020152274152959</v>
          </cell>
          <cell r="LL907">
            <v>17.982747259685677</v>
          </cell>
          <cell r="LM907">
            <v>15.721193701553757</v>
          </cell>
          <cell r="LN907">
            <v>20.244300817817596</v>
          </cell>
          <cell r="LY907">
            <v>9.126450204232226</v>
          </cell>
          <cell r="LZ907">
            <v>14.730476692982464</v>
          </cell>
          <cell r="MA907">
            <v>11.870949885755934</v>
          </cell>
          <cell r="MB907">
            <v>9.6544719773798295</v>
          </cell>
          <cell r="MC907">
            <v>14.087427794132038</v>
          </cell>
        </row>
        <row r="908">
          <cell r="A908">
            <v>40798</v>
          </cell>
          <cell r="LJ908">
            <v>13.738063301676187</v>
          </cell>
          <cell r="LK908">
            <v>20.020152274152959</v>
          </cell>
          <cell r="LL908">
            <v>17.982747259685677</v>
          </cell>
          <cell r="LM908">
            <v>15.721193701553757</v>
          </cell>
          <cell r="LN908">
            <v>20.244300817817596</v>
          </cell>
          <cell r="LY908">
            <v>9.3118361588011869</v>
          </cell>
          <cell r="LZ908">
            <v>14.730476692982464</v>
          </cell>
          <cell r="MA908">
            <v>11.870949885755934</v>
          </cell>
          <cell r="MB908">
            <v>9.6544719773798295</v>
          </cell>
          <cell r="MC908">
            <v>14.087427794132038</v>
          </cell>
        </row>
        <row r="909">
          <cell r="A909">
            <v>40799</v>
          </cell>
          <cell r="LJ909">
            <v>13.963861828263779</v>
          </cell>
          <cell r="LK909">
            <v>20.020152274152959</v>
          </cell>
          <cell r="LL909">
            <v>17.982747259685677</v>
          </cell>
          <cell r="LM909">
            <v>15.721193701553757</v>
          </cell>
          <cell r="LN909">
            <v>20.244300817817596</v>
          </cell>
          <cell r="LY909">
            <v>9.4183609215380439</v>
          </cell>
          <cell r="LZ909">
            <v>14.730476692982464</v>
          </cell>
          <cell r="MA909">
            <v>11.870949885755934</v>
          </cell>
          <cell r="MB909">
            <v>9.6544719773798295</v>
          </cell>
          <cell r="MC909">
            <v>14.087427794132038</v>
          </cell>
        </row>
        <row r="910">
          <cell r="A910">
            <v>40800</v>
          </cell>
          <cell r="LJ910">
            <v>14.331956133316339</v>
          </cell>
          <cell r="LK910">
            <v>20.020152274152959</v>
          </cell>
          <cell r="LL910">
            <v>17.982747259685677</v>
          </cell>
          <cell r="LM910">
            <v>15.721193701553757</v>
          </cell>
          <cell r="LN910">
            <v>20.244300817817596</v>
          </cell>
          <cell r="LY910">
            <v>9.6118782618381839</v>
          </cell>
          <cell r="LZ910">
            <v>14.730476692982464</v>
          </cell>
          <cell r="MA910">
            <v>11.870949885755934</v>
          </cell>
          <cell r="MB910">
            <v>9.6544719773798295</v>
          </cell>
          <cell r="MC910">
            <v>14.087427794132038</v>
          </cell>
        </row>
        <row r="911">
          <cell r="A911">
            <v>40801</v>
          </cell>
          <cell r="LJ911">
            <v>14.673947803617978</v>
          </cell>
          <cell r="LK911">
            <v>20.020152274152959</v>
          </cell>
          <cell r="LL911">
            <v>17.982747259685677</v>
          </cell>
          <cell r="LM911">
            <v>15.721193701553757</v>
          </cell>
          <cell r="LN911">
            <v>20.244300817817596</v>
          </cell>
          <cell r="LY911">
            <v>9.8036212724169651</v>
          </cell>
          <cell r="LZ911">
            <v>14.730476692982464</v>
          </cell>
          <cell r="MA911">
            <v>11.870949885755934</v>
          </cell>
          <cell r="MB911">
            <v>9.6544719773798295</v>
          </cell>
          <cell r="MC911">
            <v>14.087427794132038</v>
          </cell>
        </row>
        <row r="912">
          <cell r="A912">
            <v>40802</v>
          </cell>
          <cell r="LJ912">
            <v>14.547281606661224</v>
          </cell>
          <cell r="LK912">
            <v>20.020152274152959</v>
          </cell>
          <cell r="LL912">
            <v>17.982747259685677</v>
          </cell>
          <cell r="LM912">
            <v>15.721193701553757</v>
          </cell>
          <cell r="LN912">
            <v>20.244300817817596</v>
          </cell>
          <cell r="LY912">
            <v>9.7326038762282483</v>
          </cell>
          <cell r="LZ912">
            <v>14.730476692982464</v>
          </cell>
          <cell r="MA912">
            <v>11.870949885755934</v>
          </cell>
          <cell r="MB912">
            <v>9.6544719773798295</v>
          </cell>
          <cell r="MC912">
            <v>14.087427794132038</v>
          </cell>
        </row>
        <row r="913">
          <cell r="A913">
            <v>40805</v>
          </cell>
          <cell r="LJ913">
            <v>14.569449909000301</v>
          </cell>
          <cell r="LK913">
            <v>20.020152274152959</v>
          </cell>
          <cell r="LL913">
            <v>17.982747259685677</v>
          </cell>
          <cell r="LM913">
            <v>15.721193701553757</v>
          </cell>
          <cell r="LN913">
            <v>20.244300817817596</v>
          </cell>
          <cell r="LY913">
            <v>9.7450328837130371</v>
          </cell>
          <cell r="LZ913">
            <v>14.730476692982464</v>
          </cell>
          <cell r="MA913">
            <v>11.870949885755934</v>
          </cell>
          <cell r="MB913">
            <v>9.6544719773798295</v>
          </cell>
          <cell r="MC913">
            <v>14.087427794132038</v>
          </cell>
        </row>
        <row r="914">
          <cell r="A914">
            <v>40806</v>
          </cell>
          <cell r="LJ914">
            <v>14.642280066909912</v>
          </cell>
          <cell r="LK914">
            <v>20.020152274152959</v>
          </cell>
          <cell r="LL914">
            <v>17.982747259685677</v>
          </cell>
          <cell r="LM914">
            <v>15.721193701553757</v>
          </cell>
          <cell r="LN914">
            <v>20.244300817817596</v>
          </cell>
          <cell r="LY914">
            <v>9.7858662575966786</v>
          </cell>
          <cell r="LZ914">
            <v>14.730476692982464</v>
          </cell>
          <cell r="MA914">
            <v>11.870949885755934</v>
          </cell>
          <cell r="MB914">
            <v>9.6544719773798295</v>
          </cell>
          <cell r="MC914">
            <v>14.087427794132038</v>
          </cell>
        </row>
        <row r="915">
          <cell r="A915">
            <v>40807</v>
          </cell>
          <cell r="LJ915">
            <v>14.179961383512071</v>
          </cell>
          <cell r="LK915">
            <v>20.020152274152959</v>
          </cell>
          <cell r="LL915">
            <v>17.982747259685677</v>
          </cell>
          <cell r="LM915">
            <v>15.721193701553757</v>
          </cell>
          <cell r="LN915">
            <v>20.244300817817596</v>
          </cell>
          <cell r="LY915">
            <v>9.5266600139962598</v>
          </cell>
          <cell r="LZ915">
            <v>14.730476692982464</v>
          </cell>
          <cell r="MA915">
            <v>11.870949885755934</v>
          </cell>
          <cell r="MB915">
            <v>9.6544719773798295</v>
          </cell>
          <cell r="MC915">
            <v>14.087427794132038</v>
          </cell>
        </row>
        <row r="916">
          <cell r="A916">
            <v>40808</v>
          </cell>
          <cell r="LJ916">
            <v>13.527641029741345</v>
          </cell>
          <cell r="LK916">
            <v>20.020152274152959</v>
          </cell>
          <cell r="LL916">
            <v>17.982747259685677</v>
          </cell>
          <cell r="LM916">
            <v>15.721193701553757</v>
          </cell>
          <cell r="LN916">
            <v>20.244300817817596</v>
          </cell>
          <cell r="LY916">
            <v>9.1609263445665459</v>
          </cell>
          <cell r="LZ916">
            <v>14.730476692982464</v>
          </cell>
          <cell r="MA916">
            <v>11.870949885755934</v>
          </cell>
          <cell r="MB916">
            <v>9.6544719773798295</v>
          </cell>
          <cell r="MC916">
            <v>14.087427794132038</v>
          </cell>
        </row>
        <row r="917">
          <cell r="A917">
            <v>40809</v>
          </cell>
          <cell r="LJ917">
            <v>13.524476346015764</v>
          </cell>
          <cell r="LK917">
            <v>20.020152274152959</v>
          </cell>
          <cell r="LL917">
            <v>17.982747259685677</v>
          </cell>
          <cell r="LM917">
            <v>15.721193701553757</v>
          </cell>
          <cell r="LN917">
            <v>20.244300817817596</v>
          </cell>
          <cell r="LY917">
            <v>9.1591520148451924</v>
          </cell>
          <cell r="LZ917">
            <v>14.730476692982464</v>
          </cell>
          <cell r="MA917">
            <v>11.870949885755934</v>
          </cell>
          <cell r="MB917">
            <v>9.6544719773798295</v>
          </cell>
          <cell r="MC917">
            <v>14.087427794132038</v>
          </cell>
        </row>
        <row r="918">
          <cell r="A918">
            <v>40812</v>
          </cell>
          <cell r="LJ918">
            <v>13.768304555684768</v>
          </cell>
          <cell r="LK918">
            <v>20.020152274152959</v>
          </cell>
          <cell r="LL918">
            <v>17.982747259685677</v>
          </cell>
          <cell r="LM918">
            <v>15.721193701553757</v>
          </cell>
          <cell r="LN918">
            <v>20.244300817817596</v>
          </cell>
          <cell r="LY918">
            <v>9.295858136794692</v>
          </cell>
          <cell r="LZ918">
            <v>14.730476692982464</v>
          </cell>
          <cell r="MA918">
            <v>11.870949885755934</v>
          </cell>
          <cell r="MB918">
            <v>9.6544719773798295</v>
          </cell>
          <cell r="MC918">
            <v>14.087427794132038</v>
          </cell>
        </row>
        <row r="919">
          <cell r="A919">
            <v>40813</v>
          </cell>
          <cell r="LJ919">
            <v>14.012132765353773</v>
          </cell>
          <cell r="LK919">
            <v>20.020152274152959</v>
          </cell>
          <cell r="LL919">
            <v>17.982747259685677</v>
          </cell>
          <cell r="LM919">
            <v>15.721193701553757</v>
          </cell>
          <cell r="LN919">
            <v>20.244300817817596</v>
          </cell>
          <cell r="LY919">
            <v>9.4325642587441916</v>
          </cell>
          <cell r="LZ919">
            <v>14.730476692982464</v>
          </cell>
          <cell r="MA919">
            <v>11.870949885755934</v>
          </cell>
          <cell r="MB919">
            <v>9.6544719773798295</v>
          </cell>
          <cell r="MC919">
            <v>14.087427794132038</v>
          </cell>
        </row>
        <row r="920">
          <cell r="A920">
            <v>40814</v>
          </cell>
          <cell r="LJ920">
            <v>13.540310214369798</v>
          </cell>
          <cell r="LK920">
            <v>20.020152274152959</v>
          </cell>
          <cell r="LL920">
            <v>17.982747259685677</v>
          </cell>
          <cell r="LM920">
            <v>15.721193701553757</v>
          </cell>
          <cell r="LN920">
            <v>20.244300817817596</v>
          </cell>
          <cell r="LY920">
            <v>9.1680295222553365</v>
          </cell>
          <cell r="LZ920">
            <v>14.730476692982464</v>
          </cell>
          <cell r="MA920">
            <v>11.870949885755934</v>
          </cell>
          <cell r="MB920">
            <v>9.6544719773798295</v>
          </cell>
          <cell r="MC920">
            <v>14.087427794132038</v>
          </cell>
        </row>
        <row r="921">
          <cell r="A921">
            <v>40815</v>
          </cell>
          <cell r="LJ921">
            <v>13.784138424038801</v>
          </cell>
          <cell r="LK921">
            <v>20.020152274152959</v>
          </cell>
          <cell r="LL921">
            <v>17.982747259685677</v>
          </cell>
          <cell r="LM921">
            <v>15.721193701553757</v>
          </cell>
          <cell r="LN921">
            <v>20.244300817817596</v>
          </cell>
          <cell r="LY921">
            <v>9.3047356442048343</v>
          </cell>
          <cell r="LZ921">
            <v>14.730476692982464</v>
          </cell>
          <cell r="MA921">
            <v>11.870949885755934</v>
          </cell>
          <cell r="MB921">
            <v>9.6544719773798295</v>
          </cell>
          <cell r="MC921">
            <v>14.087427794132038</v>
          </cell>
        </row>
        <row r="922">
          <cell r="A922">
            <v>40816</v>
          </cell>
          <cell r="LJ922">
            <v>13.280648136346759</v>
          </cell>
          <cell r="LK922">
            <v>20.020152274152959</v>
          </cell>
          <cell r="LL922">
            <v>17.982747259685677</v>
          </cell>
          <cell r="LM922">
            <v>15.721193701553757</v>
          </cell>
          <cell r="LN922">
            <v>20.244300817817596</v>
          </cell>
          <cell r="LY922">
            <v>9.0224458928956928</v>
          </cell>
          <cell r="LZ922">
            <v>14.730476692982464</v>
          </cell>
          <cell r="MA922">
            <v>11.870949885755934</v>
          </cell>
          <cell r="MB922">
            <v>9.6544719773798295</v>
          </cell>
          <cell r="MC922">
            <v>14.087427794132038</v>
          </cell>
        </row>
        <row r="923">
          <cell r="A923">
            <v>40819</v>
          </cell>
          <cell r="LJ923">
            <v>12.649650976656279</v>
          </cell>
          <cell r="LK923">
            <v>20.020152274152959</v>
          </cell>
          <cell r="LL923">
            <v>17.982747259685677</v>
          </cell>
          <cell r="LM923">
            <v>15.721193701553757</v>
          </cell>
          <cell r="LN923">
            <v>20.244300817817596</v>
          </cell>
          <cell r="LY923">
            <v>8.6262500415985119</v>
          </cell>
          <cell r="LZ923">
            <v>14.730476692982464</v>
          </cell>
          <cell r="MA923">
            <v>11.870949885755934</v>
          </cell>
          <cell r="MB923">
            <v>9.6544719773798295</v>
          </cell>
          <cell r="MC923">
            <v>14.087427794132038</v>
          </cell>
        </row>
        <row r="924">
          <cell r="A924">
            <v>40820</v>
          </cell>
          <cell r="LJ924">
            <v>12.900011109912649</v>
          </cell>
          <cell r="LK924">
            <v>20.020152274152959</v>
          </cell>
          <cell r="LL924">
            <v>17.982747259685677</v>
          </cell>
          <cell r="LM924">
            <v>15.721193701553757</v>
          </cell>
          <cell r="LN924">
            <v>20.244300817817596</v>
          </cell>
          <cell r="LY924">
            <v>8.7662292321470527</v>
          </cell>
          <cell r="LZ924">
            <v>14.730476692982464</v>
          </cell>
          <cell r="MA924">
            <v>11.870949885755934</v>
          </cell>
          <cell r="MB924">
            <v>9.6544719773798295</v>
          </cell>
          <cell r="MC924">
            <v>14.087427794132038</v>
          </cell>
        </row>
        <row r="925">
          <cell r="A925">
            <v>40821</v>
          </cell>
          <cell r="LJ925">
            <v>13.056488735959304</v>
          </cell>
          <cell r="LK925">
            <v>20.020152274152959</v>
          </cell>
          <cell r="LL925">
            <v>17.982747259685677</v>
          </cell>
          <cell r="LM925">
            <v>15.721193701553757</v>
          </cell>
          <cell r="LN925">
            <v>20.244300817817596</v>
          </cell>
          <cell r="LY925">
            <v>8.8537176479266488</v>
          </cell>
          <cell r="LZ925">
            <v>14.730476692982464</v>
          </cell>
          <cell r="MA925">
            <v>11.870949885755934</v>
          </cell>
          <cell r="MB925">
            <v>9.6544719773798295</v>
          </cell>
          <cell r="MC925">
            <v>14.087427794132038</v>
          </cell>
        </row>
        <row r="926">
          <cell r="A926">
            <v>40822</v>
          </cell>
          <cell r="LJ926">
            <v>13.350667611792773</v>
          </cell>
          <cell r="LK926">
            <v>20.020152274152959</v>
          </cell>
          <cell r="LL926">
            <v>17.982747259685677</v>
          </cell>
          <cell r="LM926">
            <v>15.721193701553757</v>
          </cell>
          <cell r="LN926">
            <v>20.244300817817596</v>
          </cell>
          <cell r="LY926">
            <v>9.0181963945227839</v>
          </cell>
          <cell r="LZ926">
            <v>14.730476692982464</v>
          </cell>
          <cell r="MA926">
            <v>11.870949885755934</v>
          </cell>
          <cell r="MB926">
            <v>9.6544719773798295</v>
          </cell>
          <cell r="MC926">
            <v>14.087427794132038</v>
          </cell>
        </row>
        <row r="927">
          <cell r="A927">
            <v>40823</v>
          </cell>
          <cell r="LJ927">
            <v>13.231747745549834</v>
          </cell>
          <cell r="LK927">
            <v>20.020152274152959</v>
          </cell>
          <cell r="LL927">
            <v>17.982747259685677</v>
          </cell>
          <cell r="LM927">
            <v>15.721193701553757</v>
          </cell>
          <cell r="LN927">
            <v>20.244300817817596</v>
          </cell>
          <cell r="LY927">
            <v>8.9517069482986056</v>
          </cell>
          <cell r="LZ927">
            <v>14.730476692982464</v>
          </cell>
          <cell r="MA927">
            <v>11.870949885755934</v>
          </cell>
          <cell r="MB927">
            <v>9.6544719773798295</v>
          </cell>
          <cell r="MC927">
            <v>14.087427794132038</v>
          </cell>
        </row>
        <row r="928">
          <cell r="A928">
            <v>40826</v>
          </cell>
          <cell r="LJ928">
            <v>13.82948883454028</v>
          </cell>
          <cell r="LK928">
            <v>20.020152274152959</v>
          </cell>
          <cell r="LL928">
            <v>17.982747259685677</v>
          </cell>
          <cell r="LM928">
            <v>15.721193701553757</v>
          </cell>
          <cell r="LN928">
            <v>20.244300817817596</v>
          </cell>
          <cell r="LY928">
            <v>9.2859107718315101</v>
          </cell>
          <cell r="LZ928">
            <v>14.730476692982464</v>
          </cell>
          <cell r="MA928">
            <v>11.870949885755934</v>
          </cell>
          <cell r="MB928">
            <v>9.6544719773798295</v>
          </cell>
          <cell r="MC928">
            <v>14.087427794132038</v>
          </cell>
        </row>
        <row r="929">
          <cell r="A929">
            <v>40827</v>
          </cell>
          <cell r="LJ929">
            <v>13.832961303735875</v>
          </cell>
          <cell r="LK929">
            <v>20.020152274152959</v>
          </cell>
          <cell r="LL929">
            <v>17.982747259685677</v>
          </cell>
          <cell r="LM929">
            <v>15.721193701553757</v>
          </cell>
          <cell r="LN929">
            <v>20.244300817817596</v>
          </cell>
          <cell r="LY929">
            <v>9.2942490754442879</v>
          </cell>
          <cell r="LZ929">
            <v>14.730476692982464</v>
          </cell>
          <cell r="MA929">
            <v>11.870949885755934</v>
          </cell>
          <cell r="MB929">
            <v>9.6544719773798295</v>
          </cell>
          <cell r="MC929">
            <v>14.087427794132038</v>
          </cell>
        </row>
        <row r="930">
          <cell r="A930">
            <v>40828</v>
          </cell>
          <cell r="LJ930">
            <v>14.140011101881168</v>
          </cell>
          <cell r="LK930">
            <v>20.020152274152959</v>
          </cell>
          <cell r="LL930">
            <v>17.982747259685677</v>
          </cell>
          <cell r="LM930">
            <v>15.721193701553757</v>
          </cell>
          <cell r="LN930">
            <v>20.244300817817596</v>
          </cell>
          <cell r="LY930">
            <v>9.4660090895688853</v>
          </cell>
          <cell r="LZ930">
            <v>14.730476692982464</v>
          </cell>
          <cell r="MA930">
            <v>11.870949885755934</v>
          </cell>
          <cell r="MB930">
            <v>9.6544719773798295</v>
          </cell>
          <cell r="MC930">
            <v>14.087427794132038</v>
          </cell>
        </row>
        <row r="931">
          <cell r="A931">
            <v>40829</v>
          </cell>
          <cell r="LJ931">
            <v>14.112950089656065</v>
          </cell>
          <cell r="LK931">
            <v>20.020152274152959</v>
          </cell>
          <cell r="LL931">
            <v>17.982747259685677</v>
          </cell>
          <cell r="LM931">
            <v>15.721193701553757</v>
          </cell>
          <cell r="LN931">
            <v>20.244300817817596</v>
          </cell>
          <cell r="LY931">
            <v>9.4534854348357076</v>
          </cell>
          <cell r="LZ931">
            <v>14.730476692982464</v>
          </cell>
          <cell r="MA931">
            <v>11.870949885755934</v>
          </cell>
          <cell r="MB931">
            <v>9.6544719773798295</v>
          </cell>
          <cell r="MC931">
            <v>14.087427794132038</v>
          </cell>
        </row>
        <row r="932">
          <cell r="A932">
            <v>40830</v>
          </cell>
          <cell r="LJ932">
            <v>14.279724915420635</v>
          </cell>
          <cell r="LK932">
            <v>20.020152274152959</v>
          </cell>
          <cell r="LL932">
            <v>17.982747259685677</v>
          </cell>
          <cell r="LM932">
            <v>15.721193701553757</v>
          </cell>
          <cell r="LN932">
            <v>20.244300817817596</v>
          </cell>
          <cell r="LY932">
            <v>9.5559684354937744</v>
          </cell>
          <cell r="LZ932">
            <v>14.730476692982464</v>
          </cell>
          <cell r="MA932">
            <v>11.870949885755934</v>
          </cell>
          <cell r="MB932">
            <v>9.6544719773798295</v>
          </cell>
          <cell r="MC932">
            <v>14.087427794132038</v>
          </cell>
        </row>
        <row r="933">
          <cell r="A933">
            <v>40833</v>
          </cell>
          <cell r="LJ933">
            <v>13.844032664834121</v>
          </cell>
          <cell r="LK933">
            <v>20.020152274152959</v>
          </cell>
          <cell r="LL933">
            <v>17.982747259685677</v>
          </cell>
          <cell r="LM933">
            <v>15.721193701553757</v>
          </cell>
          <cell r="LN933">
            <v>20.244300817817596</v>
          </cell>
          <cell r="LY933">
            <v>9.3075965991919478</v>
          </cell>
          <cell r="LZ933">
            <v>14.730476692982464</v>
          </cell>
          <cell r="MA933">
            <v>11.870949885755934</v>
          </cell>
          <cell r="MB933">
            <v>9.6544719773798295</v>
          </cell>
          <cell r="MC933">
            <v>14.087427794132038</v>
          </cell>
        </row>
        <row r="934">
          <cell r="A934">
            <v>40834</v>
          </cell>
          <cell r="LJ934">
            <v>14.221869939765968</v>
          </cell>
          <cell r="LK934">
            <v>20.020152274152959</v>
          </cell>
          <cell r="LL934">
            <v>17.982747259685677</v>
          </cell>
          <cell r="LM934">
            <v>15.721193701553757</v>
          </cell>
          <cell r="LN934">
            <v>20.244300817817596</v>
          </cell>
          <cell r="LY934">
            <v>9.5193468512292529</v>
          </cell>
          <cell r="LZ934">
            <v>14.730476692982464</v>
          </cell>
          <cell r="MA934">
            <v>11.870949885755934</v>
          </cell>
          <cell r="MB934">
            <v>9.6544719773798295</v>
          </cell>
          <cell r="MC934">
            <v>14.087427794132038</v>
          </cell>
        </row>
        <row r="935">
          <cell r="A935">
            <v>40835</v>
          </cell>
          <cell r="LJ935">
            <v>13.900221001387221</v>
          </cell>
          <cell r="LK935">
            <v>20.020152274152959</v>
          </cell>
          <cell r="LL935">
            <v>17.982747259685677</v>
          </cell>
          <cell r="LM935">
            <v>15.721193701553757</v>
          </cell>
          <cell r="LN935">
            <v>20.244300817817596</v>
          </cell>
          <cell r="LY935">
            <v>9.3721254620943135</v>
          </cell>
          <cell r="LZ935">
            <v>14.730476692982464</v>
          </cell>
          <cell r="MA935">
            <v>11.870949885755934</v>
          </cell>
          <cell r="MB935">
            <v>9.6544719773798295</v>
          </cell>
          <cell r="MC935">
            <v>14.087427794132038</v>
          </cell>
        </row>
        <row r="936">
          <cell r="A936">
            <v>40836</v>
          </cell>
          <cell r="LJ936">
            <v>14.281785649154143</v>
          </cell>
          <cell r="LK936">
            <v>20.020152274152959</v>
          </cell>
          <cell r="LL936">
            <v>17.982747259685677</v>
          </cell>
          <cell r="LM936">
            <v>15.721193701553757</v>
          </cell>
          <cell r="LN936">
            <v>20.244300817817596</v>
          </cell>
          <cell r="LY936">
            <v>9.4288262977708346</v>
          </cell>
          <cell r="LZ936">
            <v>14.730476692982464</v>
          </cell>
          <cell r="MA936">
            <v>11.870949885755934</v>
          </cell>
          <cell r="MB936">
            <v>9.6544719773798295</v>
          </cell>
          <cell r="MC936">
            <v>14.087427794132038</v>
          </cell>
        </row>
        <row r="937">
          <cell r="A937">
            <v>40837</v>
          </cell>
          <cell r="LJ937">
            <v>14.749582157960186</v>
          </cell>
          <cell r="LK937">
            <v>20.020152274152959</v>
          </cell>
          <cell r="LL937">
            <v>17.982747259685677</v>
          </cell>
          <cell r="LM937">
            <v>15.721193701553757</v>
          </cell>
          <cell r="LN937">
            <v>20.244300817817596</v>
          </cell>
          <cell r="LY937">
            <v>9.6918830287398166</v>
          </cell>
          <cell r="LZ937">
            <v>14.730476692982464</v>
          </cell>
          <cell r="MA937">
            <v>11.870949885755934</v>
          </cell>
          <cell r="MB937">
            <v>9.6544719773798295</v>
          </cell>
          <cell r="MC937">
            <v>14.087427794132038</v>
          </cell>
        </row>
        <row r="938">
          <cell r="A938">
            <v>40840</v>
          </cell>
          <cell r="LJ938">
            <v>15.11800340896303</v>
          </cell>
          <cell r="LK938">
            <v>20.020152274152959</v>
          </cell>
          <cell r="LL938">
            <v>17.982747259685677</v>
          </cell>
          <cell r="LM938">
            <v>15.721193701553757</v>
          </cell>
          <cell r="LN938">
            <v>20.244300817817596</v>
          </cell>
          <cell r="LY938">
            <v>9.9337870051005641</v>
          </cell>
          <cell r="LZ938">
            <v>14.730476692982464</v>
          </cell>
          <cell r="MA938">
            <v>11.870949885755934</v>
          </cell>
          <cell r="MB938">
            <v>9.6544719773798295</v>
          </cell>
          <cell r="MC938">
            <v>14.087427794132038</v>
          </cell>
        </row>
        <row r="939">
          <cell r="A939">
            <v>40841</v>
          </cell>
          <cell r="LJ939">
            <v>14.848710053515608</v>
          </cell>
          <cell r="LK939">
            <v>20.020152274152959</v>
          </cell>
          <cell r="LL939">
            <v>17.982747259685677</v>
          </cell>
          <cell r="LM939">
            <v>15.721193701553757</v>
          </cell>
          <cell r="LN939">
            <v>20.244300817817596</v>
          </cell>
          <cell r="LY939">
            <v>9.7819359823560266</v>
          </cell>
          <cell r="LZ939">
            <v>14.730476692982464</v>
          </cell>
          <cell r="MA939">
            <v>11.870949885755934</v>
          </cell>
          <cell r="MB939">
            <v>9.6544719773798295</v>
          </cell>
          <cell r="MC939">
            <v>14.087427794132038</v>
          </cell>
        </row>
        <row r="940">
          <cell r="A940">
            <v>40842</v>
          </cell>
          <cell r="LJ940">
            <v>14.92744623886864</v>
          </cell>
          <cell r="LK940">
            <v>20.020152274152959</v>
          </cell>
          <cell r="LL940">
            <v>17.982747259685677</v>
          </cell>
          <cell r="LM940">
            <v>15.721193701553757</v>
          </cell>
          <cell r="LN940">
            <v>20.244300817817596</v>
          </cell>
          <cell r="LY940">
            <v>9.8183660371619794</v>
          </cell>
          <cell r="LZ940">
            <v>14.730476692982464</v>
          </cell>
          <cell r="MA940">
            <v>11.870949885755934</v>
          </cell>
          <cell r="MB940">
            <v>9.6544719773798295</v>
          </cell>
          <cell r="MC940">
            <v>14.087427794132038</v>
          </cell>
        </row>
        <row r="941">
          <cell r="A941">
            <v>40843</v>
          </cell>
          <cell r="LJ941">
            <v>15.564381756731837</v>
          </cell>
          <cell r="LK941">
            <v>20.020152274152959</v>
          </cell>
          <cell r="LL941">
            <v>17.982747259685677</v>
          </cell>
          <cell r="LM941">
            <v>15.721193701553757</v>
          </cell>
          <cell r="LN941">
            <v>20.244300817817596</v>
          </cell>
          <cell r="LY941">
            <v>10.177383630700767</v>
          </cell>
          <cell r="LZ941">
            <v>14.730476692982464</v>
          </cell>
          <cell r="MA941">
            <v>11.870949885755934</v>
          </cell>
          <cell r="MB941">
            <v>9.6544719773798295</v>
          </cell>
          <cell r="MC941">
            <v>14.087427794132038</v>
          </cell>
        </row>
        <row r="942">
          <cell r="A942">
            <v>40844</v>
          </cell>
          <cell r="LJ942">
            <v>15.879726803682603</v>
          </cell>
          <cell r="LK942">
            <v>20.020152274152959</v>
          </cell>
          <cell r="LL942">
            <v>17.982747259685677</v>
          </cell>
          <cell r="LM942">
            <v>15.721193701553757</v>
          </cell>
          <cell r="LN942">
            <v>20.244300817817596</v>
          </cell>
          <cell r="LY942">
            <v>10.36015747659645</v>
          </cell>
          <cell r="LZ942">
            <v>14.730476692982464</v>
          </cell>
          <cell r="MA942">
            <v>11.870949885755934</v>
          </cell>
          <cell r="MB942">
            <v>9.6544719773798295</v>
          </cell>
          <cell r="MC942">
            <v>14.087427794132038</v>
          </cell>
        </row>
        <row r="943">
          <cell r="A943">
            <v>40847</v>
          </cell>
          <cell r="LJ943">
            <v>15.099486742274827</v>
          </cell>
          <cell r="LK943">
            <v>20.020152274152959</v>
          </cell>
          <cell r="LL943">
            <v>17.982747259685677</v>
          </cell>
          <cell r="LM943">
            <v>15.721193701553757</v>
          </cell>
          <cell r="LN943">
            <v>20.244300817817596</v>
          </cell>
          <cell r="LY943">
            <v>9.9182100422850503</v>
          </cell>
          <cell r="LZ943">
            <v>14.730476692982464</v>
          </cell>
          <cell r="MA943">
            <v>11.870949885755934</v>
          </cell>
          <cell r="MB943">
            <v>9.6544719773798295</v>
          </cell>
          <cell r="MC943">
            <v>14.087427794132038</v>
          </cell>
        </row>
        <row r="944">
          <cell r="A944">
            <v>40848</v>
          </cell>
          <cell r="LJ944">
            <v>14.618402055531282</v>
          </cell>
          <cell r="LK944">
            <v>20.020152274152959</v>
          </cell>
          <cell r="LL944">
            <v>17.982747259685677</v>
          </cell>
          <cell r="LM944">
            <v>15.721193701553757</v>
          </cell>
          <cell r="LN944">
            <v>20.244300817817596</v>
          </cell>
          <cell r="LY944">
            <v>9.6105014517858223</v>
          </cell>
          <cell r="LZ944">
            <v>14.730476692982464</v>
          </cell>
          <cell r="MA944">
            <v>11.870949885755934</v>
          </cell>
          <cell r="MB944">
            <v>9.6544719773798295</v>
          </cell>
          <cell r="MC944">
            <v>14.087427794132038</v>
          </cell>
        </row>
        <row r="945">
          <cell r="A945">
            <v>40849</v>
          </cell>
          <cell r="LJ945">
            <v>14.970355202540448</v>
          </cell>
          <cell r="LK945">
            <v>20.020152274152959</v>
          </cell>
          <cell r="LL945">
            <v>17.982747259685677</v>
          </cell>
          <cell r="LM945">
            <v>15.721193701553757</v>
          </cell>
          <cell r="LN945">
            <v>20.244300817817596</v>
          </cell>
          <cell r="LY945">
            <v>9.8085148223912029</v>
          </cell>
          <cell r="LZ945">
            <v>14.730476692982464</v>
          </cell>
          <cell r="MA945">
            <v>11.870949885755934</v>
          </cell>
          <cell r="MB945">
            <v>9.6544719773798295</v>
          </cell>
          <cell r="MC945">
            <v>14.087427794132038</v>
          </cell>
        </row>
        <row r="946">
          <cell r="A946">
            <v>40850</v>
          </cell>
          <cell r="LJ946">
            <v>15.140158085623327</v>
          </cell>
          <cell r="LK946">
            <v>20.020152274152959</v>
          </cell>
          <cell r="LL946">
            <v>17.982747259685677</v>
          </cell>
          <cell r="LM946">
            <v>15.721193701553757</v>
          </cell>
          <cell r="LN946">
            <v>20.244300817817596</v>
          </cell>
          <cell r="LY946">
            <v>9.9040481099991613</v>
          </cell>
          <cell r="LZ946">
            <v>14.730476692982464</v>
          </cell>
          <cell r="MA946">
            <v>11.870949885755934</v>
          </cell>
          <cell r="MB946">
            <v>9.6544719773798295</v>
          </cell>
          <cell r="MC946">
            <v>14.087427794132038</v>
          </cell>
        </row>
        <row r="947">
          <cell r="A947">
            <v>40851</v>
          </cell>
          <cell r="LJ947">
            <v>15.05062799710247</v>
          </cell>
          <cell r="LK947">
            <v>20.020152274152959</v>
          </cell>
          <cell r="LL947">
            <v>17.982747259685677</v>
          </cell>
          <cell r="LM947">
            <v>15.721193701553757</v>
          </cell>
          <cell r="LN947">
            <v>20.244300817817596</v>
          </cell>
          <cell r="LY947">
            <v>9.8536773298278124</v>
          </cell>
          <cell r="LZ947">
            <v>14.730476692982464</v>
          </cell>
          <cell r="MA947">
            <v>11.870949885755934</v>
          </cell>
          <cell r="MB947">
            <v>9.6544719773798295</v>
          </cell>
          <cell r="MC947">
            <v>14.087427794132038</v>
          </cell>
        </row>
        <row r="948">
          <cell r="A948">
            <v>40854</v>
          </cell>
          <cell r="LJ948">
            <v>15.148039515111652</v>
          </cell>
          <cell r="LK948">
            <v>20.020152274152959</v>
          </cell>
          <cell r="LL948">
            <v>17.982747259685677</v>
          </cell>
          <cell r="LM948">
            <v>15.721193701553757</v>
          </cell>
          <cell r="LN948">
            <v>20.244300817817596</v>
          </cell>
          <cell r="LY948">
            <v>9.9195309389127218</v>
          </cell>
          <cell r="LZ948">
            <v>14.730476692982464</v>
          </cell>
          <cell r="MA948">
            <v>11.870949885755934</v>
          </cell>
          <cell r="MB948">
            <v>9.6544719773798295</v>
          </cell>
          <cell r="MC948">
            <v>14.087427794132038</v>
          </cell>
        </row>
        <row r="949">
          <cell r="A949">
            <v>40855</v>
          </cell>
          <cell r="LJ949">
            <v>15.333451927421489</v>
          </cell>
          <cell r="LK949">
            <v>20.020152274152959</v>
          </cell>
          <cell r="LL949">
            <v>17.982747259685677</v>
          </cell>
          <cell r="LM949">
            <v>15.721193701553757</v>
          </cell>
          <cell r="LN949">
            <v>20.244300817817596</v>
          </cell>
          <cell r="LY949">
            <v>10.02394910050198</v>
          </cell>
          <cell r="LZ949">
            <v>14.730476692982464</v>
          </cell>
          <cell r="MA949">
            <v>11.870949885755934</v>
          </cell>
          <cell r="MB949">
            <v>9.6544719773798295</v>
          </cell>
          <cell r="MC949">
            <v>14.087427794132038</v>
          </cell>
        </row>
        <row r="950">
          <cell r="A950">
            <v>40856</v>
          </cell>
          <cell r="LJ950">
            <v>14.845203506115091</v>
          </cell>
          <cell r="LK950">
            <v>20.020152274152959</v>
          </cell>
          <cell r="LL950">
            <v>17.982747259685677</v>
          </cell>
          <cell r="LM950">
            <v>15.721193701553757</v>
          </cell>
          <cell r="LN950">
            <v>20.244300817817596</v>
          </cell>
          <cell r="LY950">
            <v>9.7489836765772999</v>
          </cell>
          <cell r="LZ950">
            <v>14.730476692982464</v>
          </cell>
          <cell r="MA950">
            <v>11.870949885755934</v>
          </cell>
          <cell r="MB950">
            <v>9.6544719773798295</v>
          </cell>
          <cell r="MC950">
            <v>14.087427794132038</v>
          </cell>
        </row>
        <row r="951">
          <cell r="A951">
            <v>40857</v>
          </cell>
          <cell r="LJ951">
            <v>15.015164111521781</v>
          </cell>
          <cell r="LK951">
            <v>20.020152274152959</v>
          </cell>
          <cell r="LL951">
            <v>17.982747259685677</v>
          </cell>
          <cell r="LM951">
            <v>15.721193701553757</v>
          </cell>
          <cell r="LN951">
            <v>20.244300817817596</v>
          </cell>
          <cell r="LY951">
            <v>9.8446998896294637</v>
          </cell>
          <cell r="LZ951">
            <v>14.730476692982464</v>
          </cell>
          <cell r="MA951">
            <v>11.870949885755934</v>
          </cell>
          <cell r="MB951">
            <v>9.6544719773798295</v>
          </cell>
          <cell r="MC951">
            <v>14.087427794132038</v>
          </cell>
        </row>
        <row r="952">
          <cell r="A952">
            <v>40858</v>
          </cell>
          <cell r="LJ952">
            <v>15.361262275081739</v>
          </cell>
          <cell r="LK952">
            <v>20.020152274152959</v>
          </cell>
          <cell r="LL952">
            <v>17.982747259685677</v>
          </cell>
          <cell r="LM952">
            <v>15.721193701553757</v>
          </cell>
          <cell r="LN952">
            <v>20.244300817817596</v>
          </cell>
          <cell r="LY952">
            <v>10.039610972000574</v>
          </cell>
          <cell r="LZ952">
            <v>14.730476692982464</v>
          </cell>
          <cell r="MA952">
            <v>11.870949885755934</v>
          </cell>
          <cell r="MB952">
            <v>9.6544719773798295</v>
          </cell>
          <cell r="MC952">
            <v>14.087427794132038</v>
          </cell>
        </row>
        <row r="953">
          <cell r="A953">
            <v>40861</v>
          </cell>
          <cell r="LJ953">
            <v>15.225293914363425</v>
          </cell>
          <cell r="LK953">
            <v>20.020152274152959</v>
          </cell>
          <cell r="LL953">
            <v>17.982747259685677</v>
          </cell>
          <cell r="LM953">
            <v>15.721193701553757</v>
          </cell>
          <cell r="LN953">
            <v>20.244300817817596</v>
          </cell>
          <cell r="LY953">
            <v>9.9630380711702564</v>
          </cell>
          <cell r="LZ953">
            <v>14.730476692982464</v>
          </cell>
          <cell r="MA953">
            <v>11.870949885755934</v>
          </cell>
          <cell r="MB953">
            <v>9.6544719773798295</v>
          </cell>
          <cell r="MC953">
            <v>14.087427794132038</v>
          </cell>
        </row>
        <row r="954">
          <cell r="A954">
            <v>40862</v>
          </cell>
          <cell r="LJ954">
            <v>15.293278094722583</v>
          </cell>
          <cell r="LK954">
            <v>20.020152274152959</v>
          </cell>
          <cell r="LL954">
            <v>17.982747259685677</v>
          </cell>
          <cell r="LM954">
            <v>15.721193701553757</v>
          </cell>
          <cell r="LN954">
            <v>20.244300817817596</v>
          </cell>
          <cell r="LY954">
            <v>10.001324521585417</v>
          </cell>
          <cell r="LZ954">
            <v>14.730476692982464</v>
          </cell>
          <cell r="MA954">
            <v>11.870949885755934</v>
          </cell>
          <cell r="MB954">
            <v>9.6544719773798295</v>
          </cell>
          <cell r="MC954">
            <v>14.087427794132038</v>
          </cell>
        </row>
        <row r="955">
          <cell r="A955">
            <v>40863</v>
          </cell>
          <cell r="LJ955">
            <v>14.903917467581632</v>
          </cell>
          <cell r="LK955">
            <v>20.020152274152959</v>
          </cell>
          <cell r="LL955">
            <v>17.982747259685677</v>
          </cell>
          <cell r="LM955">
            <v>15.721193701553757</v>
          </cell>
          <cell r="LN955">
            <v>20.244300817817596</v>
          </cell>
          <cell r="LY955">
            <v>9.7820494451500846</v>
          </cell>
          <cell r="LZ955">
            <v>14.730476692982464</v>
          </cell>
          <cell r="MA955">
            <v>11.870949885755934</v>
          </cell>
          <cell r="MB955">
            <v>9.6544719773798295</v>
          </cell>
          <cell r="MC955">
            <v>14.087427794132038</v>
          </cell>
        </row>
        <row r="956">
          <cell r="A956">
            <v>40864</v>
          </cell>
          <cell r="LJ956">
            <v>14.536185909107999</v>
          </cell>
          <cell r="LK956">
            <v>20.020152274152959</v>
          </cell>
          <cell r="LL956">
            <v>17.982747259685677</v>
          </cell>
          <cell r="LM956">
            <v>15.721193701553757</v>
          </cell>
          <cell r="LN956">
            <v>20.244300817817596</v>
          </cell>
          <cell r="LY956">
            <v>9.5749551475471613</v>
          </cell>
          <cell r="LZ956">
            <v>14.730476692982464</v>
          </cell>
          <cell r="MA956">
            <v>11.870949885755934</v>
          </cell>
          <cell r="MB956">
            <v>9.6544719773798295</v>
          </cell>
          <cell r="MC956">
            <v>14.087427794132038</v>
          </cell>
        </row>
        <row r="957">
          <cell r="A957">
            <v>40865</v>
          </cell>
          <cell r="LJ957">
            <v>14.622710527252385</v>
          </cell>
          <cell r="LK957">
            <v>20.020152274152959</v>
          </cell>
          <cell r="LL957">
            <v>17.982747259685677</v>
          </cell>
          <cell r="LM957">
            <v>15.721193701553757</v>
          </cell>
          <cell r="LN957">
            <v>20.244300817817596</v>
          </cell>
          <cell r="LY957">
            <v>9.62368296164707</v>
          </cell>
          <cell r="LZ957">
            <v>14.730476692982464</v>
          </cell>
          <cell r="MA957">
            <v>11.870949885755934</v>
          </cell>
          <cell r="MB957">
            <v>9.6544719773798295</v>
          </cell>
          <cell r="MC957">
            <v>14.087427794132038</v>
          </cell>
        </row>
        <row r="958">
          <cell r="A958">
            <v>40868</v>
          </cell>
          <cell r="LJ958">
            <v>14.282789007421407</v>
          </cell>
          <cell r="LK958">
            <v>20.020152274152959</v>
          </cell>
          <cell r="LL958">
            <v>17.982747259685677</v>
          </cell>
          <cell r="LM958">
            <v>15.721193701553757</v>
          </cell>
          <cell r="LN958">
            <v>20.244300817817596</v>
          </cell>
          <cell r="LY958">
            <v>9.4322503615142139</v>
          </cell>
          <cell r="LZ958">
            <v>14.730476692982464</v>
          </cell>
          <cell r="MA958">
            <v>11.870949885755934</v>
          </cell>
          <cell r="MB958">
            <v>9.6544719773798295</v>
          </cell>
          <cell r="MC958">
            <v>14.087427794132038</v>
          </cell>
        </row>
        <row r="959">
          <cell r="A959">
            <v>40869</v>
          </cell>
          <cell r="LJ959">
            <v>14.227168312100908</v>
          </cell>
          <cell r="LK959">
            <v>20.020152274152959</v>
          </cell>
          <cell r="LL959">
            <v>17.982747259685677</v>
          </cell>
          <cell r="LM959">
            <v>15.721193701553757</v>
          </cell>
          <cell r="LN959">
            <v>20.244300817817596</v>
          </cell>
          <cell r="LY959">
            <v>9.4009266185170208</v>
          </cell>
          <cell r="LZ959">
            <v>14.730476692982464</v>
          </cell>
          <cell r="MA959">
            <v>11.870949885755934</v>
          </cell>
          <cell r="MB959">
            <v>9.6544719773798295</v>
          </cell>
          <cell r="MC959">
            <v>14.087427794132038</v>
          </cell>
        </row>
        <row r="960">
          <cell r="A960">
            <v>40870</v>
          </cell>
          <cell r="LJ960">
            <v>13.800722483143137</v>
          </cell>
          <cell r="LK960">
            <v>20.020152274152959</v>
          </cell>
          <cell r="LL960">
            <v>17.982747259685677</v>
          </cell>
          <cell r="LM960">
            <v>15.721193701553757</v>
          </cell>
          <cell r="LN960">
            <v>20.244300817817596</v>
          </cell>
          <cell r="LY960">
            <v>9.1607663783127826</v>
          </cell>
          <cell r="LZ960">
            <v>14.730476692982464</v>
          </cell>
          <cell r="MA960">
            <v>11.870949885755934</v>
          </cell>
          <cell r="MB960">
            <v>9.6544719773798295</v>
          </cell>
          <cell r="MC960">
            <v>14.087427794132038</v>
          </cell>
        </row>
        <row r="961">
          <cell r="A961">
            <v>40871</v>
          </cell>
          <cell r="LJ961">
            <v>13.800722483143137</v>
          </cell>
          <cell r="LK961">
            <v>20.020152274152959</v>
          </cell>
          <cell r="LL961">
            <v>17.982747259685677</v>
          </cell>
          <cell r="LM961">
            <v>15.721193701553757</v>
          </cell>
          <cell r="LN961">
            <v>20.244300817817596</v>
          </cell>
          <cell r="LY961">
            <v>9.1607663783127826</v>
          </cell>
          <cell r="LZ961">
            <v>14.730476692982464</v>
          </cell>
          <cell r="MA961">
            <v>11.870949885755934</v>
          </cell>
          <cell r="MB961">
            <v>9.6544719773798295</v>
          </cell>
          <cell r="MC961">
            <v>14.087427794132038</v>
          </cell>
        </row>
        <row r="962">
          <cell r="A962">
            <v>40872</v>
          </cell>
          <cell r="LJ962">
            <v>13.769823504600801</v>
          </cell>
          <cell r="LK962">
            <v>20.020152274152959</v>
          </cell>
          <cell r="LL962">
            <v>17.982747259685677</v>
          </cell>
          <cell r="LM962">
            <v>15.721193701553757</v>
          </cell>
          <cell r="LN962">
            <v>20.244300817817596</v>
          </cell>
          <cell r="LY962">
            <v>9.1433650916665314</v>
          </cell>
          <cell r="LZ962">
            <v>14.730476692982464</v>
          </cell>
          <cell r="MA962">
            <v>11.870949885755934</v>
          </cell>
          <cell r="MB962">
            <v>9.6544719773798295</v>
          </cell>
          <cell r="MC962">
            <v>14.087427794132038</v>
          </cell>
        </row>
        <row r="963">
          <cell r="A963">
            <v>40875</v>
          </cell>
          <cell r="LJ963">
            <v>14.29824112334215</v>
          </cell>
          <cell r="LK963">
            <v>20.020152274152959</v>
          </cell>
          <cell r="LL963">
            <v>17.982747259685677</v>
          </cell>
          <cell r="LM963">
            <v>15.721193701553757</v>
          </cell>
          <cell r="LN963">
            <v>20.244300817817596</v>
          </cell>
          <cell r="LY963">
            <v>9.4409524840798369</v>
          </cell>
          <cell r="LZ963">
            <v>14.730476692982464</v>
          </cell>
          <cell r="MA963">
            <v>11.870949885755934</v>
          </cell>
          <cell r="MB963">
            <v>9.6544719773798295</v>
          </cell>
          <cell r="MC963">
            <v>14.087427794132038</v>
          </cell>
        </row>
        <row r="964">
          <cell r="A964">
            <v>40876</v>
          </cell>
          <cell r="LJ964">
            <v>14.384765432468942</v>
          </cell>
          <cell r="LK964">
            <v>20.020152274152959</v>
          </cell>
          <cell r="LL964">
            <v>17.982747259685677</v>
          </cell>
          <cell r="LM964">
            <v>15.721193701553757</v>
          </cell>
          <cell r="LN964">
            <v>20.244300817817596</v>
          </cell>
          <cell r="LY964">
            <v>9.4896801241512172</v>
          </cell>
          <cell r="LZ964">
            <v>14.730476692982464</v>
          </cell>
          <cell r="MA964">
            <v>11.870949885755934</v>
          </cell>
          <cell r="MB964">
            <v>9.6544719773798295</v>
          </cell>
          <cell r="MC964">
            <v>14.087427794132038</v>
          </cell>
        </row>
        <row r="965">
          <cell r="A965">
            <v>40877</v>
          </cell>
          <cell r="LJ965">
            <v>14.950268253027113</v>
          </cell>
          <cell r="LK965">
            <v>20.020152274152959</v>
          </cell>
          <cell r="LL965">
            <v>17.982747259685677</v>
          </cell>
          <cell r="LM965">
            <v>15.721193701553757</v>
          </cell>
          <cell r="LN965">
            <v>20.244300817817596</v>
          </cell>
          <cell r="LY965">
            <v>9.808152680333432</v>
          </cell>
          <cell r="LZ965">
            <v>14.730476692982464</v>
          </cell>
          <cell r="MA965">
            <v>11.870949885755934</v>
          </cell>
          <cell r="MB965">
            <v>9.6544719773798295</v>
          </cell>
          <cell r="MC965">
            <v>14.087427794132038</v>
          </cell>
        </row>
        <row r="966">
          <cell r="A966">
            <v>40878</v>
          </cell>
          <cell r="LJ966">
            <v>14.790708524289643</v>
          </cell>
          <cell r="LK966">
            <v>20.020152274152959</v>
          </cell>
          <cell r="LL966">
            <v>17.982747259685677</v>
          </cell>
          <cell r="LM966">
            <v>15.721193701553757</v>
          </cell>
          <cell r="LN966">
            <v>20.244300817817596</v>
          </cell>
          <cell r="LY966">
            <v>9.6832627536499327</v>
          </cell>
          <cell r="LZ966">
            <v>14.730476692982464</v>
          </cell>
          <cell r="MA966">
            <v>11.870949885755934</v>
          </cell>
          <cell r="MB966">
            <v>9.6544719773798295</v>
          </cell>
          <cell r="MC966">
            <v>14.087427794132038</v>
          </cell>
        </row>
        <row r="967">
          <cell r="A967">
            <v>40879</v>
          </cell>
          <cell r="LJ967">
            <v>14.512679498930645</v>
          </cell>
          <cell r="LK967">
            <v>20.020152274152959</v>
          </cell>
          <cell r="LL967">
            <v>17.982747259685677</v>
          </cell>
          <cell r="LM967">
            <v>15.721193701553757</v>
          </cell>
          <cell r="LN967">
            <v>20.244300817817596</v>
          </cell>
          <cell r="LY967">
            <v>9.5269983762294004</v>
          </cell>
          <cell r="LZ967">
            <v>14.730476692982464</v>
          </cell>
          <cell r="MA967">
            <v>11.870949885755934</v>
          </cell>
          <cell r="MB967">
            <v>9.6544719773798295</v>
          </cell>
          <cell r="MC967">
            <v>14.087427794132038</v>
          </cell>
        </row>
        <row r="968">
          <cell r="A968">
            <v>40882</v>
          </cell>
          <cell r="LJ968">
            <v>14.55239535594256</v>
          </cell>
          <cell r="LK968">
            <v>20.020152274152959</v>
          </cell>
          <cell r="LL968">
            <v>17.982747259685677</v>
          </cell>
          <cell r="LM968">
            <v>15.721193701553757</v>
          </cell>
          <cell r="LN968">
            <v>20.244300817817596</v>
          </cell>
          <cell r="LY968">
            <v>9.5493204113538841</v>
          </cell>
          <cell r="LZ968">
            <v>14.730476692982464</v>
          </cell>
          <cell r="MA968">
            <v>11.870949885755934</v>
          </cell>
          <cell r="MB968">
            <v>9.6544719773798295</v>
          </cell>
          <cell r="MC968">
            <v>14.087427794132038</v>
          </cell>
        </row>
        <row r="969">
          <cell r="A969">
            <v>40883</v>
          </cell>
          <cell r="LJ969">
            <v>14.668498319584479</v>
          </cell>
          <cell r="LK969">
            <v>20.020152274152959</v>
          </cell>
          <cell r="LL969">
            <v>17.982747259685677</v>
          </cell>
          <cell r="LM969">
            <v>15.721193701553757</v>
          </cell>
          <cell r="LN969">
            <v>20.244300817817596</v>
          </cell>
          <cell r="LY969">
            <v>9.6145753152501854</v>
          </cell>
          <cell r="LZ969">
            <v>14.730476692982464</v>
          </cell>
          <cell r="MA969">
            <v>11.870949885755934</v>
          </cell>
          <cell r="MB969">
            <v>9.6544719773798295</v>
          </cell>
          <cell r="MC969">
            <v>14.087427794132038</v>
          </cell>
        </row>
        <row r="970">
          <cell r="A970">
            <v>40884</v>
          </cell>
          <cell r="LJ970">
            <v>14.463793767186067</v>
          </cell>
          <cell r="LK970">
            <v>20.020152274152959</v>
          </cell>
          <cell r="LL970">
            <v>17.982747259685677</v>
          </cell>
          <cell r="LM970">
            <v>15.721193701553757</v>
          </cell>
          <cell r="LN970">
            <v>20.244300817817596</v>
          </cell>
          <cell r="LY970">
            <v>9.4995224735751727</v>
          </cell>
          <cell r="LZ970">
            <v>14.730476692982464</v>
          </cell>
          <cell r="MA970">
            <v>11.870949885755934</v>
          </cell>
          <cell r="MB970">
            <v>9.6544719773798295</v>
          </cell>
          <cell r="MC970">
            <v>14.087427794132038</v>
          </cell>
        </row>
        <row r="971">
          <cell r="A971">
            <v>40885</v>
          </cell>
          <cell r="LJ971">
            <v>14.02688328750382</v>
          </cell>
          <cell r="LK971">
            <v>20.020152274152959</v>
          </cell>
          <cell r="LL971">
            <v>17.982747259685677</v>
          </cell>
          <cell r="LM971">
            <v>15.721193701553757</v>
          </cell>
          <cell r="LN971">
            <v>20.244300817817596</v>
          </cell>
          <cell r="LY971">
            <v>9.2539598241075645</v>
          </cell>
          <cell r="LZ971">
            <v>14.730476692982464</v>
          </cell>
          <cell r="MA971">
            <v>11.870949885755934</v>
          </cell>
          <cell r="MB971">
            <v>9.6544719773798295</v>
          </cell>
          <cell r="MC971">
            <v>14.087427794132038</v>
          </cell>
        </row>
        <row r="972">
          <cell r="A972">
            <v>40886</v>
          </cell>
          <cell r="LJ972">
            <v>14.335471738466238</v>
          </cell>
          <cell r="LK972">
            <v>20.020152274152959</v>
          </cell>
          <cell r="LL972">
            <v>17.982747259685677</v>
          </cell>
          <cell r="LM972">
            <v>15.721193701553757</v>
          </cell>
          <cell r="LN972">
            <v>20.244300817817596</v>
          </cell>
          <cell r="LY972">
            <v>9.4273999248544005</v>
          </cell>
          <cell r="LZ972">
            <v>14.730476692982464</v>
          </cell>
          <cell r="MA972">
            <v>11.870949885755934</v>
          </cell>
          <cell r="MB972">
            <v>9.6544719773798295</v>
          </cell>
          <cell r="MC972">
            <v>14.087427794132038</v>
          </cell>
        </row>
        <row r="973">
          <cell r="A973">
            <v>40889</v>
          </cell>
          <cell r="LJ973">
            <v>13.956612587839903</v>
          </cell>
          <cell r="LK973">
            <v>20.020152274152959</v>
          </cell>
          <cell r="LL973">
            <v>17.982747259685677</v>
          </cell>
          <cell r="LM973">
            <v>15.721193701553757</v>
          </cell>
          <cell r="LN973">
            <v>20.244300817817596</v>
          </cell>
          <cell r="LY973">
            <v>9.2144646414743541</v>
          </cell>
          <cell r="LZ973">
            <v>14.730476692982464</v>
          </cell>
          <cell r="MA973">
            <v>11.870949885755934</v>
          </cell>
          <cell r="MB973">
            <v>9.6544719773798295</v>
          </cell>
          <cell r="MC973">
            <v>14.087427794132038</v>
          </cell>
        </row>
        <row r="974">
          <cell r="A974">
            <v>40890</v>
          </cell>
          <cell r="LJ974">
            <v>13.858840818820653</v>
          </cell>
          <cell r="LK974">
            <v>20.020152274152959</v>
          </cell>
          <cell r="LL974">
            <v>17.982747259685677</v>
          </cell>
          <cell r="LM974">
            <v>15.721193701553757</v>
          </cell>
          <cell r="LN974">
            <v>20.244300817817596</v>
          </cell>
          <cell r="LY974">
            <v>9.159512664444728</v>
          </cell>
          <cell r="LZ974">
            <v>14.730476692982464</v>
          </cell>
          <cell r="MA974">
            <v>11.870949885755934</v>
          </cell>
          <cell r="MB974">
            <v>9.6544719773798295</v>
          </cell>
          <cell r="MC974">
            <v>14.087427794132038</v>
          </cell>
        </row>
        <row r="975">
          <cell r="A975">
            <v>40891</v>
          </cell>
          <cell r="LJ975">
            <v>13.9470775448039</v>
          </cell>
          <cell r="LK975">
            <v>20.020152274152959</v>
          </cell>
          <cell r="LL975">
            <v>17.982747259685677</v>
          </cell>
          <cell r="LM975">
            <v>15.721193701553757</v>
          </cell>
          <cell r="LN975">
            <v>20.244300817817596</v>
          </cell>
          <cell r="LY975">
            <v>9.2009564665125723</v>
          </cell>
          <cell r="LZ975">
            <v>14.730476692982464</v>
          </cell>
          <cell r="MA975">
            <v>11.870949885755934</v>
          </cell>
          <cell r="MB975">
            <v>9.6544719773798295</v>
          </cell>
          <cell r="MC975">
            <v>14.087427794132038</v>
          </cell>
        </row>
        <row r="976">
          <cell r="A976">
            <v>40892</v>
          </cell>
          <cell r="LJ976">
            <v>14.092155324992371</v>
          </cell>
          <cell r="LK976">
            <v>20.020152274152959</v>
          </cell>
          <cell r="LL976">
            <v>17.982747259685677</v>
          </cell>
          <cell r="LM976">
            <v>15.721193701553757</v>
          </cell>
          <cell r="LN976">
            <v>20.244300817817596</v>
          </cell>
          <cell r="LY976">
            <v>9.2072134752692047</v>
          </cell>
          <cell r="LZ976">
            <v>14.730476692982464</v>
          </cell>
          <cell r="MA976">
            <v>11.870949885755934</v>
          </cell>
          <cell r="MB976">
            <v>9.6544719773798295</v>
          </cell>
          <cell r="MC976">
            <v>14.087427794132038</v>
          </cell>
        </row>
        <row r="977">
          <cell r="A977">
            <v>40893</v>
          </cell>
          <cell r="LJ977">
            <v>14.155751747718044</v>
          </cell>
          <cell r="LK977">
            <v>20.020152274152959</v>
          </cell>
          <cell r="LL977">
            <v>17.982747259685677</v>
          </cell>
          <cell r="LM977">
            <v>15.721193701553757</v>
          </cell>
          <cell r="LN977">
            <v>20.244300817817596</v>
          </cell>
          <cell r="LY977">
            <v>9.2395143570591163</v>
          </cell>
          <cell r="LZ977">
            <v>14.730476692982464</v>
          </cell>
          <cell r="MA977">
            <v>11.870949885755934</v>
          </cell>
          <cell r="MB977">
            <v>9.6544719773798295</v>
          </cell>
          <cell r="MC977">
            <v>14.087427794132038</v>
          </cell>
        </row>
        <row r="978">
          <cell r="A978">
            <v>40896</v>
          </cell>
          <cell r="LJ978">
            <v>14.08824038731235</v>
          </cell>
          <cell r="LK978">
            <v>20.020152274152959</v>
          </cell>
          <cell r="LL978">
            <v>17.982747259685677</v>
          </cell>
          <cell r="LM978">
            <v>15.721193701553757</v>
          </cell>
          <cell r="LN978">
            <v>20.244300817817596</v>
          </cell>
          <cell r="LY978">
            <v>9.2123133639699883</v>
          </cell>
          <cell r="LZ978">
            <v>14.730476692982464</v>
          </cell>
          <cell r="MA978">
            <v>11.870949885755934</v>
          </cell>
          <cell r="MB978">
            <v>9.6544719773798295</v>
          </cell>
          <cell r="MC978">
            <v>14.087427794132038</v>
          </cell>
        </row>
        <row r="979">
          <cell r="A979">
            <v>40897</v>
          </cell>
          <cell r="LJ979">
            <v>14.627869172327166</v>
          </cell>
          <cell r="LK979">
            <v>20.020152274152959</v>
          </cell>
          <cell r="LL979">
            <v>17.982747259685677</v>
          </cell>
          <cell r="LM979">
            <v>15.721193701553757</v>
          </cell>
          <cell r="LN979">
            <v>20.244300817817596</v>
          </cell>
          <cell r="LY979">
            <v>9.5185694025336165</v>
          </cell>
          <cell r="LZ979">
            <v>14.730476692982464</v>
          </cell>
          <cell r="MA979">
            <v>11.870949885755934</v>
          </cell>
          <cell r="MB979">
            <v>9.6544719773798295</v>
          </cell>
          <cell r="MC979">
            <v>14.087427794132038</v>
          </cell>
        </row>
        <row r="980">
          <cell r="A980">
            <v>40898</v>
          </cell>
          <cell r="LJ980">
            <v>14.337549842299119</v>
          </cell>
          <cell r="LK980">
            <v>20.020152274152959</v>
          </cell>
          <cell r="LL980">
            <v>17.982747259685677</v>
          </cell>
          <cell r="LM980">
            <v>15.721193701553757</v>
          </cell>
          <cell r="LN980">
            <v>20.244300817817596</v>
          </cell>
          <cell r="LY980">
            <v>9.3791050087392005</v>
          </cell>
          <cell r="LZ980">
            <v>14.730476692982464</v>
          </cell>
          <cell r="MA980">
            <v>11.870949885755934</v>
          </cell>
          <cell r="MB980">
            <v>9.6544719773798295</v>
          </cell>
          <cell r="MC980">
            <v>14.087427794132038</v>
          </cell>
        </row>
        <row r="981">
          <cell r="A981">
            <v>40899</v>
          </cell>
          <cell r="LJ981">
            <v>14.288884901167018</v>
          </cell>
          <cell r="LK981">
            <v>20.020152274152959</v>
          </cell>
          <cell r="LL981">
            <v>17.982747259685677</v>
          </cell>
          <cell r="LM981">
            <v>15.721193701553757</v>
          </cell>
          <cell r="LN981">
            <v>20.244300817817596</v>
          </cell>
          <cell r="LY981">
            <v>9.351878794265895</v>
          </cell>
          <cell r="LZ981">
            <v>14.730476692982464</v>
          </cell>
          <cell r="MA981">
            <v>11.870949885755934</v>
          </cell>
          <cell r="MB981">
            <v>9.6544719773798295</v>
          </cell>
          <cell r="MC981">
            <v>14.087427794132038</v>
          </cell>
        </row>
        <row r="982">
          <cell r="A982">
            <v>40900</v>
          </cell>
          <cell r="LJ982">
            <v>14.534149472384202</v>
          </cell>
          <cell r="LK982">
            <v>20.020152274152959</v>
          </cell>
          <cell r="LL982">
            <v>17.982747259685677</v>
          </cell>
          <cell r="LM982">
            <v>15.721193701553757</v>
          </cell>
          <cell r="LN982">
            <v>20.244300817817596</v>
          </cell>
          <cell r="LY982">
            <v>9.4880069739194504</v>
          </cell>
          <cell r="LZ982">
            <v>14.730476692982464</v>
          </cell>
          <cell r="MA982">
            <v>11.870949885755934</v>
          </cell>
          <cell r="MB982">
            <v>9.6544719773798295</v>
          </cell>
          <cell r="MC982">
            <v>14.087427794132038</v>
          </cell>
        </row>
        <row r="983">
          <cell r="A983">
            <v>40903</v>
          </cell>
          <cell r="LJ983">
            <v>14.534149472384202</v>
          </cell>
          <cell r="LK983">
            <v>20.020152274152959</v>
          </cell>
          <cell r="LL983">
            <v>17.982747259685677</v>
          </cell>
          <cell r="LM983">
            <v>15.721193701553757</v>
          </cell>
          <cell r="LN983">
            <v>20.244300817817596</v>
          </cell>
          <cell r="LY983">
            <v>9.4880069739194504</v>
          </cell>
          <cell r="LZ983">
            <v>14.730476692982464</v>
          </cell>
          <cell r="MA983">
            <v>11.870949885755934</v>
          </cell>
          <cell r="MB983">
            <v>9.6544719773798295</v>
          </cell>
          <cell r="MC983">
            <v>14.087427794132038</v>
          </cell>
        </row>
        <row r="984">
          <cell r="A984">
            <v>40904</v>
          </cell>
          <cell r="LJ984">
            <v>14.497643752110312</v>
          </cell>
          <cell r="LK984">
            <v>20.020152274152959</v>
          </cell>
          <cell r="LL984">
            <v>17.982747259685677</v>
          </cell>
          <cell r="LM984">
            <v>15.721193701553757</v>
          </cell>
          <cell r="LN984">
            <v>20.244300817817596</v>
          </cell>
          <cell r="LY984">
            <v>9.4675861219473667</v>
          </cell>
          <cell r="LZ984">
            <v>14.730476692982464</v>
          </cell>
          <cell r="MA984">
            <v>11.870949885755934</v>
          </cell>
          <cell r="MB984">
            <v>9.6544719773798295</v>
          </cell>
          <cell r="MC984">
            <v>14.087427794132038</v>
          </cell>
        </row>
        <row r="985">
          <cell r="A985">
            <v>40905</v>
          </cell>
          <cell r="LJ985">
            <v>14.251251281396106</v>
          </cell>
          <cell r="LK985">
            <v>20.020152274152959</v>
          </cell>
          <cell r="LL985">
            <v>17.982747259685677</v>
          </cell>
          <cell r="LM985">
            <v>15.721193701553757</v>
          </cell>
          <cell r="LN985">
            <v>20.244300817817596</v>
          </cell>
          <cell r="LY985">
            <v>9.3297571972270585</v>
          </cell>
          <cell r="LZ985">
            <v>14.730476692982464</v>
          </cell>
          <cell r="MA985">
            <v>11.870949885755934</v>
          </cell>
          <cell r="MB985">
            <v>9.6544719773798295</v>
          </cell>
          <cell r="MC985">
            <v>14.087427794132038</v>
          </cell>
        </row>
        <row r="986">
          <cell r="A986">
            <v>40906</v>
          </cell>
          <cell r="LJ986">
            <v>14.442891863857177</v>
          </cell>
          <cell r="LK986">
            <v>20.020152274152959</v>
          </cell>
          <cell r="LL986">
            <v>17.982747259685677</v>
          </cell>
          <cell r="LM986">
            <v>15.721193701553757</v>
          </cell>
          <cell r="LN986">
            <v>20.244300817817596</v>
          </cell>
          <cell r="LY986">
            <v>9.4369585875001416</v>
          </cell>
          <cell r="LZ986">
            <v>14.730476692982464</v>
          </cell>
          <cell r="MA986">
            <v>11.870949885755934</v>
          </cell>
          <cell r="MB986">
            <v>9.6544719773798295</v>
          </cell>
          <cell r="MC986">
            <v>14.087427794132038</v>
          </cell>
        </row>
        <row r="987">
          <cell r="A987">
            <v>40907</v>
          </cell>
          <cell r="LJ987">
            <v>14.309048101404441</v>
          </cell>
          <cell r="LK987">
            <v>20.020152274152959</v>
          </cell>
          <cell r="LL987">
            <v>17.982747259685677</v>
          </cell>
          <cell r="LM987">
            <v>15.721193701553757</v>
          </cell>
          <cell r="LN987">
            <v>20.244300817817596</v>
          </cell>
          <cell r="LY987">
            <v>9.3620880291348314</v>
          </cell>
          <cell r="LZ987">
            <v>14.730476692982464</v>
          </cell>
          <cell r="MA987">
            <v>11.870949885755934</v>
          </cell>
          <cell r="MB987">
            <v>9.6544719773798295</v>
          </cell>
          <cell r="MC987">
            <v>14.087427794132038</v>
          </cell>
        </row>
        <row r="988">
          <cell r="A988">
            <v>40910</v>
          </cell>
          <cell r="LJ988">
            <v>14.180782083497453</v>
          </cell>
          <cell r="LK988">
            <v>20.020152274152959</v>
          </cell>
          <cell r="LL988">
            <v>17.982747259685677</v>
          </cell>
          <cell r="LM988">
            <v>15.721193701553757</v>
          </cell>
          <cell r="LN988">
            <v>20.244300817817596</v>
          </cell>
          <cell r="LY988">
            <v>9.2949643244183324</v>
          </cell>
          <cell r="LZ988">
            <v>14.730476692982464</v>
          </cell>
          <cell r="MA988">
            <v>11.870949885755934</v>
          </cell>
          <cell r="MB988">
            <v>9.6544719773798295</v>
          </cell>
          <cell r="MC988">
            <v>14.087427794132038</v>
          </cell>
        </row>
        <row r="989">
          <cell r="A989">
            <v>40911</v>
          </cell>
          <cell r="LJ989">
            <v>14.605844749961179</v>
          </cell>
          <cell r="LK989">
            <v>20.020152274152959</v>
          </cell>
          <cell r="LL989">
            <v>17.982747259685677</v>
          </cell>
          <cell r="LM989">
            <v>15.721193701553757</v>
          </cell>
          <cell r="LN989">
            <v>20.244300817817596</v>
          </cell>
          <cell r="LY989">
            <v>9.5331696489948623</v>
          </cell>
          <cell r="LZ989">
            <v>14.730476692982464</v>
          </cell>
          <cell r="MA989">
            <v>11.870949885755934</v>
          </cell>
          <cell r="MB989">
            <v>9.6544719773798295</v>
          </cell>
          <cell r="MC989">
            <v>14.087427794132038</v>
          </cell>
        </row>
        <row r="990">
          <cell r="A990">
            <v>40912</v>
          </cell>
          <cell r="LJ990">
            <v>14.578709832041808</v>
          </cell>
          <cell r="LK990">
            <v>20.020152274152959</v>
          </cell>
          <cell r="LL990">
            <v>17.982747259685677</v>
          </cell>
          <cell r="LM990">
            <v>15.721193701553757</v>
          </cell>
          <cell r="LN990">
            <v>20.244300817817596</v>
          </cell>
          <cell r="LY990">
            <v>9.5179632278238007</v>
          </cell>
          <cell r="LZ990">
            <v>14.730476692982464</v>
          </cell>
          <cell r="MA990">
            <v>11.870949885755934</v>
          </cell>
          <cell r="MB990">
            <v>9.6544719773798295</v>
          </cell>
          <cell r="MC990">
            <v>14.087427794132038</v>
          </cell>
        </row>
        <row r="991">
          <cell r="A991">
            <v>40913</v>
          </cell>
          <cell r="LJ991">
            <v>14.644223407553874</v>
          </cell>
          <cell r="LK991">
            <v>20.020152274152959</v>
          </cell>
          <cell r="LL991">
            <v>17.982747259685677</v>
          </cell>
          <cell r="LM991">
            <v>15.721193701553757</v>
          </cell>
          <cell r="LN991">
            <v>20.244300817817596</v>
          </cell>
          <cell r="LY991">
            <v>9.6261143250074053</v>
          </cell>
          <cell r="LZ991">
            <v>14.730476692982464</v>
          </cell>
          <cell r="MA991">
            <v>11.870949885755934</v>
          </cell>
          <cell r="MB991">
            <v>9.6544719773798295</v>
          </cell>
          <cell r="MC991">
            <v>14.087427794132038</v>
          </cell>
        </row>
        <row r="992">
          <cell r="A992">
            <v>40914</v>
          </cell>
          <cell r="LJ992">
            <v>14.565860683468955</v>
          </cell>
          <cell r="LK992">
            <v>20.020152274152959</v>
          </cell>
          <cell r="LL992">
            <v>17.982747259685677</v>
          </cell>
          <cell r="LM992">
            <v>15.721193701553757</v>
          </cell>
          <cell r="LN992">
            <v>20.244300817817596</v>
          </cell>
          <cell r="LY992">
            <v>9.5818698511996452</v>
          </cell>
          <cell r="LZ992">
            <v>14.730476692982464</v>
          </cell>
          <cell r="MA992">
            <v>11.870949885755934</v>
          </cell>
          <cell r="MB992">
            <v>9.6544719773798295</v>
          </cell>
          <cell r="MC992">
            <v>14.087427794132038</v>
          </cell>
        </row>
        <row r="993">
          <cell r="A993">
            <v>40917</v>
          </cell>
          <cell r="LJ993">
            <v>14.634597970196079</v>
          </cell>
          <cell r="LK993">
            <v>20.020152274152959</v>
          </cell>
          <cell r="LL993">
            <v>17.982747259685677</v>
          </cell>
          <cell r="LM993">
            <v>15.721193701553757</v>
          </cell>
          <cell r="LN993">
            <v>20.244300817817596</v>
          </cell>
          <cell r="LY993">
            <v>9.6194662182420014</v>
          </cell>
          <cell r="LZ993">
            <v>14.730476692982464</v>
          </cell>
          <cell r="MA993">
            <v>11.870949885755934</v>
          </cell>
          <cell r="MB993">
            <v>9.6544719773798295</v>
          </cell>
          <cell r="MC993">
            <v>14.087427794132038</v>
          </cell>
        </row>
        <row r="994">
          <cell r="A994">
            <v>40918</v>
          </cell>
          <cell r="LJ994">
            <v>14.984046235462584</v>
          </cell>
          <cell r="LK994">
            <v>20.020152274152959</v>
          </cell>
          <cell r="LL994">
            <v>17.982747259685677</v>
          </cell>
          <cell r="LM994">
            <v>15.721193701553757</v>
          </cell>
          <cell r="LN994">
            <v>20.244300817817596</v>
          </cell>
          <cell r="LY994">
            <v>9.8167563141710232</v>
          </cell>
          <cell r="LZ994">
            <v>14.730476692982464</v>
          </cell>
          <cell r="MA994">
            <v>11.870949885755934</v>
          </cell>
          <cell r="MB994">
            <v>9.6544719773798295</v>
          </cell>
          <cell r="MC994">
            <v>14.087427794132038</v>
          </cell>
        </row>
        <row r="995">
          <cell r="A995">
            <v>40919</v>
          </cell>
          <cell r="LJ995">
            <v>15.140696122645423</v>
          </cell>
          <cell r="LK995">
            <v>20.020152274152959</v>
          </cell>
          <cell r="LL995">
            <v>17.982747259685677</v>
          </cell>
          <cell r="LM995">
            <v>15.721193701553757</v>
          </cell>
          <cell r="LN995">
            <v>20.244300817817596</v>
          </cell>
          <cell r="LY995">
            <v>9.9051970773438018</v>
          </cell>
          <cell r="LZ995">
            <v>14.730476692982464</v>
          </cell>
          <cell r="MA995">
            <v>11.870949885755934</v>
          </cell>
          <cell r="MB995">
            <v>9.6544719773798295</v>
          </cell>
          <cell r="MC995">
            <v>14.087427794132038</v>
          </cell>
        </row>
        <row r="996">
          <cell r="A996">
            <v>40920</v>
          </cell>
          <cell r="LJ996">
            <v>15.303367645421254</v>
          </cell>
          <cell r="LK996">
            <v>20.020152274152959</v>
          </cell>
          <cell r="LL996">
            <v>17.982747259685677</v>
          </cell>
          <cell r="LM996">
            <v>15.721193701553757</v>
          </cell>
          <cell r="LN996">
            <v>20.244300817817596</v>
          </cell>
          <cell r="LY996">
            <v>9.9943813457156452</v>
          </cell>
          <cell r="LZ996">
            <v>14.730476692982464</v>
          </cell>
          <cell r="MA996">
            <v>11.870949885755934</v>
          </cell>
          <cell r="MB996">
            <v>9.6544719773798295</v>
          </cell>
          <cell r="MC996">
            <v>14.087427794132038</v>
          </cell>
        </row>
        <row r="997">
          <cell r="A997">
            <v>40921</v>
          </cell>
          <cell r="LJ997">
            <v>15.209981834779377</v>
          </cell>
          <cell r="LK997">
            <v>20.020152274152959</v>
          </cell>
          <cell r="LL997">
            <v>17.982747259685677</v>
          </cell>
          <cell r="LM997">
            <v>15.721193701553757</v>
          </cell>
          <cell r="LN997">
            <v>20.244300817817596</v>
          </cell>
          <cell r="LY997">
            <v>9.9416719687472952</v>
          </cell>
          <cell r="LZ997">
            <v>14.730476692982464</v>
          </cell>
          <cell r="MA997">
            <v>11.870949885755934</v>
          </cell>
          <cell r="MB997">
            <v>9.6544719773798295</v>
          </cell>
          <cell r="MC997">
            <v>14.087427794132038</v>
          </cell>
        </row>
        <row r="998">
          <cell r="A998">
            <v>40924</v>
          </cell>
          <cell r="LJ998">
            <v>15.207088108662939</v>
          </cell>
          <cell r="LK998">
            <v>20.020152274152959</v>
          </cell>
          <cell r="LL998">
            <v>17.982747259685677</v>
          </cell>
          <cell r="LM998">
            <v>15.721193701553757</v>
          </cell>
          <cell r="LN998">
            <v>20.244300817817596</v>
          </cell>
          <cell r="LY998">
            <v>9.9487866144678367</v>
          </cell>
          <cell r="LZ998">
            <v>14.730476692982464</v>
          </cell>
          <cell r="MA998">
            <v>11.870949885755934</v>
          </cell>
          <cell r="MB998">
            <v>9.6544719773798295</v>
          </cell>
          <cell r="MC998">
            <v>14.087427794132038</v>
          </cell>
        </row>
        <row r="999">
          <cell r="A999">
            <v>40925</v>
          </cell>
          <cell r="LJ999">
            <v>15.309491555884646</v>
          </cell>
          <cell r="LK999">
            <v>20.020152274152959</v>
          </cell>
          <cell r="LL999">
            <v>17.982747259685677</v>
          </cell>
          <cell r="LM999">
            <v>15.721193701553757</v>
          </cell>
          <cell r="LN999">
            <v>20.244300817817596</v>
          </cell>
          <cell r="LY999">
            <v>10.00663814941038</v>
          </cell>
          <cell r="LZ999">
            <v>14.730476692982464</v>
          </cell>
          <cell r="MA999">
            <v>11.870949885755934</v>
          </cell>
          <cell r="MB999">
            <v>9.6544719773798295</v>
          </cell>
          <cell r="MC999">
            <v>14.087427794132038</v>
          </cell>
        </row>
        <row r="1000">
          <cell r="A1000">
            <v>40926</v>
          </cell>
          <cell r="LJ1000">
            <v>15.541067461900287</v>
          </cell>
          <cell r="LK1000">
            <v>20.020152274152959</v>
          </cell>
          <cell r="LL1000">
            <v>17.982747259685677</v>
          </cell>
          <cell r="LM1000">
            <v>15.721193701553757</v>
          </cell>
          <cell r="LN1000">
            <v>20.244300817817596</v>
          </cell>
          <cell r="LY1000">
            <v>10.139265955370481</v>
          </cell>
          <cell r="LZ1000">
            <v>14.730476692982464</v>
          </cell>
          <cell r="MA1000">
            <v>11.870949885755934</v>
          </cell>
          <cell r="MB1000">
            <v>9.6544719773798295</v>
          </cell>
          <cell r="MC1000">
            <v>14.087427794132038</v>
          </cell>
        </row>
        <row r="1001">
          <cell r="A1001">
            <v>40927</v>
          </cell>
          <cell r="LJ1001">
            <v>15.522990345585548</v>
          </cell>
          <cell r="LK1001">
            <v>20.020152274152959</v>
          </cell>
          <cell r="LL1001">
            <v>17.982747259685677</v>
          </cell>
          <cell r="LM1001">
            <v>15.721193701553757</v>
          </cell>
          <cell r="LN1001">
            <v>20.244300817817596</v>
          </cell>
          <cell r="LY1001">
            <v>10.126979934118712</v>
          </cell>
          <cell r="LZ1001">
            <v>14.730476692982464</v>
          </cell>
          <cell r="MA1001">
            <v>11.870949885755934</v>
          </cell>
          <cell r="MB1001">
            <v>9.6544719773798295</v>
          </cell>
          <cell r="MC1001">
            <v>14.087427794132038</v>
          </cell>
        </row>
        <row r="1002">
          <cell r="A1002">
            <v>40928</v>
          </cell>
          <cell r="LJ1002">
            <v>15.468758394040663</v>
          </cell>
          <cell r="LK1002">
            <v>20.020152274152959</v>
          </cell>
          <cell r="LL1002">
            <v>17.982747259685677</v>
          </cell>
          <cell r="LM1002">
            <v>15.721193701553757</v>
          </cell>
          <cell r="LN1002">
            <v>20.244300817817596</v>
          </cell>
          <cell r="LY1002">
            <v>10.09634460200583</v>
          </cell>
          <cell r="LZ1002">
            <v>14.730476692982464</v>
          </cell>
          <cell r="MA1002">
            <v>11.870949885755934</v>
          </cell>
          <cell r="MB1002">
            <v>9.6544719773798295</v>
          </cell>
          <cell r="MC1002">
            <v>14.087427794132038</v>
          </cell>
        </row>
        <row r="1003">
          <cell r="A1003">
            <v>40931</v>
          </cell>
          <cell r="LJ1003">
            <v>15.637485678819967</v>
          </cell>
          <cell r="LK1003">
            <v>20.020152274152959</v>
          </cell>
          <cell r="LL1003">
            <v>17.982747259685677</v>
          </cell>
          <cell r="LM1003">
            <v>15.721193701553757</v>
          </cell>
          <cell r="LN1003">
            <v>20.244300817817596</v>
          </cell>
          <cell r="LY1003">
            <v>10.191657720167191</v>
          </cell>
          <cell r="LZ1003">
            <v>14.730476692982464</v>
          </cell>
          <cell r="MA1003">
            <v>11.870949885755934</v>
          </cell>
          <cell r="MB1003">
            <v>9.6544719773798295</v>
          </cell>
          <cell r="MC1003">
            <v>14.087427794132038</v>
          </cell>
        </row>
        <row r="1004">
          <cell r="A1004">
            <v>40932</v>
          </cell>
          <cell r="LJ1004">
            <v>15.908654174254163</v>
          </cell>
          <cell r="LK1004">
            <v>20.020152274152959</v>
          </cell>
          <cell r="LL1004">
            <v>17.982747259685677</v>
          </cell>
          <cell r="LM1004">
            <v>15.721193701553757</v>
          </cell>
          <cell r="LN1004">
            <v>20.244300817817596</v>
          </cell>
          <cell r="LY1004">
            <v>10.344839316615948</v>
          </cell>
          <cell r="LZ1004">
            <v>14.730476692982464</v>
          </cell>
          <cell r="MA1004">
            <v>11.870949885755934</v>
          </cell>
          <cell r="MB1004">
            <v>9.6544719773798295</v>
          </cell>
          <cell r="MC1004">
            <v>14.087427794132038</v>
          </cell>
        </row>
        <row r="1005">
          <cell r="A1005">
            <v>40933</v>
          </cell>
          <cell r="LJ1005">
            <v>15.977956566051571</v>
          </cell>
          <cell r="LK1005">
            <v>20.020152274152959</v>
          </cell>
          <cell r="LL1005">
            <v>17.982747259685677</v>
          </cell>
          <cell r="LM1005">
            <v>15.721193701553757</v>
          </cell>
          <cell r="LN1005">
            <v>20.244300817817596</v>
          </cell>
          <cell r="LY1005">
            <v>10.383987857807082</v>
          </cell>
          <cell r="LZ1005">
            <v>14.730476692982464</v>
          </cell>
          <cell r="MA1005">
            <v>11.870949885755934</v>
          </cell>
          <cell r="MB1005">
            <v>9.6544719773798295</v>
          </cell>
          <cell r="MC1005">
            <v>14.087427794132038</v>
          </cell>
        </row>
        <row r="1006">
          <cell r="A1006">
            <v>40934</v>
          </cell>
          <cell r="LJ1006">
            <v>15.860449735949546</v>
          </cell>
          <cell r="LK1006">
            <v>20.020152274152959</v>
          </cell>
          <cell r="LL1006">
            <v>17.982747259685677</v>
          </cell>
          <cell r="LM1006">
            <v>15.721193701553757</v>
          </cell>
          <cell r="LN1006">
            <v>20.244300817817596</v>
          </cell>
          <cell r="LY1006">
            <v>10.317608893687968</v>
          </cell>
          <cell r="LZ1006">
            <v>14.730476692982464</v>
          </cell>
          <cell r="MA1006">
            <v>11.870949885755934</v>
          </cell>
          <cell r="MB1006">
            <v>9.6544719773798295</v>
          </cell>
          <cell r="MC1006">
            <v>14.087427794132038</v>
          </cell>
        </row>
        <row r="1007">
          <cell r="A1007">
            <v>40935</v>
          </cell>
          <cell r="LJ1007">
            <v>15.745954101414792</v>
          </cell>
          <cell r="LK1007">
            <v>20.020152274152959</v>
          </cell>
          <cell r="LL1007">
            <v>17.982747259685677</v>
          </cell>
          <cell r="LM1007">
            <v>15.721193701553757</v>
          </cell>
          <cell r="LN1007">
            <v>20.244300817817596</v>
          </cell>
          <cell r="LY1007">
            <v>10.252930937436581</v>
          </cell>
          <cell r="LZ1007">
            <v>14.730476692982464</v>
          </cell>
          <cell r="MA1007">
            <v>11.870949885755934</v>
          </cell>
          <cell r="MB1007">
            <v>9.6544719773798295</v>
          </cell>
          <cell r="MC1007">
            <v>14.087427794132038</v>
          </cell>
        </row>
        <row r="1008">
          <cell r="A1008">
            <v>40938</v>
          </cell>
          <cell r="LJ1008">
            <v>15.79717455609207</v>
          </cell>
          <cell r="LK1008">
            <v>20.020152274152959</v>
          </cell>
          <cell r="LL1008">
            <v>17.982747259685677</v>
          </cell>
          <cell r="LM1008">
            <v>15.721193701553757</v>
          </cell>
          <cell r="LN1008">
            <v>20.244300817817596</v>
          </cell>
          <cell r="LY1008">
            <v>10.281865091478826</v>
          </cell>
          <cell r="LZ1008">
            <v>14.730476692982464</v>
          </cell>
          <cell r="MA1008">
            <v>11.870949885755934</v>
          </cell>
          <cell r="MB1008">
            <v>9.6544719773798295</v>
          </cell>
          <cell r="MC1008">
            <v>14.087427794132038</v>
          </cell>
        </row>
        <row r="1009">
          <cell r="A1009">
            <v>40939</v>
          </cell>
          <cell r="LJ1009">
            <v>15.81175894919657</v>
          </cell>
          <cell r="LK1009">
            <v>20.020152274152959</v>
          </cell>
          <cell r="LL1009">
            <v>17.982747259685677</v>
          </cell>
          <cell r="LM1009">
            <v>15.721193701553757</v>
          </cell>
          <cell r="LN1009">
            <v>20.244300817817596</v>
          </cell>
          <cell r="LY1009">
            <v>10.126871982000472</v>
          </cell>
          <cell r="LZ1009">
            <v>14.730476692982464</v>
          </cell>
          <cell r="MA1009">
            <v>11.870949885755934</v>
          </cell>
          <cell r="MB1009">
            <v>9.6544719773798295</v>
          </cell>
          <cell r="MC1009">
            <v>14.087427794132038</v>
          </cell>
        </row>
        <row r="1010">
          <cell r="A1010">
            <v>40940</v>
          </cell>
          <cell r="LJ1010">
            <v>15.789973444856008</v>
          </cell>
          <cell r="LK1010">
            <v>20.020152274152959</v>
          </cell>
          <cell r="LL1010">
            <v>17.982747259685677</v>
          </cell>
          <cell r="LM1010">
            <v>15.721193701553757</v>
          </cell>
          <cell r="LN1010">
            <v>20.244300817817596</v>
          </cell>
          <cell r="LY1010">
            <v>10.123992918970304</v>
          </cell>
          <cell r="LZ1010">
            <v>14.730476692982464</v>
          </cell>
          <cell r="MA1010">
            <v>11.870949885755934</v>
          </cell>
          <cell r="MB1010">
            <v>9.6544719773798295</v>
          </cell>
          <cell r="MC1010">
            <v>14.087427794132038</v>
          </cell>
        </row>
        <row r="1011">
          <cell r="A1011">
            <v>40941</v>
          </cell>
          <cell r="LJ1011">
            <v>15.633217845131327</v>
          </cell>
          <cell r="LK1011">
            <v>20.020152274152959</v>
          </cell>
          <cell r="LL1011">
            <v>17.982747259685677</v>
          </cell>
          <cell r="LM1011">
            <v>15.721193701553757</v>
          </cell>
          <cell r="LN1011">
            <v>20.244300817817596</v>
          </cell>
          <cell r="LY1011">
            <v>10.203918044771951</v>
          </cell>
          <cell r="LZ1011">
            <v>14.730476692982464</v>
          </cell>
          <cell r="MA1011">
            <v>11.870949885755934</v>
          </cell>
          <cell r="MB1011">
            <v>9.6544719773798295</v>
          </cell>
          <cell r="MC1011">
            <v>14.087427794132038</v>
          </cell>
        </row>
        <row r="1012">
          <cell r="A1012">
            <v>40942</v>
          </cell>
          <cell r="LJ1012">
            <v>15.698542433627283</v>
          </cell>
          <cell r="LK1012">
            <v>20.020152274152959</v>
          </cell>
          <cell r="LL1012">
            <v>17.982747259685677</v>
          </cell>
          <cell r="LM1012">
            <v>15.721193701553757</v>
          </cell>
          <cell r="LN1012">
            <v>20.244300817817596</v>
          </cell>
          <cell r="LY1012">
            <v>10.241524032770503</v>
          </cell>
          <cell r="LZ1012">
            <v>14.730476692982464</v>
          </cell>
          <cell r="MA1012">
            <v>11.870949885755934</v>
          </cell>
          <cell r="MB1012">
            <v>9.6544719773798295</v>
          </cell>
          <cell r="MC1012">
            <v>14.087427794132038</v>
          </cell>
        </row>
        <row r="1013">
          <cell r="A1013">
            <v>40945</v>
          </cell>
          <cell r="LJ1013">
            <v>15.683695180427025</v>
          </cell>
          <cell r="LK1013">
            <v>20.020152274152959</v>
          </cell>
          <cell r="LL1013">
            <v>17.982747259685677</v>
          </cell>
          <cell r="LM1013">
            <v>15.721193701553757</v>
          </cell>
          <cell r="LN1013">
            <v>20.244300817817596</v>
          </cell>
          <cell r="LY1013">
            <v>10.232976782209636</v>
          </cell>
          <cell r="LZ1013">
            <v>14.730476692982464</v>
          </cell>
          <cell r="MA1013">
            <v>11.870949885755934</v>
          </cell>
          <cell r="MB1013">
            <v>9.6544719773798295</v>
          </cell>
          <cell r="MC1013">
            <v>14.087427794132038</v>
          </cell>
        </row>
        <row r="1014">
          <cell r="A1014">
            <v>40946</v>
          </cell>
          <cell r="LJ1014">
            <v>15.575871650512749</v>
          </cell>
          <cell r="LK1014">
            <v>20.020152274152959</v>
          </cell>
          <cell r="LL1014">
            <v>17.982747259685677</v>
          </cell>
          <cell r="LM1014">
            <v>15.721193701553757</v>
          </cell>
          <cell r="LN1014">
            <v>20.244300817817596</v>
          </cell>
          <cell r="LY1014">
            <v>10.217301503044856</v>
          </cell>
          <cell r="LZ1014">
            <v>14.730476692982464</v>
          </cell>
          <cell r="MA1014">
            <v>11.870949885755934</v>
          </cell>
          <cell r="MB1014">
            <v>9.6544719773798295</v>
          </cell>
          <cell r="MC1014">
            <v>14.087427794132038</v>
          </cell>
        </row>
        <row r="1015">
          <cell r="A1015">
            <v>40947</v>
          </cell>
          <cell r="LJ1015">
            <v>15.456207357937322</v>
          </cell>
          <cell r="LK1015">
            <v>20.020152274152959</v>
          </cell>
          <cell r="LL1015">
            <v>17.982747259685677</v>
          </cell>
          <cell r="LM1015">
            <v>15.721193701553757</v>
          </cell>
          <cell r="LN1015">
            <v>20.244300817817596</v>
          </cell>
          <cell r="LY1015">
            <v>10.148597247569922</v>
          </cell>
          <cell r="LZ1015">
            <v>14.730476692982464</v>
          </cell>
          <cell r="MA1015">
            <v>11.870949885755934</v>
          </cell>
          <cell r="MB1015">
            <v>9.6544719773798295</v>
          </cell>
          <cell r="MC1015">
            <v>14.087427794132038</v>
          </cell>
        </row>
        <row r="1016">
          <cell r="A1016">
            <v>40948</v>
          </cell>
          <cell r="LJ1016">
            <v>15.536400253645043</v>
          </cell>
          <cell r="LK1016">
            <v>20.020152274152959</v>
          </cell>
          <cell r="LL1016">
            <v>17.982747259685677</v>
          </cell>
          <cell r="LM1016">
            <v>15.721193701553757</v>
          </cell>
          <cell r="LN1016">
            <v>20.244300817817596</v>
          </cell>
          <cell r="LY1016">
            <v>10.194974002709385</v>
          </cell>
          <cell r="LZ1016">
            <v>14.730476692982464</v>
          </cell>
          <cell r="MA1016">
            <v>11.870949885755934</v>
          </cell>
          <cell r="MB1016">
            <v>9.6544719773798295</v>
          </cell>
          <cell r="MC1016">
            <v>14.087427794132038</v>
          </cell>
        </row>
        <row r="1017">
          <cell r="A1017">
            <v>40949</v>
          </cell>
          <cell r="LJ1017">
            <v>15.299782513277215</v>
          </cell>
          <cell r="LK1017">
            <v>20.020152274152959</v>
          </cell>
          <cell r="LL1017">
            <v>17.982747259685677</v>
          </cell>
          <cell r="LM1017">
            <v>15.721193701553757</v>
          </cell>
          <cell r="LN1017">
            <v>20.244300817817596</v>
          </cell>
          <cell r="LY1017">
            <v>10.043028496161936</v>
          </cell>
          <cell r="LZ1017">
            <v>14.730476692982464</v>
          </cell>
          <cell r="MA1017">
            <v>11.870949885755934</v>
          </cell>
          <cell r="MB1017">
            <v>9.6544719773798295</v>
          </cell>
          <cell r="MC1017">
            <v>14.087427794132038</v>
          </cell>
        </row>
        <row r="1018">
          <cell r="A1018">
            <v>40952</v>
          </cell>
          <cell r="LJ1018">
            <v>15.412605421680926</v>
          </cell>
          <cell r="LK1018">
            <v>20.020152274152959</v>
          </cell>
          <cell r="LL1018">
            <v>17.982747259685677</v>
          </cell>
          <cell r="LM1018">
            <v>15.721193701553757</v>
          </cell>
          <cell r="LN1018">
            <v>20.244300817817596</v>
          </cell>
          <cell r="LY1018">
            <v>10.146400514782881</v>
          </cell>
          <cell r="LZ1018">
            <v>14.730476692982464</v>
          </cell>
          <cell r="MA1018">
            <v>11.870949885755934</v>
          </cell>
          <cell r="MB1018">
            <v>9.6544719773798295</v>
          </cell>
          <cell r="MC1018">
            <v>14.087427794132038</v>
          </cell>
        </row>
        <row r="1019">
          <cell r="A1019">
            <v>40953</v>
          </cell>
          <cell r="LJ1019">
            <v>15.359163663339103</v>
          </cell>
          <cell r="LK1019">
            <v>20.020152274152959</v>
          </cell>
          <cell r="LL1019">
            <v>17.982747259685677</v>
          </cell>
          <cell r="LM1019">
            <v>15.721193701553757</v>
          </cell>
          <cell r="LN1019">
            <v>20.244300817817596</v>
          </cell>
          <cell r="LY1019">
            <v>10.115407033807848</v>
          </cell>
          <cell r="LZ1019">
            <v>14.730476692982464</v>
          </cell>
          <cell r="MA1019">
            <v>11.870949885755934</v>
          </cell>
          <cell r="MB1019">
            <v>9.6544719773798295</v>
          </cell>
          <cell r="MC1019">
            <v>14.087427794132038</v>
          </cell>
        </row>
        <row r="1020">
          <cell r="A1020">
            <v>40954</v>
          </cell>
          <cell r="LJ1020">
            <v>15.203673776922313</v>
          </cell>
          <cell r="LK1020">
            <v>20.020152274152959</v>
          </cell>
          <cell r="LL1020">
            <v>17.982747259685677</v>
          </cell>
          <cell r="LM1020">
            <v>15.721193701553757</v>
          </cell>
          <cell r="LN1020">
            <v>20.244300817817596</v>
          </cell>
          <cell r="LY1020">
            <v>9.9950445928126967</v>
          </cell>
          <cell r="LZ1020">
            <v>14.730476692982464</v>
          </cell>
          <cell r="MA1020">
            <v>11.870949885755934</v>
          </cell>
          <cell r="MB1020">
            <v>9.6544719773798295</v>
          </cell>
          <cell r="MC1020">
            <v>14.087427794132038</v>
          </cell>
        </row>
        <row r="1021">
          <cell r="A1021">
            <v>40955</v>
          </cell>
          <cell r="LJ1021">
            <v>15.550970068069914</v>
          </cell>
          <cell r="LK1021">
            <v>20.020152274152959</v>
          </cell>
          <cell r="LL1021">
            <v>17.982747259685677</v>
          </cell>
          <cell r="LM1021">
            <v>15.721193701553757</v>
          </cell>
          <cell r="LN1021">
            <v>20.244300817817596</v>
          </cell>
          <cell r="LY1021">
            <v>10.195858642680772</v>
          </cell>
          <cell r="LZ1021">
            <v>14.730476692982464</v>
          </cell>
          <cell r="MA1021">
            <v>11.870949885755934</v>
          </cell>
          <cell r="MB1021">
            <v>9.6544719773798295</v>
          </cell>
          <cell r="MC1021">
            <v>14.087427794132038</v>
          </cell>
        </row>
        <row r="1022">
          <cell r="A1022">
            <v>40956</v>
          </cell>
          <cell r="LJ1022">
            <v>15.562841225655948</v>
          </cell>
          <cell r="LK1022">
            <v>20.020152274152959</v>
          </cell>
          <cell r="LL1022">
            <v>17.982747259685677</v>
          </cell>
          <cell r="LM1022">
            <v>15.721193701553757</v>
          </cell>
          <cell r="LN1022">
            <v>20.244300817817596</v>
          </cell>
          <cell r="LY1022">
            <v>10.202722796696342</v>
          </cell>
          <cell r="LZ1022">
            <v>14.730476692982464</v>
          </cell>
          <cell r="MA1022">
            <v>11.870949885755934</v>
          </cell>
          <cell r="MB1022">
            <v>9.6544719773798295</v>
          </cell>
          <cell r="MC1022">
            <v>14.087427794132038</v>
          </cell>
        </row>
        <row r="1023">
          <cell r="A1023">
            <v>40959</v>
          </cell>
          <cell r="LJ1023">
            <v>15.562841225655948</v>
          </cell>
          <cell r="LK1023">
            <v>20.020152274152959</v>
          </cell>
          <cell r="LL1023">
            <v>17.982747259685677</v>
          </cell>
          <cell r="LM1023">
            <v>15.721193701553757</v>
          </cell>
          <cell r="LN1023">
            <v>20.244300817817596</v>
          </cell>
          <cell r="LY1023">
            <v>10.202722796696342</v>
          </cell>
          <cell r="LZ1023">
            <v>14.730476692982464</v>
          </cell>
          <cell r="MA1023">
            <v>11.870949885755934</v>
          </cell>
          <cell r="MB1023">
            <v>9.6544719773798295</v>
          </cell>
          <cell r="MC1023">
            <v>14.087427794132038</v>
          </cell>
        </row>
        <row r="1024">
          <cell r="A1024">
            <v>40960</v>
          </cell>
          <cell r="LJ1024">
            <v>15.797335547033782</v>
          </cell>
          <cell r="LK1024">
            <v>20.020152274152959</v>
          </cell>
          <cell r="LL1024">
            <v>17.982747259685677</v>
          </cell>
          <cell r="LM1024">
            <v>15.721193701553757</v>
          </cell>
          <cell r="LN1024">
            <v>20.244300817817596</v>
          </cell>
          <cell r="LY1024">
            <v>10.33831236545144</v>
          </cell>
          <cell r="LZ1024">
            <v>14.730476692982464</v>
          </cell>
          <cell r="MA1024">
            <v>11.870949885755934</v>
          </cell>
          <cell r="MB1024">
            <v>9.6544719773798295</v>
          </cell>
          <cell r="MC1024">
            <v>14.087427794132038</v>
          </cell>
        </row>
        <row r="1025">
          <cell r="A1025">
            <v>40961</v>
          </cell>
          <cell r="LJ1025">
            <v>15.764684149677651</v>
          </cell>
          <cell r="LK1025">
            <v>20.020152274152959</v>
          </cell>
          <cell r="LL1025">
            <v>17.982747259685677</v>
          </cell>
          <cell r="LM1025">
            <v>15.721193701553757</v>
          </cell>
          <cell r="LN1025">
            <v>20.244300817817596</v>
          </cell>
          <cell r="LY1025">
            <v>10.319432637956311</v>
          </cell>
          <cell r="LZ1025">
            <v>14.730476692982464</v>
          </cell>
          <cell r="MA1025">
            <v>11.870949885755934</v>
          </cell>
          <cell r="MB1025">
            <v>9.6544719773798295</v>
          </cell>
          <cell r="MC1025">
            <v>14.087427794132038</v>
          </cell>
        </row>
        <row r="1026">
          <cell r="A1026">
            <v>40962</v>
          </cell>
          <cell r="LJ1026">
            <v>15.874514545457124</v>
          </cell>
          <cell r="LK1026">
            <v>20.020152274152959</v>
          </cell>
          <cell r="LL1026">
            <v>17.982747259685677</v>
          </cell>
          <cell r="LM1026">
            <v>15.721193701553757</v>
          </cell>
          <cell r="LN1026">
            <v>20.244300817817596</v>
          </cell>
          <cell r="LY1026">
            <v>10.382938892233341</v>
          </cell>
          <cell r="LZ1026">
            <v>14.730476692982464</v>
          </cell>
          <cell r="MA1026">
            <v>11.870949885755934</v>
          </cell>
          <cell r="MB1026">
            <v>9.6544719773798295</v>
          </cell>
          <cell r="MC1026">
            <v>14.087427794132038</v>
          </cell>
        </row>
        <row r="1027">
          <cell r="A1027">
            <v>40963</v>
          </cell>
          <cell r="LJ1027">
            <v>15.82702071335555</v>
          </cell>
          <cell r="LK1027">
            <v>20.020152274152959</v>
          </cell>
          <cell r="LL1027">
            <v>17.982747259685677</v>
          </cell>
          <cell r="LM1027">
            <v>15.721193701553757</v>
          </cell>
          <cell r="LN1027">
            <v>20.244300817817596</v>
          </cell>
          <cell r="LY1027">
            <v>10.355476955520581</v>
          </cell>
          <cell r="LZ1027">
            <v>14.730476692982464</v>
          </cell>
          <cell r="MA1027">
            <v>11.870949885755934</v>
          </cell>
          <cell r="MB1027">
            <v>9.6544719773798295</v>
          </cell>
          <cell r="MC1027">
            <v>14.087427794132038</v>
          </cell>
        </row>
        <row r="1028">
          <cell r="A1028">
            <v>40966</v>
          </cell>
          <cell r="LJ1028">
            <v>15.805719855266931</v>
          </cell>
          <cell r="LK1028">
            <v>20.020152274152959</v>
          </cell>
          <cell r="LL1028">
            <v>17.982747259685677</v>
          </cell>
          <cell r="LM1028">
            <v>15.721193701553757</v>
          </cell>
          <cell r="LN1028">
            <v>20.244300817817596</v>
          </cell>
          <cell r="LY1028">
            <v>10.333163692129634</v>
          </cell>
          <cell r="LZ1028">
            <v>14.730476692982464</v>
          </cell>
          <cell r="MA1028">
            <v>11.870949885755934</v>
          </cell>
          <cell r="MB1028">
            <v>9.6544719773798295</v>
          </cell>
          <cell r="MC1028">
            <v>14.087427794132038</v>
          </cell>
        </row>
        <row r="1029">
          <cell r="A1029">
            <v>40967</v>
          </cell>
          <cell r="LJ1029">
            <v>15.874242203419239</v>
          </cell>
          <cell r="LK1029">
            <v>20.020152274152959</v>
          </cell>
          <cell r="LL1029">
            <v>17.982747259685677</v>
          </cell>
          <cell r="LM1029">
            <v>15.721193701553757</v>
          </cell>
          <cell r="LN1029">
            <v>20.244300817817596</v>
          </cell>
          <cell r="LY1029">
            <v>10.370036800911368</v>
          </cell>
          <cell r="LZ1029">
            <v>14.730476692982464</v>
          </cell>
          <cell r="MA1029">
            <v>11.870949885755934</v>
          </cell>
          <cell r="MB1029">
            <v>9.6544719773798295</v>
          </cell>
          <cell r="MC1029">
            <v>14.087427794132038</v>
          </cell>
        </row>
        <row r="1030">
          <cell r="A1030">
            <v>40968</v>
          </cell>
          <cell r="LJ1030">
            <v>15.713623235825047</v>
          </cell>
          <cell r="LK1030">
            <v>20.020152274152959</v>
          </cell>
          <cell r="LL1030">
            <v>17.982747259685677</v>
          </cell>
          <cell r="LM1030">
            <v>15.721193701553757</v>
          </cell>
          <cell r="LN1030">
            <v>20.244300817817596</v>
          </cell>
          <cell r="LY1030">
            <v>10.277299500711287</v>
          </cell>
          <cell r="LZ1030">
            <v>14.730476692982464</v>
          </cell>
          <cell r="MA1030">
            <v>11.870949885755934</v>
          </cell>
          <cell r="MB1030">
            <v>9.6544719773798295</v>
          </cell>
          <cell r="MC1030">
            <v>14.087427794132038</v>
          </cell>
        </row>
        <row r="1031">
          <cell r="A1031">
            <v>40969</v>
          </cell>
          <cell r="LJ1031">
            <v>15.579583906003943</v>
          </cell>
          <cell r="LK1031">
            <v>20.020152274152959</v>
          </cell>
          <cell r="LL1031">
            <v>17.982747259685677</v>
          </cell>
          <cell r="LM1031">
            <v>15.721193701553757</v>
          </cell>
          <cell r="LN1031">
            <v>20.244300817817596</v>
          </cell>
          <cell r="LY1031">
            <v>10.250312322908266</v>
          </cell>
          <cell r="LZ1031">
            <v>14.730476692982464</v>
          </cell>
          <cell r="MA1031">
            <v>11.870949885755934</v>
          </cell>
          <cell r="MB1031">
            <v>9.6544719773798295</v>
          </cell>
          <cell r="MC1031">
            <v>14.087427794132038</v>
          </cell>
        </row>
        <row r="1032">
          <cell r="A1032">
            <v>40970</v>
          </cell>
          <cell r="LJ1032">
            <v>15.718056322799139</v>
          </cell>
          <cell r="LK1032">
            <v>20.020152274152959</v>
          </cell>
          <cell r="LL1032">
            <v>17.982747259685677</v>
          </cell>
          <cell r="LM1032">
            <v>15.721193701553757</v>
          </cell>
          <cell r="LN1032">
            <v>20.244300817817596</v>
          </cell>
          <cell r="LY1032">
            <v>10.330747791500576</v>
          </cell>
          <cell r="LZ1032">
            <v>14.730476692982464</v>
          </cell>
          <cell r="MA1032">
            <v>11.870949885755934</v>
          </cell>
          <cell r="MB1032">
            <v>9.6544719773798295</v>
          </cell>
          <cell r="MC1032">
            <v>14.087427794132038</v>
          </cell>
        </row>
        <row r="1033">
          <cell r="A1033">
            <v>40973</v>
          </cell>
          <cell r="LJ1033">
            <v>15.659132899355809</v>
          </cell>
          <cell r="LK1033">
            <v>20.020152274152959</v>
          </cell>
          <cell r="LL1033">
            <v>17.982747259685677</v>
          </cell>
          <cell r="LM1033">
            <v>15.721193701553757</v>
          </cell>
          <cell r="LN1033">
            <v>20.244300817817596</v>
          </cell>
          <cell r="LY1033">
            <v>10.296520518766997</v>
          </cell>
          <cell r="LZ1033">
            <v>14.730476692982464</v>
          </cell>
          <cell r="MA1033">
            <v>11.870949885755934</v>
          </cell>
          <cell r="MB1033">
            <v>9.6544719773798295</v>
          </cell>
          <cell r="MC1033">
            <v>14.087427794132038</v>
          </cell>
        </row>
        <row r="1034">
          <cell r="A1034">
            <v>40974</v>
          </cell>
          <cell r="LJ1034">
            <v>15.362507973715983</v>
          </cell>
          <cell r="LK1034">
            <v>20.020152274152959</v>
          </cell>
          <cell r="LL1034">
            <v>17.982747259685677</v>
          </cell>
          <cell r="LM1034">
            <v>15.721193701553757</v>
          </cell>
          <cell r="LN1034">
            <v>20.244300817817596</v>
          </cell>
          <cell r="LY1034">
            <v>10.122428548712346</v>
          </cell>
          <cell r="LZ1034">
            <v>14.730476692982464</v>
          </cell>
          <cell r="MA1034">
            <v>11.870949885755934</v>
          </cell>
          <cell r="MB1034">
            <v>9.6544719773798295</v>
          </cell>
          <cell r="MC1034">
            <v>14.087427794132038</v>
          </cell>
        </row>
        <row r="1035">
          <cell r="A1035">
            <v>40975</v>
          </cell>
          <cell r="LJ1035">
            <v>15.453740675258782</v>
          </cell>
          <cell r="LK1035">
            <v>20.020152274152959</v>
          </cell>
          <cell r="LL1035">
            <v>17.982747259685677</v>
          </cell>
          <cell r="LM1035">
            <v>15.721193701553757</v>
          </cell>
          <cell r="LN1035">
            <v>20.244300817817596</v>
          </cell>
          <cell r="LY1035">
            <v>10.17542101573734</v>
          </cell>
          <cell r="LZ1035">
            <v>14.730476692982464</v>
          </cell>
          <cell r="MA1035">
            <v>11.870949885755934</v>
          </cell>
          <cell r="MB1035">
            <v>9.6544719773798295</v>
          </cell>
          <cell r="MC1035">
            <v>14.087427794132038</v>
          </cell>
        </row>
        <row r="1036">
          <cell r="A1036">
            <v>40976</v>
          </cell>
          <cell r="LJ1036">
            <v>15.600891143234058</v>
          </cell>
          <cell r="LK1036">
            <v>20.020152274152959</v>
          </cell>
          <cell r="LL1036">
            <v>17.982747259685677</v>
          </cell>
          <cell r="LM1036">
            <v>15.721193701553757</v>
          </cell>
          <cell r="LN1036">
            <v>20.244300817817596</v>
          </cell>
          <cell r="LY1036">
            <v>10.260893288179414</v>
          </cell>
          <cell r="LZ1036">
            <v>14.730476692982464</v>
          </cell>
          <cell r="MA1036">
            <v>11.870949885755934</v>
          </cell>
          <cell r="MB1036">
            <v>9.6544719773798295</v>
          </cell>
          <cell r="MC1036">
            <v>14.087427794132038</v>
          </cell>
        </row>
        <row r="1037">
          <cell r="A1037">
            <v>40977</v>
          </cell>
          <cell r="LJ1037">
            <v>15.700952284253502</v>
          </cell>
          <cell r="LK1037">
            <v>20.020152274152959</v>
          </cell>
          <cell r="LL1037">
            <v>17.982747259685677</v>
          </cell>
          <cell r="LM1037">
            <v>15.721193701553757</v>
          </cell>
          <cell r="LN1037">
            <v>20.244300817817596</v>
          </cell>
          <cell r="LY1037">
            <v>10.352708787216253</v>
          </cell>
          <cell r="LZ1037">
            <v>14.730476692982464</v>
          </cell>
          <cell r="MA1037">
            <v>11.870949885755934</v>
          </cell>
          <cell r="MB1037">
            <v>9.6544719773798295</v>
          </cell>
          <cell r="MC1037">
            <v>14.087427794132038</v>
          </cell>
        </row>
        <row r="1038">
          <cell r="A1038">
            <v>40980</v>
          </cell>
          <cell r="LJ1038">
            <v>15.789243447941475</v>
          </cell>
          <cell r="LK1038">
            <v>20.020152274152959</v>
          </cell>
          <cell r="LL1038">
            <v>17.982747259685677</v>
          </cell>
          <cell r="LM1038">
            <v>15.721193701553757</v>
          </cell>
          <cell r="LN1038">
            <v>20.244300817817596</v>
          </cell>
          <cell r="LY1038">
            <v>10.404182140817037</v>
          </cell>
          <cell r="LZ1038">
            <v>14.730476692982464</v>
          </cell>
          <cell r="MA1038">
            <v>11.870949885755934</v>
          </cell>
          <cell r="MB1038">
            <v>9.6544719773798295</v>
          </cell>
          <cell r="MC1038">
            <v>14.087427794132038</v>
          </cell>
        </row>
        <row r="1039">
          <cell r="A1039">
            <v>40981</v>
          </cell>
          <cell r="LJ1039">
            <v>16.118859319002347</v>
          </cell>
          <cell r="LK1039">
            <v>20.020152274152959</v>
          </cell>
          <cell r="LL1039">
            <v>17.982747259685677</v>
          </cell>
          <cell r="LM1039">
            <v>15.721193701553757</v>
          </cell>
          <cell r="LN1039">
            <v>20.244300817817596</v>
          </cell>
          <cell r="LY1039">
            <v>10.596346719636136</v>
          </cell>
          <cell r="LZ1039">
            <v>14.730476692982464</v>
          </cell>
          <cell r="MA1039">
            <v>11.870949885755934</v>
          </cell>
          <cell r="MB1039">
            <v>9.6544719773798295</v>
          </cell>
          <cell r="MC1039">
            <v>14.087427794132038</v>
          </cell>
        </row>
        <row r="1040">
          <cell r="A1040">
            <v>40982</v>
          </cell>
          <cell r="LJ1040">
            <v>16.033513813382303</v>
          </cell>
          <cell r="LK1040">
            <v>20.020152274152959</v>
          </cell>
          <cell r="LL1040">
            <v>17.982747259685677</v>
          </cell>
          <cell r="LM1040">
            <v>15.721193701553757</v>
          </cell>
          <cell r="LN1040">
            <v>20.244300817817596</v>
          </cell>
          <cell r="LY1040">
            <v>10.546590671516263</v>
          </cell>
          <cell r="LZ1040">
            <v>14.730476692982464</v>
          </cell>
          <cell r="MA1040">
            <v>11.870949885755934</v>
          </cell>
          <cell r="MB1040">
            <v>9.6544719773798295</v>
          </cell>
          <cell r="MC1040">
            <v>14.087427794132038</v>
          </cell>
        </row>
        <row r="1041">
          <cell r="A1041">
            <v>40983</v>
          </cell>
          <cell r="LJ1041">
            <v>16.171835547579999</v>
          </cell>
          <cell r="LK1041">
            <v>20.020152274152959</v>
          </cell>
          <cell r="LL1041">
            <v>17.982747259685677</v>
          </cell>
          <cell r="LM1041">
            <v>15.721193701553757</v>
          </cell>
          <cell r="LN1041">
            <v>20.244300817817596</v>
          </cell>
          <cell r="LY1041">
            <v>10.627231623992483</v>
          </cell>
          <cell r="LZ1041">
            <v>14.730476692982464</v>
          </cell>
          <cell r="MA1041">
            <v>11.870949885755934</v>
          </cell>
          <cell r="MB1041">
            <v>9.6544719773798295</v>
          </cell>
          <cell r="MC1041">
            <v>14.087427794132038</v>
          </cell>
        </row>
        <row r="1042">
          <cell r="A1042">
            <v>40984</v>
          </cell>
          <cell r="LJ1042">
            <v>16.185217746355566</v>
          </cell>
          <cell r="LK1042">
            <v>20.020152274152959</v>
          </cell>
          <cell r="LL1042">
            <v>17.982747259685677</v>
          </cell>
          <cell r="LM1042">
            <v>15.721193701553757</v>
          </cell>
          <cell r="LN1042">
            <v>20.244300817817596</v>
          </cell>
          <cell r="LY1042">
            <v>10.634868060588289</v>
          </cell>
          <cell r="LZ1042">
            <v>14.730476692982464</v>
          </cell>
          <cell r="MA1042">
            <v>11.870949885755934</v>
          </cell>
          <cell r="MB1042">
            <v>9.6544719773798295</v>
          </cell>
          <cell r="MC1042">
            <v>14.087427794132038</v>
          </cell>
        </row>
        <row r="1043">
          <cell r="A1043">
            <v>40987</v>
          </cell>
          <cell r="LJ1043">
            <v>16.161675317175089</v>
          </cell>
          <cell r="LK1043">
            <v>20.020152274152959</v>
          </cell>
          <cell r="LL1043">
            <v>17.982747259685677</v>
          </cell>
          <cell r="LM1043">
            <v>15.721193701553757</v>
          </cell>
          <cell r="LN1043">
            <v>20.244300817817596</v>
          </cell>
          <cell r="LY1043">
            <v>10.621143015505082</v>
          </cell>
          <cell r="LZ1043">
            <v>14.730476692982464</v>
          </cell>
          <cell r="MA1043">
            <v>11.870949885755934</v>
          </cell>
          <cell r="MB1043">
            <v>9.6544719773798295</v>
          </cell>
          <cell r="MC1043">
            <v>14.087427794132038</v>
          </cell>
        </row>
        <row r="1044">
          <cell r="A1044">
            <v>40988</v>
          </cell>
          <cell r="LJ1044">
            <v>16.061617712513748</v>
          </cell>
          <cell r="LK1044">
            <v>20.020152274152959</v>
          </cell>
          <cell r="LL1044">
            <v>17.982747259685677</v>
          </cell>
          <cell r="LM1044">
            <v>15.721193701553757</v>
          </cell>
          <cell r="LN1044">
            <v>20.244300817817596</v>
          </cell>
          <cell r="LY1044">
            <v>10.56281024430433</v>
          </cell>
          <cell r="LZ1044">
            <v>14.730476692982464</v>
          </cell>
          <cell r="MA1044">
            <v>11.870949885755934</v>
          </cell>
          <cell r="MB1044">
            <v>9.6544719773798295</v>
          </cell>
          <cell r="MC1044">
            <v>14.087427794132038</v>
          </cell>
        </row>
        <row r="1045">
          <cell r="A1045">
            <v>40989</v>
          </cell>
          <cell r="LJ1045">
            <v>16.088106145600747</v>
          </cell>
          <cell r="LK1045">
            <v>20.020152274152959</v>
          </cell>
          <cell r="LL1045">
            <v>17.982747259685677</v>
          </cell>
          <cell r="LM1045">
            <v>15.721193701553757</v>
          </cell>
          <cell r="LN1045">
            <v>20.244300817817596</v>
          </cell>
          <cell r="LY1045">
            <v>10.578252785747932</v>
          </cell>
          <cell r="LZ1045">
            <v>14.730476692982464</v>
          </cell>
          <cell r="MA1045">
            <v>11.870949885755934</v>
          </cell>
          <cell r="MB1045">
            <v>9.6544719773798295</v>
          </cell>
          <cell r="MC1045">
            <v>14.087427794132038</v>
          </cell>
        </row>
        <row r="1046">
          <cell r="A1046">
            <v>40990</v>
          </cell>
          <cell r="LJ1046">
            <v>16.023364686061953</v>
          </cell>
          <cell r="LK1046">
            <v>20.020152274152959</v>
          </cell>
          <cell r="LL1046">
            <v>17.982747259685677</v>
          </cell>
          <cell r="LM1046">
            <v>15.721193701553757</v>
          </cell>
          <cell r="LN1046">
            <v>20.244300817817596</v>
          </cell>
          <cell r="LY1046">
            <v>10.540509040439803</v>
          </cell>
          <cell r="LZ1046">
            <v>14.730476692982464</v>
          </cell>
          <cell r="MA1046">
            <v>11.870949885755934</v>
          </cell>
          <cell r="MB1046">
            <v>9.6544719773798295</v>
          </cell>
          <cell r="MC1046">
            <v>14.087427794132038</v>
          </cell>
        </row>
        <row r="1047">
          <cell r="A1047">
            <v>40991</v>
          </cell>
          <cell r="LJ1047">
            <v>15.999822256881476</v>
          </cell>
          <cell r="LK1047">
            <v>20.020152274152959</v>
          </cell>
          <cell r="LL1047">
            <v>17.982747259685677</v>
          </cell>
          <cell r="LM1047">
            <v>15.721193701553757</v>
          </cell>
          <cell r="LN1047">
            <v>20.244300817817596</v>
          </cell>
          <cell r="LY1047">
            <v>10.526783995356595</v>
          </cell>
          <cell r="LZ1047">
            <v>14.730476692982464</v>
          </cell>
          <cell r="MA1047">
            <v>11.870949885755934</v>
          </cell>
          <cell r="MB1047">
            <v>9.6544719773798295</v>
          </cell>
          <cell r="MC1047">
            <v>14.087427794132038</v>
          </cell>
        </row>
        <row r="1048">
          <cell r="A1048">
            <v>40994</v>
          </cell>
          <cell r="LJ1048">
            <v>16.185217746355566</v>
          </cell>
          <cell r="LK1048">
            <v>20.020152274152959</v>
          </cell>
          <cell r="LL1048">
            <v>17.982747259685677</v>
          </cell>
          <cell r="LM1048">
            <v>15.721193701553757</v>
          </cell>
          <cell r="LN1048">
            <v>20.244300817817596</v>
          </cell>
          <cell r="LY1048">
            <v>10.634868060588289</v>
          </cell>
          <cell r="LZ1048">
            <v>14.730476692982464</v>
          </cell>
          <cell r="MA1048">
            <v>11.870949885755934</v>
          </cell>
          <cell r="MB1048">
            <v>9.6544719773798295</v>
          </cell>
          <cell r="MC1048">
            <v>14.087427794132038</v>
          </cell>
        </row>
        <row r="1049">
          <cell r="A1049">
            <v>40995</v>
          </cell>
          <cell r="LJ1049">
            <v>16.270556219721687</v>
          </cell>
          <cell r="LK1049">
            <v>20.020152274152959</v>
          </cell>
          <cell r="LL1049">
            <v>17.982747259685677</v>
          </cell>
          <cell r="LM1049">
            <v>15.721193701553757</v>
          </cell>
          <cell r="LN1049">
            <v>20.244300817817596</v>
          </cell>
          <cell r="LY1049">
            <v>10.68461969774107</v>
          </cell>
          <cell r="LZ1049">
            <v>14.730476692982464</v>
          </cell>
          <cell r="MA1049">
            <v>11.870949885755934</v>
          </cell>
          <cell r="MB1049">
            <v>9.6544719773798295</v>
          </cell>
          <cell r="MC1049">
            <v>14.087427794132038</v>
          </cell>
        </row>
        <row r="1050">
          <cell r="A1050">
            <v>40996</v>
          </cell>
          <cell r="LJ1050">
            <v>16.117531165740306</v>
          </cell>
          <cell r="LK1050">
            <v>20.020152274152959</v>
          </cell>
          <cell r="LL1050">
            <v>17.982747259685677</v>
          </cell>
          <cell r="LM1050">
            <v>15.721193701553757</v>
          </cell>
          <cell r="LN1050">
            <v>20.244300817817596</v>
          </cell>
          <cell r="LY1050">
            <v>10.595407333602521</v>
          </cell>
          <cell r="LZ1050">
            <v>14.730476692982464</v>
          </cell>
          <cell r="MA1050">
            <v>11.870949885755934</v>
          </cell>
          <cell r="MB1050">
            <v>9.6544719773798295</v>
          </cell>
          <cell r="MC1050">
            <v>14.087427794132038</v>
          </cell>
        </row>
        <row r="1051">
          <cell r="A1051">
            <v>40997</v>
          </cell>
          <cell r="LJ1051">
            <v>16.194045752667801</v>
          </cell>
          <cell r="LK1051">
            <v>20.020152274152959</v>
          </cell>
          <cell r="LL1051">
            <v>17.982747259685677</v>
          </cell>
          <cell r="LM1051">
            <v>15.721193701553757</v>
          </cell>
          <cell r="LN1051">
            <v>20.244300817817596</v>
          </cell>
          <cell r="LY1051">
            <v>10.640014716598227</v>
          </cell>
          <cell r="LZ1051">
            <v>14.730476692982464</v>
          </cell>
          <cell r="MA1051">
            <v>11.870949885755934</v>
          </cell>
          <cell r="MB1051">
            <v>9.6544719773798295</v>
          </cell>
          <cell r="MC1051">
            <v>14.087427794132038</v>
          </cell>
        </row>
        <row r="1052">
          <cell r="A1052">
            <v>40998</v>
          </cell>
          <cell r="LJ1052">
            <v>16.479494432652942</v>
          </cell>
          <cell r="LK1052">
            <v>20.020152274152959</v>
          </cell>
          <cell r="LL1052">
            <v>17.982747259685677</v>
          </cell>
          <cell r="LM1052">
            <v>15.721193701553757</v>
          </cell>
          <cell r="LN1052">
            <v>20.244300817817596</v>
          </cell>
          <cell r="LY1052">
            <v>10.806428979616888</v>
          </cell>
          <cell r="LZ1052">
            <v>14.730476692982464</v>
          </cell>
          <cell r="MA1052">
            <v>11.870949885755934</v>
          </cell>
          <cell r="MB1052">
            <v>9.6544719773798295</v>
          </cell>
          <cell r="MC1052">
            <v>14.087427794132038</v>
          </cell>
        </row>
        <row r="1053">
          <cell r="A1053">
            <v>41001</v>
          </cell>
          <cell r="LJ1053">
            <v>16.336204689632154</v>
          </cell>
          <cell r="LK1053">
            <v>20.020152274152959</v>
          </cell>
          <cell r="LL1053">
            <v>17.982747259685677</v>
          </cell>
          <cell r="LM1053">
            <v>15.721193701553757</v>
          </cell>
          <cell r="LN1053">
            <v>20.244300817817596</v>
          </cell>
          <cell r="LY1053">
            <v>10.754567289508165</v>
          </cell>
          <cell r="LZ1053">
            <v>14.730476692982464</v>
          </cell>
          <cell r="MA1053">
            <v>11.870949885755934</v>
          </cell>
          <cell r="MB1053">
            <v>9.6544719773798295</v>
          </cell>
          <cell r="MC1053">
            <v>14.087427794132038</v>
          </cell>
        </row>
        <row r="1054">
          <cell r="A1054">
            <v>41002</v>
          </cell>
          <cell r="LJ1054">
            <v>16.269194484480238</v>
          </cell>
          <cell r="LK1054">
            <v>20.020152274152959</v>
          </cell>
          <cell r="LL1054">
            <v>17.982747259685677</v>
          </cell>
          <cell r="LM1054">
            <v>15.721193701553757</v>
          </cell>
          <cell r="LN1054">
            <v>20.244300817817596</v>
          </cell>
          <cell r="LY1054">
            <v>10.707801417196283</v>
          </cell>
          <cell r="LZ1054">
            <v>14.730476692982464</v>
          </cell>
          <cell r="MA1054">
            <v>11.870949885755934</v>
          </cell>
          <cell r="MB1054">
            <v>9.6544719773798295</v>
          </cell>
          <cell r="MC1054">
            <v>14.087427794132038</v>
          </cell>
        </row>
        <row r="1055">
          <cell r="A1055">
            <v>41003</v>
          </cell>
          <cell r="LJ1055">
            <v>16.097296625347834</v>
          </cell>
          <cell r="LK1055">
            <v>20.020152274152959</v>
          </cell>
          <cell r="LL1055">
            <v>17.982747259685677</v>
          </cell>
          <cell r="LM1055">
            <v>15.721193701553757</v>
          </cell>
          <cell r="LN1055">
            <v>20.244300817817596</v>
          </cell>
          <cell r="LY1055">
            <v>10.607249382919857</v>
          </cell>
          <cell r="LZ1055">
            <v>14.730476692982464</v>
          </cell>
          <cell r="MA1055">
            <v>11.870949885755934</v>
          </cell>
          <cell r="MB1055">
            <v>9.6544719773798295</v>
          </cell>
          <cell r="MC1055">
            <v>14.087427794132038</v>
          </cell>
        </row>
        <row r="1056">
          <cell r="A1056">
            <v>41004</v>
          </cell>
          <cell r="LJ1056">
            <v>16.059419467873052</v>
          </cell>
          <cell r="LK1056">
            <v>20.020152274152959</v>
          </cell>
          <cell r="LL1056">
            <v>17.982747259685677</v>
          </cell>
          <cell r="LM1056">
            <v>15.721193701553757</v>
          </cell>
          <cell r="LN1056">
            <v>20.244300817817596</v>
          </cell>
          <cell r="LY1056">
            <v>10.585093055575697</v>
          </cell>
          <cell r="LZ1056">
            <v>14.730476692982464</v>
          </cell>
          <cell r="MA1056">
            <v>11.870949885755934</v>
          </cell>
          <cell r="MB1056">
            <v>9.6544719773798295</v>
          </cell>
          <cell r="MC1056">
            <v>14.087427794132038</v>
          </cell>
        </row>
        <row r="1057">
          <cell r="A1057">
            <v>41005</v>
          </cell>
          <cell r="LJ1057">
            <v>16.059419467873052</v>
          </cell>
          <cell r="LK1057">
            <v>20.020152274152959</v>
          </cell>
          <cell r="LL1057">
            <v>17.982747259685677</v>
          </cell>
          <cell r="LM1057">
            <v>15.721193701553757</v>
          </cell>
          <cell r="LN1057">
            <v>20.244300817817596</v>
          </cell>
          <cell r="LY1057">
            <v>10.585093055575697</v>
          </cell>
          <cell r="LZ1057">
            <v>14.730476692982464</v>
          </cell>
          <cell r="MA1057">
            <v>11.870949885755934</v>
          </cell>
          <cell r="MB1057">
            <v>9.6544719773798295</v>
          </cell>
          <cell r="MC1057">
            <v>14.087427794132038</v>
          </cell>
        </row>
        <row r="1058">
          <cell r="A1058">
            <v>41008</v>
          </cell>
          <cell r="LJ1058">
            <v>15.905002253137527</v>
          </cell>
          <cell r="LK1058">
            <v>20.020152274152959</v>
          </cell>
          <cell r="LL1058">
            <v>17.982747259685677</v>
          </cell>
          <cell r="LM1058">
            <v>15.721193701553757</v>
          </cell>
          <cell r="LN1058">
            <v>20.244300817817596</v>
          </cell>
          <cell r="LY1058">
            <v>10.482896139959699</v>
          </cell>
          <cell r="LZ1058">
            <v>14.730476692982464</v>
          </cell>
          <cell r="MA1058">
            <v>11.870949885755934</v>
          </cell>
          <cell r="MB1058">
            <v>9.6544719773798295</v>
          </cell>
          <cell r="MC1058">
            <v>14.087427794132038</v>
          </cell>
        </row>
        <row r="1059">
          <cell r="A1059">
            <v>41009</v>
          </cell>
          <cell r="LJ1059">
            <v>15.388659732755924</v>
          </cell>
          <cell r="LK1059">
            <v>20.020152274152959</v>
          </cell>
          <cell r="LL1059">
            <v>17.982747259685677</v>
          </cell>
          <cell r="LM1059">
            <v>15.721193701553757</v>
          </cell>
          <cell r="LN1059">
            <v>20.244300817817596</v>
          </cell>
          <cell r="LY1059">
            <v>10.179105875696784</v>
          </cell>
          <cell r="LZ1059">
            <v>14.730476692982464</v>
          </cell>
          <cell r="MA1059">
            <v>11.870949885755934</v>
          </cell>
          <cell r="MB1059">
            <v>9.6544719773798295</v>
          </cell>
          <cell r="MC1059">
            <v>14.087427794132038</v>
          </cell>
        </row>
        <row r="1060">
          <cell r="A1060">
            <v>41010</v>
          </cell>
          <cell r="LJ1060">
            <v>15.696954771022094</v>
          </cell>
          <cell r="LK1060">
            <v>20.020152274152959</v>
          </cell>
          <cell r="LL1060">
            <v>17.982747259685677</v>
          </cell>
          <cell r="LM1060">
            <v>15.721193701553757</v>
          </cell>
          <cell r="LN1060">
            <v>20.244300817817596</v>
          </cell>
          <cell r="LY1060">
            <v>10.358636331606537</v>
          </cell>
          <cell r="LZ1060">
            <v>14.730476692982464</v>
          </cell>
          <cell r="MA1060">
            <v>11.870949885755934</v>
          </cell>
          <cell r="MB1060">
            <v>9.6544719773798295</v>
          </cell>
          <cell r="MC1060">
            <v>14.087427794132038</v>
          </cell>
        </row>
        <row r="1061">
          <cell r="A1061">
            <v>41011</v>
          </cell>
          <cell r="LJ1061">
            <v>15.868775870372101</v>
          </cell>
          <cell r="LK1061">
            <v>20.020152274152959</v>
          </cell>
          <cell r="LL1061">
            <v>17.982747259685677</v>
          </cell>
          <cell r="LM1061">
            <v>15.721193701553757</v>
          </cell>
          <cell r="LN1061">
            <v>20.244300817817596</v>
          </cell>
          <cell r="LY1061">
            <v>10.459008774681024</v>
          </cell>
          <cell r="LZ1061">
            <v>14.730476692982464</v>
          </cell>
          <cell r="MA1061">
            <v>11.870949885755934</v>
          </cell>
          <cell r="MB1061">
            <v>9.6544719773798295</v>
          </cell>
          <cell r="MC1061">
            <v>14.087427794132038</v>
          </cell>
        </row>
        <row r="1062">
          <cell r="A1062">
            <v>41012</v>
          </cell>
          <cell r="LJ1062">
            <v>15.688342154227589</v>
          </cell>
          <cell r="LK1062">
            <v>20.020152274152959</v>
          </cell>
          <cell r="LL1062">
            <v>17.982747259685677</v>
          </cell>
          <cell r="LM1062">
            <v>15.721193701553757</v>
          </cell>
          <cell r="LN1062">
            <v>20.244300817817596</v>
          </cell>
          <cell r="LY1062">
            <v>10.365765725509153</v>
          </cell>
          <cell r="LZ1062">
            <v>14.730476692982464</v>
          </cell>
          <cell r="MA1062">
            <v>11.870949885755934</v>
          </cell>
          <cell r="MB1062">
            <v>9.6544719773798295</v>
          </cell>
          <cell r="MC1062">
            <v>14.087427794132038</v>
          </cell>
        </row>
        <row r="1063">
          <cell r="A1063">
            <v>41015</v>
          </cell>
          <cell r="LJ1063">
            <v>15.734930832103087</v>
          </cell>
          <cell r="LK1063">
            <v>20.020152274152959</v>
          </cell>
          <cell r="LL1063">
            <v>17.982747259685677</v>
          </cell>
          <cell r="LM1063">
            <v>15.721193701553757</v>
          </cell>
          <cell r="LN1063">
            <v>20.244300817817596</v>
          </cell>
          <cell r="LY1063">
            <v>10.393017997368274</v>
          </cell>
          <cell r="LZ1063">
            <v>14.730476692982464</v>
          </cell>
          <cell r="MA1063">
            <v>11.870949885755934</v>
          </cell>
          <cell r="MB1063">
            <v>9.6544719773798295</v>
          </cell>
          <cell r="MC1063">
            <v>14.087427794132038</v>
          </cell>
        </row>
        <row r="1064">
          <cell r="A1064">
            <v>41016</v>
          </cell>
          <cell r="LJ1064">
            <v>15.950507714703194</v>
          </cell>
          <cell r="LK1064">
            <v>20.020152274152959</v>
          </cell>
          <cell r="LL1064">
            <v>17.982747259685677</v>
          </cell>
          <cell r="LM1064">
            <v>15.721193701553757</v>
          </cell>
          <cell r="LN1064">
            <v>20.244300817817596</v>
          </cell>
          <cell r="LY1064">
            <v>10.519509755292843</v>
          </cell>
          <cell r="LZ1064">
            <v>14.730476692982464</v>
          </cell>
          <cell r="MA1064">
            <v>11.870949885755934</v>
          </cell>
          <cell r="MB1064">
            <v>9.6544719773798295</v>
          </cell>
          <cell r="MC1064">
            <v>14.087427794132038</v>
          </cell>
        </row>
        <row r="1065">
          <cell r="A1065">
            <v>41017</v>
          </cell>
          <cell r="LJ1065">
            <v>15.921393886464474</v>
          </cell>
          <cell r="LK1065">
            <v>20.020152274152959</v>
          </cell>
          <cell r="LL1065">
            <v>17.982747259685677</v>
          </cell>
          <cell r="LM1065">
            <v>15.721193701553757</v>
          </cell>
          <cell r="LN1065">
            <v>20.244300817817596</v>
          </cell>
          <cell r="LY1065">
            <v>10.502478513138849</v>
          </cell>
          <cell r="LZ1065">
            <v>14.730476692982464</v>
          </cell>
          <cell r="MA1065">
            <v>11.870949885755934</v>
          </cell>
          <cell r="MB1065">
            <v>9.6544719773798295</v>
          </cell>
          <cell r="MC1065">
            <v>14.087427794132038</v>
          </cell>
        </row>
        <row r="1066">
          <cell r="A1066">
            <v>41018</v>
          </cell>
          <cell r="LJ1066">
            <v>15.416133808164725</v>
          </cell>
          <cell r="LK1066">
            <v>20.020152274152959</v>
          </cell>
          <cell r="LL1066">
            <v>17.982747259685677</v>
          </cell>
          <cell r="LM1066">
            <v>15.721193701553757</v>
          </cell>
          <cell r="LN1066">
            <v>20.244300817817596</v>
          </cell>
          <cell r="LY1066">
            <v>9.8577911765690107</v>
          </cell>
          <cell r="LZ1066">
            <v>14.730476692982464</v>
          </cell>
          <cell r="MA1066">
            <v>11.870949885755934</v>
          </cell>
          <cell r="MB1066">
            <v>9.6544719773798295</v>
          </cell>
          <cell r="MC1066">
            <v>14.087427794132038</v>
          </cell>
        </row>
        <row r="1067">
          <cell r="A1067">
            <v>41019</v>
          </cell>
          <cell r="LJ1067">
            <v>15.430688699262822</v>
          </cell>
          <cell r="LK1067">
            <v>20.020152274152959</v>
          </cell>
          <cell r="LL1067">
            <v>17.982747259685677</v>
          </cell>
          <cell r="LM1067">
            <v>15.721193701553757</v>
          </cell>
          <cell r="LN1067">
            <v>20.244300817817596</v>
          </cell>
          <cell r="LY1067">
            <v>9.8106615883498165</v>
          </cell>
          <cell r="LZ1067">
            <v>14.730476692982464</v>
          </cell>
          <cell r="MA1067">
            <v>11.870949885755934</v>
          </cell>
          <cell r="MB1067">
            <v>9.6544719773798295</v>
          </cell>
          <cell r="MC1067">
            <v>14.087427794132038</v>
          </cell>
        </row>
        <row r="1068">
          <cell r="A1068">
            <v>41022</v>
          </cell>
          <cell r="LJ1068">
            <v>15.29438606363291</v>
          </cell>
          <cell r="LK1068">
            <v>20.020152274152959</v>
          </cell>
          <cell r="LL1068">
            <v>17.982747259685677</v>
          </cell>
          <cell r="LM1068">
            <v>15.721193701553757</v>
          </cell>
          <cell r="LN1068">
            <v>20.244300817817596</v>
          </cell>
          <cell r="LY1068">
            <v>9.7021786057177763</v>
          </cell>
          <cell r="LZ1068">
            <v>14.730476692982464</v>
          </cell>
          <cell r="MA1068">
            <v>11.870949885755934</v>
          </cell>
          <cell r="MB1068">
            <v>9.6544719773798295</v>
          </cell>
          <cell r="MC1068">
            <v>14.087427794132038</v>
          </cell>
        </row>
        <row r="1069">
          <cell r="A1069">
            <v>41023</v>
          </cell>
          <cell r="LJ1069">
            <v>15.430710305802274</v>
          </cell>
          <cell r="LK1069">
            <v>20.020152274152959</v>
          </cell>
          <cell r="LL1069">
            <v>17.982747259685677</v>
          </cell>
          <cell r="LM1069">
            <v>15.721193701553757</v>
          </cell>
          <cell r="LN1069">
            <v>20.244300817817596</v>
          </cell>
          <cell r="LY1069">
            <v>9.7738928311268793</v>
          </cell>
          <cell r="LZ1069">
            <v>14.730476692982464</v>
          </cell>
          <cell r="MA1069">
            <v>11.870949885755934</v>
          </cell>
          <cell r="MB1069">
            <v>9.6544719773798295</v>
          </cell>
          <cell r="MC1069">
            <v>14.087427794132038</v>
          </cell>
        </row>
        <row r="1070">
          <cell r="A1070">
            <v>41024</v>
          </cell>
          <cell r="LJ1070">
            <v>15.488719628040196</v>
          </cell>
          <cell r="LK1070">
            <v>20.020152274152959</v>
          </cell>
          <cell r="LL1070">
            <v>17.982747259685677</v>
          </cell>
          <cell r="LM1070">
            <v>15.721193701553757</v>
          </cell>
          <cell r="LN1070">
            <v>20.244300817817596</v>
          </cell>
          <cell r="LY1070">
            <v>9.8070790089038287</v>
          </cell>
          <cell r="LZ1070">
            <v>14.730476692982464</v>
          </cell>
          <cell r="MA1070">
            <v>11.870949885755934</v>
          </cell>
          <cell r="MB1070">
            <v>9.6544719773798295</v>
          </cell>
          <cell r="MC1070">
            <v>14.087427794132038</v>
          </cell>
        </row>
        <row r="1071">
          <cell r="A1071">
            <v>41025</v>
          </cell>
          <cell r="LJ1071">
            <v>15.694653490619872</v>
          </cell>
          <cell r="LK1071">
            <v>20.020152274152959</v>
          </cell>
          <cell r="LL1071">
            <v>17.982747259685677</v>
          </cell>
          <cell r="LM1071">
            <v>15.721193701553757</v>
          </cell>
          <cell r="LN1071">
            <v>20.244300817817596</v>
          </cell>
          <cell r="LY1071">
            <v>9.9248903797354533</v>
          </cell>
          <cell r="LZ1071">
            <v>14.730476692982464</v>
          </cell>
          <cell r="MA1071">
            <v>11.870949885755934</v>
          </cell>
          <cell r="MB1071">
            <v>9.6544719773798295</v>
          </cell>
          <cell r="MC1071">
            <v>14.087427794132038</v>
          </cell>
        </row>
        <row r="1072">
          <cell r="A1072">
            <v>41026</v>
          </cell>
          <cell r="LJ1072">
            <v>15.862883628655142</v>
          </cell>
          <cell r="LK1072">
            <v>20.020152274152959</v>
          </cell>
          <cell r="LL1072">
            <v>17.982747259685677</v>
          </cell>
          <cell r="LM1072">
            <v>15.721193701553757</v>
          </cell>
          <cell r="LN1072">
            <v>20.244300817817596</v>
          </cell>
          <cell r="LY1072">
            <v>10.021132070775755</v>
          </cell>
          <cell r="LZ1072">
            <v>14.730476692982464</v>
          </cell>
          <cell r="MA1072">
            <v>11.870949885755934</v>
          </cell>
          <cell r="MB1072">
            <v>9.6544719773798295</v>
          </cell>
          <cell r="MC1072">
            <v>14.087427794132038</v>
          </cell>
        </row>
        <row r="1073">
          <cell r="A1073">
            <v>41029</v>
          </cell>
          <cell r="LJ1073">
            <v>15.726559096434817</v>
          </cell>
          <cell r="LK1073">
            <v>20.020152274152959</v>
          </cell>
          <cell r="LL1073">
            <v>17.982747259685677</v>
          </cell>
          <cell r="LM1073">
            <v>15.721193701553757</v>
          </cell>
          <cell r="LN1073">
            <v>20.244300817817596</v>
          </cell>
          <cell r="LY1073">
            <v>9.9431430513028509</v>
          </cell>
          <cell r="LZ1073">
            <v>14.730476692982464</v>
          </cell>
          <cell r="MA1073">
            <v>11.870949885755934</v>
          </cell>
          <cell r="MB1073">
            <v>9.6544719773798295</v>
          </cell>
          <cell r="MC1073">
            <v>14.087427794132038</v>
          </cell>
        </row>
        <row r="1074">
          <cell r="A1074">
            <v>41030</v>
          </cell>
          <cell r="LJ1074">
            <v>15.687006135147232</v>
          </cell>
          <cell r="LK1074">
            <v>20.020152274152959</v>
          </cell>
          <cell r="LL1074">
            <v>17.982747259685677</v>
          </cell>
          <cell r="LM1074">
            <v>15.721193701553757</v>
          </cell>
          <cell r="LN1074">
            <v>20.244300817817596</v>
          </cell>
          <cell r="LY1074">
            <v>9.9323769302916709</v>
          </cell>
          <cell r="LZ1074">
            <v>14.730476692982464</v>
          </cell>
          <cell r="MA1074">
            <v>11.870949885755934</v>
          </cell>
          <cell r="MB1074">
            <v>9.6544719773798295</v>
          </cell>
          <cell r="MC1074">
            <v>14.087427794132038</v>
          </cell>
        </row>
        <row r="1075">
          <cell r="A1075">
            <v>41031</v>
          </cell>
          <cell r="LJ1075">
            <v>15.649647839769422</v>
          </cell>
          <cell r="LK1075">
            <v>20.020152274152959</v>
          </cell>
          <cell r="LL1075">
            <v>17.982747259685677</v>
          </cell>
          <cell r="LM1075">
            <v>15.721193701553757</v>
          </cell>
          <cell r="LN1075">
            <v>20.244300817817596</v>
          </cell>
          <cell r="LY1075">
            <v>9.91096036273359</v>
          </cell>
          <cell r="LZ1075">
            <v>14.730476692982464</v>
          </cell>
          <cell r="MA1075">
            <v>11.870949885755934</v>
          </cell>
          <cell r="MB1075">
            <v>9.6544719773798295</v>
          </cell>
          <cell r="MC1075">
            <v>14.087427794132038</v>
          </cell>
        </row>
        <row r="1076">
          <cell r="A1076">
            <v>41032</v>
          </cell>
          <cell r="LJ1076">
            <v>15.491598729868402</v>
          </cell>
          <cell r="LK1076">
            <v>20.020152274152959</v>
          </cell>
          <cell r="LL1076">
            <v>17.982747259685677</v>
          </cell>
          <cell r="LM1076">
            <v>15.721193701553757</v>
          </cell>
          <cell r="LN1076">
            <v>20.244300817817596</v>
          </cell>
          <cell r="LY1076">
            <v>9.8203547982810946</v>
          </cell>
          <cell r="LZ1076">
            <v>14.730476692982464</v>
          </cell>
          <cell r="MA1076">
            <v>11.870949885755934</v>
          </cell>
          <cell r="MB1076">
            <v>9.6544719773798295</v>
          </cell>
          <cell r="MC1076">
            <v>14.087427794132038</v>
          </cell>
        </row>
        <row r="1077">
          <cell r="A1077">
            <v>41033</v>
          </cell>
          <cell r="LJ1077">
            <v>15.396658934026938</v>
          </cell>
          <cell r="LK1077">
            <v>20.020152274152959</v>
          </cell>
          <cell r="LL1077">
            <v>17.982747259685677</v>
          </cell>
          <cell r="LM1077">
            <v>15.721193701553757</v>
          </cell>
          <cell r="LN1077">
            <v>20.244300817817596</v>
          </cell>
          <cell r="LY1077">
            <v>9.769286815435283</v>
          </cell>
          <cell r="LZ1077">
            <v>14.730476692982464</v>
          </cell>
          <cell r="MA1077">
            <v>11.870949885755934</v>
          </cell>
          <cell r="MB1077">
            <v>9.6544719773798295</v>
          </cell>
          <cell r="MC1077">
            <v>14.087427794132038</v>
          </cell>
        </row>
        <row r="1078">
          <cell r="A1078">
            <v>41036</v>
          </cell>
          <cell r="LJ1078">
            <v>15.405276181208226</v>
          </cell>
          <cell r="LK1078">
            <v>20.020152274152959</v>
          </cell>
          <cell r="LL1078">
            <v>17.982747259685677</v>
          </cell>
          <cell r="LM1078">
            <v>15.721193701553757</v>
          </cell>
          <cell r="LN1078">
            <v>20.244300817817596</v>
          </cell>
          <cell r="LY1078">
            <v>9.7742287454393182</v>
          </cell>
          <cell r="LZ1078">
            <v>14.730476692982464</v>
          </cell>
          <cell r="MA1078">
            <v>11.870949885755934</v>
          </cell>
          <cell r="MB1078">
            <v>9.6544719773798295</v>
          </cell>
          <cell r="MC1078">
            <v>14.087427794132038</v>
          </cell>
        </row>
        <row r="1079">
          <cell r="A1079">
            <v>41037</v>
          </cell>
          <cell r="LJ1079">
            <v>15.560394386252419</v>
          </cell>
          <cell r="LK1079">
            <v>20.020152274152959</v>
          </cell>
          <cell r="LL1079">
            <v>17.982747259685677</v>
          </cell>
          <cell r="LM1079">
            <v>15.721193701553757</v>
          </cell>
          <cell r="LN1079">
            <v>20.244300817817596</v>
          </cell>
          <cell r="LY1079">
            <v>9.8631879333972545</v>
          </cell>
          <cell r="LZ1079">
            <v>14.730476692982464</v>
          </cell>
          <cell r="MA1079">
            <v>11.870949885755934</v>
          </cell>
          <cell r="MB1079">
            <v>9.6544719773798295</v>
          </cell>
          <cell r="MC1079">
            <v>14.087427794132038</v>
          </cell>
        </row>
        <row r="1080">
          <cell r="A1080">
            <v>41038</v>
          </cell>
          <cell r="LJ1080">
            <v>15.471342796185651</v>
          </cell>
          <cell r="LK1080">
            <v>20.020152274152959</v>
          </cell>
          <cell r="LL1080">
            <v>17.982747259685677</v>
          </cell>
          <cell r="LM1080">
            <v>15.721193701553757</v>
          </cell>
          <cell r="LN1080">
            <v>20.244300817817596</v>
          </cell>
          <cell r="LY1080">
            <v>9.8121174795040726</v>
          </cell>
          <cell r="LZ1080">
            <v>14.730476692982464</v>
          </cell>
          <cell r="MA1080">
            <v>11.870949885755934</v>
          </cell>
          <cell r="MB1080">
            <v>9.6544719773798295</v>
          </cell>
          <cell r="MC1080">
            <v>14.087427794132038</v>
          </cell>
        </row>
        <row r="1081">
          <cell r="A1081">
            <v>41039</v>
          </cell>
          <cell r="LJ1081">
            <v>15.434003019489902</v>
          </cell>
          <cell r="LK1081">
            <v>20.020152274152959</v>
          </cell>
          <cell r="LL1081">
            <v>17.982747259685677</v>
          </cell>
          <cell r="LM1081">
            <v>15.721193701553757</v>
          </cell>
          <cell r="LN1081">
            <v>20.244300817817596</v>
          </cell>
          <cell r="LY1081">
            <v>9.7907033829933638</v>
          </cell>
          <cell r="LZ1081">
            <v>14.730476692982464</v>
          </cell>
          <cell r="MA1081">
            <v>11.870949885755934</v>
          </cell>
          <cell r="MB1081">
            <v>9.6544719773798295</v>
          </cell>
          <cell r="MC1081">
            <v>14.087427794132038</v>
          </cell>
        </row>
        <row r="1082">
          <cell r="A1082">
            <v>41040</v>
          </cell>
          <cell r="LJ1082">
            <v>15.413893428389516</v>
          </cell>
          <cell r="LK1082">
            <v>20.020152274152959</v>
          </cell>
          <cell r="LL1082">
            <v>17.982747259685677</v>
          </cell>
          <cell r="LM1082">
            <v>15.721193701553757</v>
          </cell>
          <cell r="LN1082">
            <v>20.244300817817596</v>
          </cell>
          <cell r="LY1082">
            <v>9.7791706754433569</v>
          </cell>
          <cell r="LZ1082">
            <v>14.730476692982464</v>
          </cell>
          <cell r="MA1082">
            <v>11.870949885755934</v>
          </cell>
          <cell r="MB1082">
            <v>9.6544719773798295</v>
          </cell>
          <cell r="MC1082">
            <v>14.087427794132038</v>
          </cell>
        </row>
        <row r="1083">
          <cell r="A1083">
            <v>41043</v>
          </cell>
          <cell r="LJ1083">
            <v>15.244416400222846</v>
          </cell>
          <cell r="LK1083">
            <v>20.020152274152959</v>
          </cell>
          <cell r="LL1083">
            <v>17.982747259685677</v>
          </cell>
          <cell r="LM1083">
            <v>15.721193701553757</v>
          </cell>
          <cell r="LN1083">
            <v>20.244300817817596</v>
          </cell>
          <cell r="LY1083">
            <v>9.6819768044922618</v>
          </cell>
          <cell r="LZ1083">
            <v>14.730476692982464</v>
          </cell>
          <cell r="MA1083">
            <v>11.870949885755934</v>
          </cell>
          <cell r="MB1083">
            <v>9.6544719773798295</v>
          </cell>
          <cell r="MC1083">
            <v>14.087427794132038</v>
          </cell>
        </row>
        <row r="1084">
          <cell r="A1084">
            <v>41044</v>
          </cell>
          <cell r="LJ1084">
            <v>15.198455067578593</v>
          </cell>
          <cell r="LK1084">
            <v>20.020152274152959</v>
          </cell>
          <cell r="LL1084">
            <v>17.982747259685677</v>
          </cell>
          <cell r="LM1084">
            <v>15.721193701553757</v>
          </cell>
          <cell r="LN1084">
            <v>20.244300817817596</v>
          </cell>
          <cell r="LY1084">
            <v>9.655618306930144</v>
          </cell>
          <cell r="LZ1084">
            <v>14.730476692982464</v>
          </cell>
          <cell r="MA1084">
            <v>11.870949885755934</v>
          </cell>
          <cell r="MB1084">
            <v>9.6544719773798295</v>
          </cell>
          <cell r="MC1084">
            <v>14.087427794132038</v>
          </cell>
        </row>
        <row r="1085">
          <cell r="A1085">
            <v>41045</v>
          </cell>
          <cell r="LJ1085">
            <v>15.063446740885933</v>
          </cell>
          <cell r="LK1085">
            <v>20.020152274152959</v>
          </cell>
          <cell r="LL1085">
            <v>17.982747259685677</v>
          </cell>
          <cell r="LM1085">
            <v>15.721193701553757</v>
          </cell>
          <cell r="LN1085">
            <v>20.244300817817596</v>
          </cell>
          <cell r="LY1085">
            <v>9.5781919912587057</v>
          </cell>
          <cell r="LZ1085">
            <v>14.730476692982464</v>
          </cell>
          <cell r="MA1085">
            <v>11.870949885755934</v>
          </cell>
          <cell r="MB1085">
            <v>9.6544719773798295</v>
          </cell>
          <cell r="MC1085">
            <v>14.087427794132038</v>
          </cell>
        </row>
        <row r="1086">
          <cell r="A1086">
            <v>41046</v>
          </cell>
          <cell r="LJ1086">
            <v>14.899341117581566</v>
          </cell>
          <cell r="LK1086">
            <v>20.020152274152959</v>
          </cell>
          <cell r="LL1086">
            <v>17.982747259685677</v>
          </cell>
          <cell r="LM1086">
            <v>15.721193701553757</v>
          </cell>
          <cell r="LN1086">
            <v>20.244300817817596</v>
          </cell>
          <cell r="LY1086">
            <v>9.4797837999949461</v>
          </cell>
          <cell r="LZ1086">
            <v>14.730476692982464</v>
          </cell>
          <cell r="MA1086">
            <v>11.870949885755934</v>
          </cell>
          <cell r="MB1086">
            <v>9.6544719773798295</v>
          </cell>
          <cell r="MC1086">
            <v>14.087427794132038</v>
          </cell>
        </row>
        <row r="1087">
          <cell r="A1087">
            <v>41047</v>
          </cell>
          <cell r="LJ1087">
            <v>14.810313516604253</v>
          </cell>
          <cell r="LK1087">
            <v>20.020152274152959</v>
          </cell>
          <cell r="LL1087">
            <v>17.982747259685677</v>
          </cell>
          <cell r="LM1087">
            <v>15.721193701553757</v>
          </cell>
          <cell r="LN1087">
            <v>20.244300817817596</v>
          </cell>
          <cell r="LY1087">
            <v>9.4287491233415572</v>
          </cell>
          <cell r="LZ1087">
            <v>14.730476692982464</v>
          </cell>
          <cell r="MA1087">
            <v>11.870949885755934</v>
          </cell>
          <cell r="MB1087">
            <v>9.6544719773798295</v>
          </cell>
          <cell r="MC1087">
            <v>14.087427794132038</v>
          </cell>
        </row>
        <row r="1088">
          <cell r="A1088">
            <v>41050</v>
          </cell>
          <cell r="LJ1088">
            <v>15.129092850226247</v>
          </cell>
          <cell r="LK1088">
            <v>20.020152274152959</v>
          </cell>
          <cell r="LL1088">
            <v>17.982747259685677</v>
          </cell>
          <cell r="LM1088">
            <v>15.721193701553757</v>
          </cell>
          <cell r="LN1088">
            <v>20.244300817817596</v>
          </cell>
          <cell r="LY1088">
            <v>9.6114879597988878</v>
          </cell>
          <cell r="LZ1088">
            <v>14.730476692982464</v>
          </cell>
          <cell r="MA1088">
            <v>11.870949885755934</v>
          </cell>
          <cell r="MB1088">
            <v>9.6544719773798295</v>
          </cell>
          <cell r="MC1088">
            <v>14.087427794132038</v>
          </cell>
        </row>
        <row r="1089">
          <cell r="A1089">
            <v>41051</v>
          </cell>
          <cell r="LJ1089">
            <v>14.965393344262399</v>
          </cell>
          <cell r="LK1089">
            <v>20.020152274152959</v>
          </cell>
          <cell r="LL1089">
            <v>17.982747259685677</v>
          </cell>
          <cell r="LM1089">
            <v>15.721193701553757</v>
          </cell>
          <cell r="LN1089">
            <v>20.244300817817596</v>
          </cell>
          <cell r="LY1089">
            <v>9.5176479454272354</v>
          </cell>
          <cell r="LZ1089">
            <v>14.730476692982464</v>
          </cell>
          <cell r="MA1089">
            <v>11.870949885755934</v>
          </cell>
          <cell r="MB1089">
            <v>9.6544719773798295</v>
          </cell>
          <cell r="MC1089">
            <v>14.087427794132038</v>
          </cell>
        </row>
        <row r="1090">
          <cell r="A1090">
            <v>41052</v>
          </cell>
          <cell r="LJ1090">
            <v>15.149198061765771</v>
          </cell>
          <cell r="LK1090">
            <v>20.020152274152959</v>
          </cell>
          <cell r="LL1090">
            <v>17.982747259685677</v>
          </cell>
          <cell r="LM1090">
            <v>15.721193701553757</v>
          </cell>
          <cell r="LN1090">
            <v>20.244300817817596</v>
          </cell>
          <cell r="LY1090">
            <v>9.6230131829735441</v>
          </cell>
          <cell r="LZ1090">
            <v>14.730476692982464</v>
          </cell>
          <cell r="MA1090">
            <v>11.870949885755934</v>
          </cell>
          <cell r="MB1090">
            <v>9.6544719773798295</v>
          </cell>
          <cell r="MC1090">
            <v>14.087427794132038</v>
          </cell>
        </row>
        <row r="1091">
          <cell r="A1091">
            <v>41053</v>
          </cell>
          <cell r="LJ1091">
            <v>15.172169415422008</v>
          </cell>
          <cell r="LK1091">
            <v>20.020152274152959</v>
          </cell>
          <cell r="LL1091">
            <v>17.982747259685677</v>
          </cell>
          <cell r="LM1091">
            <v>15.721193701553757</v>
          </cell>
          <cell r="LN1091">
            <v>20.244300817817596</v>
          </cell>
          <cell r="LY1091">
            <v>9.6361814093804927</v>
          </cell>
          <cell r="LZ1091">
            <v>14.730476692982464</v>
          </cell>
          <cell r="MA1091">
            <v>11.870949885755934</v>
          </cell>
          <cell r="MB1091">
            <v>9.6544719773798295</v>
          </cell>
          <cell r="MC1091">
            <v>14.087427794132038</v>
          </cell>
        </row>
        <row r="1092">
          <cell r="A1092">
            <v>41054</v>
          </cell>
          <cell r="LJ1092">
            <v>15.152068511711315</v>
          </cell>
          <cell r="LK1092">
            <v>20.020152274152959</v>
          </cell>
          <cell r="LL1092">
            <v>17.982747259685677</v>
          </cell>
          <cell r="LM1092">
            <v>15.721193701553757</v>
          </cell>
          <cell r="LN1092">
            <v>20.244300817817596</v>
          </cell>
          <cell r="LY1092">
            <v>9.6246586556495721</v>
          </cell>
          <cell r="LZ1092">
            <v>14.730476692982464</v>
          </cell>
          <cell r="MA1092">
            <v>11.870949885755934</v>
          </cell>
          <cell r="MB1092">
            <v>9.6544719773798295</v>
          </cell>
          <cell r="MC1092">
            <v>14.087427794132038</v>
          </cell>
        </row>
        <row r="1093">
          <cell r="A1093">
            <v>41057</v>
          </cell>
          <cell r="LJ1093">
            <v>15.152068511711315</v>
          </cell>
          <cell r="LK1093">
            <v>20.020152274152959</v>
          </cell>
          <cell r="LL1093">
            <v>17.982747259685677</v>
          </cell>
          <cell r="LM1093">
            <v>15.721193701553757</v>
          </cell>
          <cell r="LN1093">
            <v>20.244300817817596</v>
          </cell>
          <cell r="LY1093">
            <v>9.6246586556495721</v>
          </cell>
          <cell r="LZ1093">
            <v>14.730476692982464</v>
          </cell>
          <cell r="MA1093">
            <v>11.870949885755934</v>
          </cell>
          <cell r="MB1093">
            <v>9.6544719773798295</v>
          </cell>
          <cell r="MC1093">
            <v>14.087427794132038</v>
          </cell>
        </row>
        <row r="1094">
          <cell r="A1094">
            <v>41058</v>
          </cell>
          <cell r="LJ1094">
            <v>15.347105443904324</v>
          </cell>
          <cell r="LK1094">
            <v>20.020152274152959</v>
          </cell>
          <cell r="LL1094">
            <v>17.982747259685677</v>
          </cell>
          <cell r="LM1094">
            <v>15.721193701553757</v>
          </cell>
          <cell r="LN1094">
            <v>20.244300817817596</v>
          </cell>
          <cell r="LY1094">
            <v>9.7426579306193304</v>
          </cell>
          <cell r="LZ1094">
            <v>14.730476692982464</v>
          </cell>
          <cell r="MA1094">
            <v>11.870949885755934</v>
          </cell>
          <cell r="MB1094">
            <v>9.6544719773798295</v>
          </cell>
          <cell r="MC1094">
            <v>14.087427794132038</v>
          </cell>
        </row>
        <row r="1095">
          <cell r="A1095">
            <v>41059</v>
          </cell>
          <cell r="LJ1095">
            <v>14.976778815480989</v>
          </cell>
          <cell r="LK1095">
            <v>20.020152274152959</v>
          </cell>
          <cell r="LL1095">
            <v>17.982747259685677</v>
          </cell>
          <cell r="LM1095">
            <v>15.721193701553757</v>
          </cell>
          <cell r="LN1095">
            <v>20.244300817817596</v>
          </cell>
          <cell r="LY1095">
            <v>9.5302267625296473</v>
          </cell>
          <cell r="LZ1095">
            <v>14.730476692982464</v>
          </cell>
          <cell r="MA1095">
            <v>11.870949885755934</v>
          </cell>
          <cell r="MB1095">
            <v>9.6544719773798295</v>
          </cell>
          <cell r="MC1095">
            <v>14.087427794132038</v>
          </cell>
        </row>
        <row r="1096">
          <cell r="A1096">
            <v>41060</v>
          </cell>
          <cell r="LJ1096">
            <v>14.919359790780206</v>
          </cell>
          <cell r="LK1096">
            <v>20.020152274152959</v>
          </cell>
          <cell r="LL1096">
            <v>17.982747259685677</v>
          </cell>
          <cell r="LM1096">
            <v>15.721193701553757</v>
          </cell>
          <cell r="LN1096">
            <v>20.244300817817596</v>
          </cell>
          <cell r="LY1096">
            <v>9.4972893782003371</v>
          </cell>
          <cell r="LZ1096">
            <v>14.730476692982464</v>
          </cell>
          <cell r="MA1096">
            <v>11.870949885755934</v>
          </cell>
          <cell r="MB1096">
            <v>9.6544719773798295</v>
          </cell>
          <cell r="MC1096">
            <v>14.087427794132038</v>
          </cell>
        </row>
        <row r="1097">
          <cell r="A1097">
            <v>41061</v>
          </cell>
          <cell r="LJ1097">
            <v>14.170979922545996</v>
          </cell>
          <cell r="LK1097">
            <v>20.020152274152959</v>
          </cell>
          <cell r="LL1097">
            <v>17.982747259685677</v>
          </cell>
          <cell r="LM1097">
            <v>15.721193701553757</v>
          </cell>
          <cell r="LN1097">
            <v>20.244300817817596</v>
          </cell>
          <cell r="LY1097">
            <v>9.077555343794204</v>
          </cell>
          <cell r="LZ1097">
            <v>14.730476692982464</v>
          </cell>
          <cell r="MA1097">
            <v>11.870949885755934</v>
          </cell>
          <cell r="MB1097">
            <v>9.6544719773798295</v>
          </cell>
          <cell r="MC1097">
            <v>14.087427794132038</v>
          </cell>
        </row>
        <row r="1098">
          <cell r="A1098">
            <v>41064</v>
          </cell>
          <cell r="LJ1098">
            <v>14.230714792633478</v>
          </cell>
          <cell r="LK1098">
            <v>20.020152274152959</v>
          </cell>
          <cell r="LL1098">
            <v>17.982747259685677</v>
          </cell>
          <cell r="LM1098">
            <v>15.721193701553757</v>
          </cell>
          <cell r="LN1098">
            <v>20.244300817817596</v>
          </cell>
          <cell r="LY1098">
            <v>9.1118899073082229</v>
          </cell>
          <cell r="LZ1098">
            <v>14.730476692982464</v>
          </cell>
          <cell r="MA1098">
            <v>11.870949885755934</v>
          </cell>
          <cell r="MB1098">
            <v>9.6544719773798295</v>
          </cell>
          <cell r="MC1098">
            <v>14.087427794132038</v>
          </cell>
        </row>
        <row r="1099">
          <cell r="A1099">
            <v>41065</v>
          </cell>
          <cell r="LJ1099">
            <v>14.310358726090735</v>
          </cell>
          <cell r="LK1099">
            <v>20.020152274152959</v>
          </cell>
          <cell r="LL1099">
            <v>17.982747259685677</v>
          </cell>
          <cell r="LM1099">
            <v>15.721193701553757</v>
          </cell>
          <cell r="LN1099">
            <v>20.244300817817596</v>
          </cell>
          <cell r="LY1099">
            <v>9.1576246290003347</v>
          </cell>
          <cell r="LZ1099">
            <v>14.730476692982464</v>
          </cell>
          <cell r="MA1099">
            <v>11.870949885755934</v>
          </cell>
          <cell r="MB1099">
            <v>9.6544719773798295</v>
          </cell>
          <cell r="MC1099">
            <v>14.087427794132038</v>
          </cell>
        </row>
        <row r="1100">
          <cell r="A1100">
            <v>41066</v>
          </cell>
          <cell r="LJ1100">
            <v>14.597645375586486</v>
          </cell>
          <cell r="LK1100">
            <v>20.020152274152959</v>
          </cell>
          <cell r="LL1100">
            <v>17.982747259685677</v>
          </cell>
          <cell r="LM1100">
            <v>15.721193701553757</v>
          </cell>
          <cell r="LN1100">
            <v>20.244300817817596</v>
          </cell>
          <cell r="LY1100">
            <v>9.3227512148825884</v>
          </cell>
          <cell r="LZ1100">
            <v>14.730476692982464</v>
          </cell>
          <cell r="MA1100">
            <v>11.870949885755934</v>
          </cell>
          <cell r="MB1100">
            <v>9.6544719773798295</v>
          </cell>
          <cell r="MC1100">
            <v>14.087427794132038</v>
          </cell>
        </row>
        <row r="1101">
          <cell r="A1101">
            <v>41067</v>
          </cell>
          <cell r="LJ1101">
            <v>14.540757501845327</v>
          </cell>
          <cell r="LK1101">
            <v>20.020152274152959</v>
          </cell>
          <cell r="LL1101">
            <v>17.982747259685677</v>
          </cell>
          <cell r="LM1101">
            <v>15.721193701553757</v>
          </cell>
          <cell r="LN1101">
            <v>20.244300817817596</v>
          </cell>
          <cell r="LY1101">
            <v>9.2900532096482138</v>
          </cell>
          <cell r="LZ1101">
            <v>14.730476692982464</v>
          </cell>
          <cell r="MA1101">
            <v>11.870949885755934</v>
          </cell>
          <cell r="MB1101">
            <v>9.6544719773798295</v>
          </cell>
          <cell r="MC1101">
            <v>14.087427794132038</v>
          </cell>
        </row>
        <row r="1102">
          <cell r="A1102">
            <v>41068</v>
          </cell>
          <cell r="LJ1102">
            <v>14.65169023519222</v>
          </cell>
          <cell r="LK1102">
            <v>20.020152274152959</v>
          </cell>
          <cell r="LL1102">
            <v>17.982747259685677</v>
          </cell>
          <cell r="LM1102">
            <v>15.721193701553757</v>
          </cell>
          <cell r="LN1102">
            <v>20.244300817817596</v>
          </cell>
          <cell r="LY1102">
            <v>9.3538151127937645</v>
          </cell>
          <cell r="LZ1102">
            <v>14.730476692982464</v>
          </cell>
          <cell r="MA1102">
            <v>11.870949885755934</v>
          </cell>
          <cell r="MB1102">
            <v>9.6544719773798295</v>
          </cell>
          <cell r="MC1102">
            <v>14.087427794132038</v>
          </cell>
        </row>
        <row r="1103">
          <cell r="A1103">
            <v>41071</v>
          </cell>
          <cell r="LJ1103">
            <v>14.438357508671976</v>
          </cell>
          <cell r="LK1103">
            <v>20.020152274152959</v>
          </cell>
          <cell r="LL1103">
            <v>17.982747259685677</v>
          </cell>
          <cell r="LM1103">
            <v>15.721193701553757</v>
          </cell>
          <cell r="LN1103">
            <v>20.244300817817596</v>
          </cell>
          <cell r="LY1103">
            <v>9.2311957538744736</v>
          </cell>
          <cell r="LZ1103">
            <v>14.730476692982464</v>
          </cell>
          <cell r="MA1103">
            <v>11.870949885755934</v>
          </cell>
          <cell r="MB1103">
            <v>9.6544719773798295</v>
          </cell>
          <cell r="MC1103">
            <v>14.087427794132038</v>
          </cell>
        </row>
        <row r="1104">
          <cell r="A1104">
            <v>41072</v>
          </cell>
          <cell r="LJ1104">
            <v>14.643157210575046</v>
          </cell>
          <cell r="LK1104">
            <v>20.020152274152959</v>
          </cell>
          <cell r="LL1104">
            <v>17.982747259685677</v>
          </cell>
          <cell r="LM1104">
            <v>15.721193701553757</v>
          </cell>
          <cell r="LN1104">
            <v>20.244300817817596</v>
          </cell>
          <cell r="LY1104">
            <v>9.348910501929474</v>
          </cell>
          <cell r="LZ1104">
            <v>14.730476692982464</v>
          </cell>
          <cell r="MA1104">
            <v>11.870949885755934</v>
          </cell>
          <cell r="MB1104">
            <v>9.6544719773798295</v>
          </cell>
          <cell r="MC1104">
            <v>14.087427794132038</v>
          </cell>
        </row>
        <row r="1105">
          <cell r="A1105">
            <v>41073</v>
          </cell>
          <cell r="LJ1105">
            <v>14.498362564442711</v>
          </cell>
          <cell r="LK1105">
            <v>20.020152274152959</v>
          </cell>
          <cell r="LL1105">
            <v>17.982747259685677</v>
          </cell>
          <cell r="LM1105">
            <v>15.721193701553757</v>
          </cell>
          <cell r="LN1105">
            <v>20.244300817817596</v>
          </cell>
          <cell r="LY1105">
            <v>9.2842966911104732</v>
          </cell>
          <cell r="LZ1105">
            <v>14.730476692982464</v>
          </cell>
          <cell r="MA1105">
            <v>11.870949885755934</v>
          </cell>
          <cell r="MB1105">
            <v>9.6544719773798295</v>
          </cell>
          <cell r="MC1105">
            <v>14.087427794132038</v>
          </cell>
        </row>
        <row r="1106">
          <cell r="A1106">
            <v>41074</v>
          </cell>
          <cell r="LJ1106">
            <v>14.635004170450438</v>
          </cell>
          <cell r="LK1106">
            <v>20.020152274152959</v>
          </cell>
          <cell r="LL1106">
            <v>17.982747259685677</v>
          </cell>
          <cell r="LM1106">
            <v>15.721193701553757</v>
          </cell>
          <cell r="LN1106">
            <v>20.244300817817596</v>
          </cell>
          <cell r="LY1106">
            <v>9.3629869241352033</v>
          </cell>
          <cell r="LZ1106">
            <v>14.730476692982464</v>
          </cell>
          <cell r="MA1106">
            <v>11.870949885755934</v>
          </cell>
          <cell r="MB1106">
            <v>9.6544719773798295</v>
          </cell>
          <cell r="MC1106">
            <v>14.087427794132038</v>
          </cell>
        </row>
        <row r="1107">
          <cell r="A1107">
            <v>41075</v>
          </cell>
          <cell r="LJ1107">
            <v>14.714712153518123</v>
          </cell>
          <cell r="LK1107">
            <v>20.020152274152959</v>
          </cell>
          <cell r="LL1107">
            <v>17.982747259685677</v>
          </cell>
          <cell r="LM1107">
            <v>15.721193701553757</v>
          </cell>
          <cell r="LN1107">
            <v>20.244300817817596</v>
          </cell>
          <cell r="LY1107">
            <v>9.408889778652096</v>
          </cell>
          <cell r="LZ1107">
            <v>14.730476692982464</v>
          </cell>
          <cell r="MA1107">
            <v>11.870949885755934</v>
          </cell>
          <cell r="MB1107">
            <v>9.6544719773798295</v>
          </cell>
          <cell r="MC1107">
            <v>14.087427794132038</v>
          </cell>
        </row>
        <row r="1108">
          <cell r="A1108">
            <v>41078</v>
          </cell>
          <cell r="LJ1108">
            <v>14.786677457227205</v>
          </cell>
          <cell r="LK1108">
            <v>20.020152274152959</v>
          </cell>
          <cell r="LL1108">
            <v>17.982747259685677</v>
          </cell>
          <cell r="LM1108">
            <v>15.721193701553757</v>
          </cell>
          <cell r="LN1108">
            <v>20.244300817817596</v>
          </cell>
          <cell r="LY1108">
            <v>9.4416796162502035</v>
          </cell>
          <cell r="LZ1108">
            <v>14.730476692982464</v>
          </cell>
          <cell r="MA1108">
            <v>11.870949885755934</v>
          </cell>
          <cell r="MB1108">
            <v>9.6544719773798295</v>
          </cell>
          <cell r="MC1108">
            <v>14.087427794132038</v>
          </cell>
        </row>
        <row r="1109">
          <cell r="A1109">
            <v>41079</v>
          </cell>
          <cell r="LJ1109">
            <v>15.051690109539386</v>
          </cell>
          <cell r="LK1109">
            <v>20.020152274152959</v>
          </cell>
          <cell r="LL1109">
            <v>17.982747259685677</v>
          </cell>
          <cell r="LM1109">
            <v>15.721193701553757</v>
          </cell>
          <cell r="LN1109">
            <v>20.244300817817596</v>
          </cell>
          <cell r="LY1109">
            <v>9.5941761224531596</v>
          </cell>
          <cell r="LZ1109">
            <v>14.730476692982464</v>
          </cell>
          <cell r="MA1109">
            <v>11.870949885755934</v>
          </cell>
          <cell r="MB1109">
            <v>9.6544719773798295</v>
          </cell>
          <cell r="MC1109">
            <v>14.087427794132038</v>
          </cell>
        </row>
        <row r="1110">
          <cell r="A1110">
            <v>41080</v>
          </cell>
          <cell r="LJ1110">
            <v>14.983297523110418</v>
          </cell>
          <cell r="LK1110">
            <v>20.020152274152959</v>
          </cell>
          <cell r="LL1110">
            <v>17.982747259685677</v>
          </cell>
          <cell r="LM1110">
            <v>15.721193701553757</v>
          </cell>
          <cell r="LN1110">
            <v>20.244300817817596</v>
          </cell>
          <cell r="LY1110">
            <v>9.5548182490316798</v>
          </cell>
          <cell r="LZ1110">
            <v>14.730476692982464</v>
          </cell>
          <cell r="MA1110">
            <v>11.870949885755934</v>
          </cell>
          <cell r="MB1110">
            <v>9.6544719773798295</v>
          </cell>
          <cell r="MC1110">
            <v>14.087427794132038</v>
          </cell>
        </row>
        <row r="1111">
          <cell r="A1111">
            <v>41081</v>
          </cell>
          <cell r="LJ1111">
            <v>14.592901027002997</v>
          </cell>
          <cell r="LK1111">
            <v>20.020152274152959</v>
          </cell>
          <cell r="LL1111">
            <v>17.982747259685677</v>
          </cell>
          <cell r="LM1111">
            <v>15.721193701553757</v>
          </cell>
          <cell r="LN1111">
            <v>20.244300817817596</v>
          </cell>
          <cell r="LY1111">
            <v>9.33022162549074</v>
          </cell>
          <cell r="LZ1111">
            <v>14.730476692982464</v>
          </cell>
          <cell r="MA1111">
            <v>11.870949885755934</v>
          </cell>
          <cell r="MB1111">
            <v>9.6544719773798295</v>
          </cell>
          <cell r="MC1111">
            <v>14.087427794132038</v>
          </cell>
        </row>
        <row r="1112">
          <cell r="A1112">
            <v>41082</v>
          </cell>
          <cell r="LJ1112">
            <v>14.681238672761053</v>
          </cell>
          <cell r="LK1112">
            <v>20.020152274152959</v>
          </cell>
          <cell r="LL1112">
            <v>17.982747259685677</v>
          </cell>
          <cell r="LM1112">
            <v>15.721193701553757</v>
          </cell>
          <cell r="LN1112">
            <v>20.244300817817596</v>
          </cell>
          <cell r="LY1112">
            <v>9.3810426168844625</v>
          </cell>
          <cell r="LZ1112">
            <v>14.730476692982464</v>
          </cell>
          <cell r="MA1112">
            <v>11.870949885755934</v>
          </cell>
          <cell r="MB1112">
            <v>9.6544719773798295</v>
          </cell>
          <cell r="MC1112">
            <v>14.087427794132038</v>
          </cell>
        </row>
        <row r="1113">
          <cell r="A1113">
            <v>41085</v>
          </cell>
          <cell r="LJ1113">
            <v>14.409711378116048</v>
          </cell>
          <cell r="LK1113">
            <v>20.020152274152959</v>
          </cell>
          <cell r="LL1113">
            <v>17.982747259685677</v>
          </cell>
          <cell r="LM1113">
            <v>15.721193701553757</v>
          </cell>
          <cell r="LN1113">
            <v>20.244300817817596</v>
          </cell>
          <cell r="LY1113">
            <v>9.2220207416017388</v>
          </cell>
          <cell r="LZ1113">
            <v>14.730476692982464</v>
          </cell>
          <cell r="MA1113">
            <v>11.870949885755934</v>
          </cell>
          <cell r="MB1113">
            <v>9.6544719773798295</v>
          </cell>
          <cell r="MC1113">
            <v>14.087427794132038</v>
          </cell>
        </row>
        <row r="1114">
          <cell r="A1114">
            <v>41086</v>
          </cell>
          <cell r="LJ1114">
            <v>14.344149313721298</v>
          </cell>
          <cell r="LK1114">
            <v>20.020152274152959</v>
          </cell>
          <cell r="LL1114">
            <v>17.982747259685677</v>
          </cell>
          <cell r="LM1114">
            <v>15.721193701553757</v>
          </cell>
          <cell r="LN1114">
            <v>20.244300817817596</v>
          </cell>
          <cell r="LY1114">
            <v>9.1843154211945119</v>
          </cell>
          <cell r="LZ1114">
            <v>14.730476692982464</v>
          </cell>
          <cell r="MA1114">
            <v>11.870949885755934</v>
          </cell>
          <cell r="MB1114">
            <v>9.6544719773798295</v>
          </cell>
          <cell r="MC1114">
            <v>14.087427794132038</v>
          </cell>
        </row>
        <row r="1115">
          <cell r="A1115">
            <v>41087</v>
          </cell>
          <cell r="LJ1115">
            <v>14.451064995548249</v>
          </cell>
          <cell r="LK1115">
            <v>20.020152274152959</v>
          </cell>
          <cell r="LL1115">
            <v>17.982747259685677</v>
          </cell>
          <cell r="LM1115">
            <v>15.721193701553757</v>
          </cell>
          <cell r="LN1115">
            <v>20.244300817817596</v>
          </cell>
          <cell r="LY1115">
            <v>9.2452662867321358</v>
          </cell>
          <cell r="LZ1115">
            <v>14.730476692982464</v>
          </cell>
          <cell r="MA1115">
            <v>11.870949885755934</v>
          </cell>
          <cell r="MB1115">
            <v>9.6544719773798295</v>
          </cell>
          <cell r="MC1115">
            <v>14.087427794132038</v>
          </cell>
        </row>
        <row r="1116">
          <cell r="A1116">
            <v>41088</v>
          </cell>
          <cell r="LJ1116">
            <v>14.248451304705156</v>
          </cell>
          <cell r="LK1116">
            <v>20.020152274152959</v>
          </cell>
          <cell r="LL1116">
            <v>17.982747259685677</v>
          </cell>
          <cell r="LM1116">
            <v>15.721193701553757</v>
          </cell>
          <cell r="LN1116">
            <v>20.244300817817596</v>
          </cell>
          <cell r="LY1116">
            <v>9.1287609488710455</v>
          </cell>
          <cell r="LZ1116">
            <v>14.730476692982464</v>
          </cell>
          <cell r="MA1116">
            <v>11.870949885755934</v>
          </cell>
          <cell r="MB1116">
            <v>9.6544719773798295</v>
          </cell>
          <cell r="MC1116">
            <v>14.087427794132038</v>
          </cell>
        </row>
        <row r="1117">
          <cell r="A1117">
            <v>41089</v>
          </cell>
          <cell r="LJ1117">
            <v>14.861992043923932</v>
          </cell>
          <cell r="LK1117">
            <v>20.020152274152959</v>
          </cell>
          <cell r="LL1117">
            <v>17.982747259685677</v>
          </cell>
          <cell r="LM1117">
            <v>15.721193701553757</v>
          </cell>
          <cell r="LN1117">
            <v>20.244300817817596</v>
          </cell>
          <cell r="LY1117">
            <v>9.4815543401605957</v>
          </cell>
          <cell r="LZ1117">
            <v>14.730476692982464</v>
          </cell>
          <cell r="MA1117">
            <v>11.870949885755934</v>
          </cell>
          <cell r="MB1117">
            <v>9.6544719773798295</v>
          </cell>
          <cell r="MC1117">
            <v>14.087427794132038</v>
          </cell>
        </row>
        <row r="1118">
          <cell r="A1118">
            <v>41092</v>
          </cell>
          <cell r="LJ1118">
            <v>14.732681155800936</v>
          </cell>
          <cell r="LK1118">
            <v>20.020152274152959</v>
          </cell>
          <cell r="LL1118">
            <v>17.982747259685677</v>
          </cell>
          <cell r="LM1118">
            <v>15.721193701553757</v>
          </cell>
          <cell r="LN1118">
            <v>20.244300817817596</v>
          </cell>
          <cell r="LY1118">
            <v>9.4168716200561722</v>
          </cell>
          <cell r="LZ1118">
            <v>14.730476692982464</v>
          </cell>
          <cell r="MA1118">
            <v>11.870949885755934</v>
          </cell>
          <cell r="MB1118">
            <v>9.6544719773798295</v>
          </cell>
          <cell r="MC1118">
            <v>14.087427794132038</v>
          </cell>
        </row>
        <row r="1119">
          <cell r="A1119">
            <v>41093</v>
          </cell>
          <cell r="LJ1119">
            <v>14.905598516800682</v>
          </cell>
          <cell r="LK1119">
            <v>20.020152274152959</v>
          </cell>
          <cell r="LL1119">
            <v>17.982747259685677</v>
          </cell>
          <cell r="LM1119">
            <v>15.721193701553757</v>
          </cell>
          <cell r="LN1119">
            <v>20.244300817817596</v>
          </cell>
          <cell r="LY1119">
            <v>9.5201321337180929</v>
          </cell>
          <cell r="LZ1119">
            <v>14.730476692982464</v>
          </cell>
          <cell r="MA1119">
            <v>11.870949885755934</v>
          </cell>
          <cell r="MB1119">
            <v>9.6544719773798295</v>
          </cell>
          <cell r="MC1119">
            <v>14.087427794132038</v>
          </cell>
        </row>
        <row r="1120">
          <cell r="A1120">
            <v>41094</v>
          </cell>
          <cell r="LJ1120">
            <v>14.90978361556339</v>
          </cell>
          <cell r="LK1120">
            <v>20.020152274152959</v>
          </cell>
          <cell r="LL1120">
            <v>17.982747259685677</v>
          </cell>
          <cell r="LM1120">
            <v>15.721193701553757</v>
          </cell>
          <cell r="LN1120">
            <v>20.244300817817596</v>
          </cell>
          <cell r="LY1120">
            <v>9.5201321337180929</v>
          </cell>
          <cell r="LZ1120">
            <v>14.730476692982464</v>
          </cell>
          <cell r="MA1120">
            <v>11.870949885755934</v>
          </cell>
          <cell r="MB1120">
            <v>9.6544719773798295</v>
          </cell>
          <cell r="MC1120">
            <v>14.087427794132038</v>
          </cell>
        </row>
        <row r="1121">
          <cell r="A1121">
            <v>41095</v>
          </cell>
          <cell r="LJ1121">
            <v>14.822012934463221</v>
          </cell>
          <cell r="LK1121">
            <v>20.020152274152959</v>
          </cell>
          <cell r="LL1121">
            <v>17.982747259685677</v>
          </cell>
          <cell r="LM1121">
            <v>15.721193701553757</v>
          </cell>
          <cell r="LN1121">
            <v>20.244300817817596</v>
          </cell>
          <cell r="LY1121">
            <v>9.4789523877576052</v>
          </cell>
          <cell r="LZ1121">
            <v>14.730476692982464</v>
          </cell>
          <cell r="MA1121">
            <v>11.870949885755934</v>
          </cell>
          <cell r="MB1121">
            <v>9.6544719773798295</v>
          </cell>
          <cell r="MC1121">
            <v>14.087427794132038</v>
          </cell>
        </row>
        <row r="1122">
          <cell r="A1122">
            <v>41096</v>
          </cell>
          <cell r="LJ1122">
            <v>14.544543955228644</v>
          </cell>
          <cell r="LK1122">
            <v>20.020152274152959</v>
          </cell>
          <cell r="LL1122">
            <v>17.982747259685677</v>
          </cell>
          <cell r="LM1122">
            <v>15.721193701553757</v>
          </cell>
          <cell r="LN1122">
            <v>20.244300817817596</v>
          </cell>
          <cell r="LY1122">
            <v>9.3189364549749847</v>
          </cell>
          <cell r="LZ1122">
            <v>14.730476692982464</v>
          </cell>
          <cell r="MA1122">
            <v>11.870949885755934</v>
          </cell>
          <cell r="MB1122">
            <v>9.6544719773798295</v>
          </cell>
          <cell r="MC1122">
            <v>14.087427794132038</v>
          </cell>
        </row>
        <row r="1123">
          <cell r="A1123">
            <v>41099</v>
          </cell>
          <cell r="LJ1123">
            <v>14.473311806857547</v>
          </cell>
          <cell r="LK1123">
            <v>20.020152274152959</v>
          </cell>
          <cell r="LL1123">
            <v>17.982747259685677</v>
          </cell>
          <cell r="LM1123">
            <v>15.721193701553757</v>
          </cell>
          <cell r="LN1123">
            <v>20.244300817817596</v>
          </cell>
          <cell r="LY1123">
            <v>9.2780837338162705</v>
          </cell>
          <cell r="LZ1123">
            <v>14.730476692982464</v>
          </cell>
          <cell r="MA1123">
            <v>11.870949885755934</v>
          </cell>
          <cell r="MB1123">
            <v>9.6544719773798295</v>
          </cell>
          <cell r="MC1123">
            <v>14.087427794132038</v>
          </cell>
        </row>
        <row r="1124">
          <cell r="A1124">
            <v>41100</v>
          </cell>
          <cell r="LJ1124">
            <v>14.411327433629722</v>
          </cell>
          <cell r="LK1124">
            <v>20.020152274152959</v>
          </cell>
          <cell r="LL1124">
            <v>17.982747259685677</v>
          </cell>
          <cell r="LM1124">
            <v>15.721193701553757</v>
          </cell>
          <cell r="LN1124">
            <v>20.244300817817596</v>
          </cell>
          <cell r="LY1124">
            <v>9.2928281785686764</v>
          </cell>
          <cell r="LZ1124">
            <v>14.730476692982464</v>
          </cell>
          <cell r="MA1124">
            <v>11.870949885755934</v>
          </cell>
          <cell r="MB1124">
            <v>9.6544719773798295</v>
          </cell>
          <cell r="MC1124">
            <v>14.087427794132038</v>
          </cell>
        </row>
        <row r="1125">
          <cell r="A1125">
            <v>41101</v>
          </cell>
          <cell r="LJ1125">
            <v>14.247942970447992</v>
          </cell>
          <cell r="LK1125">
            <v>20.020152274152959</v>
          </cell>
          <cell r="LL1125">
            <v>17.982747259685677</v>
          </cell>
          <cell r="LM1125">
            <v>15.721193701553757</v>
          </cell>
          <cell r="LN1125">
            <v>20.244300817817596</v>
          </cell>
          <cell r="LY1125">
            <v>9.1983339551195851</v>
          </cell>
          <cell r="LZ1125">
            <v>14.730476692982464</v>
          </cell>
          <cell r="MA1125">
            <v>11.870949885755934</v>
          </cell>
          <cell r="MB1125">
            <v>9.6544719773798295</v>
          </cell>
          <cell r="MC1125">
            <v>14.087427794132038</v>
          </cell>
        </row>
        <row r="1126">
          <cell r="A1126">
            <v>41102</v>
          </cell>
          <cell r="LJ1126">
            <v>14.055549359726102</v>
          </cell>
          <cell r="LK1126">
            <v>20.020152274152959</v>
          </cell>
          <cell r="LL1126">
            <v>17.982747259685677</v>
          </cell>
          <cell r="LM1126">
            <v>15.721193701553757</v>
          </cell>
          <cell r="LN1126">
            <v>20.244300817817596</v>
          </cell>
          <cell r="LY1126">
            <v>9.0718643234604563</v>
          </cell>
          <cell r="LZ1126">
            <v>14.730476692982464</v>
          </cell>
          <cell r="MA1126">
            <v>11.870949885755934</v>
          </cell>
          <cell r="MB1126">
            <v>9.6544719773798295</v>
          </cell>
          <cell r="MC1126">
            <v>14.087427794132038</v>
          </cell>
        </row>
        <row r="1127">
          <cell r="A1127">
            <v>41103</v>
          </cell>
          <cell r="LJ1127">
            <v>14.387747279118038</v>
          </cell>
          <cell r="LK1127">
            <v>20.020152274152959</v>
          </cell>
          <cell r="LL1127">
            <v>17.982747259685677</v>
          </cell>
          <cell r="LM1127">
            <v>15.721193701553757</v>
          </cell>
          <cell r="LN1127">
            <v>20.244300817817596</v>
          </cell>
          <cell r="LY1127">
            <v>9.2899098838459722</v>
          </cell>
          <cell r="LZ1127">
            <v>14.730476692982464</v>
          </cell>
          <cell r="MA1127">
            <v>11.870949885755934</v>
          </cell>
          <cell r="MB1127">
            <v>9.6544719773798295</v>
          </cell>
          <cell r="MC1127">
            <v>14.087427794132038</v>
          </cell>
        </row>
        <row r="1128">
          <cell r="A1128">
            <v>41106</v>
          </cell>
          <cell r="LJ1128">
            <v>14.274213762693384</v>
          </cell>
          <cell r="LK1128">
            <v>20.020152274152959</v>
          </cell>
          <cell r="LL1128">
            <v>17.982747259685677</v>
          </cell>
          <cell r="LM1128">
            <v>15.721193701553757</v>
          </cell>
          <cell r="LN1128">
            <v>20.244300817817596</v>
          </cell>
          <cell r="LY1128">
            <v>9.2239912868519092</v>
          </cell>
          <cell r="LZ1128">
            <v>14.730476692982464</v>
          </cell>
          <cell r="MA1128">
            <v>11.870949885755934</v>
          </cell>
          <cell r="MB1128">
            <v>9.6544719773798295</v>
          </cell>
          <cell r="MC1128">
            <v>14.087427794132038</v>
          </cell>
        </row>
        <row r="1129">
          <cell r="A1129">
            <v>41107</v>
          </cell>
          <cell r="LJ1129">
            <v>14.427484322088521</v>
          </cell>
          <cell r="LK1129">
            <v>20.020152274152959</v>
          </cell>
          <cell r="LL1129">
            <v>17.982747259685677</v>
          </cell>
          <cell r="LM1129">
            <v>15.721193701553757</v>
          </cell>
          <cell r="LN1129">
            <v>20.244300817817596</v>
          </cell>
          <cell r="LY1129">
            <v>9.3129815740727562</v>
          </cell>
          <cell r="LZ1129">
            <v>14.730476692982464</v>
          </cell>
          <cell r="MA1129">
            <v>11.870949885755934</v>
          </cell>
          <cell r="MB1129">
            <v>9.6544719773798295</v>
          </cell>
          <cell r="MC1129">
            <v>14.087427794132038</v>
          </cell>
        </row>
        <row r="1130">
          <cell r="A1130">
            <v>41108</v>
          </cell>
          <cell r="LJ1130">
            <v>14.7907967404999</v>
          </cell>
          <cell r="LK1130">
            <v>20.020152274152959</v>
          </cell>
          <cell r="LL1130">
            <v>17.982747259685677</v>
          </cell>
          <cell r="LM1130">
            <v>15.721193701553757</v>
          </cell>
          <cell r="LN1130">
            <v>20.244300817817596</v>
          </cell>
          <cell r="LY1130">
            <v>9.5239240837949097</v>
          </cell>
          <cell r="LZ1130">
            <v>14.730476692982464</v>
          </cell>
          <cell r="MA1130">
            <v>11.870949885755934</v>
          </cell>
          <cell r="MB1130">
            <v>9.6544719773798295</v>
          </cell>
          <cell r="MC1130">
            <v>14.087427794132038</v>
          </cell>
        </row>
        <row r="1131">
          <cell r="A1131">
            <v>41109</v>
          </cell>
          <cell r="LJ1131">
            <v>14.556543219369708</v>
          </cell>
          <cell r="LK1131">
            <v>20.020152274152959</v>
          </cell>
          <cell r="LL1131">
            <v>17.982747259685677</v>
          </cell>
          <cell r="LM1131">
            <v>15.721193701553757</v>
          </cell>
          <cell r="LN1131">
            <v>20.244300817817596</v>
          </cell>
          <cell r="LY1131">
            <v>9.3938894513276576</v>
          </cell>
          <cell r="LZ1131">
            <v>14.730476692982464</v>
          </cell>
          <cell r="MA1131">
            <v>11.870949885755934</v>
          </cell>
          <cell r="MB1131">
            <v>9.6544719773798295</v>
          </cell>
          <cell r="MC1131">
            <v>14.087427794132038</v>
          </cell>
        </row>
        <row r="1132">
          <cell r="A1132">
            <v>41110</v>
          </cell>
          <cell r="LJ1132">
            <v>14.669954705010266</v>
          </cell>
          <cell r="LK1132">
            <v>20.020152274152959</v>
          </cell>
          <cell r="LL1132">
            <v>17.982747259685677</v>
          </cell>
          <cell r="LM1132">
            <v>15.721193701553757</v>
          </cell>
          <cell r="LN1132">
            <v>20.244300817817596</v>
          </cell>
          <cell r="LY1132">
            <v>9.4430262494488399</v>
          </cell>
          <cell r="LZ1132">
            <v>14.730476692982464</v>
          </cell>
          <cell r="MA1132">
            <v>11.870949885755934</v>
          </cell>
          <cell r="MB1132">
            <v>9.6544719773798295</v>
          </cell>
          <cell r="MC1132">
            <v>14.087427794132038</v>
          </cell>
        </row>
        <row r="1133">
          <cell r="A1133">
            <v>41113</v>
          </cell>
          <cell r="LJ1133">
            <v>14.653391818714693</v>
          </cell>
          <cell r="LK1133">
            <v>20.020152274152959</v>
          </cell>
          <cell r="LL1133">
            <v>17.982747259685677</v>
          </cell>
          <cell r="LM1133">
            <v>15.721193701553757</v>
          </cell>
          <cell r="LN1133">
            <v>20.244300817817596</v>
          </cell>
          <cell r="LY1133">
            <v>9.4124496426274415</v>
          </cell>
          <cell r="LZ1133">
            <v>14.730476692982464</v>
          </cell>
          <cell r="MA1133">
            <v>11.870949885755934</v>
          </cell>
          <cell r="MB1133">
            <v>9.6544719773798295</v>
          </cell>
          <cell r="MC1133">
            <v>14.087427794132038</v>
          </cell>
        </row>
        <row r="1134">
          <cell r="A1134">
            <v>41114</v>
          </cell>
          <cell r="LJ1134">
            <v>14.45724631549939</v>
          </cell>
          <cell r="LK1134">
            <v>20.020152274152959</v>
          </cell>
          <cell r="LL1134">
            <v>17.982747259685677</v>
          </cell>
          <cell r="LM1134">
            <v>15.721193701553757</v>
          </cell>
          <cell r="LN1134">
            <v>20.244300817817596</v>
          </cell>
          <cell r="LY1134">
            <v>9.2988418103502699</v>
          </cell>
          <cell r="LZ1134">
            <v>14.730476692982464</v>
          </cell>
          <cell r="MA1134">
            <v>11.870949885755934</v>
          </cell>
          <cell r="MB1134">
            <v>9.6544719773798295</v>
          </cell>
          <cell r="MC1134">
            <v>14.087427794132038</v>
          </cell>
        </row>
        <row r="1135">
          <cell r="A1135">
            <v>41115</v>
          </cell>
          <cell r="LJ1135">
            <v>14.737045687057213</v>
          </cell>
          <cell r="LK1135">
            <v>20.020152274152959</v>
          </cell>
          <cell r="LL1135">
            <v>17.982747259685677</v>
          </cell>
          <cell r="LM1135">
            <v>15.721193701553757</v>
          </cell>
          <cell r="LN1135">
            <v>20.244300817817596</v>
          </cell>
          <cell r="LY1135">
            <v>9.4609021153489881</v>
          </cell>
          <cell r="LZ1135">
            <v>14.730476692982464</v>
          </cell>
          <cell r="MA1135">
            <v>11.870949885755934</v>
          </cell>
          <cell r="MB1135">
            <v>9.6544719773798295</v>
          </cell>
          <cell r="MC1135">
            <v>14.087427794132038</v>
          </cell>
        </row>
        <row r="1136">
          <cell r="A1136">
            <v>41116</v>
          </cell>
          <cell r="LJ1136">
            <v>15.01395764745846</v>
          </cell>
          <cell r="LK1136">
            <v>20.020152274152959</v>
          </cell>
          <cell r="LL1136">
            <v>17.982747259685677</v>
          </cell>
          <cell r="LM1136">
            <v>15.721193701553757</v>
          </cell>
          <cell r="LN1136">
            <v>20.244300817817596</v>
          </cell>
          <cell r="LY1136">
            <v>9.6212900265532291</v>
          </cell>
          <cell r="LZ1136">
            <v>14.730476692982464</v>
          </cell>
          <cell r="MA1136">
            <v>11.870949885755934</v>
          </cell>
          <cell r="MB1136">
            <v>9.6544719773798295</v>
          </cell>
          <cell r="MC1136">
            <v>14.087427794132038</v>
          </cell>
        </row>
        <row r="1137">
          <cell r="A1137">
            <v>41117</v>
          </cell>
          <cell r="LJ1137">
            <v>15.241837847298486</v>
          </cell>
          <cell r="LK1137">
            <v>20.020152274152959</v>
          </cell>
          <cell r="LL1137">
            <v>17.982747259685677</v>
          </cell>
          <cell r="LM1137">
            <v>15.721193701553757</v>
          </cell>
          <cell r="LN1137">
            <v>20.244300817817596</v>
          </cell>
          <cell r="LY1137">
            <v>9.7532786528450899</v>
          </cell>
          <cell r="LZ1137">
            <v>14.730476692982464</v>
          </cell>
          <cell r="MA1137">
            <v>11.870949885755934</v>
          </cell>
          <cell r="MB1137">
            <v>9.6544719773798295</v>
          </cell>
          <cell r="MC1137">
            <v>14.087427794132038</v>
          </cell>
        </row>
        <row r="1138">
          <cell r="A1138">
            <v>41120</v>
          </cell>
          <cell r="LJ1138">
            <v>15.224474667677793</v>
          </cell>
          <cell r="LK1138">
            <v>20.020152274152959</v>
          </cell>
          <cell r="LL1138">
            <v>17.982747259685677</v>
          </cell>
          <cell r="LM1138">
            <v>15.721193701553757</v>
          </cell>
          <cell r="LN1138">
            <v>20.244300817817596</v>
          </cell>
          <cell r="LY1138">
            <v>9.7456577414100636</v>
          </cell>
          <cell r="LZ1138">
            <v>14.730476692982464</v>
          </cell>
          <cell r="MA1138">
            <v>11.870949885755934</v>
          </cell>
          <cell r="MB1138">
            <v>9.6544719773798295</v>
          </cell>
          <cell r="MC1138">
            <v>14.087427794132038</v>
          </cell>
        </row>
        <row r="1139">
          <cell r="A1139">
            <v>41121</v>
          </cell>
          <cell r="LJ1139">
            <v>15.224474667677793</v>
          </cell>
          <cell r="LK1139">
            <v>20.020152274152959</v>
          </cell>
          <cell r="LL1139">
            <v>17.982747259685677</v>
          </cell>
          <cell r="LM1139">
            <v>15.721193701553757</v>
          </cell>
          <cell r="LN1139">
            <v>20.244300817817596</v>
          </cell>
          <cell r="LY1139">
            <v>9.7456577414100636</v>
          </cell>
          <cell r="LZ1139">
            <v>14.730476692982464</v>
          </cell>
          <cell r="MA1139">
            <v>11.870949885755934</v>
          </cell>
          <cell r="MB1139">
            <v>9.6544719773798295</v>
          </cell>
          <cell r="MC1139">
            <v>14.087427794132038</v>
          </cell>
        </row>
        <row r="1140">
          <cell r="A1140">
            <v>41122</v>
          </cell>
          <cell r="LJ1140">
            <v>15.165172171858265</v>
          </cell>
          <cell r="LK1140">
            <v>20.020152274152959</v>
          </cell>
          <cell r="LL1140">
            <v>17.982747259685677</v>
          </cell>
          <cell r="LM1140">
            <v>15.721193701553757</v>
          </cell>
          <cell r="LN1140">
            <v>20.244300817817596</v>
          </cell>
          <cell r="LY1140">
            <v>9.7282753550756151</v>
          </cell>
          <cell r="LZ1140">
            <v>14.730476692982464</v>
          </cell>
          <cell r="MA1140">
            <v>11.870949885755934</v>
          </cell>
          <cell r="MB1140">
            <v>9.6544719773798295</v>
          </cell>
          <cell r="MC1140">
            <v>14.087427794132038</v>
          </cell>
        </row>
        <row r="1141">
          <cell r="A1141">
            <v>41123</v>
          </cell>
          <cell r="LJ1141">
            <v>15.0859057304388</v>
          </cell>
          <cell r="LK1141">
            <v>20.020152274152959</v>
          </cell>
          <cell r="LL1141">
            <v>17.982747259685677</v>
          </cell>
          <cell r="LM1141">
            <v>15.721193701553757</v>
          </cell>
          <cell r="LN1141">
            <v>20.244300817817596</v>
          </cell>
          <cell r="LY1141">
            <v>9.683480309336689</v>
          </cell>
          <cell r="LZ1141">
            <v>14.730476692982464</v>
          </cell>
          <cell r="MA1141">
            <v>11.870949885755934</v>
          </cell>
          <cell r="MB1141">
            <v>9.6544719773798295</v>
          </cell>
          <cell r="MC1141">
            <v>14.087427794132038</v>
          </cell>
        </row>
        <row r="1142">
          <cell r="A1142">
            <v>41124</v>
          </cell>
          <cell r="LJ1142">
            <v>15.237249984057994</v>
          </cell>
          <cell r="LK1142">
            <v>20.020152274152959</v>
          </cell>
          <cell r="LL1142">
            <v>17.982747259685677</v>
          </cell>
          <cell r="LM1142">
            <v>15.721193701553757</v>
          </cell>
          <cell r="LN1142">
            <v>20.244300817817596</v>
          </cell>
          <cell r="LY1142">
            <v>9.7714098564788952</v>
          </cell>
          <cell r="LZ1142">
            <v>14.730476692982464</v>
          </cell>
          <cell r="MA1142">
            <v>11.870949885755934</v>
          </cell>
          <cell r="MB1142">
            <v>9.6544719773798295</v>
          </cell>
          <cell r="MC1142">
            <v>14.087427794132038</v>
          </cell>
        </row>
        <row r="1143">
          <cell r="A1143">
            <v>41127</v>
          </cell>
          <cell r="LJ1143">
            <v>15.123029403675472</v>
          </cell>
          <cell r="LK1143">
            <v>20.020152274152959</v>
          </cell>
          <cell r="LL1143">
            <v>17.982747259685677</v>
          </cell>
          <cell r="LM1143">
            <v>15.721193701553757</v>
          </cell>
          <cell r="LN1143">
            <v>20.244300817817596</v>
          </cell>
          <cell r="LY1143">
            <v>9.7050488043267222</v>
          </cell>
          <cell r="LZ1143">
            <v>14.730476692982464</v>
          </cell>
          <cell r="MA1143">
            <v>11.870949885755934</v>
          </cell>
          <cell r="MB1143">
            <v>9.6544719773798295</v>
          </cell>
          <cell r="MC1143">
            <v>14.087427794132038</v>
          </cell>
        </row>
        <row r="1144">
          <cell r="A1144">
            <v>41128</v>
          </cell>
          <cell r="LJ1144">
            <v>15.225829753576441</v>
          </cell>
          <cell r="LK1144">
            <v>20.020152274152959</v>
          </cell>
          <cell r="LL1144">
            <v>17.982747259685677</v>
          </cell>
          <cell r="LM1144">
            <v>15.721193701553757</v>
          </cell>
          <cell r="LN1144">
            <v>20.244300817817596</v>
          </cell>
          <cell r="LY1144">
            <v>9.7647748130564391</v>
          </cell>
          <cell r="LZ1144">
            <v>14.730476692982464</v>
          </cell>
          <cell r="MA1144">
            <v>11.870949885755934</v>
          </cell>
          <cell r="MB1144">
            <v>9.6544719773798295</v>
          </cell>
          <cell r="MC1144">
            <v>14.087427794132038</v>
          </cell>
        </row>
        <row r="1145">
          <cell r="A1145">
            <v>41129</v>
          </cell>
          <cell r="LJ1145">
            <v>15.214409237539154</v>
          </cell>
          <cell r="LK1145">
            <v>20.020152274152959</v>
          </cell>
          <cell r="LL1145">
            <v>17.982747259685677</v>
          </cell>
          <cell r="LM1145">
            <v>15.721193701553757</v>
          </cell>
          <cell r="LN1145">
            <v>20.244300817817596</v>
          </cell>
          <cell r="LY1145">
            <v>9.7581396037288659</v>
          </cell>
          <cell r="LZ1145">
            <v>14.730476692982464</v>
          </cell>
          <cell r="MA1145">
            <v>11.870949885755934</v>
          </cell>
          <cell r="MB1145">
            <v>9.6544719773798295</v>
          </cell>
          <cell r="MC1145">
            <v>14.087427794132038</v>
          </cell>
        </row>
        <row r="1146">
          <cell r="A1146">
            <v>41130</v>
          </cell>
          <cell r="LJ1146">
            <v>15.128741660584256</v>
          </cell>
          <cell r="LK1146">
            <v>20.020152274152959</v>
          </cell>
          <cell r="LL1146">
            <v>17.982747259685677</v>
          </cell>
          <cell r="LM1146">
            <v>15.721193701553757</v>
          </cell>
          <cell r="LN1146">
            <v>20.244300817817596</v>
          </cell>
          <cell r="LY1146">
            <v>9.7083675703263417</v>
          </cell>
          <cell r="LZ1146">
            <v>14.730476692982464</v>
          </cell>
          <cell r="MA1146">
            <v>11.870949885755934</v>
          </cell>
          <cell r="MB1146">
            <v>9.6544719773798295</v>
          </cell>
          <cell r="MC1146">
            <v>14.087427794132038</v>
          </cell>
        </row>
        <row r="1147">
          <cell r="A1147">
            <v>41131</v>
          </cell>
          <cell r="LJ1147">
            <v>15.271519527730415</v>
          </cell>
          <cell r="LK1147">
            <v>20.020152274152959</v>
          </cell>
          <cell r="LL1147">
            <v>17.982747259685677</v>
          </cell>
          <cell r="LM1147">
            <v>15.721193701553757</v>
          </cell>
          <cell r="LN1147">
            <v>20.244300817817596</v>
          </cell>
          <cell r="LY1147">
            <v>9.7913201298049515</v>
          </cell>
          <cell r="LZ1147">
            <v>14.730476692982464</v>
          </cell>
          <cell r="MA1147">
            <v>11.870949885755934</v>
          </cell>
          <cell r="MB1147">
            <v>9.6544719773798295</v>
          </cell>
          <cell r="MC1147">
            <v>14.087427794132038</v>
          </cell>
        </row>
        <row r="1148">
          <cell r="A1148">
            <v>41134</v>
          </cell>
          <cell r="LJ1148">
            <v>15.400018751494759</v>
          </cell>
          <cell r="LK1148">
            <v>20.020152274152959</v>
          </cell>
          <cell r="LL1148">
            <v>17.982747259685677</v>
          </cell>
          <cell r="LM1148">
            <v>15.721193701553757</v>
          </cell>
          <cell r="LN1148">
            <v>20.244300817817596</v>
          </cell>
          <cell r="LY1148">
            <v>9.8659769356203419</v>
          </cell>
          <cell r="LZ1148">
            <v>14.730476692982464</v>
          </cell>
          <cell r="MA1148">
            <v>11.870949885755934</v>
          </cell>
          <cell r="MB1148">
            <v>9.6544719773798295</v>
          </cell>
          <cell r="MC1148">
            <v>14.087427794132038</v>
          </cell>
        </row>
        <row r="1149">
          <cell r="A1149">
            <v>41135</v>
          </cell>
          <cell r="LJ1149">
            <v>15.30007253115804</v>
          </cell>
          <cell r="LK1149">
            <v>20.020152274152959</v>
          </cell>
          <cell r="LL1149">
            <v>17.982747259685677</v>
          </cell>
          <cell r="LM1149">
            <v>15.721193701553757</v>
          </cell>
          <cell r="LN1149">
            <v>20.244300817817596</v>
          </cell>
          <cell r="LY1149">
            <v>9.8079091485546019</v>
          </cell>
          <cell r="LZ1149">
            <v>14.730476692982464</v>
          </cell>
          <cell r="MA1149">
            <v>11.870949885755934</v>
          </cell>
          <cell r="MB1149">
            <v>9.6544719773798295</v>
          </cell>
          <cell r="MC1149">
            <v>14.087427794132038</v>
          </cell>
        </row>
        <row r="1150">
          <cell r="A1150">
            <v>41136</v>
          </cell>
          <cell r="LJ1150">
            <v>15.297218687149522</v>
          </cell>
          <cell r="LK1150">
            <v>20.020152274152959</v>
          </cell>
          <cell r="LL1150">
            <v>17.982747259685677</v>
          </cell>
          <cell r="LM1150">
            <v>15.721193701553757</v>
          </cell>
          <cell r="LN1150">
            <v>20.244300817817596</v>
          </cell>
          <cell r="LY1150">
            <v>9.806251092795744</v>
          </cell>
          <cell r="LZ1150">
            <v>14.730476692982464</v>
          </cell>
          <cell r="MA1150">
            <v>11.870949885755934</v>
          </cell>
          <cell r="MB1150">
            <v>9.6544719773798295</v>
          </cell>
          <cell r="MC1150">
            <v>14.087427794132038</v>
          </cell>
        </row>
        <row r="1151">
          <cell r="A1151">
            <v>41137</v>
          </cell>
          <cell r="LJ1151">
            <v>15.287087436186026</v>
          </cell>
          <cell r="LK1151">
            <v>20.020152274152959</v>
          </cell>
          <cell r="LL1151">
            <v>17.982747259685677</v>
          </cell>
          <cell r="LM1151">
            <v>15.721193701553757</v>
          </cell>
          <cell r="LN1151">
            <v>20.244300817817596</v>
          </cell>
          <cell r="LY1151">
            <v>9.8038738783606068</v>
          </cell>
          <cell r="LZ1151">
            <v>14.730476692982464</v>
          </cell>
          <cell r="MA1151">
            <v>11.870949885755934</v>
          </cell>
          <cell r="MB1151">
            <v>9.6544719773798295</v>
          </cell>
          <cell r="MC1151">
            <v>14.087427794132038</v>
          </cell>
        </row>
        <row r="1152">
          <cell r="A1152">
            <v>41138</v>
          </cell>
          <cell r="LJ1152">
            <v>15.404675339058128</v>
          </cell>
          <cell r="LK1152">
            <v>20.020152274152959</v>
          </cell>
          <cell r="LL1152">
            <v>17.982747259685677</v>
          </cell>
          <cell r="LM1152">
            <v>15.721193701553757</v>
          </cell>
          <cell r="LN1152">
            <v>20.244300817817596</v>
          </cell>
          <cell r="LY1152">
            <v>9.8724450186235906</v>
          </cell>
          <cell r="LZ1152">
            <v>14.730476692982464</v>
          </cell>
          <cell r="MA1152">
            <v>11.870949885755934</v>
          </cell>
          <cell r="MB1152">
            <v>9.6544719773798295</v>
          </cell>
          <cell r="MC1152">
            <v>14.087427794132038</v>
          </cell>
        </row>
        <row r="1153">
          <cell r="A1153">
            <v>41141</v>
          </cell>
          <cell r="LJ1153">
            <v>15.398946483139637</v>
          </cell>
          <cell r="LK1153">
            <v>20.020152274152959</v>
          </cell>
          <cell r="LL1153">
            <v>17.982747259685677</v>
          </cell>
          <cell r="LM1153">
            <v>15.721193701553757</v>
          </cell>
          <cell r="LN1153">
            <v>20.244300817817596</v>
          </cell>
          <cell r="LY1153">
            <v>9.8691162402252992</v>
          </cell>
          <cell r="LZ1153">
            <v>14.730476692982464</v>
          </cell>
          <cell r="MA1153">
            <v>11.870949885755934</v>
          </cell>
          <cell r="MB1153">
            <v>9.6544719773798295</v>
          </cell>
          <cell r="MC1153">
            <v>14.087427794132038</v>
          </cell>
        </row>
        <row r="1154">
          <cell r="A1154">
            <v>41142</v>
          </cell>
          <cell r="LJ1154">
            <v>15.321625256913208</v>
          </cell>
          <cell r="LK1154">
            <v>20.020152274152959</v>
          </cell>
          <cell r="LL1154">
            <v>17.982747259685677</v>
          </cell>
          <cell r="LM1154">
            <v>15.721193701553757</v>
          </cell>
          <cell r="LN1154">
            <v>20.244300817817596</v>
          </cell>
          <cell r="LY1154">
            <v>9.8241883818092592</v>
          </cell>
          <cell r="LZ1154">
            <v>14.730476692982464</v>
          </cell>
          <cell r="MA1154">
            <v>11.870949885755934</v>
          </cell>
          <cell r="MB1154">
            <v>9.6544719773798295</v>
          </cell>
          <cell r="MC1154">
            <v>14.087427794132038</v>
          </cell>
        </row>
        <row r="1155">
          <cell r="A1155">
            <v>41143</v>
          </cell>
          <cell r="LJ1155">
            <v>15.378901501520813</v>
          </cell>
          <cell r="LK1155">
            <v>20.020152274152959</v>
          </cell>
          <cell r="LL1155">
            <v>17.982747259685677</v>
          </cell>
          <cell r="LM1155">
            <v>15.721193701553757</v>
          </cell>
          <cell r="LN1155">
            <v>20.244300817817596</v>
          </cell>
          <cell r="LY1155">
            <v>9.8751380288497401</v>
          </cell>
          <cell r="LZ1155">
            <v>14.730476692982464</v>
          </cell>
          <cell r="MA1155">
            <v>11.870949885755934</v>
          </cell>
          <cell r="MB1155">
            <v>9.6544719773798295</v>
          </cell>
          <cell r="MC1155">
            <v>14.087427794132038</v>
          </cell>
        </row>
        <row r="1156">
          <cell r="A1156">
            <v>41144</v>
          </cell>
          <cell r="LJ1156">
            <v>15.23175393472884</v>
          </cell>
          <cell r="LK1156">
            <v>20.020152274152959</v>
          </cell>
          <cell r="LL1156">
            <v>17.982747259685677</v>
          </cell>
          <cell r="LM1156">
            <v>15.721193701553757</v>
          </cell>
          <cell r="LN1156">
            <v>20.244300817817596</v>
          </cell>
          <cell r="LY1156">
            <v>9.7851165824451272</v>
          </cell>
          <cell r="LZ1156">
            <v>14.730476692982464</v>
          </cell>
          <cell r="MA1156">
            <v>11.870949885755934</v>
          </cell>
          <cell r="MB1156">
            <v>9.6544719773798295</v>
          </cell>
          <cell r="MC1156">
            <v>14.087427794132038</v>
          </cell>
        </row>
        <row r="1157">
          <cell r="A1157">
            <v>41145</v>
          </cell>
          <cell r="LJ1157">
            <v>15.263120798227604</v>
          </cell>
          <cell r="LK1157">
            <v>20.020152274152959</v>
          </cell>
          <cell r="LL1157">
            <v>17.982747259685677</v>
          </cell>
          <cell r="LM1157">
            <v>15.721193701553757</v>
          </cell>
          <cell r="LN1157">
            <v>20.244300817817596</v>
          </cell>
          <cell r="LY1157">
            <v>9.80845496349726</v>
          </cell>
          <cell r="LZ1157">
            <v>14.730476692982464</v>
          </cell>
          <cell r="MA1157">
            <v>11.870949885755934</v>
          </cell>
          <cell r="MB1157">
            <v>9.6544719773798295</v>
          </cell>
          <cell r="MC1157">
            <v>14.087427794132038</v>
          </cell>
        </row>
        <row r="1158">
          <cell r="A1158">
            <v>41148</v>
          </cell>
          <cell r="LJ1158">
            <v>15.291758772002524</v>
          </cell>
          <cell r="LK1158">
            <v>20.020152274152959</v>
          </cell>
          <cell r="LL1158">
            <v>17.982747259685677</v>
          </cell>
          <cell r="LM1158">
            <v>15.721193701553757</v>
          </cell>
          <cell r="LN1158">
            <v>20.244300817817596</v>
          </cell>
          <cell r="LY1158">
            <v>9.8251263549750512</v>
          </cell>
          <cell r="LZ1158">
            <v>14.730476692982464</v>
          </cell>
          <cell r="MA1158">
            <v>11.870949885755934</v>
          </cell>
          <cell r="MB1158">
            <v>9.6544719773798295</v>
          </cell>
          <cell r="MC1158">
            <v>14.087427794132038</v>
          </cell>
        </row>
        <row r="1159">
          <cell r="A1159">
            <v>41149</v>
          </cell>
          <cell r="LJ1159">
            <v>15.283168468047762</v>
          </cell>
          <cell r="LK1159">
            <v>20.020152274152959</v>
          </cell>
          <cell r="LL1159">
            <v>17.982747259685677</v>
          </cell>
          <cell r="LM1159">
            <v>15.721193701553757</v>
          </cell>
          <cell r="LN1159">
            <v>20.244300817817596</v>
          </cell>
          <cell r="LY1159">
            <v>9.8201255710065798</v>
          </cell>
          <cell r="LZ1159">
            <v>14.730476692982464</v>
          </cell>
          <cell r="MA1159">
            <v>11.870949885755934</v>
          </cell>
          <cell r="MB1159">
            <v>9.6544719773798295</v>
          </cell>
          <cell r="MC1159">
            <v>14.087427794132038</v>
          </cell>
        </row>
        <row r="1160">
          <cell r="A1160">
            <v>41150</v>
          </cell>
          <cell r="LJ1160">
            <v>15.265987287413123</v>
          </cell>
          <cell r="LK1160">
            <v>20.020152274152959</v>
          </cell>
          <cell r="LL1160">
            <v>17.982747259685677</v>
          </cell>
          <cell r="LM1160">
            <v>15.721193701553757</v>
          </cell>
          <cell r="LN1160">
            <v>20.244300817817596</v>
          </cell>
          <cell r="LY1160">
            <v>9.8101236696618166</v>
          </cell>
          <cell r="LZ1160">
            <v>14.730476692982464</v>
          </cell>
          <cell r="MA1160">
            <v>11.870949885755934</v>
          </cell>
          <cell r="MB1160">
            <v>9.6544719773798295</v>
          </cell>
          <cell r="MC1160">
            <v>14.087427794132038</v>
          </cell>
        </row>
        <row r="1161">
          <cell r="A1161">
            <v>41151</v>
          </cell>
          <cell r="LJ1161">
            <v>15.174349264956563</v>
          </cell>
          <cell r="LK1161">
            <v>20.020152274152959</v>
          </cell>
          <cell r="LL1161">
            <v>17.982747259685677</v>
          </cell>
          <cell r="LM1161">
            <v>15.721193701553757</v>
          </cell>
          <cell r="LN1161">
            <v>20.244300817817596</v>
          </cell>
          <cell r="LY1161">
            <v>9.7567772507206136</v>
          </cell>
          <cell r="LZ1161">
            <v>14.730476692982464</v>
          </cell>
          <cell r="MA1161">
            <v>11.870949885755934</v>
          </cell>
          <cell r="MB1161">
            <v>9.6544719773798295</v>
          </cell>
          <cell r="MC1161">
            <v>14.087427794132038</v>
          </cell>
        </row>
        <row r="1162">
          <cell r="A1162">
            <v>41152</v>
          </cell>
          <cell r="LJ1162">
            <v>15.340440120159261</v>
          </cell>
          <cell r="LK1162">
            <v>20.020152274152959</v>
          </cell>
          <cell r="LL1162">
            <v>17.982747259685677</v>
          </cell>
          <cell r="LM1162">
            <v>15.721193701553757</v>
          </cell>
          <cell r="LN1162">
            <v>20.244300817817596</v>
          </cell>
          <cell r="LY1162">
            <v>9.8534658534034776</v>
          </cell>
          <cell r="LZ1162">
            <v>14.730476692982464</v>
          </cell>
          <cell r="MA1162">
            <v>11.870949885755934</v>
          </cell>
          <cell r="MB1162">
            <v>9.6544719773798295</v>
          </cell>
          <cell r="MC1162">
            <v>14.087427794132038</v>
          </cell>
        </row>
        <row r="1163">
          <cell r="A1163">
            <v>41155</v>
          </cell>
          <cell r="LJ1163">
            <v>15.199823798920802</v>
          </cell>
          <cell r="LK1163">
            <v>20.020152274152959</v>
          </cell>
          <cell r="LL1163">
            <v>17.982747259685677</v>
          </cell>
          <cell r="LM1163">
            <v>15.721193701553757</v>
          </cell>
          <cell r="LN1163">
            <v>20.244300817817596</v>
          </cell>
          <cell r="LY1163">
            <v>9.7888300527389998</v>
          </cell>
          <cell r="LZ1163">
            <v>14.730476692982464</v>
          </cell>
          <cell r="MA1163">
            <v>11.870949885755934</v>
          </cell>
          <cell r="MB1163">
            <v>9.6544719773798295</v>
          </cell>
          <cell r="MC1163">
            <v>14.087427794132038</v>
          </cell>
        </row>
        <row r="1164">
          <cell r="A1164">
            <v>41156</v>
          </cell>
          <cell r="LJ1164">
            <v>15.006884184676322</v>
          </cell>
          <cell r="LK1164">
            <v>20.020152274152959</v>
          </cell>
          <cell r="LL1164">
            <v>17.982747259685677</v>
          </cell>
          <cell r="LM1164">
            <v>15.721193701553757</v>
          </cell>
          <cell r="LN1164">
            <v>20.244300817817596</v>
          </cell>
          <cell r="LY1164">
            <v>9.6762161505260202</v>
          </cell>
          <cell r="LZ1164">
            <v>14.730476692982464</v>
          </cell>
          <cell r="MA1164">
            <v>11.870949885755934</v>
          </cell>
          <cell r="MB1164">
            <v>9.6544719773798295</v>
          </cell>
          <cell r="MC1164">
            <v>14.087427794132038</v>
          </cell>
        </row>
        <row r="1165">
          <cell r="A1165">
            <v>41157</v>
          </cell>
          <cell r="LJ1165">
            <v>14.992696451080436</v>
          </cell>
          <cell r="LK1165">
            <v>20.020152274152959</v>
          </cell>
          <cell r="LL1165">
            <v>17.982747259685677</v>
          </cell>
          <cell r="LM1165">
            <v>15.721193701553757</v>
          </cell>
          <cell r="LN1165">
            <v>20.244300817817596</v>
          </cell>
          <cell r="LY1165">
            <v>9.667935134467978</v>
          </cell>
          <cell r="LZ1165">
            <v>14.730476692982464</v>
          </cell>
          <cell r="MA1165">
            <v>11.870949885755934</v>
          </cell>
          <cell r="MB1165">
            <v>9.6544719773798295</v>
          </cell>
          <cell r="MC1165">
            <v>14.087427794132038</v>
          </cell>
        </row>
        <row r="1166">
          <cell r="A1166">
            <v>41158</v>
          </cell>
          <cell r="LJ1166">
            <v>15.455185695650229</v>
          </cell>
          <cell r="LK1166">
            <v>20.020152274152959</v>
          </cell>
          <cell r="LL1166">
            <v>17.982747259685677</v>
          </cell>
          <cell r="LM1166">
            <v>15.721193701553757</v>
          </cell>
          <cell r="LN1166">
            <v>20.244300817817596</v>
          </cell>
          <cell r="LY1166">
            <v>9.9378782395502849</v>
          </cell>
          <cell r="LZ1166">
            <v>14.730476692982464</v>
          </cell>
          <cell r="MA1166">
            <v>11.870949885755934</v>
          </cell>
          <cell r="MB1166">
            <v>9.6544719773798295</v>
          </cell>
          <cell r="MC1166">
            <v>14.087427794132038</v>
          </cell>
        </row>
        <row r="1167">
          <cell r="A1167">
            <v>41159</v>
          </cell>
          <cell r="LJ1167">
            <v>15.62259431262072</v>
          </cell>
          <cell r="LK1167">
            <v>20.020152274152959</v>
          </cell>
          <cell r="LL1167">
            <v>17.982747259685677</v>
          </cell>
          <cell r="LM1167">
            <v>15.721193701553757</v>
          </cell>
          <cell r="LN1167">
            <v>20.244300817817596</v>
          </cell>
          <cell r="LY1167">
            <v>10.035590353752173</v>
          </cell>
          <cell r="LZ1167">
            <v>14.730476692982464</v>
          </cell>
          <cell r="MA1167">
            <v>11.870949885755934</v>
          </cell>
          <cell r="MB1167">
            <v>9.6544719773798295</v>
          </cell>
          <cell r="MC1167">
            <v>14.087427794132038</v>
          </cell>
        </row>
        <row r="1168">
          <cell r="A1168">
            <v>41162</v>
          </cell>
          <cell r="LJ1168">
            <v>15.347368510653991</v>
          </cell>
          <cell r="LK1168">
            <v>20.020152274152959</v>
          </cell>
          <cell r="LL1168">
            <v>17.982747259685677</v>
          </cell>
          <cell r="LM1168">
            <v>15.721193701553757</v>
          </cell>
          <cell r="LN1168">
            <v>20.244300817817596</v>
          </cell>
          <cell r="LY1168">
            <v>9.8749481151401675</v>
          </cell>
          <cell r="LZ1168">
            <v>14.730476692982464</v>
          </cell>
          <cell r="MA1168">
            <v>11.870949885755934</v>
          </cell>
          <cell r="MB1168">
            <v>9.6544719773798295</v>
          </cell>
          <cell r="MC1168">
            <v>14.087427794132038</v>
          </cell>
        </row>
        <row r="1169">
          <cell r="A1169">
            <v>41163</v>
          </cell>
          <cell r="LJ1169">
            <v>15.47504960088753</v>
          </cell>
          <cell r="LK1169">
            <v>20.020152274152959</v>
          </cell>
          <cell r="LL1169">
            <v>17.982747259685677</v>
          </cell>
          <cell r="LM1169">
            <v>15.721193701553757</v>
          </cell>
          <cell r="LN1169">
            <v>20.244300817817596</v>
          </cell>
          <cell r="LY1169">
            <v>9.9494722913510021</v>
          </cell>
          <cell r="LZ1169">
            <v>14.730476692982464</v>
          </cell>
          <cell r="MA1169">
            <v>11.870949885755934</v>
          </cell>
          <cell r="MB1169">
            <v>9.6544719773798295</v>
          </cell>
          <cell r="MC1169">
            <v>14.087427794132038</v>
          </cell>
        </row>
        <row r="1170">
          <cell r="A1170">
            <v>41164</v>
          </cell>
          <cell r="LJ1170">
            <v>15.545984012802242</v>
          </cell>
          <cell r="LK1170">
            <v>20.020152274152959</v>
          </cell>
          <cell r="LL1170">
            <v>17.982747259685677</v>
          </cell>
          <cell r="LM1170">
            <v>15.721193701553757</v>
          </cell>
          <cell r="LN1170">
            <v>20.244300817817596</v>
          </cell>
          <cell r="LY1170">
            <v>9.9908748874854414</v>
          </cell>
          <cell r="LZ1170">
            <v>14.730476692982464</v>
          </cell>
          <cell r="MA1170">
            <v>11.870949885755934</v>
          </cell>
          <cell r="MB1170">
            <v>9.6544719773798295</v>
          </cell>
          <cell r="MC1170">
            <v>14.087427794132038</v>
          </cell>
        </row>
        <row r="1171">
          <cell r="A1171">
            <v>41165</v>
          </cell>
          <cell r="LJ1171">
            <v>15.724922773047123</v>
          </cell>
          <cell r="LK1171">
            <v>20.020152274152959</v>
          </cell>
          <cell r="LL1171">
            <v>17.982747259685677</v>
          </cell>
          <cell r="LM1171">
            <v>15.721193701553757</v>
          </cell>
          <cell r="LN1171">
            <v>20.244300817817596</v>
          </cell>
          <cell r="LY1171">
            <v>10.093552497846925</v>
          </cell>
          <cell r="LZ1171">
            <v>14.730476692982464</v>
          </cell>
          <cell r="MA1171">
            <v>11.870949885755934</v>
          </cell>
          <cell r="MB1171">
            <v>9.6544719773798295</v>
          </cell>
          <cell r="MC1171">
            <v>14.087427794132038</v>
          </cell>
        </row>
        <row r="1172">
          <cell r="A1172">
            <v>41166</v>
          </cell>
          <cell r="LJ1172">
            <v>15.540459544712174</v>
          </cell>
          <cell r="LK1172">
            <v>20.020152274152959</v>
          </cell>
          <cell r="LL1172">
            <v>17.982747259685677</v>
          </cell>
          <cell r="LM1172">
            <v>15.721193701553757</v>
          </cell>
          <cell r="LN1172">
            <v>20.244300817817596</v>
          </cell>
          <cell r="LY1172">
            <v>9.9859067415596936</v>
          </cell>
          <cell r="LZ1172">
            <v>14.730476692982464</v>
          </cell>
          <cell r="MA1172">
            <v>11.870949885755934</v>
          </cell>
          <cell r="MB1172">
            <v>9.6544719773798295</v>
          </cell>
          <cell r="MC1172">
            <v>14.087427794132038</v>
          </cell>
        </row>
        <row r="1173">
          <cell r="A1173">
            <v>41169</v>
          </cell>
          <cell r="LJ1173">
            <v>15.563163488430503</v>
          </cell>
          <cell r="LK1173">
            <v>20.020152274152959</v>
          </cell>
          <cell r="LL1173">
            <v>17.982747259685677</v>
          </cell>
          <cell r="LM1173">
            <v>15.721193701553757</v>
          </cell>
          <cell r="LN1173">
            <v>20.244300817817596</v>
          </cell>
          <cell r="LY1173">
            <v>9.9991559035434818</v>
          </cell>
          <cell r="LZ1173">
            <v>14.730476692982464</v>
          </cell>
          <cell r="MA1173">
            <v>11.870949885755934</v>
          </cell>
          <cell r="MB1173">
            <v>9.6544719773798295</v>
          </cell>
          <cell r="MC1173">
            <v>14.087427794132038</v>
          </cell>
        </row>
        <row r="1174">
          <cell r="A1174">
            <v>41170</v>
          </cell>
          <cell r="LJ1174">
            <v>15.795870823465645</v>
          </cell>
          <cell r="LK1174">
            <v>20.020152274152959</v>
          </cell>
          <cell r="LL1174">
            <v>17.982747259685677</v>
          </cell>
          <cell r="LM1174">
            <v>15.721193701553757</v>
          </cell>
          <cell r="LN1174">
            <v>20.244300817817596</v>
          </cell>
          <cell r="LY1174">
            <v>10.134955093981361</v>
          </cell>
          <cell r="LZ1174">
            <v>14.730476692982464</v>
          </cell>
          <cell r="MA1174">
            <v>11.870949885755934</v>
          </cell>
          <cell r="MB1174">
            <v>9.6544719773798295</v>
          </cell>
          <cell r="MC1174">
            <v>14.087427794132038</v>
          </cell>
        </row>
        <row r="1175">
          <cell r="A1175">
            <v>41171</v>
          </cell>
          <cell r="LJ1175">
            <v>15.758980675170028</v>
          </cell>
          <cell r="LK1175">
            <v>20.020152274152959</v>
          </cell>
          <cell r="LL1175">
            <v>17.982747259685677</v>
          </cell>
          <cell r="LM1175">
            <v>15.721193701553757</v>
          </cell>
          <cell r="LN1175">
            <v>20.244300817817596</v>
          </cell>
          <cell r="LY1175">
            <v>10.113427400095301</v>
          </cell>
          <cell r="LZ1175">
            <v>14.730476692982464</v>
          </cell>
          <cell r="MA1175">
            <v>11.870949885755934</v>
          </cell>
          <cell r="MB1175">
            <v>9.6544719773798295</v>
          </cell>
          <cell r="MC1175">
            <v>14.087427794132038</v>
          </cell>
        </row>
        <row r="1176">
          <cell r="A1176">
            <v>41172</v>
          </cell>
          <cell r="LJ1176">
            <v>15.607932189734846</v>
          </cell>
          <cell r="LK1176">
            <v>20.020152274152959</v>
          </cell>
          <cell r="LL1176">
            <v>17.982747259685677</v>
          </cell>
          <cell r="LM1176">
            <v>15.721193701553757</v>
          </cell>
          <cell r="LN1176">
            <v>20.244300817817596</v>
          </cell>
          <cell r="LY1176">
            <v>10.023634978462475</v>
          </cell>
          <cell r="LZ1176">
            <v>14.730476692982464</v>
          </cell>
          <cell r="MA1176">
            <v>11.870949885755934</v>
          </cell>
          <cell r="MB1176">
            <v>9.6544719773798295</v>
          </cell>
          <cell r="MC1176">
            <v>14.087427794132038</v>
          </cell>
        </row>
        <row r="1177">
          <cell r="A1177">
            <v>41173</v>
          </cell>
          <cell r="LJ1177">
            <v>15.573892026677031</v>
          </cell>
          <cell r="LK1177">
            <v>20.020152274152959</v>
          </cell>
          <cell r="LL1177">
            <v>17.982747259685677</v>
          </cell>
          <cell r="LM1177">
            <v>15.721193701553757</v>
          </cell>
          <cell r="LN1177">
            <v>20.244300817817596</v>
          </cell>
          <cell r="LY1177">
            <v>10.003772955532424</v>
          </cell>
          <cell r="LZ1177">
            <v>14.730476692982464</v>
          </cell>
          <cell r="MA1177">
            <v>11.870949885755934</v>
          </cell>
          <cell r="MB1177">
            <v>9.6544719773798295</v>
          </cell>
          <cell r="MC1177">
            <v>14.087427794132038</v>
          </cell>
        </row>
        <row r="1178">
          <cell r="A1178">
            <v>41176</v>
          </cell>
          <cell r="LJ1178">
            <v>15.528502778620933</v>
          </cell>
          <cell r="LK1178">
            <v>20.020152274152959</v>
          </cell>
          <cell r="LL1178">
            <v>17.982747259685677</v>
          </cell>
          <cell r="LM1178">
            <v>15.721193701553757</v>
          </cell>
          <cell r="LN1178">
            <v>20.244300817817596</v>
          </cell>
          <cell r="LY1178">
            <v>9.9772888789392358</v>
          </cell>
          <cell r="LZ1178">
            <v>14.730476692982464</v>
          </cell>
          <cell r="MA1178">
            <v>11.870949885755934</v>
          </cell>
          <cell r="MB1178">
            <v>9.6544719773798295</v>
          </cell>
          <cell r="MC1178">
            <v>14.087427794132038</v>
          </cell>
        </row>
        <row r="1179">
          <cell r="A1179">
            <v>41177</v>
          </cell>
          <cell r="LJ1179">
            <v>15.477442817711689</v>
          </cell>
          <cell r="LK1179">
            <v>20.020152274152959</v>
          </cell>
          <cell r="LL1179">
            <v>17.982747259685677</v>
          </cell>
          <cell r="LM1179">
            <v>15.721193701553757</v>
          </cell>
          <cell r="LN1179">
            <v>20.244300817817596</v>
          </cell>
          <cell r="LY1179">
            <v>9.9474960100665388</v>
          </cell>
          <cell r="LZ1179">
            <v>14.730476692982464</v>
          </cell>
          <cell r="MA1179">
            <v>11.870949885755934</v>
          </cell>
          <cell r="MB1179">
            <v>9.6544719773798295</v>
          </cell>
          <cell r="MC1179">
            <v>14.087427794132038</v>
          </cell>
        </row>
        <row r="1180">
          <cell r="A1180">
            <v>41178</v>
          </cell>
          <cell r="LJ1180">
            <v>15.610771517646157</v>
          </cell>
          <cell r="LK1180">
            <v>20.020152274152959</v>
          </cell>
          <cell r="LL1180">
            <v>17.982747259685677</v>
          </cell>
          <cell r="LM1180">
            <v>15.721193701553757</v>
          </cell>
          <cell r="LN1180">
            <v>20.244300817817596</v>
          </cell>
          <cell r="LY1180">
            <v>10.025291691915481</v>
          </cell>
          <cell r="LZ1180">
            <v>14.730476692982464</v>
          </cell>
          <cell r="MA1180">
            <v>11.870949885755934</v>
          </cell>
          <cell r="MB1180">
            <v>9.6544719773798295</v>
          </cell>
          <cell r="MC1180">
            <v>14.087427794132038</v>
          </cell>
        </row>
        <row r="1181">
          <cell r="A1181">
            <v>41179</v>
          </cell>
          <cell r="LJ1181">
            <v>15.733262871767518</v>
          </cell>
          <cell r="LK1181">
            <v>20.020152274152959</v>
          </cell>
          <cell r="LL1181">
            <v>17.982747259685677</v>
          </cell>
          <cell r="LM1181">
            <v>15.721193701553757</v>
          </cell>
          <cell r="LN1181">
            <v>20.244300817817596</v>
          </cell>
          <cell r="LY1181">
            <v>10.094810758439152</v>
          </cell>
          <cell r="LZ1181">
            <v>14.730476692982464</v>
          </cell>
          <cell r="MA1181">
            <v>11.870949885755934</v>
          </cell>
          <cell r="MB1181">
            <v>9.6544719773798295</v>
          </cell>
          <cell r="MC1181">
            <v>14.087427794132038</v>
          </cell>
        </row>
        <row r="1182">
          <cell r="A1182">
            <v>41180</v>
          </cell>
          <cell r="LJ1182">
            <v>15.648140665875985</v>
          </cell>
          <cell r="LK1182">
            <v>20.020152274152959</v>
          </cell>
          <cell r="LL1182">
            <v>17.982747259685677</v>
          </cell>
          <cell r="LM1182">
            <v>15.721193701553757</v>
          </cell>
          <cell r="LN1182">
            <v>20.244300817817596</v>
          </cell>
          <cell r="LY1182">
            <v>10.045153549323153</v>
          </cell>
          <cell r="LZ1182">
            <v>14.730476692982464</v>
          </cell>
          <cell r="MA1182">
            <v>11.870949885755934</v>
          </cell>
          <cell r="MB1182">
            <v>9.6544719773798295</v>
          </cell>
          <cell r="MC1182">
            <v>14.087427794132038</v>
          </cell>
        </row>
        <row r="1183">
          <cell r="A1183">
            <v>41183</v>
          </cell>
          <cell r="LJ1183">
            <v>15.813962205803231</v>
          </cell>
          <cell r="LK1183">
            <v>20.020152274152959</v>
          </cell>
          <cell r="LL1183">
            <v>17.982747259685677</v>
          </cell>
          <cell r="LM1183">
            <v>15.721193701553757</v>
          </cell>
          <cell r="LN1183">
            <v>20.244300817817596</v>
          </cell>
          <cell r="LY1183">
            <v>10.158481866835672</v>
          </cell>
          <cell r="LZ1183">
            <v>14.730476692982464</v>
          </cell>
          <cell r="MA1183">
            <v>11.870949885755934</v>
          </cell>
          <cell r="MB1183">
            <v>9.6544719773798295</v>
          </cell>
          <cell r="MC1183">
            <v>14.087427794132038</v>
          </cell>
        </row>
        <row r="1184">
          <cell r="A1184">
            <v>41184</v>
          </cell>
          <cell r="LJ1184">
            <v>15.704314798590179</v>
          </cell>
          <cell r="LK1184">
            <v>20.020152274152959</v>
          </cell>
          <cell r="LL1184">
            <v>17.982747259685677</v>
          </cell>
          <cell r="LM1184">
            <v>15.721193701553757</v>
          </cell>
          <cell r="LN1184">
            <v>20.244300817817596</v>
          </cell>
          <cell r="LY1184">
            <v>10.094359768012062</v>
          </cell>
          <cell r="LZ1184">
            <v>14.730476692982464</v>
          </cell>
          <cell r="MA1184">
            <v>11.870949885755934</v>
          </cell>
          <cell r="MB1184">
            <v>9.6544719773798295</v>
          </cell>
          <cell r="MC1184">
            <v>14.087427794132038</v>
          </cell>
        </row>
        <row r="1185">
          <cell r="A1185">
            <v>41185</v>
          </cell>
          <cell r="LJ1185">
            <v>15.867374882275339</v>
          </cell>
          <cell r="LK1185">
            <v>20.020152274152959</v>
          </cell>
          <cell r="LL1185">
            <v>17.982747259685677</v>
          </cell>
          <cell r="LM1185">
            <v>15.721193701553757</v>
          </cell>
          <cell r="LN1185">
            <v>20.244300817817596</v>
          </cell>
          <cell r="LY1185">
            <v>10.189717743781884</v>
          </cell>
          <cell r="LZ1185">
            <v>14.730476692982464</v>
          </cell>
          <cell r="MA1185">
            <v>11.870949885755934</v>
          </cell>
          <cell r="MB1185">
            <v>9.6544719773798295</v>
          </cell>
          <cell r="MC1185">
            <v>14.087427794132038</v>
          </cell>
        </row>
        <row r="1186">
          <cell r="A1186">
            <v>41186</v>
          </cell>
          <cell r="LJ1186">
            <v>15.898299963922243</v>
          </cell>
          <cell r="LK1186">
            <v>20.020152274152959</v>
          </cell>
          <cell r="LL1186">
            <v>17.982747259685677</v>
          </cell>
          <cell r="LM1186">
            <v>15.721193701553757</v>
          </cell>
          <cell r="LN1186">
            <v>20.244300817817596</v>
          </cell>
          <cell r="LY1186">
            <v>10.207802814755226</v>
          </cell>
          <cell r="LZ1186">
            <v>14.730476692982464</v>
          </cell>
          <cell r="MA1186">
            <v>11.870949885755934</v>
          </cell>
          <cell r="MB1186">
            <v>9.6544719773798295</v>
          </cell>
          <cell r="MC1186">
            <v>14.087427794132038</v>
          </cell>
        </row>
        <row r="1187">
          <cell r="A1187">
            <v>41187</v>
          </cell>
          <cell r="LJ1187">
            <v>15.872998748941381</v>
          </cell>
          <cell r="LK1187">
            <v>20.020152274152959</v>
          </cell>
          <cell r="LL1187">
            <v>17.982747259685677</v>
          </cell>
          <cell r="LM1187">
            <v>15.721193701553757</v>
          </cell>
          <cell r="LN1187">
            <v>20.244300817817596</v>
          </cell>
          <cell r="LY1187">
            <v>10.193006596143253</v>
          </cell>
          <cell r="LZ1187">
            <v>14.730476692982464</v>
          </cell>
          <cell r="MA1187">
            <v>11.870949885755934</v>
          </cell>
          <cell r="MB1187">
            <v>9.6544719773798295</v>
          </cell>
          <cell r="MC1187">
            <v>14.087427794132038</v>
          </cell>
        </row>
        <row r="1188">
          <cell r="A1188">
            <v>41190</v>
          </cell>
          <cell r="LJ1188">
            <v>15.97308877297589</v>
          </cell>
          <cell r="LK1188">
            <v>20.020152274152959</v>
          </cell>
          <cell r="LL1188">
            <v>17.982747259685677</v>
          </cell>
          <cell r="LM1188">
            <v>15.721193701553757</v>
          </cell>
          <cell r="LN1188">
            <v>20.244300817817596</v>
          </cell>
          <cell r="LY1188">
            <v>10.251356990844776</v>
          </cell>
          <cell r="LZ1188">
            <v>14.730476692982464</v>
          </cell>
          <cell r="MA1188">
            <v>11.870949885755934</v>
          </cell>
          <cell r="MB1188">
            <v>9.6544719773798295</v>
          </cell>
          <cell r="MC1188">
            <v>14.087427794132038</v>
          </cell>
        </row>
        <row r="1189">
          <cell r="A1189">
            <v>41191</v>
          </cell>
          <cell r="LJ1189">
            <v>15.602216061025489</v>
          </cell>
          <cell r="LK1189">
            <v>20.020152274152959</v>
          </cell>
          <cell r="LL1189">
            <v>17.982747259685677</v>
          </cell>
          <cell r="LM1189">
            <v>15.721193701553757</v>
          </cell>
          <cell r="LN1189">
            <v>20.244300817817596</v>
          </cell>
          <cell r="LY1189">
            <v>10.021240025099873</v>
          </cell>
          <cell r="LZ1189">
            <v>14.730476692982464</v>
          </cell>
          <cell r="MA1189">
            <v>11.870949885755934</v>
          </cell>
          <cell r="MB1189">
            <v>9.6544719773798295</v>
          </cell>
          <cell r="MC1189">
            <v>14.087427794132038</v>
          </cell>
        </row>
        <row r="1190">
          <cell r="A1190">
            <v>41192</v>
          </cell>
          <cell r="LJ1190">
            <v>15.574066766123018</v>
          </cell>
          <cell r="LK1190">
            <v>20.020152274152959</v>
          </cell>
          <cell r="LL1190">
            <v>17.982747259685677</v>
          </cell>
          <cell r="LM1190">
            <v>15.721193701553757</v>
          </cell>
          <cell r="LN1190">
            <v>20.244300817817596</v>
          </cell>
          <cell r="LY1190">
            <v>10.004802042311171</v>
          </cell>
          <cell r="LZ1190">
            <v>14.730476692982464</v>
          </cell>
          <cell r="MA1190">
            <v>11.870949885755934</v>
          </cell>
          <cell r="MB1190">
            <v>9.6544719773798295</v>
          </cell>
          <cell r="MC1190">
            <v>14.087427794132038</v>
          </cell>
        </row>
        <row r="1191">
          <cell r="A1191">
            <v>41193</v>
          </cell>
          <cell r="LJ1191">
            <v>15.729634648512684</v>
          </cell>
          <cell r="LK1191">
            <v>20.020152274152959</v>
          </cell>
          <cell r="LL1191">
            <v>17.982747259685677</v>
          </cell>
          <cell r="LM1191">
            <v>15.721193701553757</v>
          </cell>
          <cell r="LN1191">
            <v>20.244300817817596</v>
          </cell>
          <cell r="LY1191">
            <v>10.122775178224547</v>
          </cell>
          <cell r="LZ1191">
            <v>14.730476692982464</v>
          </cell>
          <cell r="MA1191">
            <v>11.870949885755934</v>
          </cell>
          <cell r="MB1191">
            <v>9.6544719773798295</v>
          </cell>
          <cell r="MC1191">
            <v>14.087427794132038</v>
          </cell>
        </row>
        <row r="1192">
          <cell r="A1192">
            <v>41194</v>
          </cell>
          <cell r="LJ1192">
            <v>15.724047937783768</v>
          </cell>
          <cell r="LK1192">
            <v>20.020152274152959</v>
          </cell>
          <cell r="LL1192">
            <v>17.982747259685677</v>
          </cell>
          <cell r="LM1192">
            <v>15.721193701553757</v>
          </cell>
          <cell r="LN1192">
            <v>20.244300817817596</v>
          </cell>
          <cell r="LY1192">
            <v>10.057883238063454</v>
          </cell>
          <cell r="LZ1192">
            <v>14.730476692982464</v>
          </cell>
          <cell r="MA1192">
            <v>11.870949885755934</v>
          </cell>
          <cell r="MB1192">
            <v>9.6544719773798295</v>
          </cell>
          <cell r="MC1192">
            <v>14.087427794132038</v>
          </cell>
        </row>
        <row r="1193">
          <cell r="A1193">
            <v>41197</v>
          </cell>
          <cell r="LJ1193">
            <v>15.825257908999928</v>
          </cell>
          <cell r="LK1193">
            <v>20.020152274152959</v>
          </cell>
          <cell r="LL1193">
            <v>17.982747259685677</v>
          </cell>
          <cell r="LM1193">
            <v>15.721193701553757</v>
          </cell>
          <cell r="LN1193">
            <v>20.244300817817596</v>
          </cell>
          <cell r="LY1193">
            <v>10.117318930475493</v>
          </cell>
          <cell r="LZ1193">
            <v>14.730476692982464</v>
          </cell>
          <cell r="MA1193">
            <v>11.870949885755934</v>
          </cell>
          <cell r="MB1193">
            <v>9.6544719773798295</v>
          </cell>
          <cell r="MC1193">
            <v>14.087427794132038</v>
          </cell>
        </row>
        <row r="1194">
          <cell r="A1194">
            <v>41198</v>
          </cell>
          <cell r="LJ1194">
            <v>15.912409854264236</v>
          </cell>
          <cell r="LK1194">
            <v>20.020152274152959</v>
          </cell>
          <cell r="LL1194">
            <v>17.982747259685677</v>
          </cell>
          <cell r="LM1194">
            <v>15.721193701553757</v>
          </cell>
          <cell r="LN1194">
            <v>20.244300817817596</v>
          </cell>
          <cell r="LY1194">
            <v>10.168028610046376</v>
          </cell>
          <cell r="LZ1194">
            <v>14.730476692982464</v>
          </cell>
          <cell r="MA1194">
            <v>11.870949885755934</v>
          </cell>
          <cell r="MB1194">
            <v>9.6544719773798295</v>
          </cell>
          <cell r="MC1194">
            <v>14.087427794132038</v>
          </cell>
        </row>
        <row r="1195">
          <cell r="A1195">
            <v>41199</v>
          </cell>
          <cell r="LJ1195">
            <v>15.791945355920848</v>
          </cell>
          <cell r="LK1195">
            <v>20.020152274152959</v>
          </cell>
          <cell r="LL1195">
            <v>17.982747259685677</v>
          </cell>
          <cell r="LM1195">
            <v>15.721193701553757</v>
          </cell>
          <cell r="LN1195">
            <v>20.244300817817596</v>
          </cell>
          <cell r="LY1195">
            <v>9.9419409023486693</v>
          </cell>
          <cell r="LZ1195">
            <v>14.730476692982464</v>
          </cell>
          <cell r="MA1195">
            <v>11.870949885755934</v>
          </cell>
          <cell r="MB1195">
            <v>9.6544719773798295</v>
          </cell>
          <cell r="MC1195">
            <v>14.087427794132038</v>
          </cell>
        </row>
        <row r="1196">
          <cell r="A1196">
            <v>41200</v>
          </cell>
          <cell r="LJ1196">
            <v>15.117638141139937</v>
          </cell>
          <cell r="LK1196">
            <v>20.020152274152959</v>
          </cell>
          <cell r="LL1196">
            <v>17.982747259685677</v>
          </cell>
          <cell r="LM1196">
            <v>15.721193701553757</v>
          </cell>
          <cell r="LN1196">
            <v>20.244300817817596</v>
          </cell>
          <cell r="LY1196">
            <v>9.5649481558472633</v>
          </cell>
          <cell r="LZ1196">
            <v>14.730476692982464</v>
          </cell>
          <cell r="MA1196">
            <v>11.870949885755934</v>
          </cell>
          <cell r="MB1196">
            <v>9.6544719773798295</v>
          </cell>
          <cell r="MC1196">
            <v>14.087427794132038</v>
          </cell>
        </row>
        <row r="1197">
          <cell r="A1197">
            <v>41201</v>
          </cell>
          <cell r="LJ1197">
            <v>15.230650424574172</v>
          </cell>
          <cell r="LK1197">
            <v>20.020152274152959</v>
          </cell>
          <cell r="LL1197">
            <v>17.982747259685677</v>
          </cell>
          <cell r="LM1197">
            <v>15.721193701553757</v>
          </cell>
          <cell r="LN1197">
            <v>20.244300817817596</v>
          </cell>
          <cell r="LY1197">
            <v>9.611831795185422</v>
          </cell>
          <cell r="LZ1197">
            <v>14.730476692982464</v>
          </cell>
          <cell r="MA1197">
            <v>11.870949885755934</v>
          </cell>
          <cell r="MB1197">
            <v>9.6544719773798295</v>
          </cell>
          <cell r="MC1197">
            <v>14.087427794132038</v>
          </cell>
        </row>
        <row r="1198">
          <cell r="A1198">
            <v>41204</v>
          </cell>
          <cell r="LJ1198">
            <v>15.200683292197832</v>
          </cell>
          <cell r="LK1198">
            <v>20.020152274152959</v>
          </cell>
          <cell r="LL1198">
            <v>17.982747259685677</v>
          </cell>
          <cell r="LM1198">
            <v>15.721193701553757</v>
          </cell>
          <cell r="LN1198">
            <v>20.244300817817596</v>
          </cell>
          <cell r="LY1198">
            <v>9.6417255543388567</v>
          </cell>
          <cell r="LZ1198">
            <v>14.730476692982464</v>
          </cell>
          <cell r="MA1198">
            <v>11.870949885755934</v>
          </cell>
          <cell r="MB1198">
            <v>9.6544719773798295</v>
          </cell>
          <cell r="MC1198">
            <v>14.087427794132038</v>
          </cell>
        </row>
        <row r="1199">
          <cell r="A1199">
            <v>41205</v>
          </cell>
          <cell r="LJ1199">
            <v>15.123770117156051</v>
          </cell>
          <cell r="LK1199">
            <v>20.020152274152959</v>
          </cell>
          <cell r="LL1199">
            <v>17.982747259685677</v>
          </cell>
          <cell r="LM1199">
            <v>15.721193701553757</v>
          </cell>
          <cell r="LN1199">
            <v>20.244300817817596</v>
          </cell>
          <cell r="LY1199">
            <v>9.5696193738963977</v>
          </cell>
          <cell r="LZ1199">
            <v>14.730476692982464</v>
          </cell>
          <cell r="MA1199">
            <v>11.870949885755934</v>
          </cell>
          <cell r="MB1199">
            <v>9.6544719773798295</v>
          </cell>
          <cell r="MC1199">
            <v>14.087427794132038</v>
          </cell>
        </row>
        <row r="1200">
          <cell r="A1200">
            <v>41206</v>
          </cell>
          <cell r="LJ1200">
            <v>15.124432833770173</v>
          </cell>
          <cell r="LK1200">
            <v>20.020152274152959</v>
          </cell>
          <cell r="LL1200">
            <v>17.982747259685677</v>
          </cell>
          <cell r="LM1200">
            <v>15.721193701553757</v>
          </cell>
          <cell r="LN1200">
            <v>20.244300817817596</v>
          </cell>
          <cell r="LY1200">
            <v>9.5793202928767744</v>
          </cell>
          <cell r="LZ1200">
            <v>14.730476692982464</v>
          </cell>
          <cell r="MA1200">
            <v>11.870949885755934</v>
          </cell>
          <cell r="MB1200">
            <v>9.6544719773798295</v>
          </cell>
          <cell r="MC1200">
            <v>14.087427794132038</v>
          </cell>
        </row>
        <row r="1201">
          <cell r="A1201">
            <v>41207</v>
          </cell>
          <cell r="LJ1201">
            <v>15.146354366717146</v>
          </cell>
          <cell r="LK1201">
            <v>20.020152274152959</v>
          </cell>
          <cell r="LL1201">
            <v>17.982747259685677</v>
          </cell>
          <cell r="LM1201">
            <v>15.721193701553757</v>
          </cell>
          <cell r="LN1201">
            <v>20.244300817817596</v>
          </cell>
          <cell r="LY1201">
            <v>9.5793202928767744</v>
          </cell>
          <cell r="LZ1201">
            <v>14.730476692982464</v>
          </cell>
          <cell r="MA1201">
            <v>11.870949885755934</v>
          </cell>
          <cell r="MB1201">
            <v>9.6544719773798295</v>
          </cell>
          <cell r="MC1201">
            <v>14.087427794132038</v>
          </cell>
        </row>
        <row r="1202">
          <cell r="A1202">
            <v>41208</v>
          </cell>
          <cell r="LJ1202">
            <v>15.007207925385703</v>
          </cell>
          <cell r="LK1202">
            <v>20.020152274152959</v>
          </cell>
          <cell r="LL1202">
            <v>17.982747259685677</v>
          </cell>
          <cell r="LM1202">
            <v>15.721193701553757</v>
          </cell>
          <cell r="LN1202">
            <v>20.244300817817596</v>
          </cell>
          <cell r="LY1202">
            <v>9.4985469291096081</v>
          </cell>
          <cell r="LZ1202">
            <v>14.730476692982464</v>
          </cell>
          <cell r="MA1202">
            <v>11.870949885755934</v>
          </cell>
          <cell r="MB1202">
            <v>9.6544719773798295</v>
          </cell>
          <cell r="MC1202">
            <v>14.087427794132038</v>
          </cell>
        </row>
        <row r="1203">
          <cell r="A1203">
            <v>41211</v>
          </cell>
          <cell r="LJ1203">
            <v>15.007207925385703</v>
          </cell>
          <cell r="LK1203">
            <v>20.020152274152959</v>
          </cell>
          <cell r="LL1203">
            <v>17.982747259685677</v>
          </cell>
          <cell r="LM1203">
            <v>15.721193701553757</v>
          </cell>
          <cell r="LN1203">
            <v>20.244300817817596</v>
          </cell>
          <cell r="LY1203">
            <v>9.4985469291096081</v>
          </cell>
          <cell r="LZ1203">
            <v>14.730476692982464</v>
          </cell>
          <cell r="MA1203">
            <v>11.870949885755934</v>
          </cell>
          <cell r="MB1203">
            <v>9.6544719773798295</v>
          </cell>
          <cell r="MC1203">
            <v>14.087427794132038</v>
          </cell>
        </row>
        <row r="1204">
          <cell r="A1204">
            <v>41212</v>
          </cell>
          <cell r="LJ1204">
            <v>15.007207925385703</v>
          </cell>
          <cell r="LK1204">
            <v>20.020152274152959</v>
          </cell>
          <cell r="LL1204">
            <v>17.982747259685677</v>
          </cell>
          <cell r="LM1204">
            <v>15.721193701553757</v>
          </cell>
          <cell r="LN1204">
            <v>20.244300817817596</v>
          </cell>
          <cell r="LY1204">
            <v>9.4985469291096081</v>
          </cell>
          <cell r="LZ1204">
            <v>14.730476692982464</v>
          </cell>
          <cell r="MA1204">
            <v>11.870949885755934</v>
          </cell>
          <cell r="MB1204">
            <v>9.6544719773798295</v>
          </cell>
          <cell r="MC1204">
            <v>14.087427794132038</v>
          </cell>
        </row>
        <row r="1205">
          <cell r="A1205">
            <v>41213</v>
          </cell>
          <cell r="LJ1205">
            <v>14.995614369471014</v>
          </cell>
          <cell r="LK1205">
            <v>20.020152274152959</v>
          </cell>
          <cell r="LL1205">
            <v>17.982747259685677</v>
          </cell>
          <cell r="LM1205">
            <v>15.721193701553757</v>
          </cell>
          <cell r="LN1205">
            <v>20.244300817817596</v>
          </cell>
          <cell r="LY1205">
            <v>9.4918169653369695</v>
          </cell>
          <cell r="LZ1205">
            <v>14.730476692982464</v>
          </cell>
          <cell r="MA1205">
            <v>11.870949885755934</v>
          </cell>
          <cell r="MB1205">
            <v>9.6544719773798295</v>
          </cell>
          <cell r="MC1205">
            <v>14.087427794132038</v>
          </cell>
        </row>
        <row r="1206">
          <cell r="A1206">
            <v>41214</v>
          </cell>
          <cell r="LJ1206">
            <v>15.035526254321843</v>
          </cell>
          <cell r="LK1206">
            <v>20.020152274152959</v>
          </cell>
          <cell r="LL1206">
            <v>17.982747259685677</v>
          </cell>
          <cell r="LM1206">
            <v>15.721193701553757</v>
          </cell>
          <cell r="LN1206">
            <v>20.244300817817596</v>
          </cell>
          <cell r="LY1206">
            <v>9.5330430104455175</v>
          </cell>
          <cell r="LZ1206">
            <v>14.730476692982464</v>
          </cell>
          <cell r="MA1206">
            <v>11.870949885755934</v>
          </cell>
          <cell r="MB1206">
            <v>9.6544719773798295</v>
          </cell>
          <cell r="MC1206">
            <v>14.087427794132038</v>
          </cell>
        </row>
        <row r="1207">
          <cell r="A1207">
            <v>41215</v>
          </cell>
          <cell r="LJ1207">
            <v>14.934908662033365</v>
          </cell>
          <cell r="LK1207">
            <v>20.020152274152959</v>
          </cell>
          <cell r="LL1207">
            <v>17.982747259685677</v>
          </cell>
          <cell r="LM1207">
            <v>15.721193701553757</v>
          </cell>
          <cell r="LN1207">
            <v>20.244300817817596</v>
          </cell>
          <cell r="LY1207">
            <v>9.4744844451654036</v>
          </cell>
          <cell r="LZ1207">
            <v>14.730476692982464</v>
          </cell>
          <cell r="MA1207">
            <v>11.870949885755934</v>
          </cell>
          <cell r="MB1207">
            <v>9.6544719773798295</v>
          </cell>
          <cell r="MC1207">
            <v>14.087427794132038</v>
          </cell>
        </row>
        <row r="1208">
          <cell r="A1208">
            <v>41218</v>
          </cell>
          <cell r="LJ1208">
            <v>15.031841011876717</v>
          </cell>
          <cell r="LK1208">
            <v>20.020152274152959</v>
          </cell>
          <cell r="LL1208">
            <v>17.982747259685677</v>
          </cell>
          <cell r="LM1208">
            <v>15.721193701553757</v>
          </cell>
          <cell r="LN1208">
            <v>20.244300817817596</v>
          </cell>
          <cell r="LY1208">
            <v>9.5163130673872001</v>
          </cell>
          <cell r="LZ1208">
            <v>14.730476692982464</v>
          </cell>
          <cell r="MA1208">
            <v>11.870949885755934</v>
          </cell>
          <cell r="MB1208">
            <v>9.6544719773798295</v>
          </cell>
          <cell r="MC1208">
            <v>14.087427794132038</v>
          </cell>
        </row>
        <row r="1209">
          <cell r="A1209">
            <v>41219</v>
          </cell>
          <cell r="LJ1209">
            <v>15.204618211855424</v>
          </cell>
          <cell r="LK1209">
            <v>20.020152274152959</v>
          </cell>
          <cell r="LL1209">
            <v>17.982747259685677</v>
          </cell>
          <cell r="LM1209">
            <v>15.721193701553757</v>
          </cell>
          <cell r="LN1209">
            <v>20.244300817817596</v>
          </cell>
          <cell r="LY1209">
            <v>9.6167002548891105</v>
          </cell>
          <cell r="LZ1209">
            <v>14.730476692982464</v>
          </cell>
          <cell r="MA1209">
            <v>11.870949885755934</v>
          </cell>
          <cell r="MB1209">
            <v>9.6544719773798295</v>
          </cell>
          <cell r="MC1209">
            <v>14.087427794132038</v>
          </cell>
        </row>
        <row r="1210">
          <cell r="A1210">
            <v>41220</v>
          </cell>
          <cell r="LJ1210">
            <v>14.965605590771561</v>
          </cell>
          <cell r="LK1210">
            <v>20.020152274152959</v>
          </cell>
          <cell r="LL1210">
            <v>17.982747259685677</v>
          </cell>
          <cell r="LM1210">
            <v>15.721193701553757</v>
          </cell>
          <cell r="LN1210">
            <v>20.244300817817596</v>
          </cell>
          <cell r="LY1210">
            <v>9.4778288944837676</v>
          </cell>
          <cell r="LZ1210">
            <v>14.730476692982464</v>
          </cell>
          <cell r="MA1210">
            <v>11.870949885755934</v>
          </cell>
          <cell r="MB1210">
            <v>9.6544719773798295</v>
          </cell>
          <cell r="MC1210">
            <v>14.087427794132038</v>
          </cell>
        </row>
        <row r="1211">
          <cell r="A1211">
            <v>41221</v>
          </cell>
          <cell r="LJ1211">
            <v>14.936811838488827</v>
          </cell>
          <cell r="LK1211">
            <v>20.020152274152959</v>
          </cell>
          <cell r="LL1211">
            <v>17.982747259685677</v>
          </cell>
          <cell r="LM1211">
            <v>15.721193701553757</v>
          </cell>
          <cell r="LN1211">
            <v>20.244300817817596</v>
          </cell>
          <cell r="LY1211">
            <v>9.4610991187399378</v>
          </cell>
          <cell r="LZ1211">
            <v>14.730476692982464</v>
          </cell>
          <cell r="MA1211">
            <v>11.870949885755934</v>
          </cell>
          <cell r="MB1211">
            <v>9.6544719773798295</v>
          </cell>
          <cell r="MC1211">
            <v>14.087427794132038</v>
          </cell>
        </row>
        <row r="1212">
          <cell r="A1212">
            <v>41222</v>
          </cell>
          <cell r="LJ1212">
            <v>14.980005058609805</v>
          </cell>
          <cell r="LK1212">
            <v>20.020152274152959</v>
          </cell>
          <cell r="LL1212">
            <v>17.982747259685677</v>
          </cell>
          <cell r="LM1212">
            <v>15.721193701553757</v>
          </cell>
          <cell r="LN1212">
            <v>20.244300817817596</v>
          </cell>
          <cell r="LY1212">
            <v>9.4861952881860816</v>
          </cell>
          <cell r="LZ1212">
            <v>14.730476692982464</v>
          </cell>
          <cell r="MA1212">
            <v>11.870949885755934</v>
          </cell>
          <cell r="MB1212">
            <v>9.6544719773798295</v>
          </cell>
          <cell r="MC1212">
            <v>14.087427794132038</v>
          </cell>
        </row>
        <row r="1213">
          <cell r="A1213">
            <v>41225</v>
          </cell>
          <cell r="LJ1213">
            <v>14.994404238481728</v>
          </cell>
          <cell r="LK1213">
            <v>20.020152274152959</v>
          </cell>
          <cell r="LL1213">
            <v>17.982747259685677</v>
          </cell>
          <cell r="LM1213">
            <v>15.721193701553757</v>
          </cell>
          <cell r="LN1213">
            <v>20.244300817817596</v>
          </cell>
          <cell r="LY1213">
            <v>9.494561514573908</v>
          </cell>
          <cell r="LZ1213">
            <v>14.730476692982464</v>
          </cell>
          <cell r="MA1213">
            <v>11.870949885755934</v>
          </cell>
          <cell r="MB1213">
            <v>9.6544719773798295</v>
          </cell>
          <cell r="MC1213">
            <v>14.087427794132038</v>
          </cell>
        </row>
        <row r="1214">
          <cell r="A1214">
            <v>41226</v>
          </cell>
          <cell r="LJ1214">
            <v>15.005920875495864</v>
          </cell>
          <cell r="LK1214">
            <v>20.020152274152959</v>
          </cell>
          <cell r="LL1214">
            <v>17.982747259685677</v>
          </cell>
          <cell r="LM1214">
            <v>15.721193701553757</v>
          </cell>
          <cell r="LN1214">
            <v>20.244300817817596</v>
          </cell>
          <cell r="LY1214">
            <v>9.5012529229279732</v>
          </cell>
          <cell r="LZ1214">
            <v>14.730476692982464</v>
          </cell>
          <cell r="MA1214">
            <v>11.870949885755934</v>
          </cell>
          <cell r="MB1214">
            <v>9.6544719773798295</v>
          </cell>
          <cell r="MC1214">
            <v>14.087427794132038</v>
          </cell>
        </row>
        <row r="1215">
          <cell r="A1215">
            <v>41227</v>
          </cell>
          <cell r="LJ1215">
            <v>14.804345315773311</v>
          </cell>
          <cell r="LK1215">
            <v>20.020152274152959</v>
          </cell>
          <cell r="LL1215">
            <v>17.982747259685677</v>
          </cell>
          <cell r="LM1215">
            <v>15.721193701553757</v>
          </cell>
          <cell r="LN1215">
            <v>20.244300817817596</v>
          </cell>
          <cell r="LY1215">
            <v>9.38413328265041</v>
          </cell>
          <cell r="LZ1215">
            <v>14.730476692982464</v>
          </cell>
          <cell r="MA1215">
            <v>11.870949885755934</v>
          </cell>
          <cell r="MB1215">
            <v>9.6544719773798295</v>
          </cell>
          <cell r="MC1215">
            <v>14.087427794132038</v>
          </cell>
        </row>
        <row r="1216">
          <cell r="A1216">
            <v>41228</v>
          </cell>
          <cell r="LJ1216">
            <v>14.853299014148755</v>
          </cell>
          <cell r="LK1216">
            <v>20.020152274152959</v>
          </cell>
          <cell r="LL1216">
            <v>17.982747259685677</v>
          </cell>
          <cell r="LM1216">
            <v>15.721193701553757</v>
          </cell>
          <cell r="LN1216">
            <v>20.244300817817596</v>
          </cell>
          <cell r="LY1216">
            <v>9.4125764111322532</v>
          </cell>
          <cell r="LZ1216">
            <v>14.730476692982464</v>
          </cell>
          <cell r="MA1216">
            <v>11.870949885755934</v>
          </cell>
          <cell r="MB1216">
            <v>9.6544719773798295</v>
          </cell>
          <cell r="MC1216">
            <v>14.087427794132038</v>
          </cell>
        </row>
        <row r="1217">
          <cell r="A1217">
            <v>41229</v>
          </cell>
          <cell r="LJ1217">
            <v>14.971366356992347</v>
          </cell>
          <cell r="LK1217">
            <v>20.020152274152959</v>
          </cell>
          <cell r="LL1217">
            <v>17.982747259685677</v>
          </cell>
          <cell r="LM1217">
            <v>15.721193701553757</v>
          </cell>
          <cell r="LN1217">
            <v>20.244300817817596</v>
          </cell>
          <cell r="LY1217">
            <v>9.4811760208339546</v>
          </cell>
          <cell r="LZ1217">
            <v>14.730476692982464</v>
          </cell>
          <cell r="MA1217">
            <v>11.870949885755934</v>
          </cell>
          <cell r="MB1217">
            <v>9.6544719773798295</v>
          </cell>
          <cell r="MC1217">
            <v>14.087427794132038</v>
          </cell>
        </row>
        <row r="1218">
          <cell r="A1218">
            <v>41232</v>
          </cell>
          <cell r="LJ1218">
            <v>15.233416571599271</v>
          </cell>
          <cell r="LK1218">
            <v>20.020152274152959</v>
          </cell>
          <cell r="LL1218">
            <v>17.982747259685677</v>
          </cell>
          <cell r="LM1218">
            <v>15.721193701553757</v>
          </cell>
          <cell r="LN1218">
            <v>20.244300817817596</v>
          </cell>
          <cell r="LY1218">
            <v>9.6334327076647632</v>
          </cell>
          <cell r="LZ1218">
            <v>14.730476692982464</v>
          </cell>
          <cell r="MA1218">
            <v>11.870949885755934</v>
          </cell>
          <cell r="MB1218">
            <v>9.6544719773798295</v>
          </cell>
          <cell r="MC1218">
            <v>14.087427794132038</v>
          </cell>
        </row>
        <row r="1219">
          <cell r="A1219">
            <v>41233</v>
          </cell>
          <cell r="LJ1219">
            <v>15.158547056337769</v>
          </cell>
          <cell r="LK1219">
            <v>20.020152274152959</v>
          </cell>
          <cell r="LL1219">
            <v>17.982747259685677</v>
          </cell>
          <cell r="LM1219">
            <v>15.721193701553757</v>
          </cell>
          <cell r="LN1219">
            <v>20.244300817817596</v>
          </cell>
          <cell r="LY1219">
            <v>9.5899319444410285</v>
          </cell>
          <cell r="LZ1219">
            <v>14.730476692982464</v>
          </cell>
          <cell r="MA1219">
            <v>11.870949885755934</v>
          </cell>
          <cell r="MB1219">
            <v>9.6544719773798295</v>
          </cell>
          <cell r="MC1219">
            <v>14.087427794132038</v>
          </cell>
        </row>
        <row r="1220">
          <cell r="A1220">
            <v>41234</v>
          </cell>
          <cell r="LJ1220">
            <v>15.273731856323574</v>
          </cell>
          <cell r="LK1220">
            <v>20.020152274152959</v>
          </cell>
          <cell r="LL1220">
            <v>17.982747259685677</v>
          </cell>
          <cell r="LM1220">
            <v>15.721193701553757</v>
          </cell>
          <cell r="LN1220">
            <v>20.244300817817596</v>
          </cell>
          <cell r="LY1220">
            <v>9.6568567361089688</v>
          </cell>
          <cell r="LZ1220">
            <v>14.730476692982464</v>
          </cell>
          <cell r="MA1220">
            <v>11.870949885755934</v>
          </cell>
          <cell r="MB1220">
            <v>9.6544719773798295</v>
          </cell>
          <cell r="MC1220">
            <v>14.087427794132038</v>
          </cell>
        </row>
        <row r="1221">
          <cell r="A1221">
            <v>41235</v>
          </cell>
          <cell r="LJ1221">
            <v>15.273731856323574</v>
          </cell>
          <cell r="LK1221">
            <v>20.020152274152959</v>
          </cell>
          <cell r="LL1221">
            <v>17.982747259685677</v>
          </cell>
          <cell r="LM1221">
            <v>15.721193701553757</v>
          </cell>
          <cell r="LN1221">
            <v>20.244300817817596</v>
          </cell>
          <cell r="LY1221">
            <v>9.6568567361089688</v>
          </cell>
          <cell r="LZ1221">
            <v>14.730476692982464</v>
          </cell>
          <cell r="MA1221">
            <v>11.870949885755934</v>
          </cell>
          <cell r="MB1221">
            <v>9.6544719773798295</v>
          </cell>
          <cell r="MC1221">
            <v>14.087427794132038</v>
          </cell>
        </row>
        <row r="1222">
          <cell r="A1222">
            <v>41236</v>
          </cell>
          <cell r="LJ1222">
            <v>15.403689177940924</v>
          </cell>
          <cell r="LK1222">
            <v>20.020152274152959</v>
          </cell>
          <cell r="LL1222">
            <v>17.982747259685677</v>
          </cell>
          <cell r="LM1222">
            <v>15.721193701553757</v>
          </cell>
          <cell r="LN1222">
            <v>20.244300817817596</v>
          </cell>
          <cell r="LY1222">
            <v>9.7321477541647372</v>
          </cell>
          <cell r="LZ1222">
            <v>14.730476692982464</v>
          </cell>
          <cell r="MA1222">
            <v>11.870949885755934</v>
          </cell>
          <cell r="MB1222">
            <v>9.6544719773798295</v>
          </cell>
          <cell r="MC1222">
            <v>14.087427794132038</v>
          </cell>
        </row>
        <row r="1223">
          <cell r="A1223">
            <v>41239</v>
          </cell>
          <cell r="LJ1223">
            <v>15.17330967472844</v>
          </cell>
          <cell r="LK1223">
            <v>20.020152274152959</v>
          </cell>
          <cell r="LL1223">
            <v>17.982747259685677</v>
          </cell>
          <cell r="LM1223">
            <v>15.721193701553757</v>
          </cell>
          <cell r="LN1223">
            <v>20.244300817817596</v>
          </cell>
          <cell r="LY1223">
            <v>9.5982956611115195</v>
          </cell>
          <cell r="LZ1223">
            <v>14.730476692982464</v>
          </cell>
          <cell r="MA1223">
            <v>11.870949885755934</v>
          </cell>
          <cell r="MB1223">
            <v>9.6544719773798295</v>
          </cell>
          <cell r="MC1223">
            <v>14.087427794132038</v>
          </cell>
        </row>
        <row r="1224">
          <cell r="A1224">
            <v>41240</v>
          </cell>
          <cell r="LJ1224">
            <v>15.035083643046084</v>
          </cell>
          <cell r="LK1224">
            <v>20.020152274152959</v>
          </cell>
          <cell r="LL1224">
            <v>17.982747259685677</v>
          </cell>
          <cell r="LM1224">
            <v>15.721193701553757</v>
          </cell>
          <cell r="LN1224">
            <v>20.244300817817596</v>
          </cell>
          <cell r="LY1224">
            <v>9.5179853757036259</v>
          </cell>
          <cell r="LZ1224">
            <v>14.730476692982464</v>
          </cell>
          <cell r="MA1224">
            <v>11.870949885755934</v>
          </cell>
          <cell r="MB1224">
            <v>9.6544719773798295</v>
          </cell>
          <cell r="MC1224">
            <v>14.087427794132038</v>
          </cell>
        </row>
        <row r="1225">
          <cell r="A1225">
            <v>41241</v>
          </cell>
          <cell r="LJ1225">
            <v>15.20498673763117</v>
          </cell>
          <cell r="LK1225">
            <v>20.020152274152959</v>
          </cell>
          <cell r="LL1225">
            <v>17.982747259685677</v>
          </cell>
          <cell r="LM1225">
            <v>15.721193701553757</v>
          </cell>
          <cell r="LN1225">
            <v>20.244300817817596</v>
          </cell>
          <cell r="LY1225">
            <v>9.6167002548891105</v>
          </cell>
          <cell r="LZ1225">
            <v>14.730476692982464</v>
          </cell>
          <cell r="MA1225">
            <v>11.870949885755934</v>
          </cell>
          <cell r="MB1225">
            <v>9.6544719773798295</v>
          </cell>
          <cell r="MC1225">
            <v>14.087427794132038</v>
          </cell>
        </row>
        <row r="1226">
          <cell r="A1226">
            <v>41242</v>
          </cell>
          <cell r="LJ1226">
            <v>15.446887764567977</v>
          </cell>
          <cell r="LK1226">
            <v>20.020152274152959</v>
          </cell>
          <cell r="LL1226">
            <v>17.982747259685677</v>
          </cell>
          <cell r="LM1226">
            <v>15.721193701553757</v>
          </cell>
          <cell r="LN1226">
            <v>20.244300817817596</v>
          </cell>
          <cell r="LY1226">
            <v>9.7572464333282145</v>
          </cell>
          <cell r="LZ1226">
            <v>14.730476692982464</v>
          </cell>
          <cell r="MA1226">
            <v>11.870949885755934</v>
          </cell>
          <cell r="MB1226">
            <v>9.6544719773798295</v>
          </cell>
          <cell r="MC1226">
            <v>14.087427794132038</v>
          </cell>
        </row>
        <row r="1227">
          <cell r="A1227">
            <v>41243</v>
          </cell>
          <cell r="LJ1227">
            <v>15.528901666330496</v>
          </cell>
          <cell r="LK1227">
            <v>20.020152274152959</v>
          </cell>
          <cell r="LL1227">
            <v>17.982747259685677</v>
          </cell>
          <cell r="LM1227">
            <v>15.721193701553757</v>
          </cell>
          <cell r="LN1227">
            <v>20.244300817817596</v>
          </cell>
          <cell r="LY1227">
            <v>9.8046801110561077</v>
          </cell>
          <cell r="LZ1227">
            <v>14.730476692982464</v>
          </cell>
          <cell r="MA1227">
            <v>11.870949885755934</v>
          </cell>
          <cell r="MB1227">
            <v>9.6544719773798295</v>
          </cell>
          <cell r="MC1227">
            <v>14.087427794132038</v>
          </cell>
        </row>
        <row r="1228">
          <cell r="A1228">
            <v>41246</v>
          </cell>
          <cell r="LJ1228">
            <v>15.246173187626113</v>
          </cell>
          <cell r="LK1228">
            <v>20.020152274152959</v>
          </cell>
          <cell r="LL1228">
            <v>17.982747259685677</v>
          </cell>
          <cell r="LM1228">
            <v>15.721193701553757</v>
          </cell>
          <cell r="LN1228">
            <v>20.244300817817596</v>
          </cell>
          <cell r="LY1228">
            <v>9.6572572232410305</v>
          </cell>
          <cell r="LZ1228">
            <v>14.730476692982464</v>
          </cell>
          <cell r="MA1228">
            <v>11.870949885755934</v>
          </cell>
          <cell r="MB1228">
            <v>9.6544719773798295</v>
          </cell>
          <cell r="MC1228">
            <v>14.087427794132038</v>
          </cell>
        </row>
        <row r="1229">
          <cell r="A1229">
            <v>41247</v>
          </cell>
          <cell r="LJ1229">
            <v>15.197655137378241</v>
          </cell>
          <cell r="LK1229">
            <v>20.020152274152959</v>
          </cell>
          <cell r="LL1229">
            <v>17.982747259685677</v>
          </cell>
          <cell r="LM1229">
            <v>15.721193701553757</v>
          </cell>
          <cell r="LN1229">
            <v>20.244300817817596</v>
          </cell>
          <cell r="LY1229">
            <v>9.628998800130546</v>
          </cell>
          <cell r="LZ1229">
            <v>14.730476692982464</v>
          </cell>
          <cell r="MA1229">
            <v>11.870949885755934</v>
          </cell>
          <cell r="MB1229">
            <v>9.6544719773798295</v>
          </cell>
          <cell r="MC1229">
            <v>14.087427794132038</v>
          </cell>
        </row>
        <row r="1230">
          <cell r="A1230">
            <v>41248</v>
          </cell>
          <cell r="LJ1230">
            <v>15.226192766201558</v>
          </cell>
          <cell r="LK1230">
            <v>20.020152274152959</v>
          </cell>
          <cell r="LL1230">
            <v>17.982747259685677</v>
          </cell>
          <cell r="LM1230">
            <v>15.721193701553757</v>
          </cell>
          <cell r="LN1230">
            <v>20.244300817817596</v>
          </cell>
          <cell r="LY1230">
            <v>9.6456200036978643</v>
          </cell>
          <cell r="LZ1230">
            <v>14.730476692982464</v>
          </cell>
          <cell r="MA1230">
            <v>11.870949885755934</v>
          </cell>
          <cell r="MB1230">
            <v>9.6544719773798295</v>
          </cell>
          <cell r="MC1230">
            <v>14.087427794132038</v>
          </cell>
        </row>
        <row r="1231">
          <cell r="A1231">
            <v>41249</v>
          </cell>
          <cell r="LJ1231">
            <v>15.146280784170465</v>
          </cell>
          <cell r="LK1231">
            <v>20.020152274152959</v>
          </cell>
          <cell r="LL1231">
            <v>17.982747259685677</v>
          </cell>
          <cell r="LM1231">
            <v>15.721193701553757</v>
          </cell>
          <cell r="LN1231">
            <v>20.244300817817596</v>
          </cell>
          <cell r="LY1231">
            <v>9.5990767772430647</v>
          </cell>
          <cell r="LZ1231">
            <v>14.730476692982464</v>
          </cell>
          <cell r="MA1231">
            <v>11.870949885755934</v>
          </cell>
          <cell r="MB1231">
            <v>9.6544719773798295</v>
          </cell>
          <cell r="MC1231">
            <v>14.087427794132038</v>
          </cell>
        </row>
        <row r="1232">
          <cell r="A1232">
            <v>41250</v>
          </cell>
          <cell r="LJ1232">
            <v>15.269702911518493</v>
          </cell>
          <cell r="LK1232">
            <v>20.020152274152959</v>
          </cell>
          <cell r="LL1232">
            <v>17.982747259685677</v>
          </cell>
          <cell r="LM1232">
            <v>15.721193701553757</v>
          </cell>
          <cell r="LN1232">
            <v>20.244300817817596</v>
          </cell>
          <cell r="LY1232">
            <v>9.661976647277994</v>
          </cell>
          <cell r="LZ1232">
            <v>14.730476692982464</v>
          </cell>
          <cell r="MA1232">
            <v>11.870949885755934</v>
          </cell>
          <cell r="MB1232">
            <v>9.6544719773798295</v>
          </cell>
          <cell r="MC1232">
            <v>14.087427794132038</v>
          </cell>
        </row>
        <row r="1233">
          <cell r="A1233">
            <v>41253</v>
          </cell>
          <cell r="LJ1233">
            <v>15.246405775423053</v>
          </cell>
          <cell r="LK1233">
            <v>20.020152274152959</v>
          </cell>
          <cell r="LL1233">
            <v>17.982747259685677</v>
          </cell>
          <cell r="LM1233">
            <v>15.721193701553757</v>
          </cell>
          <cell r="LN1233">
            <v>20.244300817817596</v>
          </cell>
          <cell r="LY1233">
            <v>9.6377846026496385</v>
          </cell>
          <cell r="LZ1233">
            <v>14.730476692982464</v>
          </cell>
          <cell r="MA1233">
            <v>11.870949885755934</v>
          </cell>
          <cell r="MB1233">
            <v>9.6544719773798295</v>
          </cell>
          <cell r="MC1233">
            <v>14.087427794132038</v>
          </cell>
        </row>
        <row r="1234">
          <cell r="A1234">
            <v>41254</v>
          </cell>
          <cell r="LJ1234">
            <v>15.280663808262348</v>
          </cell>
          <cell r="LK1234">
            <v>20.020152274152959</v>
          </cell>
          <cell r="LL1234">
            <v>17.982747259685677</v>
          </cell>
          <cell r="LM1234">
            <v>15.721193701553757</v>
          </cell>
          <cell r="LN1234">
            <v>20.244300817817596</v>
          </cell>
          <cell r="LY1234">
            <v>9.6576967108790726</v>
          </cell>
          <cell r="LZ1234">
            <v>14.730476692982464</v>
          </cell>
          <cell r="MA1234">
            <v>11.870949885755934</v>
          </cell>
          <cell r="MB1234">
            <v>9.6544719773798295</v>
          </cell>
          <cell r="MC1234">
            <v>14.087427794132038</v>
          </cell>
        </row>
        <row r="1235">
          <cell r="A1235">
            <v>41255</v>
          </cell>
          <cell r="LJ1235">
            <v>15.6060880015529</v>
          </cell>
          <cell r="LK1235">
            <v>20.020152274152959</v>
          </cell>
          <cell r="LL1235">
            <v>17.982747259685677</v>
          </cell>
          <cell r="LM1235">
            <v>15.721193701553757</v>
          </cell>
          <cell r="LN1235">
            <v>20.244300817817596</v>
          </cell>
          <cell r="LY1235">
            <v>9.8468459766198695</v>
          </cell>
          <cell r="LZ1235">
            <v>14.730476692982464</v>
          </cell>
          <cell r="MA1235">
            <v>11.870949885755934</v>
          </cell>
          <cell r="MB1235">
            <v>9.6544719773798295</v>
          </cell>
          <cell r="MC1235">
            <v>14.087427794132038</v>
          </cell>
        </row>
        <row r="1236">
          <cell r="A1236">
            <v>41256</v>
          </cell>
          <cell r="LJ1236">
            <v>15.666742778856033</v>
          </cell>
          <cell r="LK1236">
            <v>20.020152274152959</v>
          </cell>
          <cell r="LL1236">
            <v>17.982747259685677</v>
          </cell>
          <cell r="LM1236">
            <v>15.721193701553757</v>
          </cell>
          <cell r="LN1236">
            <v>20.244300817817596</v>
          </cell>
          <cell r="LY1236">
            <v>9.9237584930564573</v>
          </cell>
          <cell r="LZ1236">
            <v>14.730476692982464</v>
          </cell>
          <cell r="MA1236">
            <v>11.870949885755934</v>
          </cell>
          <cell r="MB1236">
            <v>9.6544719773798295</v>
          </cell>
          <cell r="MC1236">
            <v>14.087427794132038</v>
          </cell>
        </row>
        <row r="1237">
          <cell r="A1237">
            <v>41257</v>
          </cell>
          <cell r="LJ1237">
            <v>15.548708076659821</v>
          </cell>
          <cell r="LK1237">
            <v>20.020152274152959</v>
          </cell>
          <cell r="LL1237">
            <v>17.982747259685677</v>
          </cell>
          <cell r="LM1237">
            <v>15.721193701553757</v>
          </cell>
          <cell r="LN1237">
            <v>20.244300817817596</v>
          </cell>
          <cell r="LY1237">
            <v>9.81734736086689</v>
          </cell>
          <cell r="LZ1237">
            <v>14.730476692982464</v>
          </cell>
          <cell r="MA1237">
            <v>11.870949885755934</v>
          </cell>
          <cell r="MB1237">
            <v>9.6544719773798295</v>
          </cell>
          <cell r="MC1237">
            <v>14.087427794132038</v>
          </cell>
        </row>
        <row r="1238">
          <cell r="A1238">
            <v>41260</v>
          </cell>
          <cell r="LJ1238">
            <v>15.77785517977928</v>
          </cell>
          <cell r="LK1238">
            <v>20.020152274152959</v>
          </cell>
          <cell r="LL1238">
            <v>17.982747259685677</v>
          </cell>
          <cell r="LM1238">
            <v>15.721193701553757</v>
          </cell>
          <cell r="LN1238">
            <v>20.244300817817596</v>
          </cell>
          <cell r="LY1238">
            <v>9.9632894669752705</v>
          </cell>
          <cell r="LZ1238">
            <v>14.730476692982464</v>
          </cell>
          <cell r="MA1238">
            <v>11.870949885755934</v>
          </cell>
          <cell r="MB1238">
            <v>9.6544719773798295</v>
          </cell>
          <cell r="MC1238">
            <v>14.087427794132038</v>
          </cell>
        </row>
        <row r="1239">
          <cell r="A1239">
            <v>41261</v>
          </cell>
          <cell r="LJ1239">
            <v>16.042716126735495</v>
          </cell>
          <cell r="LK1239">
            <v>20.020152274152959</v>
          </cell>
          <cell r="LL1239">
            <v>17.982747259685677</v>
          </cell>
          <cell r="LM1239">
            <v>15.721193701553757</v>
          </cell>
          <cell r="LN1239">
            <v>20.244300817817596</v>
          </cell>
          <cell r="LY1239">
            <v>10.11752187624392</v>
          </cell>
          <cell r="LZ1239">
            <v>14.730476692982464</v>
          </cell>
          <cell r="MA1239">
            <v>11.870949885755934</v>
          </cell>
          <cell r="MB1239">
            <v>9.6544719773798295</v>
          </cell>
          <cell r="MC1239">
            <v>14.087427794132038</v>
          </cell>
        </row>
        <row r="1240">
          <cell r="A1240">
            <v>41262</v>
          </cell>
          <cell r="LJ1240">
            <v>15.854752296190814</v>
          </cell>
          <cell r="LK1240">
            <v>20.020152274152959</v>
          </cell>
          <cell r="LL1240">
            <v>17.982747259685677</v>
          </cell>
          <cell r="LM1240">
            <v>15.721193701553757</v>
          </cell>
          <cell r="LN1240">
            <v>20.244300817817596</v>
          </cell>
          <cell r="LY1240">
            <v>10.008067784300865</v>
          </cell>
          <cell r="LZ1240">
            <v>14.730476692982464</v>
          </cell>
          <cell r="MA1240">
            <v>11.870949885755934</v>
          </cell>
          <cell r="MB1240">
            <v>9.6544719773798295</v>
          </cell>
          <cell r="MC1240">
            <v>14.087427794132038</v>
          </cell>
        </row>
        <row r="1241">
          <cell r="A1241">
            <v>41263</v>
          </cell>
          <cell r="LJ1241">
            <v>16.091135635457459</v>
          </cell>
          <cell r="LK1241">
            <v>20.020152274152959</v>
          </cell>
          <cell r="LL1241">
            <v>17.982747259685677</v>
          </cell>
          <cell r="LM1241">
            <v>15.721193701553757</v>
          </cell>
          <cell r="LN1241">
            <v>20.244300817817596</v>
          </cell>
          <cell r="LY1241">
            <v>10.145717265453293</v>
          </cell>
          <cell r="LZ1241">
            <v>14.730476692982464</v>
          </cell>
          <cell r="MA1241">
            <v>11.870949885755934</v>
          </cell>
          <cell r="MB1241">
            <v>9.6544719773798295</v>
          </cell>
          <cell r="MC1241">
            <v>14.087427794132038</v>
          </cell>
        </row>
        <row r="1242">
          <cell r="A1242">
            <v>41264</v>
          </cell>
          <cell r="LJ1242">
            <v>15.965823567105732</v>
          </cell>
          <cell r="LK1242">
            <v>20.020152274152959</v>
          </cell>
          <cell r="LL1242">
            <v>17.982747259685677</v>
          </cell>
          <cell r="LM1242">
            <v>15.721193701553757</v>
          </cell>
          <cell r="LN1242">
            <v>20.244300817817596</v>
          </cell>
          <cell r="LY1242">
            <v>10.079454941309134</v>
          </cell>
          <cell r="LZ1242">
            <v>14.730476692982464</v>
          </cell>
          <cell r="MA1242">
            <v>11.870949885755934</v>
          </cell>
          <cell r="MB1242">
            <v>9.6544719773798295</v>
          </cell>
          <cell r="MC1242">
            <v>14.087427794132038</v>
          </cell>
        </row>
        <row r="1243">
          <cell r="A1243">
            <v>41267</v>
          </cell>
          <cell r="LJ1243">
            <v>15.931644855820577</v>
          </cell>
          <cell r="LK1243">
            <v>20.020152274152959</v>
          </cell>
          <cell r="LL1243">
            <v>17.982747259685677</v>
          </cell>
          <cell r="LM1243">
            <v>15.721193701553757</v>
          </cell>
          <cell r="LN1243">
            <v>20.244300817817596</v>
          </cell>
          <cell r="LY1243">
            <v>10.059538921261598</v>
          </cell>
          <cell r="LZ1243">
            <v>14.730476692982464</v>
          </cell>
          <cell r="MA1243">
            <v>11.870949885755934</v>
          </cell>
          <cell r="MB1243">
            <v>9.6544719773798295</v>
          </cell>
          <cell r="MC1243">
            <v>14.087427794132038</v>
          </cell>
        </row>
        <row r="1244">
          <cell r="A1244">
            <v>41268</v>
          </cell>
          <cell r="LJ1244">
            <v>15.931644855820577</v>
          </cell>
          <cell r="LK1244">
            <v>20.020152274152959</v>
          </cell>
          <cell r="LL1244">
            <v>17.982747259685677</v>
          </cell>
          <cell r="LM1244">
            <v>15.721193701553757</v>
          </cell>
          <cell r="LN1244">
            <v>20.244300817817596</v>
          </cell>
          <cell r="LY1244">
            <v>10.059538921261598</v>
          </cell>
          <cell r="LZ1244">
            <v>14.730476692982464</v>
          </cell>
          <cell r="MA1244">
            <v>11.870949885755934</v>
          </cell>
          <cell r="MB1244">
            <v>9.6544719773798295</v>
          </cell>
          <cell r="MC1244">
            <v>14.087427794132038</v>
          </cell>
        </row>
        <row r="1245">
          <cell r="A1245">
            <v>41269</v>
          </cell>
          <cell r="LJ1245">
            <v>15.851901459594163</v>
          </cell>
          <cell r="LK1245">
            <v>20.020152274152959</v>
          </cell>
          <cell r="LL1245">
            <v>17.982747259685677</v>
          </cell>
          <cell r="LM1245">
            <v>15.721193701553757</v>
          </cell>
          <cell r="LN1245">
            <v>20.244300817817596</v>
          </cell>
          <cell r="LY1245">
            <v>10.01307224600713</v>
          </cell>
          <cell r="LZ1245">
            <v>14.730476692982464</v>
          </cell>
          <cell r="MA1245">
            <v>11.870949885755934</v>
          </cell>
          <cell r="MB1245">
            <v>9.6544719773798295</v>
          </cell>
          <cell r="MC1245">
            <v>14.087427794132038</v>
          </cell>
        </row>
        <row r="1246">
          <cell r="A1246">
            <v>41270</v>
          </cell>
          <cell r="LJ1246">
            <v>15.886080170879316</v>
          </cell>
          <cell r="LK1246">
            <v>20.020152274152959</v>
          </cell>
          <cell r="LL1246">
            <v>17.982747259685677</v>
          </cell>
          <cell r="LM1246">
            <v>15.721193701553757</v>
          </cell>
          <cell r="LN1246">
            <v>20.244300817817596</v>
          </cell>
          <cell r="LY1246">
            <v>10.032988266054662</v>
          </cell>
          <cell r="LZ1246">
            <v>14.730476692982464</v>
          </cell>
          <cell r="MA1246">
            <v>11.870949885755934</v>
          </cell>
          <cell r="MB1246">
            <v>9.6544719773798295</v>
          </cell>
          <cell r="MC1246">
            <v>14.087427794132038</v>
          </cell>
        </row>
        <row r="1247">
          <cell r="A1247">
            <v>41271</v>
          </cell>
          <cell r="LJ1247">
            <v>15.669630473478106</v>
          </cell>
          <cell r="LK1247">
            <v>20.020152274152959</v>
          </cell>
          <cell r="LL1247">
            <v>17.982747259685677</v>
          </cell>
          <cell r="LM1247">
            <v>15.721193701553757</v>
          </cell>
          <cell r="LN1247">
            <v>20.244300817817596</v>
          </cell>
          <cell r="LY1247">
            <v>9.9068624892001917</v>
          </cell>
          <cell r="LZ1247">
            <v>14.730476692982464</v>
          </cell>
          <cell r="MA1247">
            <v>11.870949885755934</v>
          </cell>
          <cell r="MB1247">
            <v>9.6544719773798295</v>
          </cell>
          <cell r="MC1247">
            <v>14.087427794132038</v>
          </cell>
        </row>
        <row r="1248">
          <cell r="A1248">
            <v>41274</v>
          </cell>
          <cell r="LJ1248">
            <v>15.920254610181559</v>
          </cell>
          <cell r="LK1248">
            <v>20.020152274152959</v>
          </cell>
          <cell r="LL1248">
            <v>17.982747259685677</v>
          </cell>
          <cell r="LM1248">
            <v>15.721193701553757</v>
          </cell>
          <cell r="LN1248">
            <v>20.244300817817596</v>
          </cell>
          <cell r="LY1248">
            <v>9.9834240237182552</v>
          </cell>
          <cell r="LZ1248">
            <v>14.730476692982464</v>
          </cell>
          <cell r="MA1248">
            <v>11.870949885755934</v>
          </cell>
          <cell r="MB1248">
            <v>9.6544719773798295</v>
          </cell>
          <cell r="MC1248">
            <v>14.087427794132038</v>
          </cell>
        </row>
        <row r="1249">
          <cell r="A1249">
            <v>41275</v>
          </cell>
          <cell r="LJ1249">
            <v>15.783249189721799</v>
          </cell>
          <cell r="LK1249">
            <v>20.020152274152959</v>
          </cell>
          <cell r="LL1249">
            <v>17.982747259685677</v>
          </cell>
          <cell r="LM1249">
            <v>15.721193701553757</v>
          </cell>
          <cell r="LN1249">
            <v>20.244300817817596</v>
          </cell>
          <cell r="LY1249">
            <v>9.9086128885954921</v>
          </cell>
          <cell r="LZ1249">
            <v>14.730476692982464</v>
          </cell>
          <cell r="MA1249">
            <v>11.870949885755934</v>
          </cell>
          <cell r="MB1249">
            <v>9.6544719773798295</v>
          </cell>
          <cell r="MC1249">
            <v>14.087427794132038</v>
          </cell>
        </row>
        <row r="1250">
          <cell r="A1250">
            <v>41276</v>
          </cell>
          <cell r="LJ1250">
            <v>16.229359528951154</v>
          </cell>
          <cell r="LK1250">
            <v>20.020152274152959</v>
          </cell>
          <cell r="LL1250">
            <v>17.982747259685677</v>
          </cell>
          <cell r="LM1250">
            <v>15.721193701553757</v>
          </cell>
          <cell r="LN1250">
            <v>20.244300817817596</v>
          </cell>
          <cell r="LY1250">
            <v>10.166905057388989</v>
          </cell>
          <cell r="LZ1250">
            <v>14.730476692982464</v>
          </cell>
          <cell r="MA1250">
            <v>11.870949885755934</v>
          </cell>
          <cell r="MB1250">
            <v>9.6544719773798295</v>
          </cell>
          <cell r="MC1250">
            <v>14.087427794132038</v>
          </cell>
        </row>
        <row r="1251">
          <cell r="A1251">
            <v>41277</v>
          </cell>
          <cell r="LJ1251">
            <v>16.384651753206033</v>
          </cell>
          <cell r="LK1251">
            <v>20.020152274152959</v>
          </cell>
          <cell r="LL1251">
            <v>17.982747259685677</v>
          </cell>
          <cell r="LM1251">
            <v>15.721193701553757</v>
          </cell>
          <cell r="LN1251">
            <v>20.244300817817596</v>
          </cell>
          <cell r="LY1251">
            <v>10.256817264913366</v>
          </cell>
          <cell r="LZ1251">
            <v>14.730476692982464</v>
          </cell>
          <cell r="MA1251">
            <v>11.870949885755934</v>
          </cell>
          <cell r="MB1251">
            <v>9.6544719773798295</v>
          </cell>
          <cell r="MC1251">
            <v>14.087427794132038</v>
          </cell>
        </row>
        <row r="1252">
          <cell r="A1252">
            <v>41278</v>
          </cell>
          <cell r="LJ1252">
            <v>16.399354076020554</v>
          </cell>
          <cell r="LK1252">
            <v>20.020152274152959</v>
          </cell>
          <cell r="LL1252">
            <v>17.982747259685677</v>
          </cell>
          <cell r="LM1252">
            <v>15.721193701553757</v>
          </cell>
          <cell r="LN1252">
            <v>20.244300817817596</v>
          </cell>
          <cell r="LY1252">
            <v>10.265006395356455</v>
          </cell>
          <cell r="LZ1252">
            <v>14.730476692982464</v>
          </cell>
          <cell r="MA1252">
            <v>11.870949885755934</v>
          </cell>
          <cell r="MB1252">
            <v>9.6544719773798295</v>
          </cell>
          <cell r="MC1252">
            <v>14.087427794132038</v>
          </cell>
        </row>
        <row r="1253">
          <cell r="A1253">
            <v>41281</v>
          </cell>
          <cell r="LJ1253">
            <v>16.399354076020554</v>
          </cell>
          <cell r="LK1253">
            <v>20.020152274152959</v>
          </cell>
          <cell r="LL1253">
            <v>17.982747259685677</v>
          </cell>
          <cell r="LM1253">
            <v>15.721193701553757</v>
          </cell>
          <cell r="LN1253">
            <v>20.244300817817596</v>
          </cell>
          <cell r="LY1253">
            <v>10.265006395356455</v>
          </cell>
          <cell r="LZ1253">
            <v>14.730476692982464</v>
          </cell>
          <cell r="MA1253">
            <v>11.870949885755934</v>
          </cell>
          <cell r="MB1253">
            <v>9.6544719773798295</v>
          </cell>
          <cell r="MC1253">
            <v>14.087427794132038</v>
          </cell>
        </row>
        <row r="1254">
          <cell r="A1254">
            <v>41282</v>
          </cell>
          <cell r="LJ1254">
            <v>16.28759880017477</v>
          </cell>
          <cell r="LK1254">
            <v>20.020152274152959</v>
          </cell>
          <cell r="LL1254">
            <v>17.982747259685677</v>
          </cell>
          <cell r="LM1254">
            <v>15.721193701553757</v>
          </cell>
          <cell r="LN1254">
            <v>20.244300817817596</v>
          </cell>
          <cell r="LY1254">
            <v>10.199987798293895</v>
          </cell>
          <cell r="LZ1254">
            <v>14.730476692982464</v>
          </cell>
          <cell r="MA1254">
            <v>11.870949885755934</v>
          </cell>
          <cell r="MB1254">
            <v>9.6544719773798295</v>
          </cell>
          <cell r="MC1254">
            <v>14.087427794132038</v>
          </cell>
        </row>
        <row r="1255">
          <cell r="A1255">
            <v>41283</v>
          </cell>
          <cell r="LJ1255">
            <v>16.872320196074305</v>
          </cell>
          <cell r="LK1255">
            <v>20.020152274152959</v>
          </cell>
          <cell r="LL1255">
            <v>17.982747259685677</v>
          </cell>
          <cell r="LM1255">
            <v>15.721193701553757</v>
          </cell>
          <cell r="LN1255">
            <v>20.244300817817596</v>
          </cell>
          <cell r="LY1255">
            <v>10.535476958624029</v>
          </cell>
          <cell r="LZ1255">
            <v>14.730476692982464</v>
          </cell>
          <cell r="MA1255">
            <v>11.870949885755934</v>
          </cell>
          <cell r="MB1255">
            <v>9.6544719773798295</v>
          </cell>
          <cell r="MC1255">
            <v>14.087427794132038</v>
          </cell>
        </row>
        <row r="1256">
          <cell r="A1256">
            <v>41284</v>
          </cell>
          <cell r="LJ1256">
            <v>16.924504164477057</v>
          </cell>
          <cell r="LK1256">
            <v>20.020152274152959</v>
          </cell>
          <cell r="LL1256">
            <v>17.982747259685677</v>
          </cell>
          <cell r="LM1256">
            <v>15.721193701553757</v>
          </cell>
          <cell r="LN1256">
            <v>20.244300817817596</v>
          </cell>
          <cell r="LY1256">
            <v>10.566506373649119</v>
          </cell>
          <cell r="LZ1256">
            <v>14.730476692982464</v>
          </cell>
          <cell r="MA1256">
            <v>11.870949885755934</v>
          </cell>
          <cell r="MB1256">
            <v>9.6544719773798295</v>
          </cell>
          <cell r="MC1256">
            <v>14.087427794132038</v>
          </cell>
        </row>
        <row r="1257">
          <cell r="A1257">
            <v>41285</v>
          </cell>
          <cell r="LJ1257">
            <v>16.865260773716972</v>
          </cell>
          <cell r="LK1257">
            <v>20.020152274152959</v>
          </cell>
          <cell r="LL1257">
            <v>17.982747259685677</v>
          </cell>
          <cell r="LM1257">
            <v>15.721193701553757</v>
          </cell>
          <cell r="LN1257">
            <v>20.244300817817596</v>
          </cell>
          <cell r="LY1257">
            <v>10.538708839280849</v>
          </cell>
          <cell r="LZ1257">
            <v>14.730476692982464</v>
          </cell>
          <cell r="MA1257">
            <v>11.870949885755934</v>
          </cell>
          <cell r="MB1257">
            <v>9.6544719773798295</v>
          </cell>
          <cell r="MC1257">
            <v>14.087427794132038</v>
          </cell>
        </row>
        <row r="1258">
          <cell r="A1258">
            <v>41288</v>
          </cell>
          <cell r="LJ1258">
            <v>16.789095117316197</v>
          </cell>
          <cell r="LK1258">
            <v>20.020152274152959</v>
          </cell>
          <cell r="LL1258">
            <v>17.982747259685677</v>
          </cell>
          <cell r="LM1258">
            <v>15.721193701553757</v>
          </cell>
          <cell r="LN1258">
            <v>20.244300817817596</v>
          </cell>
          <cell r="LY1258">
            <v>10.499720080904524</v>
          </cell>
          <cell r="LZ1258">
            <v>14.730476692982464</v>
          </cell>
          <cell r="MA1258">
            <v>11.870949885755934</v>
          </cell>
          <cell r="MB1258">
            <v>9.6544719773798295</v>
          </cell>
          <cell r="MC1258">
            <v>14.087427794132038</v>
          </cell>
        </row>
        <row r="1259">
          <cell r="A1259">
            <v>41289</v>
          </cell>
          <cell r="LJ1259">
            <v>16.891178306983949</v>
          </cell>
          <cell r="LK1259">
            <v>20.020152274152959</v>
          </cell>
          <cell r="LL1259">
            <v>17.982747259685677</v>
          </cell>
          <cell r="LM1259">
            <v>15.721193701553757</v>
          </cell>
          <cell r="LN1259">
            <v>20.244300817817596</v>
          </cell>
          <cell r="LY1259">
            <v>10.558259134670097</v>
          </cell>
          <cell r="LZ1259">
            <v>14.730476692982464</v>
          </cell>
          <cell r="MA1259">
            <v>11.870949885755934</v>
          </cell>
          <cell r="MB1259">
            <v>9.6544719773798295</v>
          </cell>
          <cell r="MC1259">
            <v>14.087427794132038</v>
          </cell>
        </row>
        <row r="1260">
          <cell r="A1260">
            <v>41290</v>
          </cell>
          <cell r="LJ1260">
            <v>16.899203427668098</v>
          </cell>
          <cell r="LK1260">
            <v>20.020152274152959</v>
          </cell>
          <cell r="LL1260">
            <v>17.982747259685677</v>
          </cell>
          <cell r="LM1260">
            <v>15.721193701553757</v>
          </cell>
          <cell r="LN1260">
            <v>20.244300817817596</v>
          </cell>
          <cell r="LY1260">
            <v>10.560861176386583</v>
          </cell>
          <cell r="LZ1260">
            <v>14.730476692982464</v>
          </cell>
          <cell r="MA1260">
            <v>11.870949885755934</v>
          </cell>
          <cell r="MB1260">
            <v>9.6544719773798295</v>
          </cell>
          <cell r="MC1260">
            <v>14.087427794132038</v>
          </cell>
        </row>
        <row r="1261">
          <cell r="A1261">
            <v>41291</v>
          </cell>
          <cell r="LJ1261">
            <v>17.079251281086428</v>
          </cell>
          <cell r="LK1261">
            <v>20.020152274152959</v>
          </cell>
          <cell r="LL1261">
            <v>17.982747259685677</v>
          </cell>
          <cell r="LM1261">
            <v>15.721193701553757</v>
          </cell>
          <cell r="LN1261">
            <v>20.244300817817596</v>
          </cell>
          <cell r="LY1261">
            <v>10.669229856879456</v>
          </cell>
          <cell r="LZ1261">
            <v>14.730476692982464</v>
          </cell>
          <cell r="MA1261">
            <v>11.870949885755934</v>
          </cell>
          <cell r="MB1261">
            <v>9.6544719773798295</v>
          </cell>
          <cell r="MC1261">
            <v>14.087427794132038</v>
          </cell>
        </row>
        <row r="1262">
          <cell r="A1262">
            <v>41292</v>
          </cell>
          <cell r="LJ1262">
            <v>17.021714103538091</v>
          </cell>
          <cell r="LK1262">
            <v>20.020152274152959</v>
          </cell>
          <cell r="LL1262">
            <v>17.982747259685677</v>
          </cell>
          <cell r="LM1262">
            <v>15.721193701553757</v>
          </cell>
          <cell r="LN1262">
            <v>20.244300817817596</v>
          </cell>
          <cell r="LY1262">
            <v>10.6369312508573</v>
          </cell>
          <cell r="LZ1262">
            <v>14.730476692982464</v>
          </cell>
          <cell r="MA1262">
            <v>11.870949885755934</v>
          </cell>
          <cell r="MB1262">
            <v>9.6544719773798295</v>
          </cell>
          <cell r="MC1262">
            <v>14.087427794132038</v>
          </cell>
        </row>
        <row r="1263">
          <cell r="A1263">
            <v>41295</v>
          </cell>
          <cell r="LJ1263">
            <v>17.021714103538091</v>
          </cell>
          <cell r="LK1263">
            <v>20.020152274152959</v>
          </cell>
          <cell r="LL1263">
            <v>17.982747259685677</v>
          </cell>
          <cell r="LM1263">
            <v>15.721193701553757</v>
          </cell>
          <cell r="LN1263">
            <v>20.244300817817596</v>
          </cell>
          <cell r="LY1263">
            <v>10.630582687167548</v>
          </cell>
          <cell r="LZ1263">
            <v>14.730476692982464</v>
          </cell>
          <cell r="MA1263">
            <v>11.870949885755934</v>
          </cell>
          <cell r="MB1263">
            <v>9.6544719773798295</v>
          </cell>
          <cell r="MC1263">
            <v>14.087427794132038</v>
          </cell>
        </row>
        <row r="1264">
          <cell r="A1264">
            <v>41296</v>
          </cell>
          <cell r="LJ1264">
            <v>16.987604485029774</v>
          </cell>
          <cell r="LK1264">
            <v>20.020152274152959</v>
          </cell>
          <cell r="LL1264">
            <v>17.982747259685677</v>
          </cell>
          <cell r="LM1264">
            <v>15.721193701553757</v>
          </cell>
          <cell r="LN1264">
            <v>20.244300817817596</v>
          </cell>
          <cell r="LY1264">
            <v>10.608199988981625</v>
          </cell>
          <cell r="LZ1264">
            <v>14.730476692982464</v>
          </cell>
          <cell r="MA1264">
            <v>11.870949885755934</v>
          </cell>
          <cell r="MB1264">
            <v>9.6544719773798295</v>
          </cell>
          <cell r="MC1264">
            <v>14.087427794132038</v>
          </cell>
        </row>
        <row r="1265">
          <cell r="A1265">
            <v>41297</v>
          </cell>
          <cell r="LJ1265">
            <v>17.004479027995671</v>
          </cell>
          <cell r="LK1265">
            <v>20.020152274152959</v>
          </cell>
          <cell r="LL1265">
            <v>17.982747259685677</v>
          </cell>
          <cell r="LM1265">
            <v>15.721193701553757</v>
          </cell>
          <cell r="LN1265">
            <v>20.244300817817596</v>
          </cell>
          <cell r="LY1265">
            <v>10.617974990566413</v>
          </cell>
          <cell r="LZ1265">
            <v>14.730476692982464</v>
          </cell>
          <cell r="MA1265">
            <v>11.870949885755934</v>
          </cell>
          <cell r="MB1265">
            <v>9.6544719773798295</v>
          </cell>
          <cell r="MC1265">
            <v>14.087427794132038</v>
          </cell>
        </row>
        <row r="1266">
          <cell r="A1266">
            <v>41298</v>
          </cell>
          <cell r="LJ1266">
            <v>17.015731348322674</v>
          </cell>
          <cell r="LK1266">
            <v>20.020152274152959</v>
          </cell>
          <cell r="LL1266">
            <v>17.982747259685677</v>
          </cell>
          <cell r="LM1266">
            <v>15.721193701553757</v>
          </cell>
          <cell r="LN1266">
            <v>20.244300817817596</v>
          </cell>
          <cell r="LY1266">
            <v>10.624493178896094</v>
          </cell>
          <cell r="LZ1266">
            <v>14.730476692982464</v>
          </cell>
          <cell r="MA1266">
            <v>11.870949885755934</v>
          </cell>
          <cell r="MB1266">
            <v>9.6544719773798295</v>
          </cell>
          <cell r="MC1266">
            <v>14.087427794132038</v>
          </cell>
        </row>
        <row r="1267">
          <cell r="A1267">
            <v>41299</v>
          </cell>
          <cell r="LJ1267">
            <v>17.026979731125067</v>
          </cell>
          <cell r="LK1267">
            <v>20.020152274152959</v>
          </cell>
          <cell r="LL1267">
            <v>17.982747259685677</v>
          </cell>
          <cell r="LM1267">
            <v>15.721193701553757</v>
          </cell>
          <cell r="LN1267">
            <v>20.244300817817596</v>
          </cell>
          <cell r="LY1267">
            <v>10.631009086316043</v>
          </cell>
          <cell r="LZ1267">
            <v>14.730476692982464</v>
          </cell>
          <cell r="MA1267">
            <v>11.870949885755934</v>
          </cell>
          <cell r="MB1267">
            <v>9.6544719773798295</v>
          </cell>
          <cell r="MC1267">
            <v>14.087427794132038</v>
          </cell>
        </row>
        <row r="1268">
          <cell r="A1268">
            <v>41302</v>
          </cell>
          <cell r="LJ1268">
            <v>17.0764609351193</v>
          </cell>
          <cell r="LK1268">
            <v>20.020152274152959</v>
          </cell>
          <cell r="LL1268">
            <v>17.982747259685677</v>
          </cell>
          <cell r="LM1268">
            <v>15.721193701553757</v>
          </cell>
          <cell r="LN1268">
            <v>20.244300817817596</v>
          </cell>
          <cell r="LY1268">
            <v>10.654085174296608</v>
          </cell>
          <cell r="LZ1268">
            <v>14.730476692982464</v>
          </cell>
          <cell r="MA1268">
            <v>11.870949885755934</v>
          </cell>
          <cell r="MB1268">
            <v>9.6544719773798295</v>
          </cell>
          <cell r="MC1268">
            <v>14.087427794132038</v>
          </cell>
        </row>
        <row r="1269">
          <cell r="A1269">
            <v>41303</v>
          </cell>
          <cell r="LJ1269">
            <v>17.226338318226365</v>
          </cell>
          <cell r="LK1269">
            <v>20.020152274152959</v>
          </cell>
          <cell r="LL1269">
            <v>17.982747259685677</v>
          </cell>
          <cell r="LM1269">
            <v>15.721193701553757</v>
          </cell>
          <cell r="LN1269">
            <v>20.244300817817596</v>
          </cell>
          <cell r="LY1269">
            <v>10.828381621246258</v>
          </cell>
          <cell r="LZ1269">
            <v>14.730476692982464</v>
          </cell>
          <cell r="MA1269">
            <v>11.870949885755934</v>
          </cell>
          <cell r="MB1269">
            <v>9.6544719773798295</v>
          </cell>
          <cell r="MC1269">
            <v>14.087427794132038</v>
          </cell>
        </row>
        <row r="1270">
          <cell r="A1270">
            <v>41304</v>
          </cell>
          <cell r="LJ1270">
            <v>17.139792384744393</v>
          </cell>
          <cell r="LK1270">
            <v>20.020152274152959</v>
          </cell>
          <cell r="LL1270">
            <v>17.982747259685677</v>
          </cell>
          <cell r="LM1270">
            <v>15.721193701553757</v>
          </cell>
          <cell r="LN1270">
            <v>20.244300817817596</v>
          </cell>
          <cell r="LY1270">
            <v>10.63557807241585</v>
          </cell>
          <cell r="LZ1270">
            <v>14.730476692982464</v>
          </cell>
          <cell r="MA1270">
            <v>11.870949885755934</v>
          </cell>
          <cell r="MB1270">
            <v>9.6544719773798295</v>
          </cell>
          <cell r="MC1270">
            <v>14.087427794132038</v>
          </cell>
        </row>
        <row r="1271">
          <cell r="A1271">
            <v>41305</v>
          </cell>
          <cell r="LJ1271">
            <v>17.11979396065308</v>
          </cell>
          <cell r="LK1271">
            <v>20.020152274152959</v>
          </cell>
          <cell r="LL1271">
            <v>17.982747259685677</v>
          </cell>
          <cell r="LM1271">
            <v>15.721193701553757</v>
          </cell>
          <cell r="LN1271">
            <v>20.244300817817596</v>
          </cell>
          <cell r="LY1271">
            <v>10.624208485176231</v>
          </cell>
          <cell r="LZ1271">
            <v>14.730476692982464</v>
          </cell>
          <cell r="MA1271">
            <v>11.870949885755934</v>
          </cell>
          <cell r="MB1271">
            <v>9.6544719773798295</v>
          </cell>
          <cell r="MC1271">
            <v>14.087427794132038</v>
          </cell>
        </row>
        <row r="1272">
          <cell r="A1272">
            <v>41306</v>
          </cell>
          <cell r="LJ1272">
            <v>17.119193913301718</v>
          </cell>
          <cell r="LK1272">
            <v>20.020152274152959</v>
          </cell>
          <cell r="LL1272">
            <v>17.982747259685677</v>
          </cell>
          <cell r="LM1272">
            <v>15.721193701553757</v>
          </cell>
          <cell r="LN1272">
            <v>20.244300817817596</v>
          </cell>
          <cell r="LY1272">
            <v>10.636560866346993</v>
          </cell>
          <cell r="LZ1272">
            <v>14.730476692982464</v>
          </cell>
          <cell r="MA1272">
            <v>11.870949885755934</v>
          </cell>
          <cell r="MB1272">
            <v>9.6544719773798295</v>
          </cell>
          <cell r="MC1272">
            <v>14.087427794132038</v>
          </cell>
        </row>
        <row r="1273">
          <cell r="A1273">
            <v>41309</v>
          </cell>
          <cell r="LJ1273">
            <v>16.974813423770591</v>
          </cell>
          <cell r="LK1273">
            <v>20.020152274152959</v>
          </cell>
          <cell r="LL1273">
            <v>17.982747259685677</v>
          </cell>
          <cell r="LM1273">
            <v>15.721193701553757</v>
          </cell>
          <cell r="LN1273">
            <v>20.244300817817596</v>
          </cell>
          <cell r="LY1273">
            <v>10.554317147241276</v>
          </cell>
          <cell r="LZ1273">
            <v>14.730476692982464</v>
          </cell>
          <cell r="MA1273">
            <v>11.870949885755934</v>
          </cell>
          <cell r="MB1273">
            <v>9.6544719773798295</v>
          </cell>
          <cell r="MC1273">
            <v>14.087427794132038</v>
          </cell>
        </row>
        <row r="1274">
          <cell r="A1274">
            <v>41310</v>
          </cell>
          <cell r="LJ1274">
            <v>17.211008750161362</v>
          </cell>
          <cell r="LK1274">
            <v>20.020152274152959</v>
          </cell>
          <cell r="LL1274">
            <v>17.982747259685677</v>
          </cell>
          <cell r="LM1274">
            <v>15.721193701553757</v>
          </cell>
          <cell r="LN1274">
            <v>20.244300817817596</v>
          </cell>
          <cell r="LY1274">
            <v>10.679917779010154</v>
          </cell>
          <cell r="LZ1274">
            <v>14.730476692982464</v>
          </cell>
          <cell r="MA1274">
            <v>11.870949885755934</v>
          </cell>
          <cell r="MB1274">
            <v>9.6544719773798295</v>
          </cell>
          <cell r="MC1274">
            <v>14.087427794132038</v>
          </cell>
        </row>
        <row r="1275">
          <cell r="A1275">
            <v>41311</v>
          </cell>
          <cell r="LJ1275">
            <v>17.179935322925221</v>
          </cell>
          <cell r="LK1275">
            <v>20.020152274152959</v>
          </cell>
          <cell r="LL1275">
            <v>17.982747259685677</v>
          </cell>
          <cell r="LM1275">
            <v>15.721193701553757</v>
          </cell>
          <cell r="LN1275">
            <v>20.244300817817596</v>
          </cell>
          <cell r="LY1275">
            <v>10.658897232977253</v>
          </cell>
          <cell r="LZ1275">
            <v>14.730476692982464</v>
          </cell>
          <cell r="MA1275">
            <v>11.870949885755934</v>
          </cell>
          <cell r="MB1275">
            <v>9.6544719773798295</v>
          </cell>
          <cell r="MC1275">
            <v>14.087427794132038</v>
          </cell>
        </row>
        <row r="1276">
          <cell r="A1276">
            <v>41312</v>
          </cell>
          <cell r="LJ1276">
            <v>17.130004982137294</v>
          </cell>
          <cell r="LK1276">
            <v>20.020152274152959</v>
          </cell>
          <cell r="LL1276">
            <v>17.982747259685677</v>
          </cell>
          <cell r="LM1276">
            <v>15.721193701553757</v>
          </cell>
          <cell r="LN1276">
            <v>20.244300817817596</v>
          </cell>
          <cell r="LY1276">
            <v>10.616855998688687</v>
          </cell>
          <cell r="LZ1276">
            <v>14.730476692982464</v>
          </cell>
          <cell r="MA1276">
            <v>11.870949885755934</v>
          </cell>
          <cell r="MB1276">
            <v>9.6544719773798295</v>
          </cell>
          <cell r="MC1276">
            <v>14.087427794132038</v>
          </cell>
        </row>
        <row r="1277">
          <cell r="A1277">
            <v>41313</v>
          </cell>
          <cell r="LJ1277">
            <v>17.312208509489238</v>
          </cell>
          <cell r="LK1277">
            <v>20.020152274152959</v>
          </cell>
          <cell r="LL1277">
            <v>17.982747259685677</v>
          </cell>
          <cell r="LM1277">
            <v>15.721193701553757</v>
          </cell>
          <cell r="LN1277">
            <v>20.244300817817596</v>
          </cell>
          <cell r="LY1277">
            <v>10.720344340355989</v>
          </cell>
          <cell r="LZ1277">
            <v>14.730476692982464</v>
          </cell>
          <cell r="MA1277">
            <v>11.870949885755934</v>
          </cell>
          <cell r="MB1277">
            <v>9.6544719773798295</v>
          </cell>
          <cell r="MC1277">
            <v>14.087427794132038</v>
          </cell>
        </row>
        <row r="1278">
          <cell r="A1278">
            <v>41316</v>
          </cell>
          <cell r="LJ1278">
            <v>17.264367437830561</v>
          </cell>
          <cell r="LK1278">
            <v>20.020152274152959</v>
          </cell>
          <cell r="LL1278">
            <v>17.982747259685677</v>
          </cell>
          <cell r="LM1278">
            <v>15.721193701553757</v>
          </cell>
          <cell r="LN1278">
            <v>20.244300817817596</v>
          </cell>
          <cell r="LY1278">
            <v>10.747521992729848</v>
          </cell>
          <cell r="LZ1278">
            <v>14.730476692982464</v>
          </cell>
          <cell r="MA1278">
            <v>11.870949885755934</v>
          </cell>
          <cell r="MB1278">
            <v>9.6544719773798295</v>
          </cell>
          <cell r="MC1278">
            <v>14.087427794132038</v>
          </cell>
        </row>
        <row r="1279">
          <cell r="A1279">
            <v>41317</v>
          </cell>
          <cell r="LJ1279">
            <v>17.346874792542991</v>
          </cell>
          <cell r="LK1279">
            <v>20.020152274152959</v>
          </cell>
          <cell r="LL1279">
            <v>17.982747259685677</v>
          </cell>
          <cell r="LM1279">
            <v>15.721193701553757</v>
          </cell>
          <cell r="LN1279">
            <v>20.244300817817596</v>
          </cell>
          <cell r="LY1279">
            <v>10.794640880270787</v>
          </cell>
          <cell r="LZ1279">
            <v>14.730476692982464</v>
          </cell>
          <cell r="MA1279">
            <v>11.870949885755934</v>
          </cell>
          <cell r="MB1279">
            <v>9.6544719773798295</v>
          </cell>
          <cell r="MC1279">
            <v>14.087427794132038</v>
          </cell>
        </row>
        <row r="1280">
          <cell r="A1280">
            <v>41318</v>
          </cell>
          <cell r="LJ1280">
            <v>17.361101679967998</v>
          </cell>
          <cell r="LK1280">
            <v>20.020152274152959</v>
          </cell>
          <cell r="LL1280">
            <v>17.982747259685677</v>
          </cell>
          <cell r="LM1280">
            <v>15.721193701553757</v>
          </cell>
          <cell r="LN1280">
            <v>20.244300817817596</v>
          </cell>
          <cell r="LY1280">
            <v>10.802765672429897</v>
          </cell>
          <cell r="LZ1280">
            <v>14.730476692982464</v>
          </cell>
          <cell r="MA1280">
            <v>11.870949885755934</v>
          </cell>
          <cell r="MB1280">
            <v>9.6544719773798295</v>
          </cell>
          <cell r="MC1280">
            <v>14.087427794132038</v>
          </cell>
        </row>
        <row r="1281">
          <cell r="A1281">
            <v>41319</v>
          </cell>
          <cell r="LJ1281">
            <v>17.400933493675176</v>
          </cell>
          <cell r="LK1281">
            <v>20.020152274152959</v>
          </cell>
          <cell r="LL1281">
            <v>17.982747259685677</v>
          </cell>
          <cell r="LM1281">
            <v>15.721193701553757</v>
          </cell>
          <cell r="LN1281">
            <v>20.244300817817596</v>
          </cell>
          <cell r="LY1281">
            <v>10.825513108184708</v>
          </cell>
          <cell r="LZ1281">
            <v>14.730476692982464</v>
          </cell>
          <cell r="MA1281">
            <v>11.870949885755934</v>
          </cell>
          <cell r="MB1281">
            <v>9.6544719773798295</v>
          </cell>
          <cell r="MC1281">
            <v>14.087427794132038</v>
          </cell>
        </row>
        <row r="1282">
          <cell r="A1282">
            <v>41320</v>
          </cell>
          <cell r="LJ1282">
            <v>17.54888242513174</v>
          </cell>
          <cell r="LK1282">
            <v>20.020152274152959</v>
          </cell>
          <cell r="LL1282">
            <v>17.982747259685677</v>
          </cell>
          <cell r="LM1282">
            <v>15.721193701553757</v>
          </cell>
          <cell r="LN1282">
            <v>20.244300817817596</v>
          </cell>
          <cell r="LY1282">
            <v>10.910004837284511</v>
          </cell>
          <cell r="LZ1282">
            <v>14.730476692982464</v>
          </cell>
          <cell r="MA1282">
            <v>11.870949885755934</v>
          </cell>
          <cell r="MB1282">
            <v>9.6544719773798295</v>
          </cell>
          <cell r="MC1282">
            <v>14.087427794132038</v>
          </cell>
        </row>
        <row r="1283">
          <cell r="A1283">
            <v>41323</v>
          </cell>
          <cell r="LJ1283">
            <v>17.54888242513174</v>
          </cell>
          <cell r="LK1283">
            <v>20.020152274152959</v>
          </cell>
          <cell r="LL1283">
            <v>17.982747259685677</v>
          </cell>
          <cell r="LM1283">
            <v>15.721193701553757</v>
          </cell>
          <cell r="LN1283">
            <v>20.244300817817596</v>
          </cell>
          <cell r="LY1283">
            <v>10.910004837284511</v>
          </cell>
          <cell r="LZ1283">
            <v>14.730476692982464</v>
          </cell>
          <cell r="MA1283">
            <v>11.870949885755934</v>
          </cell>
          <cell r="MB1283">
            <v>9.6544719773798295</v>
          </cell>
          <cell r="MC1283">
            <v>14.087427794132038</v>
          </cell>
        </row>
        <row r="1284">
          <cell r="A1284">
            <v>41324</v>
          </cell>
          <cell r="LJ1284">
            <v>17.583022801032943</v>
          </cell>
          <cell r="LK1284">
            <v>20.020152274152959</v>
          </cell>
          <cell r="LL1284">
            <v>17.982747259685677</v>
          </cell>
          <cell r="LM1284">
            <v>15.721193701553757</v>
          </cell>
          <cell r="LN1284">
            <v>20.244300817817596</v>
          </cell>
          <cell r="LY1284">
            <v>10.929501966216847</v>
          </cell>
          <cell r="LZ1284">
            <v>14.730476692982464</v>
          </cell>
          <cell r="MA1284">
            <v>11.870949885755934</v>
          </cell>
          <cell r="MB1284">
            <v>9.6544719773798295</v>
          </cell>
          <cell r="MC1284">
            <v>14.087427794132038</v>
          </cell>
        </row>
        <row r="1285">
          <cell r="A1285">
            <v>41325</v>
          </cell>
          <cell r="LJ1285">
            <v>17.346874792542991</v>
          </cell>
          <cell r="LK1285">
            <v>20.020152274152959</v>
          </cell>
          <cell r="LL1285">
            <v>17.982747259685677</v>
          </cell>
          <cell r="LM1285">
            <v>15.721193701553757</v>
          </cell>
          <cell r="LN1285">
            <v>20.244300817817596</v>
          </cell>
          <cell r="LY1285">
            <v>10.794640880270787</v>
          </cell>
          <cell r="LZ1285">
            <v>14.730476692982464</v>
          </cell>
          <cell r="MA1285">
            <v>11.870949885755934</v>
          </cell>
          <cell r="MB1285">
            <v>9.6544719773798295</v>
          </cell>
          <cell r="MC1285">
            <v>14.087427794132038</v>
          </cell>
        </row>
        <row r="1286">
          <cell r="A1286">
            <v>41326</v>
          </cell>
          <cell r="LJ1286">
            <v>17.352566514863952</v>
          </cell>
          <cell r="LK1286">
            <v>20.020152274152959</v>
          </cell>
          <cell r="LL1286">
            <v>17.982747259685677</v>
          </cell>
          <cell r="LM1286">
            <v>15.721193701553757</v>
          </cell>
          <cell r="LN1286">
            <v>20.244300817817596</v>
          </cell>
          <cell r="LY1286">
            <v>10.797891349576105</v>
          </cell>
          <cell r="LZ1286">
            <v>14.730476692982464</v>
          </cell>
          <cell r="MA1286">
            <v>11.870949885755934</v>
          </cell>
          <cell r="MB1286">
            <v>9.6544719773798295</v>
          </cell>
          <cell r="MC1286">
            <v>14.087427794132038</v>
          </cell>
        </row>
        <row r="1287">
          <cell r="A1287">
            <v>41327</v>
          </cell>
          <cell r="LJ1287">
            <v>17.486288843410492</v>
          </cell>
          <cell r="LK1287">
            <v>20.020152274152959</v>
          </cell>
          <cell r="LL1287">
            <v>17.982747259685677</v>
          </cell>
          <cell r="LM1287">
            <v>15.721193701553757</v>
          </cell>
          <cell r="LN1287">
            <v>20.244300817817596</v>
          </cell>
          <cell r="LY1287">
            <v>10.874258448999639</v>
          </cell>
          <cell r="LZ1287">
            <v>14.730476692982464</v>
          </cell>
          <cell r="MA1287">
            <v>11.870949885755934</v>
          </cell>
          <cell r="MB1287">
            <v>9.6544719773798295</v>
          </cell>
          <cell r="MC1287">
            <v>14.087427794132038</v>
          </cell>
        </row>
        <row r="1288">
          <cell r="A1288">
            <v>41330</v>
          </cell>
          <cell r="LJ1288">
            <v>17.039602589467542</v>
          </cell>
          <cell r="LK1288">
            <v>20.020152274152959</v>
          </cell>
          <cell r="LL1288">
            <v>17.982747259685677</v>
          </cell>
          <cell r="LM1288">
            <v>15.721193701553757</v>
          </cell>
          <cell r="LN1288">
            <v>20.244300817817596</v>
          </cell>
          <cell r="LY1288">
            <v>10.668551769845841</v>
          </cell>
          <cell r="LZ1288">
            <v>14.730476692982464</v>
          </cell>
          <cell r="MA1288">
            <v>11.870949885755934</v>
          </cell>
          <cell r="MB1288">
            <v>9.6544719773798295</v>
          </cell>
          <cell r="MC1288">
            <v>14.087427794132038</v>
          </cell>
        </row>
        <row r="1289">
          <cell r="A1289">
            <v>41331</v>
          </cell>
          <cell r="LJ1289">
            <v>17.156250320081174</v>
          </cell>
          <cell r="LK1289">
            <v>20.020152274152959</v>
          </cell>
          <cell r="LL1289">
            <v>17.982747259685677</v>
          </cell>
          <cell r="LM1289">
            <v>15.721193701553757</v>
          </cell>
          <cell r="LN1289">
            <v>20.244300817817596</v>
          </cell>
          <cell r="LY1289">
            <v>10.735477619707392</v>
          </cell>
          <cell r="LZ1289">
            <v>14.730476692982464</v>
          </cell>
          <cell r="MA1289">
            <v>11.870949885755934</v>
          </cell>
          <cell r="MB1289">
            <v>9.6544719773798295</v>
          </cell>
          <cell r="MC1289">
            <v>14.087427794132038</v>
          </cell>
        </row>
        <row r="1290">
          <cell r="A1290">
            <v>41332</v>
          </cell>
          <cell r="LJ1290">
            <v>17.423695261689247</v>
          </cell>
          <cell r="LK1290">
            <v>20.020152274152959</v>
          </cell>
          <cell r="LL1290">
            <v>17.982747259685677</v>
          </cell>
          <cell r="LM1290">
            <v>15.721193701553757</v>
          </cell>
          <cell r="LN1290">
            <v>20.244300817817596</v>
          </cell>
          <cell r="LY1290">
            <v>10.888922353815236</v>
          </cell>
          <cell r="LZ1290">
            <v>14.730476692982464</v>
          </cell>
          <cell r="MA1290">
            <v>11.870949885755934</v>
          </cell>
          <cell r="MB1290">
            <v>9.6544719773798295</v>
          </cell>
          <cell r="MC1290">
            <v>14.087427794132038</v>
          </cell>
        </row>
        <row r="1291">
          <cell r="A1291">
            <v>41333</v>
          </cell>
          <cell r="LJ1291">
            <v>17.526120657117669</v>
          </cell>
          <cell r="LK1291">
            <v>20.020152274152959</v>
          </cell>
          <cell r="LL1291">
            <v>17.982747259685677</v>
          </cell>
          <cell r="LM1291">
            <v>15.721193701553757</v>
          </cell>
          <cell r="LN1291">
            <v>20.244300817817596</v>
          </cell>
          <cell r="LY1291">
            <v>10.947688234646277</v>
          </cell>
          <cell r="LZ1291">
            <v>14.730476692982464</v>
          </cell>
          <cell r="MA1291">
            <v>11.870949885755934</v>
          </cell>
          <cell r="MB1291">
            <v>9.6544719773798295</v>
          </cell>
          <cell r="MC1291">
            <v>14.087427794132038</v>
          </cell>
        </row>
        <row r="1292">
          <cell r="A1292">
            <v>41334</v>
          </cell>
          <cell r="LJ1292">
            <v>17.352800771110417</v>
          </cell>
          <cell r="LK1292">
            <v>20.020152274152959</v>
          </cell>
          <cell r="LL1292">
            <v>17.982747259685677</v>
          </cell>
          <cell r="LM1292">
            <v>15.721193701553757</v>
          </cell>
          <cell r="LN1292">
            <v>20.244300817817596</v>
          </cell>
          <cell r="LY1292">
            <v>10.887766143949024</v>
          </cell>
          <cell r="LZ1292">
            <v>14.730476692982464</v>
          </cell>
          <cell r="MA1292">
            <v>11.870949885755934</v>
          </cell>
          <cell r="MB1292">
            <v>9.6544719773798295</v>
          </cell>
          <cell r="MC1292">
            <v>14.087427794132038</v>
          </cell>
        </row>
        <row r="1293">
          <cell r="A1293">
            <v>41337</v>
          </cell>
          <cell r="LJ1293">
            <v>17.378165117963547</v>
          </cell>
          <cell r="LK1293">
            <v>20.020152274152959</v>
          </cell>
          <cell r="LL1293">
            <v>17.982747259685677</v>
          </cell>
          <cell r="LM1293">
            <v>15.721193701553757</v>
          </cell>
          <cell r="LN1293">
            <v>20.244300817817596</v>
          </cell>
          <cell r="LY1293">
            <v>10.82722621820596</v>
          </cell>
          <cell r="LZ1293">
            <v>14.730476692982464</v>
          </cell>
          <cell r="MA1293">
            <v>11.870949885755934</v>
          </cell>
          <cell r="MB1293">
            <v>9.6544719773798295</v>
          </cell>
          <cell r="MC1293">
            <v>14.087427794132038</v>
          </cell>
        </row>
        <row r="1294">
          <cell r="A1294">
            <v>41338</v>
          </cell>
          <cell r="LJ1294">
            <v>17.535993889739103</v>
          </cell>
          <cell r="LK1294">
            <v>20.020152274152959</v>
          </cell>
          <cell r="LL1294">
            <v>17.982747259685677</v>
          </cell>
          <cell r="LM1294">
            <v>15.721193701553757</v>
          </cell>
          <cell r="LN1294">
            <v>20.244300817817596</v>
          </cell>
          <cell r="LY1294">
            <v>10.917552656533019</v>
          </cell>
          <cell r="LZ1294">
            <v>14.730476692982464</v>
          </cell>
          <cell r="MA1294">
            <v>11.870949885755934</v>
          </cell>
          <cell r="MB1294">
            <v>9.6544719773798295</v>
          </cell>
          <cell r="MC1294">
            <v>14.087427794132038</v>
          </cell>
        </row>
        <row r="1295">
          <cell r="A1295">
            <v>41339</v>
          </cell>
          <cell r="LJ1295">
            <v>17.40916764605581</v>
          </cell>
          <cell r="LK1295">
            <v>20.020152274152959</v>
          </cell>
          <cell r="LL1295">
            <v>17.982747259685677</v>
          </cell>
          <cell r="LM1295">
            <v>15.721193701553757</v>
          </cell>
          <cell r="LN1295">
            <v>20.244300817817596</v>
          </cell>
          <cell r="LY1295">
            <v>10.844969167797501</v>
          </cell>
          <cell r="LZ1295">
            <v>14.730476692982464</v>
          </cell>
          <cell r="MA1295">
            <v>11.870949885755934</v>
          </cell>
          <cell r="MB1295">
            <v>9.6544719773798295</v>
          </cell>
          <cell r="MC1295">
            <v>14.087427794132038</v>
          </cell>
        </row>
        <row r="1296">
          <cell r="A1296">
            <v>41340</v>
          </cell>
          <cell r="LJ1296">
            <v>17.310526671796129</v>
          </cell>
          <cell r="LK1296">
            <v>20.020152274152959</v>
          </cell>
          <cell r="LL1296">
            <v>17.982747259685677</v>
          </cell>
          <cell r="LM1296">
            <v>15.721193701553757</v>
          </cell>
          <cell r="LN1296">
            <v>20.244300817817596</v>
          </cell>
          <cell r="LY1296">
            <v>10.788516293091874</v>
          </cell>
          <cell r="LZ1296">
            <v>14.730476692982464</v>
          </cell>
          <cell r="MA1296">
            <v>11.870949885755934</v>
          </cell>
          <cell r="MB1296">
            <v>9.6544719773798295</v>
          </cell>
          <cell r="MC1296">
            <v>14.087427794132038</v>
          </cell>
        </row>
        <row r="1297">
          <cell r="A1297">
            <v>41341</v>
          </cell>
          <cell r="LJ1297">
            <v>17.457079644770626</v>
          </cell>
          <cell r="LK1297">
            <v>20.020152274152959</v>
          </cell>
          <cell r="LL1297">
            <v>17.982747259685677</v>
          </cell>
          <cell r="LM1297">
            <v>15.721193701553757</v>
          </cell>
          <cell r="LN1297">
            <v>20.244300817817596</v>
          </cell>
          <cell r="LY1297">
            <v>10.903352853859174</v>
          </cell>
          <cell r="LZ1297">
            <v>14.730476692982464</v>
          </cell>
          <cell r="MA1297">
            <v>11.870949885755934</v>
          </cell>
          <cell r="MB1297">
            <v>9.6544719773798295</v>
          </cell>
          <cell r="MC1297">
            <v>14.087427794132038</v>
          </cell>
        </row>
        <row r="1298">
          <cell r="A1298">
            <v>41344</v>
          </cell>
          <cell r="LJ1298">
            <v>17.547269970378764</v>
          </cell>
          <cell r="LK1298">
            <v>20.020152274152959</v>
          </cell>
          <cell r="LL1298">
            <v>17.982747259685677</v>
          </cell>
          <cell r="LM1298">
            <v>15.721193701553757</v>
          </cell>
          <cell r="LN1298">
            <v>20.244300817817596</v>
          </cell>
          <cell r="LY1298">
            <v>10.955129336173412</v>
          </cell>
          <cell r="LZ1298">
            <v>14.730476692982464</v>
          </cell>
          <cell r="MA1298">
            <v>11.870949885755934</v>
          </cell>
          <cell r="MB1298">
            <v>9.6544719773798295</v>
          </cell>
          <cell r="MC1298">
            <v>14.087427794132038</v>
          </cell>
        </row>
        <row r="1299">
          <cell r="A1299">
            <v>41345</v>
          </cell>
          <cell r="LJ1299">
            <v>17.530225684774564</v>
          </cell>
          <cell r="LK1299">
            <v>20.020152274152959</v>
          </cell>
          <cell r="LL1299">
            <v>17.982747259685677</v>
          </cell>
          <cell r="LM1299">
            <v>15.721193701553757</v>
          </cell>
          <cell r="LN1299">
            <v>20.244300817817596</v>
          </cell>
          <cell r="LY1299">
            <v>10.926271568899343</v>
          </cell>
          <cell r="LZ1299">
            <v>14.730476692982464</v>
          </cell>
          <cell r="MA1299">
            <v>11.870949885755934</v>
          </cell>
          <cell r="MB1299">
            <v>9.6544719773798295</v>
          </cell>
          <cell r="MC1299">
            <v>14.087427794132038</v>
          </cell>
        </row>
        <row r="1300">
          <cell r="A1300">
            <v>41346</v>
          </cell>
          <cell r="LJ1300">
            <v>17.514982966452404</v>
          </cell>
          <cell r="LK1300">
            <v>20.020152274152959</v>
          </cell>
          <cell r="LL1300">
            <v>17.982747259685677</v>
          </cell>
          <cell r="LM1300">
            <v>15.721193701553757</v>
          </cell>
          <cell r="LN1300">
            <v>20.244300817817596</v>
          </cell>
          <cell r="LY1300">
            <v>10.912370839290141</v>
          </cell>
          <cell r="LZ1300">
            <v>14.730476692982464</v>
          </cell>
          <cell r="MA1300">
            <v>11.870949885755934</v>
          </cell>
          <cell r="MB1300">
            <v>9.6544719773798295</v>
          </cell>
          <cell r="MC1300">
            <v>14.087427794132038</v>
          </cell>
        </row>
        <row r="1301">
          <cell r="A1301">
            <v>41347</v>
          </cell>
          <cell r="LJ1301">
            <v>17.650319489155695</v>
          </cell>
          <cell r="LK1301">
            <v>20.020152274152959</v>
          </cell>
          <cell r="LL1301">
            <v>17.982747259685677</v>
          </cell>
          <cell r="LM1301">
            <v>15.721193701553757</v>
          </cell>
          <cell r="LN1301">
            <v>20.244300817817596</v>
          </cell>
          <cell r="LY1301">
            <v>10.991966978435835</v>
          </cell>
          <cell r="LZ1301">
            <v>14.730476692982464</v>
          </cell>
          <cell r="MA1301">
            <v>11.870949885755934</v>
          </cell>
          <cell r="MB1301">
            <v>9.6544719773798295</v>
          </cell>
          <cell r="MC1301">
            <v>14.087427794132038</v>
          </cell>
        </row>
        <row r="1302">
          <cell r="A1302">
            <v>41348</v>
          </cell>
          <cell r="LJ1302">
            <v>17.66328503300765</v>
          </cell>
          <cell r="LK1302">
            <v>20.020152274152959</v>
          </cell>
          <cell r="LL1302">
            <v>17.982747259685677</v>
          </cell>
          <cell r="LM1302">
            <v>15.721193701553757</v>
          </cell>
          <cell r="LN1302">
            <v>20.244300817817596</v>
          </cell>
          <cell r="LY1302">
            <v>10.97927725916758</v>
          </cell>
          <cell r="LZ1302">
            <v>14.730476692982464</v>
          </cell>
          <cell r="MA1302">
            <v>11.870949885755934</v>
          </cell>
          <cell r="MB1302">
            <v>9.6544719773798295</v>
          </cell>
          <cell r="MC1302">
            <v>14.087427794132038</v>
          </cell>
        </row>
        <row r="1303">
          <cell r="A1303">
            <v>41351</v>
          </cell>
          <cell r="LJ1303">
            <v>17.415792695425786</v>
          </cell>
          <cell r="LK1303">
            <v>20.020152274152959</v>
          </cell>
          <cell r="LL1303">
            <v>17.982747259685677</v>
          </cell>
          <cell r="LM1303">
            <v>15.721193701553757</v>
          </cell>
          <cell r="LN1303">
            <v>20.244300817817596</v>
          </cell>
          <cell r="LY1303">
            <v>10.83225788017821</v>
          </cell>
          <cell r="LZ1303">
            <v>14.730476692982464</v>
          </cell>
          <cell r="MA1303">
            <v>11.870949885755934</v>
          </cell>
          <cell r="MB1303">
            <v>9.6544719773798295</v>
          </cell>
          <cell r="MC1303">
            <v>14.087427794132038</v>
          </cell>
        </row>
        <row r="1304">
          <cell r="A1304">
            <v>41352</v>
          </cell>
          <cell r="LJ1304">
            <v>17.266458396583339</v>
          </cell>
          <cell r="LK1304">
            <v>20.020152274152959</v>
          </cell>
          <cell r="LL1304">
            <v>17.982747259685677</v>
          </cell>
          <cell r="LM1304">
            <v>15.721193701553757</v>
          </cell>
          <cell r="LN1304">
            <v>20.244300817817596</v>
          </cell>
          <cell r="LY1304">
            <v>10.746899614631843</v>
          </cell>
          <cell r="LZ1304">
            <v>14.730476692982464</v>
          </cell>
          <cell r="MA1304">
            <v>11.870949885755934</v>
          </cell>
          <cell r="MB1304">
            <v>9.6544719773798295</v>
          </cell>
          <cell r="MC1304">
            <v>14.087427794132038</v>
          </cell>
        </row>
        <row r="1305">
          <cell r="A1305">
            <v>41353</v>
          </cell>
          <cell r="LJ1305">
            <v>17.274911015608989</v>
          </cell>
          <cell r="LK1305">
            <v>20.020152274152959</v>
          </cell>
          <cell r="LL1305">
            <v>17.982747259685677</v>
          </cell>
          <cell r="LM1305">
            <v>15.721193701553757</v>
          </cell>
          <cell r="LN1305">
            <v>20.244300817817596</v>
          </cell>
          <cell r="LY1305">
            <v>10.751731062631039</v>
          </cell>
          <cell r="LZ1305">
            <v>14.730476692982464</v>
          </cell>
          <cell r="MA1305">
            <v>11.870949885755934</v>
          </cell>
          <cell r="MB1305">
            <v>9.6544719773798295</v>
          </cell>
          <cell r="MC1305">
            <v>14.087427794132038</v>
          </cell>
        </row>
        <row r="1306">
          <cell r="A1306">
            <v>41354</v>
          </cell>
          <cell r="LJ1306">
            <v>17.235815236756601</v>
          </cell>
          <cell r="LK1306">
            <v>20.020152274152959</v>
          </cell>
          <cell r="LL1306">
            <v>17.982747259685677</v>
          </cell>
          <cell r="LM1306">
            <v>15.721193701553757</v>
          </cell>
          <cell r="LN1306">
            <v>20.244300817817596</v>
          </cell>
          <cell r="LY1306">
            <v>10.732403015883365</v>
          </cell>
          <cell r="LZ1306">
            <v>14.730476692982464</v>
          </cell>
          <cell r="MA1306">
            <v>11.870949885755934</v>
          </cell>
          <cell r="MB1306">
            <v>9.6544719773798295</v>
          </cell>
          <cell r="MC1306">
            <v>14.087427794132038</v>
          </cell>
        </row>
        <row r="1307">
          <cell r="A1307">
            <v>41355</v>
          </cell>
          <cell r="LJ1307">
            <v>17.371023318634485</v>
          </cell>
          <cell r="LK1307">
            <v>20.020152274152959</v>
          </cell>
          <cell r="LL1307">
            <v>17.982747259685677</v>
          </cell>
          <cell r="LM1307">
            <v>15.721193701553757</v>
          </cell>
          <cell r="LN1307">
            <v>20.244300817817596</v>
          </cell>
          <cell r="LY1307">
            <v>10.809710532318636</v>
          </cell>
          <cell r="LZ1307">
            <v>14.730476692982464</v>
          </cell>
          <cell r="MA1307">
            <v>11.870949885755934</v>
          </cell>
          <cell r="MB1307">
            <v>9.6544719773798295</v>
          </cell>
          <cell r="MC1307">
            <v>14.087427794132038</v>
          </cell>
        </row>
        <row r="1308">
          <cell r="A1308">
            <v>41358</v>
          </cell>
          <cell r="LJ1308">
            <v>17.193565369496913</v>
          </cell>
          <cell r="LK1308">
            <v>20.020152274152959</v>
          </cell>
          <cell r="LL1308">
            <v>17.982747259685677</v>
          </cell>
          <cell r="LM1308">
            <v>15.721193701553757</v>
          </cell>
          <cell r="LN1308">
            <v>20.244300817817596</v>
          </cell>
          <cell r="LY1308">
            <v>10.708245936941026</v>
          </cell>
          <cell r="LZ1308">
            <v>14.730476692982464</v>
          </cell>
          <cell r="MA1308">
            <v>11.870949885755934</v>
          </cell>
          <cell r="MB1308">
            <v>9.6544719773798295</v>
          </cell>
          <cell r="MC1308">
            <v>14.087427794132038</v>
          </cell>
        </row>
        <row r="1309">
          <cell r="A1309">
            <v>41359</v>
          </cell>
          <cell r="LJ1309">
            <v>17.412887198472145</v>
          </cell>
          <cell r="LK1309">
            <v>20.020152274152959</v>
          </cell>
          <cell r="LL1309">
            <v>17.982747259685677</v>
          </cell>
          <cell r="LM1309">
            <v>15.721193701553757</v>
          </cell>
          <cell r="LN1309">
            <v>20.244300817817596</v>
          </cell>
          <cell r="LY1309">
            <v>10.83337244937602</v>
          </cell>
          <cell r="LZ1309">
            <v>14.730476692982464</v>
          </cell>
          <cell r="MA1309">
            <v>11.870949885755934</v>
          </cell>
          <cell r="MB1309">
            <v>9.6544719773798295</v>
          </cell>
          <cell r="MC1309">
            <v>14.087427794132038</v>
          </cell>
        </row>
        <row r="1310">
          <cell r="A1310">
            <v>41360</v>
          </cell>
          <cell r="LJ1310">
            <v>17.412887198472145</v>
          </cell>
          <cell r="LK1310">
            <v>20.020152274152959</v>
          </cell>
          <cell r="LL1310">
            <v>17.982747259685677</v>
          </cell>
          <cell r="LM1310">
            <v>15.721193701553757</v>
          </cell>
          <cell r="LN1310">
            <v>20.244300817817596</v>
          </cell>
          <cell r="LY1310">
            <v>10.83337244937602</v>
          </cell>
          <cell r="LZ1310">
            <v>14.730476692982464</v>
          </cell>
          <cell r="MA1310">
            <v>11.870949885755934</v>
          </cell>
          <cell r="MB1310">
            <v>9.6544719773798295</v>
          </cell>
          <cell r="MC1310">
            <v>14.087427794132038</v>
          </cell>
        </row>
        <row r="1311">
          <cell r="A1311">
            <v>41361</v>
          </cell>
          <cell r="LJ1311">
            <v>17.500176057701307</v>
          </cell>
          <cell r="LK1311">
            <v>20.020152274152959</v>
          </cell>
          <cell r="LL1311">
            <v>17.982747259685677</v>
          </cell>
          <cell r="LM1311">
            <v>15.721193701553757</v>
          </cell>
          <cell r="LN1311">
            <v>20.244300817817596</v>
          </cell>
          <cell r="LY1311">
            <v>10.883281469545814</v>
          </cell>
          <cell r="LZ1311">
            <v>14.730476692982464</v>
          </cell>
          <cell r="MA1311">
            <v>11.870949885755934</v>
          </cell>
          <cell r="MB1311">
            <v>9.6544719773798295</v>
          </cell>
          <cell r="MC1311">
            <v>14.087427794132038</v>
          </cell>
        </row>
        <row r="1312">
          <cell r="A1312">
            <v>41362</v>
          </cell>
          <cell r="LJ1312">
            <v>17.500176057701307</v>
          </cell>
          <cell r="LK1312">
            <v>20.020152274152959</v>
          </cell>
          <cell r="LL1312">
            <v>17.982747259685677</v>
          </cell>
          <cell r="LM1312">
            <v>15.721193701553757</v>
          </cell>
          <cell r="LN1312">
            <v>20.244300817817596</v>
          </cell>
          <cell r="LY1312">
            <v>10.883281469545814</v>
          </cell>
          <cell r="LZ1312">
            <v>14.730476692982464</v>
          </cell>
          <cell r="MA1312">
            <v>11.870949885755934</v>
          </cell>
          <cell r="MB1312">
            <v>9.6544719773798295</v>
          </cell>
          <cell r="MC1312">
            <v>14.087427794132038</v>
          </cell>
        </row>
        <row r="1313">
          <cell r="A1313">
            <v>41365</v>
          </cell>
          <cell r="LJ1313">
            <v>17.238251122203891</v>
          </cell>
          <cell r="LK1313">
            <v>20.020152274152959</v>
          </cell>
          <cell r="LL1313">
            <v>17.982747259685677</v>
          </cell>
          <cell r="LM1313">
            <v>15.721193701553757</v>
          </cell>
          <cell r="LN1313">
            <v>20.244300817817596</v>
          </cell>
          <cell r="LY1313">
            <v>10.753001071770385</v>
          </cell>
          <cell r="LZ1313">
            <v>14.730476692982464</v>
          </cell>
          <cell r="MA1313">
            <v>11.870949885755934</v>
          </cell>
          <cell r="MB1313">
            <v>9.6544719773798295</v>
          </cell>
          <cell r="MC1313">
            <v>14.087427794132038</v>
          </cell>
        </row>
        <row r="1314">
          <cell r="A1314">
            <v>41366</v>
          </cell>
          <cell r="LJ1314">
            <v>17.224301221660713</v>
          </cell>
          <cell r="LK1314">
            <v>20.020152274152959</v>
          </cell>
          <cell r="LL1314">
            <v>17.982747259685677</v>
          </cell>
          <cell r="LM1314">
            <v>15.721193701553757</v>
          </cell>
          <cell r="LN1314">
            <v>20.244300817817596</v>
          </cell>
          <cell r="LY1314">
            <v>10.745004451419017</v>
          </cell>
          <cell r="LZ1314">
            <v>14.730476692982464</v>
          </cell>
          <cell r="MA1314">
            <v>11.870949885755934</v>
          </cell>
          <cell r="MB1314">
            <v>9.6544719773798295</v>
          </cell>
          <cell r="MC1314">
            <v>14.087427794132038</v>
          </cell>
        </row>
        <row r="1315">
          <cell r="A1315">
            <v>41367</v>
          </cell>
          <cell r="LJ1315">
            <v>17.044486698382073</v>
          </cell>
          <cell r="LK1315">
            <v>20.020152274152959</v>
          </cell>
          <cell r="LL1315">
            <v>17.982747259685677</v>
          </cell>
          <cell r="LM1315">
            <v>15.721193701553757</v>
          </cell>
          <cell r="LN1315">
            <v>20.244300817817596</v>
          </cell>
          <cell r="LY1315">
            <v>10.640613196993639</v>
          </cell>
          <cell r="LZ1315">
            <v>14.730476692982464</v>
          </cell>
          <cell r="MA1315">
            <v>11.870949885755934</v>
          </cell>
          <cell r="MB1315">
            <v>9.6544719773798295</v>
          </cell>
          <cell r="MC1315">
            <v>14.087427794132038</v>
          </cell>
        </row>
        <row r="1316">
          <cell r="A1316">
            <v>41368</v>
          </cell>
          <cell r="LJ1316">
            <v>16.949625434205061</v>
          </cell>
          <cell r="LK1316">
            <v>20.020152274152959</v>
          </cell>
          <cell r="LL1316">
            <v>17.982747259685677</v>
          </cell>
          <cell r="LM1316">
            <v>15.721193701553757</v>
          </cell>
          <cell r="LN1316">
            <v>20.244300817817596</v>
          </cell>
          <cell r="LY1316">
            <v>10.586242181287881</v>
          </cell>
          <cell r="LZ1316">
            <v>14.730476692982464</v>
          </cell>
          <cell r="MA1316">
            <v>11.870949885755934</v>
          </cell>
          <cell r="MB1316">
            <v>9.6544719773798295</v>
          </cell>
          <cell r="MC1316">
            <v>14.087427794132038</v>
          </cell>
        </row>
        <row r="1317">
          <cell r="A1317">
            <v>41369</v>
          </cell>
          <cell r="LJ1317">
            <v>16.893820850133519</v>
          </cell>
          <cell r="LK1317">
            <v>20.020152274152959</v>
          </cell>
          <cell r="LL1317">
            <v>17.982747259685677</v>
          </cell>
          <cell r="LM1317">
            <v>15.721193701553757</v>
          </cell>
          <cell r="LN1317">
            <v>20.244300817817596</v>
          </cell>
          <cell r="LY1317">
            <v>10.55425702967378</v>
          </cell>
          <cell r="LZ1317">
            <v>14.730476692982464</v>
          </cell>
          <cell r="MA1317">
            <v>11.870949885755934</v>
          </cell>
          <cell r="MB1317">
            <v>9.6544719773798295</v>
          </cell>
          <cell r="MC1317">
            <v>14.087427794132038</v>
          </cell>
        </row>
        <row r="1318">
          <cell r="A1318">
            <v>41372</v>
          </cell>
          <cell r="LJ1318">
            <v>16.953153086134439</v>
          </cell>
          <cell r="LK1318">
            <v>20.020152274152959</v>
          </cell>
          <cell r="LL1318">
            <v>17.982747259685677</v>
          </cell>
          <cell r="LM1318">
            <v>15.721193701553757</v>
          </cell>
          <cell r="LN1318">
            <v>20.244300817817596</v>
          </cell>
          <cell r="LY1318">
            <v>10.592733581254615</v>
          </cell>
          <cell r="LZ1318">
            <v>14.730476692982464</v>
          </cell>
          <cell r="MA1318">
            <v>11.870949885755934</v>
          </cell>
          <cell r="MB1318">
            <v>9.6544719773798295</v>
          </cell>
          <cell r="MC1318">
            <v>14.087427794132038</v>
          </cell>
        </row>
        <row r="1319">
          <cell r="A1319">
            <v>41373</v>
          </cell>
          <cell r="LJ1319">
            <v>16.902790980339468</v>
          </cell>
          <cell r="LK1319">
            <v>20.020152274152959</v>
          </cell>
          <cell r="LL1319">
            <v>17.982747259685677</v>
          </cell>
          <cell r="LM1319">
            <v>15.721193701553757</v>
          </cell>
          <cell r="LN1319">
            <v>20.244300817817596</v>
          </cell>
          <cell r="LY1319">
            <v>10.555942060076957</v>
          </cell>
          <cell r="LZ1319">
            <v>14.730476692982464</v>
          </cell>
          <cell r="MA1319">
            <v>11.870949885755934</v>
          </cell>
          <cell r="MB1319">
            <v>9.6544719773798295</v>
          </cell>
          <cell r="MC1319">
            <v>14.087427794132038</v>
          </cell>
        </row>
        <row r="1320">
          <cell r="A1320">
            <v>41374</v>
          </cell>
          <cell r="LJ1320">
            <v>17.25277418358078</v>
          </cell>
          <cell r="LK1320">
            <v>20.020152274152959</v>
          </cell>
          <cell r="LL1320">
            <v>17.982747259685677</v>
          </cell>
          <cell r="LM1320">
            <v>15.721193701553757</v>
          </cell>
          <cell r="LN1320">
            <v>20.244300817817596</v>
          </cell>
          <cell r="LY1320">
            <v>10.756686372096533</v>
          </cell>
          <cell r="LZ1320">
            <v>14.730476692982464</v>
          </cell>
          <cell r="MA1320">
            <v>11.870949885755934</v>
          </cell>
          <cell r="MB1320">
            <v>9.6544719773798295</v>
          </cell>
          <cell r="MC1320">
            <v>14.087427794132038</v>
          </cell>
        </row>
        <row r="1321">
          <cell r="A1321">
            <v>41375</v>
          </cell>
          <cell r="LJ1321">
            <v>17.297452949096087</v>
          </cell>
          <cell r="LK1321">
            <v>20.020152274152959</v>
          </cell>
          <cell r="LL1321">
            <v>17.982747259685677</v>
          </cell>
          <cell r="LM1321">
            <v>15.721193701553757</v>
          </cell>
          <cell r="LN1321">
            <v>20.244300817817596</v>
          </cell>
          <cell r="LY1321">
            <v>10.78228483688275</v>
          </cell>
          <cell r="LZ1321">
            <v>14.730476692982464</v>
          </cell>
          <cell r="MA1321">
            <v>11.870949885755934</v>
          </cell>
          <cell r="MB1321">
            <v>9.6544719773798295</v>
          </cell>
          <cell r="MC1321">
            <v>14.087427794132038</v>
          </cell>
        </row>
        <row r="1322">
          <cell r="A1322">
            <v>41376</v>
          </cell>
          <cell r="LJ1322">
            <v>17.191336377905806</v>
          </cell>
          <cell r="LK1322">
            <v>20.020152274152959</v>
          </cell>
          <cell r="LL1322">
            <v>17.982747259685677</v>
          </cell>
          <cell r="LM1322">
            <v>15.721193701553757</v>
          </cell>
          <cell r="LN1322">
            <v>20.244300817817596</v>
          </cell>
          <cell r="LY1322">
            <v>10.726063173934875</v>
          </cell>
          <cell r="LZ1322">
            <v>14.730476692982464</v>
          </cell>
          <cell r="MA1322">
            <v>11.870949885755934</v>
          </cell>
          <cell r="MB1322">
            <v>9.6544719773798295</v>
          </cell>
          <cell r="MC1322">
            <v>14.087427794132038</v>
          </cell>
        </row>
        <row r="1323">
          <cell r="A1323">
            <v>41379</v>
          </cell>
          <cell r="LJ1323">
            <v>16.730552416451292</v>
          </cell>
          <cell r="LK1323">
            <v>20.020152274152959</v>
          </cell>
          <cell r="LL1323">
            <v>17.982747259685677</v>
          </cell>
          <cell r="LM1323">
            <v>15.721193701553757</v>
          </cell>
          <cell r="LN1323">
            <v>20.244300817817596</v>
          </cell>
          <cell r="LY1323">
            <v>10.461936729844476</v>
          </cell>
          <cell r="LZ1323">
            <v>14.730476692982464</v>
          </cell>
          <cell r="MA1323">
            <v>11.870949885755934</v>
          </cell>
          <cell r="MB1323">
            <v>9.6544719773798295</v>
          </cell>
          <cell r="MC1323">
            <v>14.087427794132038</v>
          </cell>
        </row>
        <row r="1324">
          <cell r="A1324">
            <v>41380</v>
          </cell>
          <cell r="LJ1324">
            <v>17.023777812118301</v>
          </cell>
          <cell r="LK1324">
            <v>20.020152274152959</v>
          </cell>
          <cell r="LL1324">
            <v>17.982747259685677</v>
          </cell>
          <cell r="LM1324">
            <v>15.721193701553757</v>
          </cell>
          <cell r="LN1324">
            <v>20.244300817817596</v>
          </cell>
          <cell r="LY1324">
            <v>10.630016757695387</v>
          </cell>
          <cell r="LZ1324">
            <v>14.730476692982464</v>
          </cell>
          <cell r="MA1324">
            <v>11.870949885755934</v>
          </cell>
          <cell r="MB1324">
            <v>9.6544719773798295</v>
          </cell>
          <cell r="MC1324">
            <v>14.087427794132038</v>
          </cell>
        </row>
        <row r="1325">
          <cell r="A1325">
            <v>41381</v>
          </cell>
          <cell r="LJ1325">
            <v>16.683078522745657</v>
          </cell>
          <cell r="LK1325">
            <v>20.020152274152959</v>
          </cell>
          <cell r="LL1325">
            <v>17.982747259685677</v>
          </cell>
          <cell r="LM1325">
            <v>15.721193701553757</v>
          </cell>
          <cell r="LN1325">
            <v>20.244300817817596</v>
          </cell>
          <cell r="LY1325">
            <v>10.434724170856931</v>
          </cell>
          <cell r="LZ1325">
            <v>14.730476692982464</v>
          </cell>
          <cell r="MA1325">
            <v>11.870949885755934</v>
          </cell>
          <cell r="MB1325">
            <v>9.6544719773798295</v>
          </cell>
          <cell r="MC1325">
            <v>14.087427794132038</v>
          </cell>
        </row>
        <row r="1326">
          <cell r="A1326">
            <v>41382</v>
          </cell>
          <cell r="LJ1326">
            <v>16.279303359717751</v>
          </cell>
          <cell r="LK1326">
            <v>20.020152274152959</v>
          </cell>
          <cell r="LL1326">
            <v>17.982747259685677</v>
          </cell>
          <cell r="LM1326">
            <v>15.721193701553757</v>
          </cell>
          <cell r="LN1326">
            <v>20.244300817817596</v>
          </cell>
          <cell r="LY1326">
            <v>9.9000096116530507</v>
          </cell>
          <cell r="LZ1326">
            <v>14.730476692982464</v>
          </cell>
          <cell r="MA1326">
            <v>11.870949885755934</v>
          </cell>
          <cell r="MB1326">
            <v>9.6544719773798295</v>
          </cell>
          <cell r="MC1326">
            <v>14.087427794132038</v>
          </cell>
        </row>
        <row r="1327">
          <cell r="A1327">
            <v>41383</v>
          </cell>
          <cell r="LJ1327">
            <v>16.651793660485346</v>
          </cell>
          <cell r="LK1327">
            <v>20.020152274152959</v>
          </cell>
          <cell r="LL1327">
            <v>17.982747259685677</v>
          </cell>
          <cell r="LM1327">
            <v>15.721193701553757</v>
          </cell>
          <cell r="LN1327">
            <v>20.244300817817596</v>
          </cell>
          <cell r="LY1327">
            <v>10.095009501336436</v>
          </cell>
          <cell r="LZ1327">
            <v>14.730476692982464</v>
          </cell>
          <cell r="MA1327">
            <v>11.870949885755934</v>
          </cell>
          <cell r="MB1327">
            <v>9.6544719773798295</v>
          </cell>
          <cell r="MC1327">
            <v>14.087427794132038</v>
          </cell>
        </row>
        <row r="1328">
          <cell r="A1328">
            <v>41386</v>
          </cell>
          <cell r="LJ1328">
            <v>16.664561082685097</v>
          </cell>
          <cell r="LK1328">
            <v>20.020152274152959</v>
          </cell>
          <cell r="LL1328">
            <v>17.982747259685677</v>
          </cell>
          <cell r="LM1328">
            <v>15.721193701553757</v>
          </cell>
          <cell r="LN1328">
            <v>20.244300817817596</v>
          </cell>
          <cell r="LY1328">
            <v>10.073062809952303</v>
          </cell>
          <cell r="LZ1328">
            <v>14.730476692982464</v>
          </cell>
          <cell r="MA1328">
            <v>11.870949885755934</v>
          </cell>
          <cell r="MB1328">
            <v>9.6544719773798295</v>
          </cell>
          <cell r="MC1328">
            <v>14.087427794132038</v>
          </cell>
        </row>
        <row r="1329">
          <cell r="A1329">
            <v>41387</v>
          </cell>
          <cell r="LJ1329">
            <v>16.707538514899625</v>
          </cell>
          <cell r="LK1329">
            <v>20.020152274152959</v>
          </cell>
          <cell r="LL1329">
            <v>17.982747259685677</v>
          </cell>
          <cell r="LM1329">
            <v>15.721193701553757</v>
          </cell>
          <cell r="LN1329">
            <v>20.244300817817596</v>
          </cell>
          <cell r="LY1329">
            <v>10.107015429840029</v>
          </cell>
          <cell r="LZ1329">
            <v>14.730476692982464</v>
          </cell>
          <cell r="MA1329">
            <v>11.870949885755934</v>
          </cell>
          <cell r="MB1329">
            <v>9.6544719773798295</v>
          </cell>
          <cell r="MC1329">
            <v>14.087427794132038</v>
          </cell>
        </row>
        <row r="1330">
          <cell r="A1330">
            <v>41388</v>
          </cell>
          <cell r="LJ1330">
            <v>16.953527272866058</v>
          </cell>
          <cell r="LK1330">
            <v>20.020152274152959</v>
          </cell>
          <cell r="LL1330">
            <v>17.982747259685677</v>
          </cell>
          <cell r="LM1330">
            <v>15.721193701553757</v>
          </cell>
          <cell r="LN1330">
            <v>20.244300817817596</v>
          </cell>
          <cell r="LY1330">
            <v>10.247617997129103</v>
          </cell>
          <cell r="LZ1330">
            <v>14.730476692982464</v>
          </cell>
          <cell r="MA1330">
            <v>11.870949885755934</v>
          </cell>
          <cell r="MB1330">
            <v>9.6544719773798295</v>
          </cell>
          <cell r="MC1330">
            <v>14.087427794132038</v>
          </cell>
        </row>
        <row r="1331">
          <cell r="A1331">
            <v>41389</v>
          </cell>
          <cell r="LJ1331">
            <v>17.089244857299136</v>
          </cell>
          <cell r="LK1331">
            <v>20.020152274152959</v>
          </cell>
          <cell r="LL1331">
            <v>17.982747259685677</v>
          </cell>
          <cell r="LM1331">
            <v>15.721193701553757</v>
          </cell>
          <cell r="LN1331">
            <v>20.244300817817596</v>
          </cell>
          <cell r="LY1331">
            <v>10.325191626734425</v>
          </cell>
          <cell r="LZ1331">
            <v>14.730476692982464</v>
          </cell>
          <cell r="MA1331">
            <v>11.870949885755934</v>
          </cell>
          <cell r="MB1331">
            <v>9.6544719773798295</v>
          </cell>
          <cell r="MC1331">
            <v>14.087427794132038</v>
          </cell>
        </row>
        <row r="1332">
          <cell r="A1332">
            <v>41390</v>
          </cell>
          <cell r="LJ1332">
            <v>16.947871195400829</v>
          </cell>
          <cell r="LK1332">
            <v>20.020152274152959</v>
          </cell>
          <cell r="LL1332">
            <v>17.982747259685677</v>
          </cell>
          <cell r="LM1332">
            <v>15.721193701553757</v>
          </cell>
          <cell r="LN1332">
            <v>20.244300817817596</v>
          </cell>
          <cell r="LY1332">
            <v>10.24413015344653</v>
          </cell>
          <cell r="LZ1332">
            <v>14.730476692982464</v>
          </cell>
          <cell r="MA1332">
            <v>11.870949885755934</v>
          </cell>
          <cell r="MB1332">
            <v>9.6544719773798295</v>
          </cell>
          <cell r="MC1332">
            <v>14.087427794132038</v>
          </cell>
        </row>
        <row r="1333">
          <cell r="A1333">
            <v>41393</v>
          </cell>
          <cell r="LJ1333">
            <v>17.029870181280437</v>
          </cell>
          <cell r="LK1333">
            <v>20.020152274152959</v>
          </cell>
          <cell r="LL1333">
            <v>17.982747259685677</v>
          </cell>
          <cell r="LM1333">
            <v>15.721193701553757</v>
          </cell>
          <cell r="LN1333">
            <v>20.244300817817596</v>
          </cell>
          <cell r="LY1333">
            <v>10.290998071779537</v>
          </cell>
          <cell r="LZ1333">
            <v>14.730476692982464</v>
          </cell>
          <cell r="MA1333">
            <v>11.870949885755934</v>
          </cell>
          <cell r="MB1333">
            <v>9.6544719773798295</v>
          </cell>
          <cell r="MC1333">
            <v>14.087427794132038</v>
          </cell>
        </row>
        <row r="1334">
          <cell r="A1334">
            <v>41394</v>
          </cell>
          <cell r="LJ1334">
            <v>17.230618519197439</v>
          </cell>
          <cell r="LK1334">
            <v>20.020152274152959</v>
          </cell>
          <cell r="LL1334">
            <v>17.982747259685677</v>
          </cell>
          <cell r="LM1334">
            <v>15.721193701553757</v>
          </cell>
          <cell r="LN1334">
            <v>20.244300817817596</v>
          </cell>
          <cell r="LY1334">
            <v>10.40573920675887</v>
          </cell>
          <cell r="LZ1334">
            <v>14.730476692982464</v>
          </cell>
          <cell r="MA1334">
            <v>11.870949885755934</v>
          </cell>
          <cell r="MB1334">
            <v>9.6544719773798295</v>
          </cell>
          <cell r="MC1334">
            <v>14.087427794132038</v>
          </cell>
        </row>
        <row r="1335">
          <cell r="A1335">
            <v>41395</v>
          </cell>
          <cell r="LJ1335">
            <v>16.846005224578956</v>
          </cell>
          <cell r="LK1335">
            <v>20.020152274152959</v>
          </cell>
          <cell r="LL1335">
            <v>17.982747259685677</v>
          </cell>
          <cell r="LM1335">
            <v>15.721193701553757</v>
          </cell>
          <cell r="LN1335">
            <v>20.244300817817596</v>
          </cell>
          <cell r="LY1335">
            <v>10.208142621725738</v>
          </cell>
          <cell r="LZ1335">
            <v>14.730476692982464</v>
          </cell>
          <cell r="MA1335">
            <v>11.870949885755934</v>
          </cell>
          <cell r="MB1335">
            <v>9.6544719773798295</v>
          </cell>
          <cell r="MC1335">
            <v>14.087427794132038</v>
          </cell>
        </row>
        <row r="1336">
          <cell r="A1336">
            <v>41396</v>
          </cell>
          <cell r="LJ1336">
            <v>16.94702428461985</v>
          </cell>
          <cell r="LK1336">
            <v>20.020152274152959</v>
          </cell>
          <cell r="LL1336">
            <v>17.982747259685677</v>
          </cell>
          <cell r="LM1336">
            <v>15.721193701553757</v>
          </cell>
          <cell r="LN1336">
            <v>20.244300817817596</v>
          </cell>
          <cell r="LY1336">
            <v>10.259512467004191</v>
          </cell>
          <cell r="LZ1336">
            <v>14.730476692982464</v>
          </cell>
          <cell r="MA1336">
            <v>11.870949885755934</v>
          </cell>
          <cell r="MB1336">
            <v>9.6544719773798295</v>
          </cell>
          <cell r="MC1336">
            <v>14.087427794132038</v>
          </cell>
        </row>
        <row r="1337">
          <cell r="A1337">
            <v>41397</v>
          </cell>
          <cell r="LJ1337">
            <v>17.042325661250423</v>
          </cell>
          <cell r="LK1337">
            <v>20.020152274152959</v>
          </cell>
          <cell r="LL1337">
            <v>17.982747259685677</v>
          </cell>
          <cell r="LM1337">
            <v>15.721193701553757</v>
          </cell>
          <cell r="LN1337">
            <v>20.244300817817596</v>
          </cell>
          <cell r="LY1337">
            <v>10.314093650019055</v>
          </cell>
          <cell r="LZ1337">
            <v>14.730476692982464</v>
          </cell>
          <cell r="MA1337">
            <v>11.870949885755934</v>
          </cell>
          <cell r="MB1337">
            <v>9.6544719773798295</v>
          </cell>
          <cell r="MC1337">
            <v>14.087427794132038</v>
          </cell>
        </row>
        <row r="1338">
          <cell r="A1338">
            <v>41400</v>
          </cell>
          <cell r="LJ1338">
            <v>17.185282211019715</v>
          </cell>
          <cell r="LK1338">
            <v>20.020152274152959</v>
          </cell>
          <cell r="LL1338">
            <v>17.982747259685677</v>
          </cell>
          <cell r="LM1338">
            <v>15.721193701553757</v>
          </cell>
          <cell r="LN1338">
            <v>20.244300817817596</v>
          </cell>
          <cell r="LY1338">
            <v>10.39596799309783</v>
          </cell>
          <cell r="LZ1338">
            <v>14.730476692982464</v>
          </cell>
          <cell r="MA1338">
            <v>11.870949885755934</v>
          </cell>
          <cell r="MB1338">
            <v>9.6544719773798295</v>
          </cell>
          <cell r="MC1338">
            <v>14.087427794132038</v>
          </cell>
        </row>
        <row r="1339">
          <cell r="A1339">
            <v>41401</v>
          </cell>
          <cell r="LJ1339">
            <v>17.246948813450636</v>
          </cell>
          <cell r="LK1339">
            <v>20.020152274152959</v>
          </cell>
          <cell r="LL1339">
            <v>17.982747259685677</v>
          </cell>
          <cell r="LM1339">
            <v>15.721193701553757</v>
          </cell>
          <cell r="LN1339">
            <v>20.244300817817596</v>
          </cell>
          <cell r="LY1339">
            <v>10.445952110824877</v>
          </cell>
          <cell r="LZ1339">
            <v>14.730476692982464</v>
          </cell>
          <cell r="MA1339">
            <v>11.870949885755934</v>
          </cell>
          <cell r="MB1339">
            <v>9.6544719773798295</v>
          </cell>
          <cell r="MC1339">
            <v>14.087427794132038</v>
          </cell>
        </row>
        <row r="1340">
          <cell r="A1340">
            <v>41402</v>
          </cell>
          <cell r="LJ1340">
            <v>17.277782254816831</v>
          </cell>
          <cell r="LK1340">
            <v>20.020152274152959</v>
          </cell>
          <cell r="LL1340">
            <v>17.982747259685677</v>
          </cell>
          <cell r="LM1340">
            <v>15.721193701553757</v>
          </cell>
          <cell r="LN1340">
            <v>20.244300817817596</v>
          </cell>
          <cell r="LY1340">
            <v>10.463635925540345</v>
          </cell>
          <cell r="LZ1340">
            <v>14.730476692982464</v>
          </cell>
          <cell r="MA1340">
            <v>11.870949885755934</v>
          </cell>
          <cell r="MB1340">
            <v>9.6544719773798295</v>
          </cell>
          <cell r="MC1340">
            <v>14.087427794132038</v>
          </cell>
        </row>
        <row r="1341">
          <cell r="A1341">
            <v>41403</v>
          </cell>
          <cell r="LJ1341">
            <v>17.305809878526134</v>
          </cell>
          <cell r="LK1341">
            <v>20.020152274152959</v>
          </cell>
          <cell r="LL1341">
            <v>17.982747259685677</v>
          </cell>
          <cell r="LM1341">
            <v>15.721193701553757</v>
          </cell>
          <cell r="LN1341">
            <v>20.244300817817596</v>
          </cell>
          <cell r="LY1341">
            <v>10.47971052774591</v>
          </cell>
          <cell r="LZ1341">
            <v>14.730476692982464</v>
          </cell>
          <cell r="MA1341">
            <v>11.870949885755934</v>
          </cell>
          <cell r="MB1341">
            <v>9.6544719773798295</v>
          </cell>
          <cell r="MC1341">
            <v>14.087427794132038</v>
          </cell>
        </row>
        <row r="1342">
          <cell r="A1342">
            <v>41404</v>
          </cell>
          <cell r="LJ1342">
            <v>17.350658953706493</v>
          </cell>
          <cell r="LK1342">
            <v>20.020152274152959</v>
          </cell>
          <cell r="LL1342">
            <v>17.982747259685677</v>
          </cell>
          <cell r="LM1342">
            <v>15.721193701553757</v>
          </cell>
          <cell r="LN1342">
            <v>20.244300817817596</v>
          </cell>
          <cell r="LY1342">
            <v>10.50543268850735</v>
          </cell>
          <cell r="LZ1342">
            <v>14.730476692982464</v>
          </cell>
          <cell r="MA1342">
            <v>11.870949885755934</v>
          </cell>
          <cell r="MB1342">
            <v>9.6544719773798295</v>
          </cell>
          <cell r="MC1342">
            <v>14.087427794132038</v>
          </cell>
        </row>
        <row r="1343">
          <cell r="A1343">
            <v>41407</v>
          </cell>
          <cell r="LJ1343">
            <v>17.263341713561513</v>
          </cell>
          <cell r="LK1343">
            <v>20.020152274152959</v>
          </cell>
          <cell r="LL1343">
            <v>17.982747259685677</v>
          </cell>
          <cell r="LM1343">
            <v>15.721193701553757</v>
          </cell>
          <cell r="LN1343">
            <v>20.244300817817596</v>
          </cell>
          <cell r="LY1343">
            <v>10.455275058698428</v>
          </cell>
          <cell r="LZ1343">
            <v>14.730476692982464</v>
          </cell>
          <cell r="MA1343">
            <v>11.870949885755934</v>
          </cell>
          <cell r="MB1343">
            <v>9.6544719773798295</v>
          </cell>
          <cell r="MC1343">
            <v>14.087427794132038</v>
          </cell>
        </row>
        <row r="1344">
          <cell r="A1344">
            <v>41408</v>
          </cell>
          <cell r="LJ1344">
            <v>17.333403987245777</v>
          </cell>
          <cell r="LK1344">
            <v>20.020152274152959</v>
          </cell>
          <cell r="LL1344">
            <v>17.982747259685677</v>
          </cell>
          <cell r="LM1344">
            <v>15.721193701553757</v>
          </cell>
          <cell r="LN1344">
            <v>20.244300817817596</v>
          </cell>
          <cell r="LY1344">
            <v>10.495457767605403</v>
          </cell>
          <cell r="LZ1344">
            <v>14.730476692982464</v>
          </cell>
          <cell r="MA1344">
            <v>11.870949885755934</v>
          </cell>
          <cell r="MB1344">
            <v>9.6544719773798295</v>
          </cell>
          <cell r="MC1344">
            <v>14.087427794132038</v>
          </cell>
        </row>
        <row r="1345">
          <cell r="A1345">
            <v>41409</v>
          </cell>
          <cell r="LJ1345">
            <v>17.392258258884226</v>
          </cell>
          <cell r="LK1345">
            <v>20.020152274152959</v>
          </cell>
          <cell r="LL1345">
            <v>17.982747259685677</v>
          </cell>
          <cell r="LM1345">
            <v>15.721193701553757</v>
          </cell>
          <cell r="LN1345">
            <v>20.244300817817596</v>
          </cell>
          <cell r="LY1345">
            <v>10.529212368203112</v>
          </cell>
          <cell r="LZ1345">
            <v>14.730476692982464</v>
          </cell>
          <cell r="MA1345">
            <v>11.870949885755934</v>
          </cell>
          <cell r="MB1345">
            <v>9.6544719773798295</v>
          </cell>
          <cell r="MC1345">
            <v>14.087427794132038</v>
          </cell>
        </row>
        <row r="1346">
          <cell r="A1346">
            <v>41410</v>
          </cell>
          <cell r="LJ1346">
            <v>17.460740083697647</v>
          </cell>
          <cell r="LK1346">
            <v>20.020152274152959</v>
          </cell>
          <cell r="LL1346">
            <v>17.982747259685677</v>
          </cell>
          <cell r="LM1346">
            <v>15.721193701553757</v>
          </cell>
          <cell r="LN1346">
            <v>20.244300817817596</v>
          </cell>
          <cell r="LY1346">
            <v>10.562964557838285</v>
          </cell>
          <cell r="LZ1346">
            <v>14.730476692982464</v>
          </cell>
          <cell r="MA1346">
            <v>11.870949885755934</v>
          </cell>
          <cell r="MB1346">
            <v>9.6544719773798295</v>
          </cell>
          <cell r="MC1346">
            <v>14.087427794132038</v>
          </cell>
        </row>
        <row r="1347">
          <cell r="A1347">
            <v>41411</v>
          </cell>
          <cell r="LJ1347">
            <v>17.735538584378705</v>
          </cell>
          <cell r="LK1347">
            <v>20.020152274152959</v>
          </cell>
          <cell r="LL1347">
            <v>17.982747259685677</v>
          </cell>
          <cell r="LM1347">
            <v>15.721193701553757</v>
          </cell>
          <cell r="LN1347">
            <v>20.244300817817596</v>
          </cell>
          <cell r="LY1347">
            <v>10.720482384061979</v>
          </cell>
          <cell r="LZ1347">
            <v>14.730476692982464</v>
          </cell>
          <cell r="MA1347">
            <v>11.870949885755934</v>
          </cell>
          <cell r="MB1347">
            <v>9.6544719773798295</v>
          </cell>
          <cell r="MC1347">
            <v>14.087427794132038</v>
          </cell>
        </row>
        <row r="1348">
          <cell r="A1348">
            <v>41414</v>
          </cell>
          <cell r="LJ1348">
            <v>17.965467714662033</v>
          </cell>
          <cell r="LK1348">
            <v>20.020152274152959</v>
          </cell>
          <cell r="LL1348">
            <v>17.982747259685677</v>
          </cell>
          <cell r="LM1348">
            <v>15.721193701553757</v>
          </cell>
          <cell r="LN1348">
            <v>20.244300817817596</v>
          </cell>
          <cell r="LY1348">
            <v>10.852280544161005</v>
          </cell>
          <cell r="LZ1348">
            <v>14.730476692982464</v>
          </cell>
          <cell r="MA1348">
            <v>11.870949885755934</v>
          </cell>
          <cell r="MB1348">
            <v>9.6544719773798295</v>
          </cell>
          <cell r="MC1348">
            <v>14.087427794132038</v>
          </cell>
        </row>
        <row r="1349">
          <cell r="A1349">
            <v>41415</v>
          </cell>
          <cell r="LJ1349">
            <v>17.900975968697562</v>
          </cell>
          <cell r="LK1349">
            <v>20.020152274152959</v>
          </cell>
          <cell r="LL1349">
            <v>17.982747259685677</v>
          </cell>
          <cell r="LM1349">
            <v>15.721193701553757</v>
          </cell>
          <cell r="LN1349">
            <v>20.244300817817596</v>
          </cell>
          <cell r="LY1349">
            <v>10.815313094889932</v>
          </cell>
          <cell r="LZ1349">
            <v>14.730476692982464</v>
          </cell>
          <cell r="MA1349">
            <v>11.870949885755934</v>
          </cell>
          <cell r="MB1349">
            <v>9.6544719773798295</v>
          </cell>
          <cell r="MC1349">
            <v>14.087427794132038</v>
          </cell>
        </row>
        <row r="1350">
          <cell r="A1350">
            <v>41416</v>
          </cell>
          <cell r="LJ1350">
            <v>17.598139334038176</v>
          </cell>
          <cell r="LK1350">
            <v>20.020152274152959</v>
          </cell>
          <cell r="LL1350">
            <v>17.982747259685677</v>
          </cell>
          <cell r="LM1350">
            <v>15.721193701553757</v>
          </cell>
          <cell r="LN1350">
            <v>20.244300817817596</v>
          </cell>
          <cell r="LY1350">
            <v>10.641723470950131</v>
          </cell>
          <cell r="LZ1350">
            <v>14.730476692982464</v>
          </cell>
          <cell r="MA1350">
            <v>11.870949885755934</v>
          </cell>
          <cell r="MB1350">
            <v>9.6544719773798295</v>
          </cell>
          <cell r="MC1350">
            <v>14.087427794132038</v>
          </cell>
        </row>
        <row r="1351">
          <cell r="A1351">
            <v>41417</v>
          </cell>
          <cell r="LJ1351">
            <v>17.494391340385572</v>
          </cell>
          <cell r="LK1351">
            <v>20.020152274152959</v>
          </cell>
          <cell r="LL1351">
            <v>17.982747259685677</v>
          </cell>
          <cell r="LM1351">
            <v>15.721193701553757</v>
          </cell>
          <cell r="LN1351">
            <v>20.244300817817596</v>
          </cell>
          <cell r="LY1351">
            <v>10.582253865421988</v>
          </cell>
          <cell r="LZ1351">
            <v>14.730476692982464</v>
          </cell>
          <cell r="MA1351">
            <v>11.870949885755934</v>
          </cell>
          <cell r="MB1351">
            <v>9.6544719773798295</v>
          </cell>
          <cell r="MC1351">
            <v>14.087427794132038</v>
          </cell>
        </row>
        <row r="1352">
          <cell r="A1352">
            <v>41418</v>
          </cell>
          <cell r="LJ1352">
            <v>17.413071722846965</v>
          </cell>
          <cell r="LK1352">
            <v>20.020152274152959</v>
          </cell>
          <cell r="LL1352">
            <v>17.982747259685677</v>
          </cell>
          <cell r="LM1352">
            <v>15.721193701553757</v>
          </cell>
          <cell r="LN1352">
            <v>20.244300817817596</v>
          </cell>
          <cell r="LY1352">
            <v>10.535640476512377</v>
          </cell>
          <cell r="LZ1352">
            <v>14.730476692982464</v>
          </cell>
          <cell r="MA1352">
            <v>11.870949885755934</v>
          </cell>
          <cell r="MB1352">
            <v>9.6544719773798295</v>
          </cell>
          <cell r="MC1352">
            <v>14.087427794132038</v>
          </cell>
        </row>
        <row r="1353">
          <cell r="A1353">
            <v>41421</v>
          </cell>
          <cell r="LJ1353">
            <v>17.413071722846965</v>
          </cell>
          <cell r="LK1353">
            <v>20.020152274152959</v>
          </cell>
          <cell r="LL1353">
            <v>17.982747259685677</v>
          </cell>
          <cell r="LM1353">
            <v>15.721193701553757</v>
          </cell>
          <cell r="LN1353">
            <v>20.244300817817596</v>
          </cell>
          <cell r="LY1353">
            <v>10.535640476512377</v>
          </cell>
          <cell r="LZ1353">
            <v>14.730476692982464</v>
          </cell>
          <cell r="MA1353">
            <v>11.870949885755934</v>
          </cell>
          <cell r="MB1353">
            <v>9.6544719773798295</v>
          </cell>
          <cell r="MC1353">
            <v>14.087427794132038</v>
          </cell>
        </row>
        <row r="1354">
          <cell r="A1354">
            <v>41422</v>
          </cell>
          <cell r="LJ1354">
            <v>17.550471253591262</v>
          </cell>
          <cell r="LK1354">
            <v>20.020152274152959</v>
          </cell>
          <cell r="LL1354">
            <v>17.982747259685677</v>
          </cell>
          <cell r="LM1354">
            <v>15.721193701553757</v>
          </cell>
          <cell r="LN1354">
            <v>20.244300817817596</v>
          </cell>
          <cell r="LY1354">
            <v>10.614399550355058</v>
          </cell>
          <cell r="LZ1354">
            <v>14.730476692982464</v>
          </cell>
          <cell r="MA1354">
            <v>11.870949885755934</v>
          </cell>
          <cell r="MB1354">
            <v>9.6544719773798295</v>
          </cell>
          <cell r="MC1354">
            <v>14.087427794132038</v>
          </cell>
        </row>
        <row r="1355">
          <cell r="A1355">
            <v>41423</v>
          </cell>
          <cell r="LJ1355">
            <v>17.443916418180088</v>
          </cell>
          <cell r="LK1355">
            <v>20.020152274152959</v>
          </cell>
          <cell r="LL1355">
            <v>17.982747259685677</v>
          </cell>
          <cell r="LM1355">
            <v>15.721193701553757</v>
          </cell>
          <cell r="LN1355">
            <v>20.244300817817596</v>
          </cell>
          <cell r="LY1355">
            <v>10.553321029162282</v>
          </cell>
          <cell r="LZ1355">
            <v>14.730476692982464</v>
          </cell>
          <cell r="MA1355">
            <v>11.870949885755934</v>
          </cell>
          <cell r="MB1355">
            <v>9.6544719773798295</v>
          </cell>
          <cell r="MC1355">
            <v>14.087427794132038</v>
          </cell>
        </row>
        <row r="1356">
          <cell r="A1356">
            <v>41424</v>
          </cell>
          <cell r="LJ1356">
            <v>17.525235755314927</v>
          </cell>
          <cell r="LK1356">
            <v>20.020152274152959</v>
          </cell>
          <cell r="LL1356">
            <v>17.982747259685677</v>
          </cell>
          <cell r="LM1356">
            <v>15.721193701553757</v>
          </cell>
          <cell r="LN1356">
            <v>20.244300817817596</v>
          </cell>
          <cell r="LY1356">
            <v>10.599934257341056</v>
          </cell>
          <cell r="LZ1356">
            <v>14.730476692982464</v>
          </cell>
          <cell r="MA1356">
            <v>11.870949885755934</v>
          </cell>
          <cell r="MB1356">
            <v>9.6544719773798295</v>
          </cell>
          <cell r="MC1356">
            <v>14.087427794132038</v>
          </cell>
        </row>
        <row r="1357">
          <cell r="A1357">
            <v>41425</v>
          </cell>
          <cell r="LJ1357">
            <v>17.332323604968494</v>
          </cell>
          <cell r="LK1357">
            <v>20.020152274152959</v>
          </cell>
          <cell r="LL1357">
            <v>17.982747259685677</v>
          </cell>
          <cell r="LM1357">
            <v>15.721193701553757</v>
          </cell>
          <cell r="LN1357">
            <v>20.244300817817596</v>
          </cell>
          <cell r="LY1357">
            <v>10.490636163998236</v>
          </cell>
          <cell r="LZ1357">
            <v>14.730476692982464</v>
          </cell>
          <cell r="MA1357">
            <v>11.870949885755934</v>
          </cell>
          <cell r="MB1357">
            <v>9.6544719773798295</v>
          </cell>
          <cell r="MC1357">
            <v>14.087427794132038</v>
          </cell>
        </row>
        <row r="1358">
          <cell r="A1358">
            <v>41428</v>
          </cell>
          <cell r="LJ1358">
            <v>17.324397347314331</v>
          </cell>
          <cell r="LK1358">
            <v>20.020152274152959</v>
          </cell>
          <cell r="LL1358">
            <v>17.982747259685677</v>
          </cell>
          <cell r="LM1358">
            <v>15.721193701553757</v>
          </cell>
          <cell r="LN1358">
            <v>20.244300817817596</v>
          </cell>
          <cell r="LY1358">
            <v>10.50886947684155</v>
          </cell>
          <cell r="LZ1358">
            <v>14.730476692982464</v>
          </cell>
          <cell r="MA1358">
            <v>11.870949885755934</v>
          </cell>
          <cell r="MB1358">
            <v>9.6544719773798295</v>
          </cell>
          <cell r="MC1358">
            <v>14.087427794132038</v>
          </cell>
        </row>
        <row r="1359">
          <cell r="A1359">
            <v>41429</v>
          </cell>
          <cell r="LJ1359">
            <v>17.163291274608522</v>
          </cell>
          <cell r="LK1359">
            <v>20.020152274152959</v>
          </cell>
          <cell r="LL1359">
            <v>17.982747259685677</v>
          </cell>
          <cell r="LM1359">
            <v>15.721193701553757</v>
          </cell>
          <cell r="LN1359">
            <v>20.244300817817596</v>
          </cell>
          <cell r="LY1359">
            <v>10.416263612474733</v>
          </cell>
          <cell r="LZ1359">
            <v>14.730476692982464</v>
          </cell>
          <cell r="MA1359">
            <v>11.870949885755934</v>
          </cell>
          <cell r="MB1359">
            <v>9.6544719773798295</v>
          </cell>
          <cell r="MC1359">
            <v>14.087427794132038</v>
          </cell>
        </row>
        <row r="1360">
          <cell r="A1360">
            <v>41430</v>
          </cell>
          <cell r="LJ1360">
            <v>16.788302628380961</v>
          </cell>
          <cell r="LK1360">
            <v>20.020152274152959</v>
          </cell>
          <cell r="LL1360">
            <v>17.982747259685677</v>
          </cell>
          <cell r="LM1360">
            <v>15.721193701553757</v>
          </cell>
          <cell r="LN1360">
            <v>20.244300817817596</v>
          </cell>
          <cell r="LY1360">
            <v>10.200715265175258</v>
          </cell>
          <cell r="LZ1360">
            <v>14.730476692982464</v>
          </cell>
          <cell r="MA1360">
            <v>11.870949885755934</v>
          </cell>
          <cell r="MB1360">
            <v>9.6544719773798295</v>
          </cell>
          <cell r="MC1360">
            <v>14.087427794132038</v>
          </cell>
        </row>
        <row r="1361">
          <cell r="A1361">
            <v>41431</v>
          </cell>
          <cell r="LJ1361">
            <v>16.785526335891117</v>
          </cell>
          <cell r="LK1361">
            <v>20.020152274152959</v>
          </cell>
          <cell r="LL1361">
            <v>17.982747259685677</v>
          </cell>
          <cell r="LM1361">
            <v>15.721193701553757</v>
          </cell>
          <cell r="LN1361">
            <v>20.244300817817596</v>
          </cell>
          <cell r="LY1361">
            <v>10.199119416170694</v>
          </cell>
          <cell r="LZ1361">
            <v>14.730476692982464</v>
          </cell>
          <cell r="MA1361">
            <v>11.870949885755934</v>
          </cell>
          <cell r="MB1361">
            <v>9.6544719773798295</v>
          </cell>
          <cell r="MC1361">
            <v>14.087427794132038</v>
          </cell>
        </row>
        <row r="1362">
          <cell r="A1362">
            <v>41432</v>
          </cell>
          <cell r="LJ1362">
            <v>17.249398562549914</v>
          </cell>
          <cell r="LK1362">
            <v>20.020152274152959</v>
          </cell>
          <cell r="LL1362">
            <v>17.982747259685677</v>
          </cell>
          <cell r="LM1362">
            <v>15.721193701553757</v>
          </cell>
          <cell r="LN1362">
            <v>20.244300817817596</v>
          </cell>
          <cell r="LY1362">
            <v>10.46813584927733</v>
          </cell>
          <cell r="LZ1362">
            <v>14.730476692982464</v>
          </cell>
          <cell r="MA1362">
            <v>11.870949885755934</v>
          </cell>
          <cell r="MB1362">
            <v>9.6544719773798295</v>
          </cell>
          <cell r="MC1362">
            <v>14.087427794132038</v>
          </cell>
        </row>
        <row r="1363">
          <cell r="A1363">
            <v>41435</v>
          </cell>
          <cell r="LJ1363">
            <v>17.302175341133989</v>
          </cell>
          <cell r="LK1363">
            <v>20.020152274152959</v>
          </cell>
          <cell r="LL1363">
            <v>17.982747259685677</v>
          </cell>
          <cell r="LM1363">
            <v>15.721193701553757</v>
          </cell>
          <cell r="LN1363">
            <v>20.244300817817596</v>
          </cell>
          <cell r="LY1363">
            <v>10.498479516627054</v>
          </cell>
          <cell r="LZ1363">
            <v>14.730476692982464</v>
          </cell>
          <cell r="MA1363">
            <v>11.870949885755934</v>
          </cell>
          <cell r="MB1363">
            <v>9.6544719773798295</v>
          </cell>
          <cell r="MC1363">
            <v>14.087427794132038</v>
          </cell>
        </row>
        <row r="1364">
          <cell r="A1364">
            <v>41436</v>
          </cell>
          <cell r="LJ1364">
            <v>17.27995333495365</v>
          </cell>
          <cell r="LK1364">
            <v>20.020152274152959</v>
          </cell>
          <cell r="LL1364">
            <v>17.982747259685677</v>
          </cell>
          <cell r="LM1364">
            <v>15.721193701553757</v>
          </cell>
          <cell r="LN1364">
            <v>20.244300817817596</v>
          </cell>
          <cell r="LY1364">
            <v>10.485703117963283</v>
          </cell>
          <cell r="LZ1364">
            <v>14.730476692982464</v>
          </cell>
          <cell r="MA1364">
            <v>11.870949885755934</v>
          </cell>
          <cell r="MB1364">
            <v>9.6544719773798295</v>
          </cell>
          <cell r="MC1364">
            <v>14.087427794132038</v>
          </cell>
        </row>
        <row r="1365">
          <cell r="A1365">
            <v>41437</v>
          </cell>
          <cell r="LJ1365">
            <v>17.054961702718657</v>
          </cell>
          <cell r="LK1365">
            <v>20.020152274152959</v>
          </cell>
          <cell r="LL1365">
            <v>17.982747259685677</v>
          </cell>
          <cell r="LM1365">
            <v>15.721193701553757</v>
          </cell>
          <cell r="LN1365">
            <v>20.244300817817596</v>
          </cell>
          <cell r="LY1365">
            <v>10.356345634839631</v>
          </cell>
          <cell r="LZ1365">
            <v>14.730476692982464</v>
          </cell>
          <cell r="MA1365">
            <v>11.870949885755934</v>
          </cell>
          <cell r="MB1365">
            <v>9.6544719773798295</v>
          </cell>
          <cell r="MC1365">
            <v>14.087427794132038</v>
          </cell>
        </row>
        <row r="1366">
          <cell r="A1366">
            <v>41438</v>
          </cell>
          <cell r="LJ1366">
            <v>17.354951841949934</v>
          </cell>
          <cell r="LK1366">
            <v>20.020152274152959</v>
          </cell>
          <cell r="LL1366">
            <v>17.982747259685677</v>
          </cell>
          <cell r="LM1366">
            <v>15.721193701553757</v>
          </cell>
          <cell r="LN1366">
            <v>20.244300817817596</v>
          </cell>
          <cell r="LY1366">
            <v>10.528823024275789</v>
          </cell>
          <cell r="LZ1366">
            <v>14.730476692982464</v>
          </cell>
          <cell r="MA1366">
            <v>11.870949885755934</v>
          </cell>
          <cell r="MB1366">
            <v>9.6544719773798295</v>
          </cell>
          <cell r="MC1366">
            <v>14.087427794132038</v>
          </cell>
        </row>
        <row r="1367">
          <cell r="A1367">
            <v>41439</v>
          </cell>
          <cell r="LJ1367">
            <v>17.366060900663172</v>
          </cell>
          <cell r="LK1367">
            <v>20.020152274152959</v>
          </cell>
          <cell r="LL1367">
            <v>17.982747259685677</v>
          </cell>
          <cell r="LM1367">
            <v>15.721193701553757</v>
          </cell>
          <cell r="LN1367">
            <v>20.244300817817596</v>
          </cell>
          <cell r="LY1367">
            <v>10.53521010570074</v>
          </cell>
          <cell r="LZ1367">
            <v>14.730476692982464</v>
          </cell>
          <cell r="MA1367">
            <v>11.870949885755934</v>
          </cell>
          <cell r="MB1367">
            <v>9.6544719773798295</v>
          </cell>
          <cell r="MC1367">
            <v>14.087427794132038</v>
          </cell>
        </row>
        <row r="1368">
          <cell r="A1368">
            <v>41442</v>
          </cell>
          <cell r="LJ1368">
            <v>17.602165480365265</v>
          </cell>
          <cell r="LK1368">
            <v>20.020152274152959</v>
          </cell>
          <cell r="LL1368">
            <v>17.982747259685677</v>
          </cell>
          <cell r="LM1368">
            <v>15.721193701553757</v>
          </cell>
          <cell r="LN1368">
            <v>20.244300817817596</v>
          </cell>
          <cell r="LY1368">
            <v>10.670956906063214</v>
          </cell>
          <cell r="LZ1368">
            <v>14.730476692982464</v>
          </cell>
          <cell r="MA1368">
            <v>11.870949885755934</v>
          </cell>
          <cell r="MB1368">
            <v>9.6544719773798295</v>
          </cell>
          <cell r="MC1368">
            <v>14.087427794132038</v>
          </cell>
        </row>
        <row r="1369">
          <cell r="A1369">
            <v>41443</v>
          </cell>
          <cell r="LJ1369">
            <v>17.877153154404365</v>
          </cell>
          <cell r="LK1369">
            <v>20.020152274152959</v>
          </cell>
          <cell r="LL1369">
            <v>17.982747259685677</v>
          </cell>
          <cell r="LM1369">
            <v>15.721193701553757</v>
          </cell>
          <cell r="LN1369">
            <v>20.244300817817596</v>
          </cell>
          <cell r="LY1369">
            <v>10.829059289917971</v>
          </cell>
          <cell r="LZ1369">
            <v>14.730476692982464</v>
          </cell>
          <cell r="MA1369">
            <v>11.870949885755934</v>
          </cell>
          <cell r="MB1369">
            <v>9.6544719773798295</v>
          </cell>
          <cell r="MC1369">
            <v>14.087427794132038</v>
          </cell>
        </row>
        <row r="1370">
          <cell r="A1370">
            <v>41444</v>
          </cell>
          <cell r="LJ1370">
            <v>17.684662275123166</v>
          </cell>
          <cell r="LK1370">
            <v>20.020152274152959</v>
          </cell>
          <cell r="LL1370">
            <v>17.982747259685677</v>
          </cell>
          <cell r="LM1370">
            <v>15.721193701553757</v>
          </cell>
          <cell r="LN1370">
            <v>20.244300817817596</v>
          </cell>
          <cell r="LY1370">
            <v>10.723516983008684</v>
          </cell>
          <cell r="LZ1370">
            <v>14.730476692982464</v>
          </cell>
          <cell r="MA1370">
            <v>11.870949885755934</v>
          </cell>
          <cell r="MB1370">
            <v>9.6544719773798295</v>
          </cell>
          <cell r="MC1370">
            <v>14.087427794132038</v>
          </cell>
        </row>
        <row r="1371">
          <cell r="A1371">
            <v>41445</v>
          </cell>
          <cell r="LJ1371">
            <v>17.290312591991913</v>
          </cell>
          <cell r="LK1371">
            <v>20.020152274152959</v>
          </cell>
          <cell r="LL1371">
            <v>17.982747259685677</v>
          </cell>
          <cell r="LM1371">
            <v>15.721193701553757</v>
          </cell>
          <cell r="LN1371">
            <v>20.244300817817596</v>
          </cell>
          <cell r="LY1371">
            <v>10.496677308682029</v>
          </cell>
          <cell r="LZ1371">
            <v>14.730476692982464</v>
          </cell>
          <cell r="MA1371">
            <v>11.870949885755934</v>
          </cell>
          <cell r="MB1371">
            <v>9.6544719773798295</v>
          </cell>
          <cell r="MC1371">
            <v>14.087427794132038</v>
          </cell>
        </row>
        <row r="1372">
          <cell r="A1372">
            <v>41446</v>
          </cell>
          <cell r="LJ1372">
            <v>17.248653377248768</v>
          </cell>
          <cell r="LK1372">
            <v>20.020152274152959</v>
          </cell>
          <cell r="LL1372">
            <v>17.982747259685677</v>
          </cell>
          <cell r="LM1372">
            <v>15.721193701553757</v>
          </cell>
          <cell r="LN1372">
            <v>20.244300817817596</v>
          </cell>
          <cell r="LY1372">
            <v>10.472713899785633</v>
          </cell>
          <cell r="LZ1372">
            <v>14.730476692982464</v>
          </cell>
          <cell r="MA1372">
            <v>11.870949885755934</v>
          </cell>
          <cell r="MB1372">
            <v>9.6544719773798295</v>
          </cell>
          <cell r="MC1372">
            <v>14.087427794132038</v>
          </cell>
        </row>
        <row r="1373">
          <cell r="A1373">
            <v>41449</v>
          </cell>
          <cell r="LJ1373">
            <v>17.123684064362404</v>
          </cell>
          <cell r="LK1373">
            <v>20.020152274152959</v>
          </cell>
          <cell r="LL1373">
            <v>17.982747259685677</v>
          </cell>
          <cell r="LM1373">
            <v>15.721193701553757</v>
          </cell>
          <cell r="LN1373">
            <v>20.244300817817596</v>
          </cell>
          <cell r="LY1373">
            <v>10.400828465490676</v>
          </cell>
          <cell r="LZ1373">
            <v>14.730476692982464</v>
          </cell>
          <cell r="MA1373">
            <v>11.870949885755934</v>
          </cell>
          <cell r="MB1373">
            <v>9.6544719773798295</v>
          </cell>
          <cell r="MC1373">
            <v>14.087427794132038</v>
          </cell>
        </row>
        <row r="1374">
          <cell r="A1374">
            <v>41450</v>
          </cell>
          <cell r="LJ1374">
            <v>17.301419105435922</v>
          </cell>
          <cell r="LK1374">
            <v>20.020152274152959</v>
          </cell>
          <cell r="LL1374">
            <v>17.982747259685677</v>
          </cell>
          <cell r="LM1374">
            <v>15.721193701553757</v>
          </cell>
          <cell r="LN1374">
            <v>20.244300817817596</v>
          </cell>
          <cell r="LY1374">
            <v>10.503066049437543</v>
          </cell>
          <cell r="LZ1374">
            <v>14.730476692982464</v>
          </cell>
          <cell r="MA1374">
            <v>11.870949885755934</v>
          </cell>
          <cell r="MB1374">
            <v>9.6544719773798295</v>
          </cell>
          <cell r="MC1374">
            <v>14.087427794132038</v>
          </cell>
        </row>
        <row r="1375">
          <cell r="A1375">
            <v>41451</v>
          </cell>
          <cell r="LJ1375">
            <v>17.593016945951803</v>
          </cell>
          <cell r="LK1375">
            <v>20.020152274152959</v>
          </cell>
          <cell r="LL1375">
            <v>17.982747259685677</v>
          </cell>
          <cell r="LM1375">
            <v>15.721193701553757</v>
          </cell>
          <cell r="LN1375">
            <v>20.244300817817596</v>
          </cell>
          <cell r="LY1375">
            <v>10.670800326923855</v>
          </cell>
          <cell r="LZ1375">
            <v>14.730476692982464</v>
          </cell>
          <cell r="MA1375">
            <v>11.870949885755934</v>
          </cell>
          <cell r="MB1375">
            <v>9.6544719773798295</v>
          </cell>
          <cell r="MC1375">
            <v>14.087427794132038</v>
          </cell>
        </row>
        <row r="1376">
          <cell r="A1376">
            <v>41452</v>
          </cell>
          <cell r="LJ1376">
            <v>17.673555761679154</v>
          </cell>
          <cell r="LK1376">
            <v>20.020152274152959</v>
          </cell>
          <cell r="LL1376">
            <v>17.982747259685677</v>
          </cell>
          <cell r="LM1376">
            <v>15.721193701553757</v>
          </cell>
          <cell r="LN1376">
            <v>20.244300817817596</v>
          </cell>
          <cell r="LY1376">
            <v>10.717128242253171</v>
          </cell>
          <cell r="LZ1376">
            <v>14.730476692982464</v>
          </cell>
          <cell r="MA1376">
            <v>11.870949885755934</v>
          </cell>
          <cell r="MB1376">
            <v>9.6544719773798295</v>
          </cell>
          <cell r="MC1376">
            <v>14.087427794132038</v>
          </cell>
        </row>
        <row r="1377">
          <cell r="A1377">
            <v>41453</v>
          </cell>
          <cell r="LJ1377">
            <v>17.579130541037419</v>
          </cell>
          <cell r="LK1377">
            <v>20.020152274152959</v>
          </cell>
          <cell r="LL1377">
            <v>17.982747259685677</v>
          </cell>
          <cell r="LM1377">
            <v>15.721193701553757</v>
          </cell>
          <cell r="LN1377">
            <v>20.244300817817596</v>
          </cell>
          <cell r="LY1377">
            <v>10.662812523958388</v>
          </cell>
          <cell r="LZ1377">
            <v>14.730476692982464</v>
          </cell>
          <cell r="MA1377">
            <v>11.870949885755934</v>
          </cell>
          <cell r="MB1377">
            <v>9.6544719773798295</v>
          </cell>
          <cell r="MC1377">
            <v>14.087427794132038</v>
          </cell>
        </row>
        <row r="1378">
          <cell r="A1378">
            <v>41456</v>
          </cell>
          <cell r="LJ1378">
            <v>17.803892182340746</v>
          </cell>
          <cell r="LK1378">
            <v>20.020152274152959</v>
          </cell>
          <cell r="LL1378">
            <v>17.982747259685677</v>
          </cell>
          <cell r="LM1378">
            <v>15.721193701553757</v>
          </cell>
          <cell r="LN1378">
            <v>20.244300817817596</v>
          </cell>
          <cell r="LY1378">
            <v>10.815904270948808</v>
          </cell>
          <cell r="LZ1378">
            <v>14.730476692982464</v>
          </cell>
          <cell r="MA1378">
            <v>11.870949885755934</v>
          </cell>
          <cell r="MB1378">
            <v>9.6544719773798295</v>
          </cell>
          <cell r="MC1378">
            <v>14.087427794132038</v>
          </cell>
        </row>
        <row r="1379">
          <cell r="A1379">
            <v>41457</v>
          </cell>
          <cell r="LJ1379">
            <v>17.52321147007493</v>
          </cell>
          <cell r="LK1379">
            <v>20.020152274152959</v>
          </cell>
          <cell r="LL1379">
            <v>17.982747259685677</v>
          </cell>
          <cell r="LM1379">
            <v>15.721193701553757</v>
          </cell>
          <cell r="LN1379">
            <v>20.244300817817596</v>
          </cell>
          <cell r="LY1379">
            <v>10.654018249556533</v>
          </cell>
          <cell r="LZ1379">
            <v>14.730476692982464</v>
          </cell>
          <cell r="MA1379">
            <v>11.870949885755934</v>
          </cell>
          <cell r="MB1379">
            <v>9.6544719773798295</v>
          </cell>
          <cell r="MC1379">
            <v>14.087427794132038</v>
          </cell>
        </row>
        <row r="1380">
          <cell r="A1380">
            <v>41458</v>
          </cell>
          <cell r="LJ1380">
            <v>17.50945184005835</v>
          </cell>
          <cell r="LK1380">
            <v>20.020152274152959</v>
          </cell>
          <cell r="LL1380">
            <v>17.982747259685677</v>
          </cell>
          <cell r="LM1380">
            <v>15.721193701553757</v>
          </cell>
          <cell r="LN1380">
            <v>20.244300817817596</v>
          </cell>
          <cell r="LY1380">
            <v>10.646082215258943</v>
          </cell>
          <cell r="LZ1380">
            <v>14.730476692982464</v>
          </cell>
          <cell r="MA1380">
            <v>11.870949885755934</v>
          </cell>
          <cell r="MB1380">
            <v>9.6544719773798295</v>
          </cell>
          <cell r="MC1380">
            <v>14.087427794132038</v>
          </cell>
        </row>
        <row r="1381">
          <cell r="A1381">
            <v>41459</v>
          </cell>
          <cell r="LJ1381">
            <v>17.50945184005835</v>
          </cell>
          <cell r="LK1381">
            <v>20.020152274152959</v>
          </cell>
          <cell r="LL1381">
            <v>17.982747259685677</v>
          </cell>
          <cell r="LM1381">
            <v>15.721193701553757</v>
          </cell>
          <cell r="LN1381">
            <v>20.244300817817596</v>
          </cell>
          <cell r="LY1381">
            <v>10.646082215258943</v>
          </cell>
          <cell r="LZ1381">
            <v>14.730476692982464</v>
          </cell>
          <cell r="MA1381">
            <v>11.870949885755934</v>
          </cell>
          <cell r="MB1381">
            <v>9.6544719773798295</v>
          </cell>
          <cell r="MC1381">
            <v>14.087427794132038</v>
          </cell>
        </row>
        <row r="1382">
          <cell r="A1382">
            <v>41460</v>
          </cell>
          <cell r="LJ1382">
            <v>17.776372922307594</v>
          </cell>
          <cell r="LK1382">
            <v>20.020152274152959</v>
          </cell>
          <cell r="LL1382">
            <v>17.982747259685677</v>
          </cell>
          <cell r="LM1382">
            <v>15.721193701553757</v>
          </cell>
          <cell r="LN1382">
            <v>20.244300817817596</v>
          </cell>
          <cell r="LY1382">
            <v>10.800032202353631</v>
          </cell>
          <cell r="LZ1382">
            <v>14.730476692982464</v>
          </cell>
          <cell r="MA1382">
            <v>11.870949885755934</v>
          </cell>
          <cell r="MB1382">
            <v>9.6544719773798295</v>
          </cell>
          <cell r="MC1382">
            <v>14.087427794132038</v>
          </cell>
        </row>
        <row r="1383">
          <cell r="A1383">
            <v>41463</v>
          </cell>
          <cell r="LJ1383">
            <v>17.732343922416742</v>
          </cell>
          <cell r="LK1383">
            <v>20.020152274152959</v>
          </cell>
          <cell r="LL1383">
            <v>17.982747259685677</v>
          </cell>
          <cell r="LM1383">
            <v>15.721193701553757</v>
          </cell>
          <cell r="LN1383">
            <v>20.244300817817596</v>
          </cell>
          <cell r="LY1383">
            <v>10.774637940095021</v>
          </cell>
          <cell r="LZ1383">
            <v>14.730476692982464</v>
          </cell>
          <cell r="MA1383">
            <v>11.870949885755934</v>
          </cell>
          <cell r="MB1383">
            <v>9.6544719773798295</v>
          </cell>
          <cell r="MC1383">
            <v>14.087427794132038</v>
          </cell>
        </row>
        <row r="1384">
          <cell r="A1384">
            <v>41464</v>
          </cell>
          <cell r="LJ1384">
            <v>18.324036202490372</v>
          </cell>
          <cell r="LK1384">
            <v>20.020152274152959</v>
          </cell>
          <cell r="LL1384">
            <v>17.982747259685677</v>
          </cell>
          <cell r="LM1384">
            <v>15.721193701553757</v>
          </cell>
          <cell r="LN1384">
            <v>20.244300817817596</v>
          </cell>
          <cell r="LY1384">
            <v>11.116528893399716</v>
          </cell>
          <cell r="LZ1384">
            <v>14.730476692982464</v>
          </cell>
          <cell r="MA1384">
            <v>11.870949885755934</v>
          </cell>
          <cell r="MB1384">
            <v>9.6544719773798295</v>
          </cell>
          <cell r="MC1384">
            <v>14.087427794132038</v>
          </cell>
        </row>
        <row r="1385">
          <cell r="A1385">
            <v>41465</v>
          </cell>
          <cell r="LJ1385">
            <v>18.617445208274219</v>
          </cell>
          <cell r="LK1385">
            <v>20.020152274152959</v>
          </cell>
          <cell r="LL1385">
            <v>17.982747259685677</v>
          </cell>
          <cell r="LM1385">
            <v>15.721193701553757</v>
          </cell>
          <cell r="LN1385">
            <v>20.244300817817596</v>
          </cell>
          <cell r="LY1385">
            <v>11.288105011059264</v>
          </cell>
          <cell r="LZ1385">
            <v>14.730476692982464</v>
          </cell>
          <cell r="MA1385">
            <v>11.870949885755934</v>
          </cell>
          <cell r="MB1385">
            <v>9.6544719773798295</v>
          </cell>
          <cell r="MC1385">
            <v>14.087427794132038</v>
          </cell>
        </row>
        <row r="1386">
          <cell r="A1386">
            <v>41466</v>
          </cell>
          <cell r="LJ1386">
            <v>18.769090996466318</v>
          </cell>
          <cell r="LK1386">
            <v>20.020152274152959</v>
          </cell>
          <cell r="LL1386">
            <v>17.982747259685677</v>
          </cell>
          <cell r="LM1386">
            <v>15.721193701553757</v>
          </cell>
          <cell r="LN1386">
            <v>20.244300817817596</v>
          </cell>
          <cell r="LY1386">
            <v>11.372642655618996</v>
          </cell>
          <cell r="LZ1386">
            <v>14.730476692982464</v>
          </cell>
          <cell r="MA1386">
            <v>11.870949885755934</v>
          </cell>
          <cell r="MB1386">
            <v>9.6544719773798295</v>
          </cell>
          <cell r="MC1386">
            <v>14.087427794132038</v>
          </cell>
        </row>
        <row r="1387">
          <cell r="A1387">
            <v>41467</v>
          </cell>
          <cell r="LJ1387">
            <v>18.712521576072621</v>
          </cell>
          <cell r="LK1387">
            <v>20.020152274152959</v>
          </cell>
          <cell r="LL1387">
            <v>17.982747259685677</v>
          </cell>
          <cell r="LM1387">
            <v>15.721193701553757</v>
          </cell>
          <cell r="LN1387">
            <v>20.244300817817596</v>
          </cell>
          <cell r="LY1387">
            <v>11.391899172851403</v>
          </cell>
          <cell r="LZ1387">
            <v>14.730476692982464</v>
          </cell>
          <cell r="MA1387">
            <v>11.870949885755934</v>
          </cell>
          <cell r="MB1387">
            <v>9.6544719773798295</v>
          </cell>
          <cell r="MC1387">
            <v>14.087427794132038</v>
          </cell>
        </row>
        <row r="1388">
          <cell r="A1388">
            <v>41470</v>
          </cell>
          <cell r="LJ1388">
            <v>18.770150883854647</v>
          </cell>
          <cell r="LK1388">
            <v>20.020152274152959</v>
          </cell>
          <cell r="LL1388">
            <v>17.982747259685677</v>
          </cell>
          <cell r="LM1388">
            <v>15.721193701553757</v>
          </cell>
          <cell r="LN1388">
            <v>20.244300817817596</v>
          </cell>
          <cell r="LY1388">
            <v>11.425300853468828</v>
          </cell>
          <cell r="LZ1388">
            <v>14.730476692982464</v>
          </cell>
          <cell r="MA1388">
            <v>11.870949885755934</v>
          </cell>
          <cell r="MB1388">
            <v>9.6544719773798295</v>
          </cell>
          <cell r="MC1388">
            <v>14.087427794132038</v>
          </cell>
        </row>
        <row r="1389">
          <cell r="A1389">
            <v>41471</v>
          </cell>
          <cell r="LJ1389">
            <v>18.679592856001268</v>
          </cell>
          <cell r="LK1389">
            <v>20.020152274152959</v>
          </cell>
          <cell r="LL1389">
            <v>17.982747259685677</v>
          </cell>
          <cell r="LM1389">
            <v>15.721193701553757</v>
          </cell>
          <cell r="LN1389">
            <v>20.244300817817596</v>
          </cell>
          <cell r="LY1389">
            <v>11.372813838786243</v>
          </cell>
          <cell r="LZ1389">
            <v>14.730476692982464</v>
          </cell>
          <cell r="MA1389">
            <v>11.870949885755934</v>
          </cell>
          <cell r="MB1389">
            <v>9.6544719773798295</v>
          </cell>
          <cell r="MC1389">
            <v>14.087427794132038</v>
          </cell>
        </row>
        <row r="1390">
          <cell r="A1390">
            <v>41472</v>
          </cell>
          <cell r="LJ1390">
            <v>18.771176640067679</v>
          </cell>
          <cell r="LK1390">
            <v>20.020152274152959</v>
          </cell>
          <cell r="LL1390">
            <v>17.982747259685677</v>
          </cell>
          <cell r="LM1390">
            <v>15.721193701553757</v>
          </cell>
          <cell r="LN1390">
            <v>20.244300817817596</v>
          </cell>
          <cell r="LY1390">
            <v>11.425756242812865</v>
          </cell>
          <cell r="LZ1390">
            <v>14.730476692982464</v>
          </cell>
          <cell r="MA1390">
            <v>11.870949885755934</v>
          </cell>
          <cell r="MB1390">
            <v>9.6544719773798295</v>
          </cell>
          <cell r="MC1390">
            <v>14.087427794132038</v>
          </cell>
        </row>
        <row r="1391">
          <cell r="A1391">
            <v>41473</v>
          </cell>
          <cell r="LJ1391">
            <v>18.600845755062302</v>
          </cell>
          <cell r="LK1391">
            <v>20.020152274152959</v>
          </cell>
          <cell r="LL1391">
            <v>17.982747259685677</v>
          </cell>
          <cell r="LM1391">
            <v>15.721193701553757</v>
          </cell>
          <cell r="LN1391">
            <v>20.244300817817596</v>
          </cell>
          <cell r="LY1391">
            <v>11.199712646206734</v>
          </cell>
          <cell r="LZ1391">
            <v>14.730476692982464</v>
          </cell>
          <cell r="MA1391">
            <v>11.870949885755934</v>
          </cell>
          <cell r="MB1391">
            <v>9.6544719773798295</v>
          </cell>
          <cell r="MC1391">
            <v>14.087427794132038</v>
          </cell>
        </row>
        <row r="1392">
          <cell r="A1392">
            <v>41474</v>
          </cell>
          <cell r="LJ1392">
            <v>18.867407296691567</v>
          </cell>
          <cell r="LK1392">
            <v>20.020152274152959</v>
          </cell>
          <cell r="LL1392">
            <v>17.982747259685677</v>
          </cell>
          <cell r="LM1392">
            <v>15.721193701553757</v>
          </cell>
          <cell r="LN1392">
            <v>20.244300817817596</v>
          </cell>
          <cell r="LY1392">
            <v>11.352931413477949</v>
          </cell>
          <cell r="LZ1392">
            <v>14.730476692982464</v>
          </cell>
          <cell r="MA1392">
            <v>11.870949885755934</v>
          </cell>
          <cell r="MB1392">
            <v>9.6544719773798295</v>
          </cell>
          <cell r="MC1392">
            <v>14.087427794132038</v>
          </cell>
        </row>
        <row r="1393">
          <cell r="A1393">
            <v>41477</v>
          </cell>
          <cell r="LJ1393">
            <v>18.753094521981762</v>
          </cell>
          <cell r="LK1393">
            <v>20.020152274152959</v>
          </cell>
          <cell r="LL1393">
            <v>17.982747259685677</v>
          </cell>
          <cell r="LM1393">
            <v>15.721193701553757</v>
          </cell>
          <cell r="LN1393">
            <v>20.244300817817596</v>
          </cell>
          <cell r="LY1393">
            <v>11.249923584843186</v>
          </cell>
          <cell r="LZ1393">
            <v>14.730476692982464</v>
          </cell>
          <cell r="MA1393">
            <v>11.870949885755934</v>
          </cell>
          <cell r="MB1393">
            <v>9.6544719773798295</v>
          </cell>
          <cell r="MC1393">
            <v>14.087427794132038</v>
          </cell>
        </row>
        <row r="1394">
          <cell r="A1394">
            <v>41478</v>
          </cell>
          <cell r="LJ1394">
            <v>18.678818016764158</v>
          </cell>
          <cell r="LK1394">
            <v>20.020152274152959</v>
          </cell>
          <cell r="LL1394">
            <v>17.982747259685677</v>
          </cell>
          <cell r="LM1394">
            <v>15.721193701553757</v>
          </cell>
          <cell r="LN1394">
            <v>20.244300817817596</v>
          </cell>
          <cell r="LY1394">
            <v>11.207080614019677</v>
          </cell>
          <cell r="LZ1394">
            <v>14.730476692982464</v>
          </cell>
          <cell r="MA1394">
            <v>11.870949885755934</v>
          </cell>
          <cell r="MB1394">
            <v>9.6544719773798295</v>
          </cell>
          <cell r="MC1394">
            <v>14.087427794132038</v>
          </cell>
        </row>
        <row r="1395">
          <cell r="A1395">
            <v>41479</v>
          </cell>
          <cell r="LJ1395">
            <v>18.613886792800844</v>
          </cell>
          <cell r="LK1395">
            <v>20.020152274152959</v>
          </cell>
          <cell r="LL1395">
            <v>17.982747259685677</v>
          </cell>
          <cell r="LM1395">
            <v>15.721193701553757</v>
          </cell>
          <cell r="LN1395">
            <v>20.244300817817596</v>
          </cell>
          <cell r="LY1395">
            <v>11.166349932364195</v>
          </cell>
          <cell r="LZ1395">
            <v>14.730476692982464</v>
          </cell>
          <cell r="MA1395">
            <v>11.870949885755934</v>
          </cell>
          <cell r="MB1395">
            <v>9.6544719773798295</v>
          </cell>
          <cell r="MC1395">
            <v>14.087427794132038</v>
          </cell>
        </row>
        <row r="1396">
          <cell r="A1396">
            <v>41480</v>
          </cell>
          <cell r="LJ1396">
            <v>18.517558331825185</v>
          </cell>
          <cell r="LK1396">
            <v>20.020152274152959</v>
          </cell>
          <cell r="LL1396">
            <v>17.982747259685677</v>
          </cell>
          <cell r="LM1396">
            <v>15.721193701553757</v>
          </cell>
          <cell r="LN1396">
            <v>20.244300817817596</v>
          </cell>
          <cell r="LY1396">
            <v>11.110804698025568</v>
          </cell>
          <cell r="LZ1396">
            <v>14.730476692982464</v>
          </cell>
          <cell r="MA1396">
            <v>11.870949885755934</v>
          </cell>
          <cell r="MB1396">
            <v>9.6544719773798295</v>
          </cell>
          <cell r="MC1396">
            <v>14.087427794132038</v>
          </cell>
        </row>
        <row r="1397">
          <cell r="A1397">
            <v>41481</v>
          </cell>
          <cell r="LJ1397">
            <v>18.371726296468061</v>
          </cell>
          <cell r="LK1397">
            <v>20.020152274152959</v>
          </cell>
          <cell r="LL1397">
            <v>17.982747259685677</v>
          </cell>
          <cell r="LM1397">
            <v>15.721193701553757</v>
          </cell>
          <cell r="LN1397">
            <v>20.244300817817596</v>
          </cell>
          <cell r="LY1397">
            <v>11.021927974573599</v>
          </cell>
          <cell r="LZ1397">
            <v>14.730476692982464</v>
          </cell>
          <cell r="MA1397">
            <v>11.870949885755934</v>
          </cell>
          <cell r="MB1397">
            <v>9.6544719773798295</v>
          </cell>
          <cell r="MC1397">
            <v>14.087427794132038</v>
          </cell>
        </row>
        <row r="1398">
          <cell r="A1398">
            <v>41484</v>
          </cell>
          <cell r="LJ1398">
            <v>18.503818955013656</v>
          </cell>
          <cell r="LK1398">
            <v>20.020152274152959</v>
          </cell>
          <cell r="LL1398">
            <v>17.982747259685677</v>
          </cell>
          <cell r="LM1398">
            <v>15.721193701553757</v>
          </cell>
          <cell r="LN1398">
            <v>20.244300817817596</v>
          </cell>
          <cell r="LY1398">
            <v>11.097764486747998</v>
          </cell>
          <cell r="LZ1398">
            <v>14.730476692982464</v>
          </cell>
          <cell r="MA1398">
            <v>11.870949885755934</v>
          </cell>
          <cell r="MB1398">
            <v>9.6544719773798295</v>
          </cell>
          <cell r="MC1398">
            <v>14.087427794132038</v>
          </cell>
        </row>
        <row r="1399">
          <cell r="A1399">
            <v>41485</v>
          </cell>
          <cell r="LJ1399">
            <v>18.498314074776268</v>
          </cell>
          <cell r="LK1399">
            <v>20.020152274152959</v>
          </cell>
          <cell r="LL1399">
            <v>17.982747259685677</v>
          </cell>
          <cell r="LM1399">
            <v>15.721193701553757</v>
          </cell>
          <cell r="LN1399">
            <v>20.244300817817596</v>
          </cell>
          <cell r="LY1399">
            <v>11.094591781571593</v>
          </cell>
          <cell r="LZ1399">
            <v>14.730476692982464</v>
          </cell>
          <cell r="MA1399">
            <v>11.870949885755934</v>
          </cell>
          <cell r="MB1399">
            <v>9.6544719773798295</v>
          </cell>
          <cell r="MC1399">
            <v>14.087427794132038</v>
          </cell>
        </row>
        <row r="1400">
          <cell r="A1400">
            <v>41486</v>
          </cell>
          <cell r="LJ1400">
            <v>18.545130755480454</v>
          </cell>
          <cell r="LK1400">
            <v>20.020152274152959</v>
          </cell>
          <cell r="LL1400">
            <v>17.982747259685677</v>
          </cell>
          <cell r="LM1400">
            <v>15.721193701553757</v>
          </cell>
          <cell r="LN1400">
            <v>20.244300817817596</v>
          </cell>
          <cell r="LY1400">
            <v>11.121574298684946</v>
          </cell>
          <cell r="LZ1400">
            <v>14.730476692982464</v>
          </cell>
          <cell r="MA1400">
            <v>11.870949885755934</v>
          </cell>
          <cell r="MB1400">
            <v>9.6544719773798295</v>
          </cell>
          <cell r="MC1400">
            <v>14.087427794132038</v>
          </cell>
        </row>
        <row r="1401">
          <cell r="A1401">
            <v>41487</v>
          </cell>
          <cell r="LJ1401">
            <v>18.463806226486472</v>
          </cell>
          <cell r="LK1401">
            <v>20.020152274152959</v>
          </cell>
          <cell r="LL1401">
            <v>17.982747259685677</v>
          </cell>
          <cell r="LM1401">
            <v>15.721193701553757</v>
          </cell>
          <cell r="LN1401">
            <v>20.244300817817596</v>
          </cell>
          <cell r="LY1401">
            <v>11.099732098888795</v>
          </cell>
          <cell r="LZ1401">
            <v>14.730476692982464</v>
          </cell>
          <cell r="MA1401">
            <v>11.870949885755934</v>
          </cell>
          <cell r="MB1401">
            <v>9.6544719773798295</v>
          </cell>
          <cell r="MC1401">
            <v>14.087427794132038</v>
          </cell>
        </row>
        <row r="1402">
          <cell r="A1402">
            <v>41488</v>
          </cell>
          <cell r="LJ1402">
            <v>18.351886734941758</v>
          </cell>
          <cell r="LK1402">
            <v>20.020152274152959</v>
          </cell>
          <cell r="LL1402">
            <v>17.982747259685677</v>
          </cell>
          <cell r="LM1402">
            <v>15.721193701553757</v>
          </cell>
          <cell r="LN1402">
            <v>20.244300817817596</v>
          </cell>
          <cell r="LY1402">
            <v>11.035059918829933</v>
          </cell>
          <cell r="LZ1402">
            <v>14.730476692982464</v>
          </cell>
          <cell r="MA1402">
            <v>11.870949885755934</v>
          </cell>
          <cell r="MB1402">
            <v>9.6544719773798295</v>
          </cell>
          <cell r="MC1402">
            <v>14.087427794132038</v>
          </cell>
        </row>
        <row r="1403">
          <cell r="A1403">
            <v>41491</v>
          </cell>
          <cell r="LJ1403">
            <v>18.314360893709225</v>
          </cell>
          <cell r="LK1403">
            <v>20.020152274152959</v>
          </cell>
          <cell r="LL1403">
            <v>17.982747259685677</v>
          </cell>
          <cell r="LM1403">
            <v>15.721193701553757</v>
          </cell>
          <cell r="LN1403">
            <v>20.244300817817596</v>
          </cell>
          <cell r="LY1403">
            <v>11.017709015408322</v>
          </cell>
          <cell r="LZ1403">
            <v>14.730476692982464</v>
          </cell>
          <cell r="MA1403">
            <v>11.870949885755934</v>
          </cell>
          <cell r="MB1403">
            <v>9.6544719773798295</v>
          </cell>
          <cell r="MC1403">
            <v>14.087427794132038</v>
          </cell>
        </row>
        <row r="1404">
          <cell r="A1404">
            <v>41492</v>
          </cell>
          <cell r="LJ1404">
            <v>18.298953370639623</v>
          </cell>
          <cell r="LK1404">
            <v>20.020152274152959</v>
          </cell>
          <cell r="LL1404">
            <v>17.982747259685677</v>
          </cell>
          <cell r="LM1404">
            <v>15.721193701553757</v>
          </cell>
          <cell r="LN1404">
            <v>20.244300817817596</v>
          </cell>
          <cell r="LY1404">
            <v>11.012826522929094</v>
          </cell>
          <cell r="LZ1404">
            <v>14.730476692982464</v>
          </cell>
          <cell r="MA1404">
            <v>11.870949885755934</v>
          </cell>
          <cell r="MB1404">
            <v>9.6544719773798295</v>
          </cell>
          <cell r="MC1404">
            <v>14.087427794132038</v>
          </cell>
        </row>
        <row r="1405">
          <cell r="A1405">
            <v>41493</v>
          </cell>
          <cell r="LJ1405">
            <v>18.419036828073523</v>
          </cell>
          <cell r="LK1405">
            <v>20.020152274152959</v>
          </cell>
          <cell r="LL1405">
            <v>17.982747259685677</v>
          </cell>
          <cell r="LM1405">
            <v>15.721193701553757</v>
          </cell>
          <cell r="LN1405">
            <v>20.244300817817596</v>
          </cell>
          <cell r="LY1405">
            <v>11.082269454168854</v>
          </cell>
          <cell r="LZ1405">
            <v>14.730476692982464</v>
          </cell>
          <cell r="MA1405">
            <v>11.870949885755934</v>
          </cell>
          <cell r="MB1405">
            <v>9.6544719773798295</v>
          </cell>
          <cell r="MC1405">
            <v>14.087427794132038</v>
          </cell>
        </row>
        <row r="1406">
          <cell r="A1406">
            <v>41494</v>
          </cell>
          <cell r="LJ1406">
            <v>18.375369322344575</v>
          </cell>
          <cell r="LK1406">
            <v>20.020152274152959</v>
          </cell>
          <cell r="LL1406">
            <v>17.982747259685677</v>
          </cell>
          <cell r="LM1406">
            <v>15.721193701553757</v>
          </cell>
          <cell r="LN1406">
            <v>20.244300817817596</v>
          </cell>
          <cell r="LY1406">
            <v>11.057017020048889</v>
          </cell>
          <cell r="LZ1406">
            <v>14.730476692982464</v>
          </cell>
          <cell r="MA1406">
            <v>11.870949885755934</v>
          </cell>
          <cell r="MB1406">
            <v>9.6544719773798295</v>
          </cell>
          <cell r="MC1406">
            <v>14.087427794132038</v>
          </cell>
        </row>
        <row r="1407">
          <cell r="A1407">
            <v>41495</v>
          </cell>
          <cell r="LJ1407">
            <v>18.282579284109165</v>
          </cell>
          <cell r="LK1407">
            <v>20.020152274152959</v>
          </cell>
          <cell r="LL1407">
            <v>17.982747259685677</v>
          </cell>
          <cell r="LM1407">
            <v>15.721193701553757</v>
          </cell>
          <cell r="LN1407">
            <v>20.244300817817596</v>
          </cell>
          <cell r="LY1407">
            <v>11.003357570341063</v>
          </cell>
          <cell r="LZ1407">
            <v>14.730476692982464</v>
          </cell>
          <cell r="MA1407">
            <v>11.870949885755934</v>
          </cell>
          <cell r="MB1407">
            <v>9.6544719773798295</v>
          </cell>
          <cell r="MC1407">
            <v>14.087427794132038</v>
          </cell>
        </row>
        <row r="1408">
          <cell r="A1408">
            <v>41498</v>
          </cell>
          <cell r="LJ1408">
            <v>18.154308919867578</v>
          </cell>
          <cell r="LK1408">
            <v>20.020152274152959</v>
          </cell>
          <cell r="LL1408">
            <v>17.982747259685677</v>
          </cell>
          <cell r="LM1408">
            <v>15.721193701553757</v>
          </cell>
          <cell r="LN1408">
            <v>20.244300817817596</v>
          </cell>
          <cell r="LY1408">
            <v>10.929180241719171</v>
          </cell>
          <cell r="LZ1408">
            <v>14.730476692982464</v>
          </cell>
          <cell r="MA1408">
            <v>11.870949885755934</v>
          </cell>
          <cell r="MB1408">
            <v>9.6544719773798295</v>
          </cell>
          <cell r="MC1408">
            <v>14.087427794132038</v>
          </cell>
        </row>
        <row r="1409">
          <cell r="A1409">
            <v>41499</v>
          </cell>
          <cell r="LJ1409">
            <v>18.453517847318494</v>
          </cell>
          <cell r="LK1409">
            <v>20.020152274152959</v>
          </cell>
          <cell r="LL1409">
            <v>17.982747259685677</v>
          </cell>
          <cell r="LM1409">
            <v>15.721193701553757</v>
          </cell>
          <cell r="LN1409">
            <v>20.244300817817596</v>
          </cell>
          <cell r="LY1409">
            <v>11.104364623816869</v>
          </cell>
          <cell r="LZ1409">
            <v>14.730476692982464</v>
          </cell>
          <cell r="MA1409">
            <v>11.870949885755934</v>
          </cell>
          <cell r="MB1409">
            <v>9.6544719773798295</v>
          </cell>
          <cell r="MC1409">
            <v>14.087427794132038</v>
          </cell>
        </row>
        <row r="1410">
          <cell r="A1410">
            <v>41500</v>
          </cell>
          <cell r="LJ1410">
            <v>18.19157472043403</v>
          </cell>
          <cell r="LK1410">
            <v>20.020152274152959</v>
          </cell>
          <cell r="LL1410">
            <v>17.982747259685677</v>
          </cell>
          <cell r="LM1410">
            <v>15.721193701553757</v>
          </cell>
          <cell r="LN1410">
            <v>20.244300817817596</v>
          </cell>
          <cell r="LY1410">
            <v>10.949824134095509</v>
          </cell>
          <cell r="LZ1410">
            <v>14.730476692982464</v>
          </cell>
          <cell r="MA1410">
            <v>11.870949885755934</v>
          </cell>
          <cell r="MB1410">
            <v>9.6544719773798295</v>
          </cell>
          <cell r="MC1410">
            <v>14.087427794132038</v>
          </cell>
        </row>
        <row r="1411">
          <cell r="A1411">
            <v>41501</v>
          </cell>
          <cell r="LJ1411">
            <v>18.141019090214137</v>
          </cell>
          <cell r="LK1411">
            <v>20.020152274152959</v>
          </cell>
          <cell r="LL1411">
            <v>17.982747259685677</v>
          </cell>
          <cell r="LM1411">
            <v>15.721193701553757</v>
          </cell>
          <cell r="LN1411">
            <v>20.244300817817596</v>
          </cell>
          <cell r="LY1411">
            <v>10.924958675116541</v>
          </cell>
          <cell r="LZ1411">
            <v>14.730476692982464</v>
          </cell>
          <cell r="MA1411">
            <v>11.870949885755934</v>
          </cell>
          <cell r="MB1411">
            <v>9.6544719773798295</v>
          </cell>
          <cell r="MC1411">
            <v>14.087427794132038</v>
          </cell>
        </row>
        <row r="1412">
          <cell r="A1412">
            <v>41502</v>
          </cell>
          <cell r="LJ1412">
            <v>18.201025745467472</v>
          </cell>
          <cell r="LK1412">
            <v>20.020152274152959</v>
          </cell>
          <cell r="LL1412">
            <v>17.982747259685677</v>
          </cell>
          <cell r="LM1412">
            <v>15.721193701553757</v>
          </cell>
          <cell r="LN1412">
            <v>20.244300817817596</v>
          </cell>
          <cell r="LY1412">
            <v>10.959671660398632</v>
          </cell>
          <cell r="LZ1412">
            <v>14.730476692982464</v>
          </cell>
          <cell r="MA1412">
            <v>11.870949885755934</v>
          </cell>
          <cell r="MB1412">
            <v>9.6544719773798295</v>
          </cell>
          <cell r="MC1412">
            <v>14.087427794132038</v>
          </cell>
        </row>
        <row r="1413">
          <cell r="A1413">
            <v>41505</v>
          </cell>
          <cell r="LJ1413">
            <v>18.236481334834711</v>
          </cell>
          <cell r="LK1413">
            <v>20.020152274152959</v>
          </cell>
          <cell r="LL1413">
            <v>17.982747259685677</v>
          </cell>
          <cell r="LM1413">
            <v>15.721193701553757</v>
          </cell>
          <cell r="LN1413">
            <v>20.244300817817596</v>
          </cell>
          <cell r="LY1413">
            <v>10.980182207881688</v>
          </cell>
          <cell r="LZ1413">
            <v>14.730476692982464</v>
          </cell>
          <cell r="MA1413">
            <v>11.870949885755934</v>
          </cell>
          <cell r="MB1413">
            <v>9.6544719773798295</v>
          </cell>
          <cell r="MC1413">
            <v>14.087427794132038</v>
          </cell>
        </row>
        <row r="1414">
          <cell r="A1414">
            <v>41506</v>
          </cell>
          <cell r="LJ1414">
            <v>18.089194850726837</v>
          </cell>
          <cell r="LK1414">
            <v>20.020152274152959</v>
          </cell>
          <cell r="LL1414">
            <v>17.982747259685677</v>
          </cell>
          <cell r="LM1414">
            <v>15.721193701553757</v>
          </cell>
          <cell r="LN1414">
            <v>20.244300817817596</v>
          </cell>
          <cell r="LY1414">
            <v>10.89497909943475</v>
          </cell>
          <cell r="LZ1414">
            <v>14.730476692982464</v>
          </cell>
          <cell r="MA1414">
            <v>11.870949885755934</v>
          </cell>
          <cell r="MB1414">
            <v>9.6544719773798295</v>
          </cell>
          <cell r="MC1414">
            <v>14.087427794132038</v>
          </cell>
        </row>
        <row r="1415">
          <cell r="A1415">
            <v>41507</v>
          </cell>
          <cell r="LJ1415">
            <v>18.051008970955987</v>
          </cell>
          <cell r="LK1415">
            <v>20.020152274152959</v>
          </cell>
          <cell r="LL1415">
            <v>17.982747259685677</v>
          </cell>
          <cell r="LM1415">
            <v>15.721193701553757</v>
          </cell>
          <cell r="LN1415">
            <v>20.244300817817596</v>
          </cell>
          <cell r="LY1415">
            <v>10.872889118300606</v>
          </cell>
          <cell r="LZ1415">
            <v>14.730476692982464</v>
          </cell>
          <cell r="MA1415">
            <v>11.870949885755934</v>
          </cell>
          <cell r="MB1415">
            <v>9.6544719773798295</v>
          </cell>
          <cell r="MC1415">
            <v>14.087427794132038</v>
          </cell>
        </row>
        <row r="1416">
          <cell r="A1416">
            <v>41508</v>
          </cell>
          <cell r="LJ1416">
            <v>18.35376871903831</v>
          </cell>
          <cell r="LK1416">
            <v>20.020152274152959</v>
          </cell>
          <cell r="LL1416">
            <v>17.982747259685677</v>
          </cell>
          <cell r="LM1416">
            <v>15.721193701553757</v>
          </cell>
          <cell r="LN1416">
            <v>20.244300817817596</v>
          </cell>
          <cell r="LY1416">
            <v>11.04803126936406</v>
          </cell>
          <cell r="LZ1416">
            <v>14.730476692982464</v>
          </cell>
          <cell r="MA1416">
            <v>11.870949885755934</v>
          </cell>
          <cell r="MB1416">
            <v>9.6544719773798295</v>
          </cell>
          <cell r="MC1416">
            <v>14.087427794132038</v>
          </cell>
        </row>
        <row r="1417">
          <cell r="A1417">
            <v>41509</v>
          </cell>
          <cell r="LJ1417">
            <v>18.367407351511041</v>
          </cell>
          <cell r="LK1417">
            <v>20.020152274152959</v>
          </cell>
          <cell r="LL1417">
            <v>17.982747259685677</v>
          </cell>
          <cell r="LM1417">
            <v>15.721193701553757</v>
          </cell>
          <cell r="LN1417">
            <v>20.244300817817596</v>
          </cell>
          <cell r="LY1417">
            <v>11.055921021697278</v>
          </cell>
          <cell r="LZ1417">
            <v>14.730476692982464</v>
          </cell>
          <cell r="MA1417">
            <v>11.870949885755934</v>
          </cell>
          <cell r="MB1417">
            <v>9.6544719773798295</v>
          </cell>
          <cell r="MC1417">
            <v>14.087427794132038</v>
          </cell>
        </row>
        <row r="1418">
          <cell r="A1418">
            <v>41512</v>
          </cell>
          <cell r="LJ1418">
            <v>18.176478770925634</v>
          </cell>
          <cell r="LK1418">
            <v>20.020152274152959</v>
          </cell>
          <cell r="LL1418">
            <v>17.982747259685677</v>
          </cell>
          <cell r="LM1418">
            <v>15.721193701553757</v>
          </cell>
          <cell r="LN1418">
            <v>20.244300817817596</v>
          </cell>
          <cell r="LY1418">
            <v>10.945471589383285</v>
          </cell>
          <cell r="LZ1418">
            <v>14.730476692982464</v>
          </cell>
          <cell r="MA1418">
            <v>11.870949885755934</v>
          </cell>
          <cell r="MB1418">
            <v>9.6544719773798295</v>
          </cell>
          <cell r="MC1418">
            <v>14.087427794132038</v>
          </cell>
        </row>
        <row r="1419">
          <cell r="A1419">
            <v>41513</v>
          </cell>
          <cell r="LJ1419">
            <v>17.83825934213181</v>
          </cell>
          <cell r="LK1419">
            <v>20.020152274152959</v>
          </cell>
          <cell r="LL1419">
            <v>17.982747259685677</v>
          </cell>
          <cell r="LM1419">
            <v>15.721193701553757</v>
          </cell>
          <cell r="LN1419">
            <v>20.244300817817596</v>
          </cell>
          <cell r="LY1419">
            <v>10.749816524053085</v>
          </cell>
          <cell r="LZ1419">
            <v>14.730476692982464</v>
          </cell>
          <cell r="MA1419">
            <v>11.870949885755934</v>
          </cell>
          <cell r="MB1419">
            <v>9.6544719773798295</v>
          </cell>
          <cell r="MC1419">
            <v>14.087427794132038</v>
          </cell>
        </row>
        <row r="1420">
          <cell r="A1420">
            <v>41514</v>
          </cell>
          <cell r="LJ1420">
            <v>17.808256150883281</v>
          </cell>
          <cell r="LK1420">
            <v>20.020152274152959</v>
          </cell>
          <cell r="LL1420">
            <v>17.982747259685677</v>
          </cell>
          <cell r="LM1420">
            <v>15.721193701553757</v>
          </cell>
          <cell r="LN1420">
            <v>20.244300817817596</v>
          </cell>
          <cell r="LY1420">
            <v>10.732460110304824</v>
          </cell>
          <cell r="LZ1420">
            <v>14.730476692982464</v>
          </cell>
          <cell r="MA1420">
            <v>11.870949885755934</v>
          </cell>
          <cell r="MB1420">
            <v>9.6544719773798295</v>
          </cell>
          <cell r="MC1420">
            <v>14.087427794132038</v>
          </cell>
        </row>
        <row r="1421">
          <cell r="A1421">
            <v>41515</v>
          </cell>
          <cell r="LJ1421">
            <v>17.895535979737815</v>
          </cell>
          <cell r="LK1421">
            <v>20.020152274152959</v>
          </cell>
          <cell r="LL1421">
            <v>17.982747259685677</v>
          </cell>
          <cell r="LM1421">
            <v>15.721193701553757</v>
          </cell>
          <cell r="LN1421">
            <v>20.244300817817596</v>
          </cell>
          <cell r="LY1421">
            <v>10.782950233469668</v>
          </cell>
          <cell r="LZ1421">
            <v>14.730476692982464</v>
          </cell>
          <cell r="MA1421">
            <v>11.870949885755934</v>
          </cell>
          <cell r="MB1421">
            <v>9.6544719773798295</v>
          </cell>
          <cell r="MC1421">
            <v>14.087427794132038</v>
          </cell>
        </row>
        <row r="1422">
          <cell r="A1422">
            <v>41516</v>
          </cell>
          <cell r="LJ1422">
            <v>17.870989005195977</v>
          </cell>
          <cell r="LK1422">
            <v>20.020152274152959</v>
          </cell>
          <cell r="LL1422">
            <v>17.982747259685677</v>
          </cell>
          <cell r="LM1422">
            <v>15.721193701553757</v>
          </cell>
          <cell r="LN1422">
            <v>20.244300817817596</v>
          </cell>
          <cell r="LY1422">
            <v>10.768750162454321</v>
          </cell>
          <cell r="LZ1422">
            <v>14.730476692982464</v>
          </cell>
          <cell r="MA1422">
            <v>11.870949885755934</v>
          </cell>
          <cell r="MB1422">
            <v>9.6544719773798295</v>
          </cell>
          <cell r="MC1422">
            <v>14.087427794132038</v>
          </cell>
        </row>
        <row r="1423">
          <cell r="A1423">
            <v>41519</v>
          </cell>
          <cell r="LJ1423">
            <v>17.712246241351021</v>
          </cell>
          <cell r="LK1423">
            <v>20.020152274152959</v>
          </cell>
          <cell r="LL1423">
            <v>17.982747259685677</v>
          </cell>
          <cell r="LM1423">
            <v>15.721193701553757</v>
          </cell>
          <cell r="LN1423">
            <v>20.244300817817596</v>
          </cell>
          <cell r="LY1423">
            <v>10.702276433483574</v>
          </cell>
          <cell r="LZ1423">
            <v>14.730476692982464</v>
          </cell>
          <cell r="MA1423">
            <v>11.870949885755934</v>
          </cell>
          <cell r="MB1423">
            <v>9.6544719773798295</v>
          </cell>
          <cell r="MC1423">
            <v>14.087427794132038</v>
          </cell>
        </row>
        <row r="1424">
          <cell r="A1424">
            <v>41520</v>
          </cell>
          <cell r="LJ1424">
            <v>17.806864577799946</v>
          </cell>
          <cell r="LK1424">
            <v>20.020152274152959</v>
          </cell>
          <cell r="LL1424">
            <v>17.982747259685677</v>
          </cell>
          <cell r="LM1424">
            <v>15.721193701553757</v>
          </cell>
          <cell r="LN1424">
            <v>20.244300817817596</v>
          </cell>
          <cell r="LY1424">
            <v>10.757161432610046</v>
          </cell>
          <cell r="LZ1424">
            <v>14.730476692982464</v>
          </cell>
          <cell r="MA1424">
            <v>11.870949885755934</v>
          </cell>
          <cell r="MB1424">
            <v>9.6544719773798295</v>
          </cell>
          <cell r="MC1424">
            <v>14.087427794132038</v>
          </cell>
        </row>
        <row r="1425">
          <cell r="A1425">
            <v>41521</v>
          </cell>
          <cell r="LJ1425">
            <v>18.115044463097455</v>
          </cell>
          <cell r="LK1425">
            <v>20.020152274152959</v>
          </cell>
          <cell r="LL1425">
            <v>17.982747259685677</v>
          </cell>
          <cell r="LM1425">
            <v>15.721193701553757</v>
          </cell>
          <cell r="LN1425">
            <v>20.244300817817596</v>
          </cell>
          <cell r="LY1425">
            <v>10.935926494120936</v>
          </cell>
          <cell r="LZ1425">
            <v>14.730476692982464</v>
          </cell>
          <cell r="MA1425">
            <v>11.870949885755934</v>
          </cell>
          <cell r="MB1425">
            <v>9.6544719773798295</v>
          </cell>
          <cell r="MC1425">
            <v>14.087427794132038</v>
          </cell>
        </row>
        <row r="1426">
          <cell r="A1426">
            <v>41522</v>
          </cell>
          <cell r="LJ1426">
            <v>18.171812058765092</v>
          </cell>
          <cell r="LK1426">
            <v>20.020152274152959</v>
          </cell>
          <cell r="LL1426">
            <v>17.982747259685677</v>
          </cell>
          <cell r="LM1426">
            <v>15.721193701553757</v>
          </cell>
          <cell r="LN1426">
            <v>20.244300817817596</v>
          </cell>
          <cell r="LY1426">
            <v>10.968855517770722</v>
          </cell>
          <cell r="LZ1426">
            <v>14.730476692982464</v>
          </cell>
          <cell r="MA1426">
            <v>11.870949885755934</v>
          </cell>
          <cell r="MB1426">
            <v>9.6544719773798295</v>
          </cell>
          <cell r="MC1426">
            <v>14.087427794132038</v>
          </cell>
        </row>
        <row r="1427">
          <cell r="A1427">
            <v>41523</v>
          </cell>
          <cell r="LJ1427">
            <v>18.066382275856384</v>
          </cell>
          <cell r="LK1427">
            <v>20.020152274152959</v>
          </cell>
          <cell r="LL1427">
            <v>17.982747259685677</v>
          </cell>
          <cell r="LM1427">
            <v>15.721193701553757</v>
          </cell>
          <cell r="LN1427">
            <v>20.244300817817596</v>
          </cell>
          <cell r="LY1427">
            <v>10.907699152524625</v>
          </cell>
          <cell r="LZ1427">
            <v>14.730476692982464</v>
          </cell>
          <cell r="MA1427">
            <v>11.870949885755934</v>
          </cell>
          <cell r="MB1427">
            <v>9.6544719773798295</v>
          </cell>
          <cell r="MC1427">
            <v>14.087427794132038</v>
          </cell>
        </row>
        <row r="1428">
          <cell r="A1428">
            <v>41526</v>
          </cell>
          <cell r="LJ1428">
            <v>18.288057613469096</v>
          </cell>
          <cell r="LK1428">
            <v>20.020152274152959</v>
          </cell>
          <cell r="LL1428">
            <v>17.982747259685677</v>
          </cell>
          <cell r="LM1428">
            <v>15.721193701553757</v>
          </cell>
          <cell r="LN1428">
            <v>20.244300817817596</v>
          </cell>
          <cell r="LY1428">
            <v>11.036285758121965</v>
          </cell>
          <cell r="LZ1428">
            <v>14.730476692982464</v>
          </cell>
          <cell r="MA1428">
            <v>11.870949885755934</v>
          </cell>
          <cell r="MB1428">
            <v>9.6544719773798295</v>
          </cell>
          <cell r="MC1428">
            <v>14.087427794132038</v>
          </cell>
        </row>
        <row r="1429">
          <cell r="A1429">
            <v>41527</v>
          </cell>
          <cell r="LJ1429">
            <v>18.507027183382061</v>
          </cell>
          <cell r="LK1429">
            <v>20.020152274152959</v>
          </cell>
          <cell r="LL1429">
            <v>17.982747259685677</v>
          </cell>
          <cell r="LM1429">
            <v>15.721193701553757</v>
          </cell>
          <cell r="LN1429">
            <v>20.244300817817596</v>
          </cell>
          <cell r="LY1429">
            <v>11.168023637267751</v>
          </cell>
          <cell r="LZ1429">
            <v>14.730476692982464</v>
          </cell>
          <cell r="MA1429">
            <v>11.870949885755934</v>
          </cell>
          <cell r="MB1429">
            <v>9.6544719773798295</v>
          </cell>
          <cell r="MC1429">
            <v>14.087427794132038</v>
          </cell>
        </row>
        <row r="1430">
          <cell r="A1430">
            <v>41528</v>
          </cell>
          <cell r="LJ1430">
            <v>18.736812254756853</v>
          </cell>
          <cell r="LK1430">
            <v>20.020152274152959</v>
          </cell>
          <cell r="LL1430">
            <v>17.982747259685677</v>
          </cell>
          <cell r="LM1430">
            <v>15.721193701553757</v>
          </cell>
          <cell r="LN1430">
            <v>20.244300817817596</v>
          </cell>
          <cell r="LY1430">
            <v>11.30137080067197</v>
          </cell>
          <cell r="LZ1430">
            <v>14.730476692982464</v>
          </cell>
          <cell r="MA1430">
            <v>11.870949885755934</v>
          </cell>
          <cell r="MB1430">
            <v>9.6544719773798295</v>
          </cell>
          <cell r="MC1430">
            <v>14.087427794132038</v>
          </cell>
        </row>
        <row r="1431">
          <cell r="A1431">
            <v>41529</v>
          </cell>
          <cell r="LJ1431">
            <v>18.774658670202626</v>
          </cell>
          <cell r="LK1431">
            <v>20.020152274152959</v>
          </cell>
          <cell r="LL1431">
            <v>17.982747259685677</v>
          </cell>
          <cell r="LM1431">
            <v>15.721193701553757</v>
          </cell>
          <cell r="LN1431">
            <v>20.244300817817596</v>
          </cell>
          <cell r="LY1431">
            <v>11.32237593686199</v>
          </cell>
          <cell r="LZ1431">
            <v>14.730476692982464</v>
          </cell>
          <cell r="MA1431">
            <v>11.870949885755934</v>
          </cell>
          <cell r="MB1431">
            <v>9.6544719773798295</v>
          </cell>
          <cell r="MC1431">
            <v>14.087427794132038</v>
          </cell>
        </row>
        <row r="1432">
          <cell r="A1432">
            <v>41530</v>
          </cell>
          <cell r="LJ1432">
            <v>18.858461505189727</v>
          </cell>
          <cell r="LK1432">
            <v>20.020152274152959</v>
          </cell>
          <cell r="LL1432">
            <v>17.982747259685677</v>
          </cell>
          <cell r="LM1432">
            <v>15.721193701553757</v>
          </cell>
          <cell r="LN1432">
            <v>20.244300817817596</v>
          </cell>
          <cell r="LY1432">
            <v>11.371003661915376</v>
          </cell>
          <cell r="LZ1432">
            <v>14.730476692982464</v>
          </cell>
          <cell r="MA1432">
            <v>11.870949885755934</v>
          </cell>
          <cell r="MB1432">
            <v>9.6544719773798295</v>
          </cell>
          <cell r="MC1432">
            <v>14.087427794132038</v>
          </cell>
        </row>
        <row r="1433">
          <cell r="A1433">
            <v>41533</v>
          </cell>
          <cell r="LJ1433">
            <v>18.953075786636607</v>
          </cell>
          <cell r="LK1433">
            <v>20.020152274152959</v>
          </cell>
          <cell r="LL1433">
            <v>17.982747259685677</v>
          </cell>
          <cell r="LM1433">
            <v>15.721193701553757</v>
          </cell>
          <cell r="LN1433">
            <v>20.244300817817596</v>
          </cell>
          <cell r="LY1433">
            <v>11.425904874565648</v>
          </cell>
          <cell r="LZ1433">
            <v>14.730476692982464</v>
          </cell>
          <cell r="MA1433">
            <v>11.870949885755934</v>
          </cell>
          <cell r="MB1433">
            <v>9.6544719773798295</v>
          </cell>
          <cell r="MC1433">
            <v>14.087427794132038</v>
          </cell>
        </row>
        <row r="1434">
          <cell r="A1434">
            <v>41534</v>
          </cell>
          <cell r="LJ1434">
            <v>18.931452623383574</v>
          </cell>
          <cell r="LK1434">
            <v>20.020152274152959</v>
          </cell>
          <cell r="LL1434">
            <v>17.982747259685677</v>
          </cell>
          <cell r="LM1434">
            <v>15.721193701553757</v>
          </cell>
          <cell r="LN1434">
            <v>20.244300817817596</v>
          </cell>
          <cell r="LY1434">
            <v>11.41335774250723</v>
          </cell>
          <cell r="LZ1434">
            <v>14.730476692982464</v>
          </cell>
          <cell r="MA1434">
            <v>11.870949885755934</v>
          </cell>
          <cell r="MB1434">
            <v>9.6544719773798295</v>
          </cell>
          <cell r="MC1434">
            <v>14.087427794132038</v>
          </cell>
        </row>
        <row r="1435">
          <cell r="A1435">
            <v>41535</v>
          </cell>
          <cell r="LJ1435">
            <v>19.055803856847614</v>
          </cell>
          <cell r="LK1435">
            <v>20.020152274152959</v>
          </cell>
          <cell r="LL1435">
            <v>17.982747259685677</v>
          </cell>
          <cell r="LM1435">
            <v>15.721193701553757</v>
          </cell>
          <cell r="LN1435">
            <v>20.244300817817596</v>
          </cell>
          <cell r="LY1435">
            <v>11.485514222557928</v>
          </cell>
          <cell r="LZ1435">
            <v>14.730476692982464</v>
          </cell>
          <cell r="MA1435">
            <v>11.870949885755934</v>
          </cell>
          <cell r="MB1435">
            <v>9.6544719773798295</v>
          </cell>
          <cell r="MC1435">
            <v>14.087427794132038</v>
          </cell>
        </row>
        <row r="1436">
          <cell r="A1436">
            <v>41536</v>
          </cell>
          <cell r="LJ1436">
            <v>18.999035990846508</v>
          </cell>
          <cell r="LK1436">
            <v>20.020152274152959</v>
          </cell>
          <cell r="LL1436">
            <v>17.982747259685677</v>
          </cell>
          <cell r="LM1436">
            <v>15.721193701553757</v>
          </cell>
          <cell r="LN1436">
            <v>20.244300817817596</v>
          </cell>
          <cell r="LY1436">
            <v>11.452573902815832</v>
          </cell>
          <cell r="LZ1436">
            <v>14.730476692982464</v>
          </cell>
          <cell r="MA1436">
            <v>11.870949885755934</v>
          </cell>
          <cell r="MB1436">
            <v>9.6544719773798295</v>
          </cell>
          <cell r="MC1436">
            <v>14.087427794132038</v>
          </cell>
        </row>
        <row r="1437">
          <cell r="A1437">
            <v>41537</v>
          </cell>
          <cell r="LJ1437">
            <v>18.807097605250956</v>
          </cell>
          <cell r="LK1437">
            <v>20.020152274152959</v>
          </cell>
          <cell r="LL1437">
            <v>17.982747259685677</v>
          </cell>
          <cell r="LM1437">
            <v>15.721193701553757</v>
          </cell>
          <cell r="LN1437">
            <v>20.244300817817596</v>
          </cell>
          <cell r="LY1437">
            <v>11.341199066351553</v>
          </cell>
          <cell r="LZ1437">
            <v>14.730476692982464</v>
          </cell>
          <cell r="MA1437">
            <v>11.870949885755934</v>
          </cell>
          <cell r="MB1437">
            <v>9.6544719773798295</v>
          </cell>
          <cell r="MC1437">
            <v>14.087427794132038</v>
          </cell>
        </row>
        <row r="1438">
          <cell r="A1438">
            <v>41540</v>
          </cell>
          <cell r="LJ1438">
            <v>18.801689584186573</v>
          </cell>
          <cell r="LK1438">
            <v>20.020152274152959</v>
          </cell>
          <cell r="LL1438">
            <v>17.982747259685677</v>
          </cell>
          <cell r="LM1438">
            <v>15.721193701553757</v>
          </cell>
          <cell r="LN1438">
            <v>20.244300817817596</v>
          </cell>
          <cell r="LY1438">
            <v>11.33806098920366</v>
          </cell>
          <cell r="LZ1438">
            <v>14.730476692982464</v>
          </cell>
          <cell r="MA1438">
            <v>11.870949885755934</v>
          </cell>
          <cell r="MB1438">
            <v>9.6544719773798295</v>
          </cell>
          <cell r="MC1438">
            <v>14.087427794132038</v>
          </cell>
        </row>
        <row r="1439">
          <cell r="A1439">
            <v>41541</v>
          </cell>
          <cell r="LJ1439">
            <v>18.636786167577014</v>
          </cell>
          <cell r="LK1439">
            <v>20.020152274152959</v>
          </cell>
          <cell r="LL1439">
            <v>17.982747259685677</v>
          </cell>
          <cell r="LM1439">
            <v>15.721193701553757</v>
          </cell>
          <cell r="LN1439">
            <v>20.244300817817596</v>
          </cell>
          <cell r="LY1439">
            <v>11.242373558050673</v>
          </cell>
          <cell r="LZ1439">
            <v>14.730476692982464</v>
          </cell>
          <cell r="MA1439">
            <v>11.870949885755934</v>
          </cell>
          <cell r="MB1439">
            <v>9.6544719773798295</v>
          </cell>
          <cell r="MC1439">
            <v>14.087427794132038</v>
          </cell>
        </row>
        <row r="1440">
          <cell r="A1440">
            <v>41542</v>
          </cell>
          <cell r="LJ1440">
            <v>18.804395622219786</v>
          </cell>
          <cell r="LK1440">
            <v>20.020152274152959</v>
          </cell>
          <cell r="LL1440">
            <v>17.982747259685677</v>
          </cell>
          <cell r="LM1440">
            <v>15.721193701553757</v>
          </cell>
          <cell r="LN1440">
            <v>20.244300817817596</v>
          </cell>
          <cell r="LY1440">
            <v>11.339631204262416</v>
          </cell>
          <cell r="LZ1440">
            <v>14.730476692982464</v>
          </cell>
          <cell r="MA1440">
            <v>11.870949885755934</v>
          </cell>
          <cell r="MB1440">
            <v>9.6544719773798295</v>
          </cell>
          <cell r="MC1440">
            <v>14.087427794132038</v>
          </cell>
        </row>
        <row r="1441">
          <cell r="A1441">
            <v>41543</v>
          </cell>
          <cell r="LJ1441">
            <v>18.86690138750301</v>
          </cell>
          <cell r="LK1441">
            <v>20.020152274152959</v>
          </cell>
          <cell r="LL1441">
            <v>17.982747259685677</v>
          </cell>
          <cell r="LM1441">
            <v>15.721193701553757</v>
          </cell>
          <cell r="LN1441">
            <v>20.244300817817596</v>
          </cell>
          <cell r="LY1441">
            <v>11.372571524004513</v>
          </cell>
          <cell r="LZ1441">
            <v>14.730476692982464</v>
          </cell>
          <cell r="MA1441">
            <v>11.870949885755934</v>
          </cell>
          <cell r="MB1441">
            <v>9.6544719773798295</v>
          </cell>
          <cell r="MC1441">
            <v>14.087427794132038</v>
          </cell>
        </row>
        <row r="1442">
          <cell r="A1442">
            <v>41544</v>
          </cell>
          <cell r="LJ1442">
            <v>18.893944581004376</v>
          </cell>
          <cell r="LK1442">
            <v>20.020152274152959</v>
          </cell>
          <cell r="LL1442">
            <v>17.982747259685677</v>
          </cell>
          <cell r="LM1442">
            <v>15.721193701553757</v>
          </cell>
          <cell r="LN1442">
            <v>20.244300817817596</v>
          </cell>
          <cell r="LY1442">
            <v>11.3882589293158</v>
          </cell>
          <cell r="LZ1442">
            <v>14.730476692982464</v>
          </cell>
          <cell r="MA1442">
            <v>11.870949885755934</v>
          </cell>
          <cell r="MB1442">
            <v>9.6544719773798295</v>
          </cell>
          <cell r="MC1442">
            <v>14.087427794132038</v>
          </cell>
        </row>
        <row r="1443">
          <cell r="A1443">
            <v>41547</v>
          </cell>
          <cell r="LJ1443">
            <v>18.745215129218145</v>
          </cell>
          <cell r="LK1443">
            <v>20.020152274152959</v>
          </cell>
          <cell r="LL1443">
            <v>17.982747259685677</v>
          </cell>
          <cell r="LM1443">
            <v>15.721193701553757</v>
          </cell>
          <cell r="LN1443">
            <v>20.244300817817596</v>
          </cell>
          <cell r="LY1443">
            <v>11.301982906042952</v>
          </cell>
          <cell r="LZ1443">
            <v>14.730476692982464</v>
          </cell>
          <cell r="MA1443">
            <v>11.870949885755934</v>
          </cell>
          <cell r="MB1443">
            <v>9.6544719773798295</v>
          </cell>
          <cell r="MC1443">
            <v>14.087427794132038</v>
          </cell>
        </row>
        <row r="1444">
          <cell r="A1444">
            <v>41548</v>
          </cell>
          <cell r="LJ1444">
            <v>18.618454974349014</v>
          </cell>
          <cell r="LK1444">
            <v>20.020152274152959</v>
          </cell>
          <cell r="LL1444">
            <v>17.982747259685677</v>
          </cell>
          <cell r="LM1444">
            <v>15.721193701553757</v>
          </cell>
          <cell r="LN1444">
            <v>20.244300817817596</v>
          </cell>
          <cell r="LY1444">
            <v>11.254997457714005</v>
          </cell>
          <cell r="LZ1444">
            <v>14.730476692982464</v>
          </cell>
          <cell r="MA1444">
            <v>11.870949885755934</v>
          </cell>
          <cell r="MB1444">
            <v>9.6544719773798295</v>
          </cell>
          <cell r="MC1444">
            <v>14.087427794132038</v>
          </cell>
        </row>
        <row r="1445">
          <cell r="A1445">
            <v>41549</v>
          </cell>
          <cell r="LJ1445">
            <v>18.536027235157917</v>
          </cell>
          <cell r="LK1445">
            <v>20.020152274152959</v>
          </cell>
          <cell r="LL1445">
            <v>17.982747259685677</v>
          </cell>
          <cell r="LM1445">
            <v>15.721193701553757</v>
          </cell>
          <cell r="LN1445">
            <v>20.244300817817596</v>
          </cell>
          <cell r="LY1445">
            <v>11.205482725002033</v>
          </cell>
          <cell r="LZ1445">
            <v>14.730476692982464</v>
          </cell>
          <cell r="MA1445">
            <v>11.870949885755934</v>
          </cell>
          <cell r="MB1445">
            <v>9.6544719773798295</v>
          </cell>
          <cell r="MC1445">
            <v>14.087427794132038</v>
          </cell>
        </row>
        <row r="1446">
          <cell r="A1446">
            <v>41550</v>
          </cell>
          <cell r="LJ1446">
            <v>18.230355955413007</v>
          </cell>
          <cell r="LK1446">
            <v>20.020152274152959</v>
          </cell>
          <cell r="LL1446">
            <v>17.982747259685677</v>
          </cell>
          <cell r="LM1446">
            <v>15.721193701553757</v>
          </cell>
          <cell r="LN1446">
            <v>20.244300817817596</v>
          </cell>
          <cell r="LY1446">
            <v>11.027715269030677</v>
          </cell>
          <cell r="LZ1446">
            <v>14.730476692982464</v>
          </cell>
          <cell r="MA1446">
            <v>11.870949885755934</v>
          </cell>
          <cell r="MB1446">
            <v>9.6544719773798295</v>
          </cell>
          <cell r="MC1446">
            <v>14.087427794132038</v>
          </cell>
        </row>
        <row r="1447">
          <cell r="A1447">
            <v>41551</v>
          </cell>
          <cell r="LJ1447">
            <v>18.372466143749598</v>
          </cell>
          <cell r="LK1447">
            <v>20.020152274152959</v>
          </cell>
          <cell r="LL1447">
            <v>17.982747259685677</v>
          </cell>
          <cell r="LM1447">
            <v>15.721193701553757</v>
          </cell>
          <cell r="LN1447">
            <v>20.244300817817596</v>
          </cell>
          <cell r="LY1447">
            <v>11.110361458981162</v>
          </cell>
          <cell r="LZ1447">
            <v>14.730476692982464</v>
          </cell>
          <cell r="MA1447">
            <v>11.870949885755934</v>
          </cell>
          <cell r="MB1447">
            <v>9.6544719773798295</v>
          </cell>
          <cell r="MC1447">
            <v>14.087427794132038</v>
          </cell>
        </row>
        <row r="1448">
          <cell r="A1448">
            <v>41554</v>
          </cell>
          <cell r="LJ1448">
            <v>18.183633297547765</v>
          </cell>
          <cell r="LK1448">
            <v>20.020152274152959</v>
          </cell>
          <cell r="LL1448">
            <v>17.982747259685677</v>
          </cell>
          <cell r="LM1448">
            <v>15.721193701553757</v>
          </cell>
          <cell r="LN1448">
            <v>20.244300817817596</v>
          </cell>
          <cell r="LY1448">
            <v>10.999867977607666</v>
          </cell>
          <cell r="LZ1448">
            <v>14.730476692982464</v>
          </cell>
          <cell r="MA1448">
            <v>11.870949885755934</v>
          </cell>
          <cell r="MB1448">
            <v>9.6544719773798295</v>
          </cell>
          <cell r="MC1448">
            <v>14.087427794132038</v>
          </cell>
        </row>
        <row r="1449">
          <cell r="A1449">
            <v>41555</v>
          </cell>
          <cell r="LJ1449">
            <v>18.035526585501206</v>
          </cell>
          <cell r="LK1449">
            <v>20.020152274152959</v>
          </cell>
          <cell r="LL1449">
            <v>17.982747259685677</v>
          </cell>
          <cell r="LM1449">
            <v>15.721193701553757</v>
          </cell>
          <cell r="LN1449">
            <v>20.244300817817596</v>
          </cell>
          <cell r="LY1449">
            <v>10.914163790834003</v>
          </cell>
          <cell r="LZ1449">
            <v>14.730476692982464</v>
          </cell>
          <cell r="MA1449">
            <v>11.870949885755934</v>
          </cell>
          <cell r="MB1449">
            <v>9.6544719773798295</v>
          </cell>
          <cell r="MC1449">
            <v>14.087427794132038</v>
          </cell>
        </row>
        <row r="1450">
          <cell r="A1450">
            <v>41556</v>
          </cell>
          <cell r="LJ1450">
            <v>17.989976094644234</v>
          </cell>
          <cell r="LK1450">
            <v>20.020152274152959</v>
          </cell>
          <cell r="LL1450">
            <v>17.982747259685677</v>
          </cell>
          <cell r="LM1450">
            <v>15.721193701553757</v>
          </cell>
          <cell r="LN1450">
            <v>20.244300817817596</v>
          </cell>
          <cell r="LY1450">
            <v>10.887673139504976</v>
          </cell>
          <cell r="LZ1450">
            <v>14.730476692982464</v>
          </cell>
          <cell r="MA1450">
            <v>11.870949885755934</v>
          </cell>
          <cell r="MB1450">
            <v>9.6544719773798295</v>
          </cell>
          <cell r="MC1450">
            <v>14.087427794132038</v>
          </cell>
        </row>
        <row r="1451">
          <cell r="A1451">
            <v>41557</v>
          </cell>
          <cell r="LJ1451">
            <v>18.482997900635311</v>
          </cell>
          <cell r="LK1451">
            <v>20.020152274152959</v>
          </cell>
          <cell r="LL1451">
            <v>17.982747259685677</v>
          </cell>
          <cell r="LM1451">
            <v>15.721193701553757</v>
          </cell>
          <cell r="LN1451">
            <v>20.244300817817596</v>
          </cell>
          <cell r="LY1451">
            <v>11.175466459133254</v>
          </cell>
          <cell r="LZ1451">
            <v>14.730476692982464</v>
          </cell>
          <cell r="MA1451">
            <v>11.870949885755934</v>
          </cell>
          <cell r="MB1451">
            <v>9.6544719773798295</v>
          </cell>
          <cell r="MC1451">
            <v>14.087427794132038</v>
          </cell>
        </row>
        <row r="1452">
          <cell r="A1452">
            <v>41558</v>
          </cell>
          <cell r="LJ1452">
            <v>18.606251476502567</v>
          </cell>
          <cell r="LK1452">
            <v>20.020152274152959</v>
          </cell>
          <cell r="LL1452">
            <v>17.982747259685677</v>
          </cell>
          <cell r="LM1452">
            <v>15.721193701553757</v>
          </cell>
          <cell r="LN1452">
            <v>20.244300817817596</v>
          </cell>
          <cell r="LY1452">
            <v>11.27252708244327</v>
          </cell>
          <cell r="LZ1452">
            <v>14.730476692982464</v>
          </cell>
          <cell r="MA1452">
            <v>11.870949885755934</v>
          </cell>
          <cell r="MB1452">
            <v>9.6544719773798295</v>
          </cell>
          <cell r="MC1452">
            <v>14.087427794132038</v>
          </cell>
        </row>
        <row r="1453">
          <cell r="A1453">
            <v>41561</v>
          </cell>
          <cell r="LJ1453">
            <v>18.635725670282891</v>
          </cell>
          <cell r="LK1453">
            <v>20.020152274152959</v>
          </cell>
          <cell r="LL1453">
            <v>17.982747259685677</v>
          </cell>
          <cell r="LM1453">
            <v>15.721193701553757</v>
          </cell>
          <cell r="LN1453">
            <v>20.244300817817596</v>
          </cell>
          <cell r="LY1453">
            <v>11.288580400769773</v>
          </cell>
          <cell r="LZ1453">
            <v>14.730476692982464</v>
          </cell>
          <cell r="MA1453">
            <v>11.870949885755934</v>
          </cell>
          <cell r="MB1453">
            <v>9.6544719773798295</v>
          </cell>
          <cell r="MC1453">
            <v>14.087427794132038</v>
          </cell>
        </row>
        <row r="1454">
          <cell r="A1454">
            <v>41562</v>
          </cell>
          <cell r="LJ1454">
            <v>18.493714181599408</v>
          </cell>
          <cell r="LK1454">
            <v>20.020152274152959</v>
          </cell>
          <cell r="LL1454">
            <v>17.982747259685677</v>
          </cell>
          <cell r="LM1454">
            <v>15.721193701553757</v>
          </cell>
          <cell r="LN1454">
            <v>20.244300817817596</v>
          </cell>
          <cell r="LY1454">
            <v>11.205797966090328</v>
          </cell>
          <cell r="LZ1454">
            <v>14.730476692982464</v>
          </cell>
          <cell r="MA1454">
            <v>11.870949885755934</v>
          </cell>
          <cell r="MB1454">
            <v>9.6544719773798295</v>
          </cell>
          <cell r="MC1454">
            <v>14.087427794132038</v>
          </cell>
        </row>
        <row r="1455">
          <cell r="A1455">
            <v>41563</v>
          </cell>
          <cell r="LJ1455">
            <v>18.52854839149229</v>
          </cell>
          <cell r="LK1455">
            <v>20.020152274152959</v>
          </cell>
          <cell r="LL1455">
            <v>17.982747259685677</v>
          </cell>
          <cell r="LM1455">
            <v>15.721193701553757</v>
          </cell>
          <cell r="LN1455">
            <v>20.244300817817596</v>
          </cell>
          <cell r="LY1455">
            <v>11.226103792976593</v>
          </cell>
          <cell r="LZ1455">
            <v>14.730476692982464</v>
          </cell>
          <cell r="MA1455">
            <v>11.870949885755934</v>
          </cell>
          <cell r="MB1455">
            <v>9.6544719773798295</v>
          </cell>
          <cell r="MC1455">
            <v>14.087427794132038</v>
          </cell>
        </row>
        <row r="1456">
          <cell r="A1456">
            <v>41564</v>
          </cell>
          <cell r="LJ1456">
            <v>19.413461091864754</v>
          </cell>
          <cell r="LK1456">
            <v>20.020152274152959</v>
          </cell>
          <cell r="LL1456">
            <v>17.982747259685677</v>
          </cell>
          <cell r="LM1456">
            <v>15.721193701553757</v>
          </cell>
          <cell r="LN1456">
            <v>20.244300817817596</v>
          </cell>
          <cell r="LY1456">
            <v>11.690854802120091</v>
          </cell>
          <cell r="LZ1456">
            <v>14.730476692982464</v>
          </cell>
          <cell r="MA1456">
            <v>11.870949885755934</v>
          </cell>
          <cell r="MB1456">
            <v>9.6544719773798295</v>
          </cell>
          <cell r="MC1456">
            <v>14.087427794132038</v>
          </cell>
        </row>
        <row r="1457">
          <cell r="A1457">
            <v>41565</v>
          </cell>
          <cell r="LJ1457">
            <v>19.313891874397157</v>
          </cell>
          <cell r="LK1457">
            <v>20.020152274152959</v>
          </cell>
          <cell r="LL1457">
            <v>17.982747259685677</v>
          </cell>
          <cell r="LM1457">
            <v>15.721193701553757</v>
          </cell>
          <cell r="LN1457">
            <v>20.244300817817596</v>
          </cell>
          <cell r="LY1457">
            <v>11.594454152717152</v>
          </cell>
          <cell r="LZ1457">
            <v>14.730476692982464</v>
          </cell>
          <cell r="MA1457">
            <v>11.870949885755934</v>
          </cell>
          <cell r="MB1457">
            <v>9.6544719773798295</v>
          </cell>
          <cell r="MC1457">
            <v>14.087427794132038</v>
          </cell>
        </row>
        <row r="1458">
          <cell r="A1458">
            <v>41568</v>
          </cell>
          <cell r="LJ1458">
            <v>19.267684948901696</v>
          </cell>
          <cell r="LK1458">
            <v>20.020152274152959</v>
          </cell>
          <cell r="LL1458">
            <v>17.982747259685677</v>
          </cell>
          <cell r="LM1458">
            <v>15.721193701553757</v>
          </cell>
          <cell r="LN1458">
            <v>20.244300817817596</v>
          </cell>
          <cell r="LY1458">
            <v>11.579002282423104</v>
          </cell>
          <cell r="LZ1458">
            <v>14.730476692982464</v>
          </cell>
          <cell r="MA1458">
            <v>11.870949885755934</v>
          </cell>
          <cell r="MB1458">
            <v>9.6544719773798295</v>
          </cell>
          <cell r="MC1458">
            <v>14.087427794132038</v>
          </cell>
        </row>
        <row r="1459">
          <cell r="A1459">
            <v>41569</v>
          </cell>
          <cell r="LJ1459">
            <v>19.350723241409103</v>
          </cell>
          <cell r="LK1459">
            <v>20.020152274152959</v>
          </cell>
          <cell r="LL1459">
            <v>17.982747259685677</v>
          </cell>
          <cell r="LM1459">
            <v>15.721193701553757</v>
          </cell>
          <cell r="LN1459">
            <v>20.244300817817596</v>
          </cell>
          <cell r="LY1459">
            <v>11.627387253872465</v>
          </cell>
          <cell r="LZ1459">
            <v>14.730476692982464</v>
          </cell>
          <cell r="MA1459">
            <v>11.870949885755934</v>
          </cell>
          <cell r="MB1459">
            <v>9.6544719773798295</v>
          </cell>
          <cell r="MC1459">
            <v>14.087427794132038</v>
          </cell>
        </row>
        <row r="1460">
          <cell r="A1460">
            <v>41570</v>
          </cell>
          <cell r="LJ1460">
            <v>19.259649201132586</v>
          </cell>
          <cell r="LK1460">
            <v>20.020152274152959</v>
          </cell>
          <cell r="LL1460">
            <v>17.982747259685677</v>
          </cell>
          <cell r="LM1460">
            <v>15.721193701553757</v>
          </cell>
          <cell r="LN1460">
            <v>20.244300817817596</v>
          </cell>
          <cell r="LY1460">
            <v>11.574319991703458</v>
          </cell>
          <cell r="LZ1460">
            <v>14.730476692982464</v>
          </cell>
          <cell r="MA1460">
            <v>11.870949885755934</v>
          </cell>
          <cell r="MB1460">
            <v>9.6544719773798295</v>
          </cell>
          <cell r="MC1460">
            <v>14.087427794132038</v>
          </cell>
        </row>
        <row r="1461">
          <cell r="A1461">
            <v>41571</v>
          </cell>
          <cell r="LJ1461">
            <v>19.299827672110961</v>
          </cell>
          <cell r="LK1461">
            <v>20.020152274152959</v>
          </cell>
          <cell r="LL1461">
            <v>17.982747259685677</v>
          </cell>
          <cell r="LM1461">
            <v>15.721193701553757</v>
          </cell>
          <cell r="LN1461">
            <v>20.244300817817596</v>
          </cell>
          <cell r="LY1461">
            <v>11.597731289220135</v>
          </cell>
          <cell r="LZ1461">
            <v>14.730476692982464</v>
          </cell>
          <cell r="MA1461">
            <v>11.870949885755934</v>
          </cell>
          <cell r="MB1461">
            <v>9.6544719773798295</v>
          </cell>
          <cell r="MC1461">
            <v>14.087427794132038</v>
          </cell>
        </row>
        <row r="1462">
          <cell r="A1462">
            <v>41572</v>
          </cell>
          <cell r="LJ1462">
            <v>19.315899167649192</v>
          </cell>
          <cell r="LK1462">
            <v>20.020152274152959</v>
          </cell>
          <cell r="LL1462">
            <v>17.982747259685677</v>
          </cell>
          <cell r="LM1462">
            <v>15.721193701553757</v>
          </cell>
          <cell r="LN1462">
            <v>20.244300817817596</v>
          </cell>
          <cell r="LY1462">
            <v>11.607095870659432</v>
          </cell>
          <cell r="LZ1462">
            <v>14.730476692982464</v>
          </cell>
          <cell r="MA1462">
            <v>11.870949885755934</v>
          </cell>
          <cell r="MB1462">
            <v>9.6544719773798295</v>
          </cell>
          <cell r="MC1462">
            <v>14.087427794132038</v>
          </cell>
        </row>
        <row r="1463">
          <cell r="A1463">
            <v>41575</v>
          </cell>
          <cell r="LJ1463">
            <v>19.328939528751711</v>
          </cell>
          <cell r="LK1463">
            <v>20.020152274152959</v>
          </cell>
          <cell r="LL1463">
            <v>17.982747259685677</v>
          </cell>
          <cell r="LM1463">
            <v>15.721193701553757</v>
          </cell>
          <cell r="LN1463">
            <v>20.244300817817596</v>
          </cell>
          <cell r="LY1463">
            <v>11.614900416906121</v>
          </cell>
          <cell r="LZ1463">
            <v>14.730476692982464</v>
          </cell>
          <cell r="MA1463">
            <v>11.870949885755934</v>
          </cell>
          <cell r="MB1463">
            <v>9.6544719773798295</v>
          </cell>
          <cell r="MC1463">
            <v>14.087427794132038</v>
          </cell>
        </row>
        <row r="1464">
          <cell r="A1464">
            <v>41576</v>
          </cell>
          <cell r="LJ1464">
            <v>19.430728536308564</v>
          </cell>
          <cell r="LK1464">
            <v>20.020152274152959</v>
          </cell>
          <cell r="LL1464">
            <v>17.982747259685677</v>
          </cell>
          <cell r="LM1464">
            <v>15.721193701553757</v>
          </cell>
          <cell r="LN1464">
            <v>20.244300817817596</v>
          </cell>
          <cell r="LY1464">
            <v>11.674212190129218</v>
          </cell>
          <cell r="LZ1464">
            <v>14.730476692982464</v>
          </cell>
          <cell r="MA1464">
            <v>11.870949885755934</v>
          </cell>
          <cell r="MB1464">
            <v>9.6544719773798295</v>
          </cell>
          <cell r="MC1464">
            <v>14.087427794132038</v>
          </cell>
        </row>
        <row r="1465">
          <cell r="A1465">
            <v>41577</v>
          </cell>
          <cell r="LJ1465">
            <v>19.282997733722986</v>
          </cell>
          <cell r="LK1465">
            <v>20.020152274152959</v>
          </cell>
          <cell r="LL1465">
            <v>17.982747259685677</v>
          </cell>
          <cell r="LM1465">
            <v>15.721193701553757</v>
          </cell>
          <cell r="LN1465">
            <v>20.244300817817596</v>
          </cell>
          <cell r="LY1465">
            <v>11.594631305896135</v>
          </cell>
          <cell r="LZ1465">
            <v>14.730476692982464</v>
          </cell>
          <cell r="MA1465">
            <v>11.870949885755934</v>
          </cell>
          <cell r="MB1465">
            <v>9.6544719773798295</v>
          </cell>
          <cell r="MC1465">
            <v>14.087427794132038</v>
          </cell>
        </row>
        <row r="1466">
          <cell r="A1466">
            <v>41578</v>
          </cell>
          <cell r="LJ1466">
            <v>19.296382073200849</v>
          </cell>
          <cell r="LK1466">
            <v>20.020152274152959</v>
          </cell>
          <cell r="LL1466">
            <v>17.982747259685677</v>
          </cell>
          <cell r="LM1466">
            <v>15.721193701553757</v>
          </cell>
          <cell r="LN1466">
            <v>20.244300817817596</v>
          </cell>
          <cell r="LY1466">
            <v>11.60243481560981</v>
          </cell>
          <cell r="LZ1466">
            <v>14.730476692982464</v>
          </cell>
          <cell r="MA1466">
            <v>11.870949885755934</v>
          </cell>
          <cell r="MB1466">
            <v>9.6544719773798295</v>
          </cell>
          <cell r="MC1466">
            <v>14.087427794132038</v>
          </cell>
        </row>
        <row r="1467">
          <cell r="A1467">
            <v>41579</v>
          </cell>
          <cell r="LJ1467">
            <v>19.272065275077058</v>
          </cell>
          <cell r="LK1467">
            <v>20.020152274152959</v>
          </cell>
          <cell r="LL1467">
            <v>17.982747259685677</v>
          </cell>
          <cell r="LM1467">
            <v>15.721193701553757</v>
          </cell>
          <cell r="LN1467">
            <v>20.244300817817596</v>
          </cell>
          <cell r="LY1467">
            <v>11.614041149062956</v>
          </cell>
          <cell r="LZ1467">
            <v>14.730476692982464</v>
          </cell>
          <cell r="MA1467">
            <v>11.870949885755934</v>
          </cell>
          <cell r="MB1467">
            <v>9.6544719773798295</v>
          </cell>
          <cell r="MC1467">
            <v>14.087427794132038</v>
          </cell>
        </row>
        <row r="1468">
          <cell r="A1468">
            <v>41582</v>
          </cell>
          <cell r="LJ1468">
            <v>19.30390942862385</v>
          </cell>
          <cell r="LK1468">
            <v>20.020152274152959</v>
          </cell>
          <cell r="LL1468">
            <v>17.982747259685677</v>
          </cell>
          <cell r="LM1468">
            <v>15.721193701553757</v>
          </cell>
          <cell r="LN1468">
            <v>20.244300817817596</v>
          </cell>
          <cell r="LY1468">
            <v>11.632653557329441</v>
          </cell>
          <cell r="LZ1468">
            <v>14.730476692982464</v>
          </cell>
          <cell r="MA1468">
            <v>11.870949885755934</v>
          </cell>
          <cell r="MB1468">
            <v>9.6544719773798295</v>
          </cell>
          <cell r="MC1468">
            <v>14.087427794132038</v>
          </cell>
        </row>
        <row r="1469">
          <cell r="A1469">
            <v>41583</v>
          </cell>
          <cell r="LJ1469">
            <v>19.261623665521647</v>
          </cell>
          <cell r="LK1469">
            <v>20.020152274152959</v>
          </cell>
          <cell r="LL1469">
            <v>17.982747259685677</v>
          </cell>
          <cell r="LM1469">
            <v>15.721193701553757</v>
          </cell>
          <cell r="LN1469">
            <v>20.244300817817596</v>
          </cell>
          <cell r="LY1469">
            <v>11.607838615575734</v>
          </cell>
          <cell r="LZ1469">
            <v>14.730476692982464</v>
          </cell>
          <cell r="MA1469">
            <v>11.870949885755934</v>
          </cell>
          <cell r="MB1469">
            <v>9.6544719773798295</v>
          </cell>
          <cell r="MC1469">
            <v>14.087427794132038</v>
          </cell>
        </row>
        <row r="1470">
          <cell r="A1470">
            <v>41584</v>
          </cell>
          <cell r="LJ1470">
            <v>19.365109190778384</v>
          </cell>
          <cell r="LK1470">
            <v>20.020152274152959</v>
          </cell>
          <cell r="LL1470">
            <v>17.982747259685677</v>
          </cell>
          <cell r="LM1470">
            <v>15.721193701553757</v>
          </cell>
          <cell r="LN1470">
            <v>20.244300817817596</v>
          </cell>
          <cell r="LY1470">
            <v>11.668323746910797</v>
          </cell>
          <cell r="LZ1470">
            <v>14.730476692982464</v>
          </cell>
          <cell r="MA1470">
            <v>11.870949885755934</v>
          </cell>
          <cell r="MB1470">
            <v>9.6544719773798295</v>
          </cell>
          <cell r="MC1470">
            <v>14.087427794132038</v>
          </cell>
        </row>
        <row r="1471">
          <cell r="A1471">
            <v>41585</v>
          </cell>
          <cell r="LJ1471">
            <v>19.054652349659996</v>
          </cell>
          <cell r="LK1471">
            <v>20.020152274152959</v>
          </cell>
          <cell r="LL1471">
            <v>17.982747259685677</v>
          </cell>
          <cell r="LM1471">
            <v>15.721193701553757</v>
          </cell>
          <cell r="LN1471">
            <v>20.244300817817596</v>
          </cell>
          <cell r="LY1471">
            <v>11.486868197815125</v>
          </cell>
          <cell r="LZ1471">
            <v>14.730476692982464</v>
          </cell>
          <cell r="MA1471">
            <v>11.870949885755934</v>
          </cell>
          <cell r="MB1471">
            <v>9.6544719773798295</v>
          </cell>
          <cell r="MC1471">
            <v>14.087427794132038</v>
          </cell>
        </row>
        <row r="1472">
          <cell r="A1472">
            <v>41586</v>
          </cell>
          <cell r="LJ1472">
            <v>19.794971917319433</v>
          </cell>
          <cell r="LK1472">
            <v>20.020152274152959</v>
          </cell>
          <cell r="LL1472">
            <v>17.982747259685677</v>
          </cell>
          <cell r="LM1472">
            <v>15.721193701553757</v>
          </cell>
          <cell r="LN1472">
            <v>20.244300817817596</v>
          </cell>
          <cell r="LY1472">
            <v>11.919569545841426</v>
          </cell>
          <cell r="LZ1472">
            <v>14.730476692982464</v>
          </cell>
          <cell r="MA1472">
            <v>11.870949885755934</v>
          </cell>
          <cell r="MB1472">
            <v>9.6544719773798295</v>
          </cell>
          <cell r="MC1472">
            <v>14.087427794132038</v>
          </cell>
        </row>
        <row r="1473">
          <cell r="A1473">
            <v>41589</v>
          </cell>
          <cell r="LJ1473">
            <v>19.731287027129351</v>
          </cell>
          <cell r="LK1473">
            <v>20.020152274152959</v>
          </cell>
          <cell r="LL1473">
            <v>17.982747259685677</v>
          </cell>
          <cell r="LM1473">
            <v>15.721193701553757</v>
          </cell>
          <cell r="LN1473">
            <v>20.244300817817596</v>
          </cell>
          <cell r="LY1473">
            <v>11.882347055665626</v>
          </cell>
          <cell r="LZ1473">
            <v>14.730476692982464</v>
          </cell>
          <cell r="MA1473">
            <v>11.870949885755934</v>
          </cell>
          <cell r="MB1473">
            <v>9.6544719773798295</v>
          </cell>
          <cell r="MC1473">
            <v>14.087427794132038</v>
          </cell>
        </row>
        <row r="1474">
          <cell r="A1474">
            <v>41590</v>
          </cell>
          <cell r="LJ1474">
            <v>19.609228986637206</v>
          </cell>
          <cell r="LK1474">
            <v>20.020152274152959</v>
          </cell>
          <cell r="LL1474">
            <v>17.982747259685677</v>
          </cell>
          <cell r="LM1474">
            <v>15.721193701553757</v>
          </cell>
          <cell r="LN1474">
            <v>20.244300817817596</v>
          </cell>
          <cell r="LY1474">
            <v>11.811006676502915</v>
          </cell>
          <cell r="LZ1474">
            <v>14.730476692982464</v>
          </cell>
          <cell r="MA1474">
            <v>11.870949885755934</v>
          </cell>
          <cell r="MB1474">
            <v>9.6544719773798295</v>
          </cell>
          <cell r="MC1474">
            <v>14.087427794132038</v>
          </cell>
        </row>
        <row r="1475">
          <cell r="A1475">
            <v>41591</v>
          </cell>
          <cell r="LJ1475">
            <v>19.572080506640035</v>
          </cell>
          <cell r="LK1475">
            <v>20.020152274152959</v>
          </cell>
          <cell r="LL1475">
            <v>17.982747259685677</v>
          </cell>
          <cell r="LM1475">
            <v>15.721193701553757</v>
          </cell>
          <cell r="LN1475">
            <v>20.244300817817596</v>
          </cell>
          <cell r="LY1475">
            <v>11.789294164671402</v>
          </cell>
          <cell r="LZ1475">
            <v>14.730476692982464</v>
          </cell>
          <cell r="MA1475">
            <v>11.870949885755934</v>
          </cell>
          <cell r="MB1475">
            <v>9.6544719773798295</v>
          </cell>
          <cell r="MC1475">
            <v>14.087427794132038</v>
          </cell>
        </row>
        <row r="1476">
          <cell r="A1476">
            <v>41592</v>
          </cell>
          <cell r="LJ1476">
            <v>19.752515412308771</v>
          </cell>
          <cell r="LK1476">
            <v>20.020152274152959</v>
          </cell>
          <cell r="LL1476">
            <v>17.982747259685677</v>
          </cell>
          <cell r="LM1476">
            <v>15.721193701553757</v>
          </cell>
          <cell r="LN1476">
            <v>20.244300817817596</v>
          </cell>
          <cell r="LY1476">
            <v>11.894443711793684</v>
          </cell>
          <cell r="LZ1476">
            <v>14.730476692982464</v>
          </cell>
          <cell r="MA1476">
            <v>11.870949885755934</v>
          </cell>
          <cell r="MB1476">
            <v>9.6544719773798295</v>
          </cell>
          <cell r="MC1476">
            <v>14.087427794132038</v>
          </cell>
        </row>
        <row r="1477">
          <cell r="A1477">
            <v>41593</v>
          </cell>
          <cell r="LJ1477">
            <v>19.765783617405226</v>
          </cell>
          <cell r="LK1477">
            <v>20.020152274152959</v>
          </cell>
          <cell r="LL1477">
            <v>17.982747259685677</v>
          </cell>
          <cell r="LM1477">
            <v>15.721193701553757</v>
          </cell>
          <cell r="LN1477">
            <v>20.244300817817596</v>
          </cell>
          <cell r="LY1477">
            <v>11.902198498274268</v>
          </cell>
          <cell r="LZ1477">
            <v>14.730476692982464</v>
          </cell>
          <cell r="MA1477">
            <v>11.870949885755934</v>
          </cell>
          <cell r="MB1477">
            <v>9.6544719773798295</v>
          </cell>
          <cell r="MC1477">
            <v>14.087427794132038</v>
          </cell>
        </row>
        <row r="1478">
          <cell r="A1478">
            <v>41596</v>
          </cell>
          <cell r="LJ1478">
            <v>19.781703712222978</v>
          </cell>
          <cell r="LK1478">
            <v>20.020152274152959</v>
          </cell>
          <cell r="LL1478">
            <v>17.982747259685677</v>
          </cell>
          <cell r="LM1478">
            <v>15.721193701553757</v>
          </cell>
          <cell r="LN1478">
            <v>20.244300817817596</v>
          </cell>
          <cell r="LY1478">
            <v>11.911503218480567</v>
          </cell>
          <cell r="LZ1478">
            <v>14.730476692982464</v>
          </cell>
          <cell r="MA1478">
            <v>11.870949885755934</v>
          </cell>
          <cell r="MB1478">
            <v>9.6544719773798295</v>
          </cell>
          <cell r="MC1478">
            <v>14.087427794132038</v>
          </cell>
        </row>
        <row r="1479">
          <cell r="A1479">
            <v>41597</v>
          </cell>
          <cell r="LJ1479">
            <v>19.67025800688328</v>
          </cell>
          <cell r="LK1479">
            <v>20.020152274152959</v>
          </cell>
          <cell r="LL1479">
            <v>17.982747259685677</v>
          </cell>
          <cell r="LM1479">
            <v>15.721193701553757</v>
          </cell>
          <cell r="LN1479">
            <v>20.244300817817596</v>
          </cell>
          <cell r="LY1479">
            <v>11.846367230394408</v>
          </cell>
          <cell r="LZ1479">
            <v>14.730476692982464</v>
          </cell>
          <cell r="MA1479">
            <v>11.870949885755934</v>
          </cell>
          <cell r="MB1479">
            <v>9.6544719773798295</v>
          </cell>
          <cell r="MC1479">
            <v>14.087427794132038</v>
          </cell>
        </row>
        <row r="1480">
          <cell r="A1480">
            <v>41598</v>
          </cell>
          <cell r="LJ1480">
            <v>19.580040686722995</v>
          </cell>
          <cell r="LK1480">
            <v>20.020152274152959</v>
          </cell>
          <cell r="LL1480">
            <v>17.982747259685677</v>
          </cell>
          <cell r="LM1480">
            <v>15.721193701553757</v>
          </cell>
          <cell r="LN1480">
            <v>20.244300817817596</v>
          </cell>
          <cell r="LY1480">
            <v>11.793638466435192</v>
          </cell>
          <cell r="LZ1480">
            <v>14.730476692982464</v>
          </cell>
          <cell r="MA1480">
            <v>11.870949885755934</v>
          </cell>
          <cell r="MB1480">
            <v>9.6544719773798295</v>
          </cell>
          <cell r="MC1480">
            <v>14.087427794132038</v>
          </cell>
        </row>
        <row r="1481">
          <cell r="A1481">
            <v>41599</v>
          </cell>
          <cell r="LJ1481">
            <v>19.723326847046383</v>
          </cell>
          <cell r="LK1481">
            <v>20.020152274152959</v>
          </cell>
          <cell r="LL1481">
            <v>17.982747259685677</v>
          </cell>
          <cell r="LM1481">
            <v>15.721193701553757</v>
          </cell>
          <cell r="LN1481">
            <v>20.244300817817596</v>
          </cell>
          <cell r="LY1481">
            <v>11.877384050020376</v>
          </cell>
          <cell r="LZ1481">
            <v>14.730476692982464</v>
          </cell>
          <cell r="MA1481">
            <v>11.870949885755934</v>
          </cell>
          <cell r="MB1481">
            <v>9.6544719773798295</v>
          </cell>
          <cell r="MC1481">
            <v>14.087427794132038</v>
          </cell>
        </row>
        <row r="1482">
          <cell r="A1482">
            <v>41600</v>
          </cell>
          <cell r="LJ1482">
            <v>19.808240122415892</v>
          </cell>
          <cell r="LK1482">
            <v>20.020152274152959</v>
          </cell>
          <cell r="LL1482">
            <v>17.982747259685677</v>
          </cell>
          <cell r="LM1482">
            <v>15.721193701553757</v>
          </cell>
          <cell r="LN1482">
            <v>20.244300817817596</v>
          </cell>
          <cell r="LY1482">
            <v>11.927012791441737</v>
          </cell>
          <cell r="LZ1482">
            <v>14.730476692982464</v>
          </cell>
          <cell r="MA1482">
            <v>11.870949885755934</v>
          </cell>
          <cell r="MB1482">
            <v>9.6544719773798295</v>
          </cell>
          <cell r="MC1482">
            <v>14.087427794132038</v>
          </cell>
        </row>
        <row r="1483">
          <cell r="A1483">
            <v>41603</v>
          </cell>
          <cell r="LJ1483">
            <v>19.773743797488194</v>
          </cell>
          <cell r="LK1483">
            <v>20.020152274152959</v>
          </cell>
          <cell r="LL1483">
            <v>17.982747259685677</v>
          </cell>
          <cell r="LM1483">
            <v>15.721193701553757</v>
          </cell>
          <cell r="LN1483">
            <v>20.244300817817596</v>
          </cell>
          <cell r="LY1483">
            <v>11.90685093592063</v>
          </cell>
          <cell r="LZ1483">
            <v>14.730476692982464</v>
          </cell>
          <cell r="MA1483">
            <v>11.870949885755934</v>
          </cell>
          <cell r="MB1483">
            <v>9.6544719773798295</v>
          </cell>
          <cell r="MC1483">
            <v>14.087427794132038</v>
          </cell>
        </row>
        <row r="1484">
          <cell r="A1484">
            <v>41604</v>
          </cell>
          <cell r="LJ1484">
            <v>19.975615806633098</v>
          </cell>
          <cell r="LK1484">
            <v>20.020152274152959</v>
          </cell>
          <cell r="LL1484">
            <v>17.982747259685677</v>
          </cell>
          <cell r="LM1484">
            <v>15.721193701553757</v>
          </cell>
          <cell r="LN1484">
            <v>20.244300817817596</v>
          </cell>
          <cell r="LY1484">
            <v>12.024717323884078</v>
          </cell>
          <cell r="LZ1484">
            <v>14.730476692982464</v>
          </cell>
          <cell r="MA1484">
            <v>11.870949885755934</v>
          </cell>
          <cell r="MB1484">
            <v>9.6544719773798295</v>
          </cell>
          <cell r="MC1484">
            <v>14.087427794132038</v>
          </cell>
        </row>
        <row r="1485">
          <cell r="A1485">
            <v>41605</v>
          </cell>
          <cell r="LJ1485">
            <v>19.972962815723765</v>
          </cell>
          <cell r="LK1485">
            <v>20.020152274152959</v>
          </cell>
          <cell r="LL1485">
            <v>17.982747259685677</v>
          </cell>
          <cell r="LM1485">
            <v>15.721193701553757</v>
          </cell>
          <cell r="LN1485">
            <v>20.244300817817596</v>
          </cell>
          <cell r="LY1485">
            <v>12.023166708692477</v>
          </cell>
          <cell r="LZ1485">
            <v>14.730476692982464</v>
          </cell>
          <cell r="MA1485">
            <v>11.870949885755934</v>
          </cell>
          <cell r="MB1485">
            <v>9.6544719773798295</v>
          </cell>
          <cell r="MC1485">
            <v>14.087427794132038</v>
          </cell>
        </row>
        <row r="1486">
          <cell r="A1486">
            <v>41606</v>
          </cell>
          <cell r="LJ1486">
            <v>19.972962815723765</v>
          </cell>
          <cell r="LK1486">
            <v>20.020152274152959</v>
          </cell>
          <cell r="LL1486">
            <v>17.982747259685677</v>
          </cell>
          <cell r="LM1486">
            <v>15.721193701553757</v>
          </cell>
          <cell r="LN1486">
            <v>20.244300817817596</v>
          </cell>
          <cell r="LY1486">
            <v>12.023166708692477</v>
          </cell>
          <cell r="LZ1486">
            <v>14.730476692982464</v>
          </cell>
          <cell r="MA1486">
            <v>11.870949885755934</v>
          </cell>
          <cell r="MB1486">
            <v>9.6544719773798295</v>
          </cell>
          <cell r="MC1486">
            <v>14.087427794132038</v>
          </cell>
        </row>
        <row r="1487">
          <cell r="A1487">
            <v>41607</v>
          </cell>
          <cell r="LJ1487">
            <v>19.824544273941132</v>
          </cell>
          <cell r="LK1487">
            <v>20.020152274152959</v>
          </cell>
          <cell r="LL1487">
            <v>17.982747259685677</v>
          </cell>
          <cell r="LM1487">
            <v>15.721193701553757</v>
          </cell>
          <cell r="LN1487">
            <v>20.244300817817596</v>
          </cell>
          <cell r="LY1487">
            <v>11.936419315479046</v>
          </cell>
          <cell r="LZ1487">
            <v>14.730476692982464</v>
          </cell>
          <cell r="MA1487">
            <v>11.870949885755934</v>
          </cell>
          <cell r="MB1487">
            <v>9.6544719773798295</v>
          </cell>
          <cell r="MC1487">
            <v>14.087427794132038</v>
          </cell>
        </row>
        <row r="1488">
          <cell r="A1488">
            <v>41610</v>
          </cell>
          <cell r="LJ1488">
            <v>19.593776078616848</v>
          </cell>
          <cell r="LK1488">
            <v>20.020152274152959</v>
          </cell>
          <cell r="LL1488">
            <v>17.982747259685677</v>
          </cell>
          <cell r="LM1488">
            <v>15.721193701553757</v>
          </cell>
          <cell r="LN1488">
            <v>20.244300817817596</v>
          </cell>
          <cell r="LY1488">
            <v>11.826622931596873</v>
          </cell>
          <cell r="LZ1488">
            <v>14.730476692982464</v>
          </cell>
          <cell r="MA1488">
            <v>11.870949885755934</v>
          </cell>
          <cell r="MB1488">
            <v>9.6544719773798295</v>
          </cell>
          <cell r="MC1488">
            <v>14.087427794132038</v>
          </cell>
        </row>
        <row r="1489">
          <cell r="A1489">
            <v>41611</v>
          </cell>
          <cell r="LJ1489">
            <v>19.383569814493669</v>
          </cell>
          <cell r="LK1489">
            <v>20.020152274152959</v>
          </cell>
          <cell r="LL1489">
            <v>17.982747259685677</v>
          </cell>
          <cell r="LM1489">
            <v>15.721193701553757</v>
          </cell>
          <cell r="LN1489">
            <v>20.244300817817596</v>
          </cell>
          <cell r="LY1489">
            <v>11.703469512387548</v>
          </cell>
          <cell r="LZ1489">
            <v>14.730476692982464</v>
          </cell>
          <cell r="MA1489">
            <v>11.870949885755934</v>
          </cell>
          <cell r="MB1489">
            <v>9.6544719773798295</v>
          </cell>
          <cell r="MC1489">
            <v>14.087427794132038</v>
          </cell>
        </row>
        <row r="1490">
          <cell r="A1490">
            <v>41612</v>
          </cell>
          <cell r="LJ1490">
            <v>19.354666298807082</v>
          </cell>
          <cell r="LK1490">
            <v>20.020152274152959</v>
          </cell>
          <cell r="LL1490">
            <v>17.982747259685677</v>
          </cell>
          <cell r="LM1490">
            <v>15.721193701553757</v>
          </cell>
          <cell r="LN1490">
            <v>20.244300817817596</v>
          </cell>
          <cell r="LY1490">
            <v>11.686535826805811</v>
          </cell>
          <cell r="LZ1490">
            <v>14.730476692982464</v>
          </cell>
          <cell r="MA1490">
            <v>11.870949885755934</v>
          </cell>
          <cell r="MB1490">
            <v>9.6544719773798295</v>
          </cell>
          <cell r="MC1490">
            <v>14.087427794132038</v>
          </cell>
        </row>
        <row r="1491">
          <cell r="A1491">
            <v>41613</v>
          </cell>
          <cell r="LJ1491">
            <v>19.34941405223606</v>
          </cell>
          <cell r="LK1491">
            <v>20.020152274152959</v>
          </cell>
          <cell r="LL1491">
            <v>17.982747259685677</v>
          </cell>
          <cell r="LM1491">
            <v>15.721193701553757</v>
          </cell>
          <cell r="LN1491">
            <v>20.244300817817596</v>
          </cell>
          <cell r="LY1491">
            <v>11.683458696224331</v>
          </cell>
          <cell r="LZ1491">
            <v>14.730476692982464</v>
          </cell>
          <cell r="MA1491">
            <v>11.870949885755934</v>
          </cell>
          <cell r="MB1491">
            <v>9.6544719773798295</v>
          </cell>
          <cell r="MC1491">
            <v>14.087427794132038</v>
          </cell>
        </row>
        <row r="1492">
          <cell r="A1492">
            <v>41614</v>
          </cell>
          <cell r="LJ1492">
            <v>19.738293131536075</v>
          </cell>
          <cell r="LK1492">
            <v>20.020152274152959</v>
          </cell>
          <cell r="LL1492">
            <v>17.982747259685677</v>
          </cell>
          <cell r="LM1492">
            <v>15.721193701553757</v>
          </cell>
          <cell r="LN1492">
            <v>20.244300817817596</v>
          </cell>
          <cell r="LY1492">
            <v>11.911291051623158</v>
          </cell>
          <cell r="LZ1492">
            <v>14.730476692982464</v>
          </cell>
          <cell r="MA1492">
            <v>11.870949885755934</v>
          </cell>
          <cell r="MB1492">
            <v>9.6544719773798295</v>
          </cell>
          <cell r="MC1492">
            <v>14.087427794132038</v>
          </cell>
        </row>
        <row r="1493">
          <cell r="A1493">
            <v>41617</v>
          </cell>
          <cell r="LJ1493">
            <v>19.80660833464712</v>
          </cell>
          <cell r="LK1493">
            <v>20.020152274152959</v>
          </cell>
          <cell r="LL1493">
            <v>17.982747259685677</v>
          </cell>
          <cell r="LM1493">
            <v>15.721193701553757</v>
          </cell>
          <cell r="LN1493">
            <v>20.244300817817596</v>
          </cell>
          <cell r="LY1493">
            <v>11.879784320596277</v>
          </cell>
          <cell r="LZ1493">
            <v>14.730476692982464</v>
          </cell>
          <cell r="MA1493">
            <v>11.870949885755934</v>
          </cell>
          <cell r="MB1493">
            <v>9.6544719773798295</v>
          </cell>
          <cell r="MC1493">
            <v>14.087427794132038</v>
          </cell>
        </row>
        <row r="1494">
          <cell r="A1494">
            <v>41618</v>
          </cell>
          <cell r="LJ1494">
            <v>19.746175311366862</v>
          </cell>
          <cell r="LK1494">
            <v>20.020152274152959</v>
          </cell>
          <cell r="LL1494">
            <v>17.982747259685677</v>
          </cell>
          <cell r="LM1494">
            <v>15.721193701553757</v>
          </cell>
          <cell r="LN1494">
            <v>20.244300817817596</v>
          </cell>
          <cell r="LY1494">
            <v>11.84459037080812</v>
          </cell>
          <cell r="LZ1494">
            <v>14.730476692982464</v>
          </cell>
          <cell r="MA1494">
            <v>11.870949885755934</v>
          </cell>
          <cell r="MB1494">
            <v>9.6544719773798295</v>
          </cell>
          <cell r="MC1494">
            <v>14.087427794132038</v>
          </cell>
        </row>
        <row r="1495">
          <cell r="A1495">
            <v>41619</v>
          </cell>
          <cell r="LJ1495">
            <v>19.42561169793473</v>
          </cell>
          <cell r="LK1495">
            <v>20.020152274152959</v>
          </cell>
          <cell r="LL1495">
            <v>17.982747259685677</v>
          </cell>
          <cell r="LM1495">
            <v>15.721193701553757</v>
          </cell>
          <cell r="LN1495">
            <v>20.244300817817596</v>
          </cell>
          <cell r="LY1495">
            <v>11.657906020056368</v>
          </cell>
          <cell r="LZ1495">
            <v>14.730476692982464</v>
          </cell>
          <cell r="MA1495">
            <v>11.870949885755934</v>
          </cell>
          <cell r="MB1495">
            <v>9.6544719773798295</v>
          </cell>
          <cell r="MC1495">
            <v>14.087427794132038</v>
          </cell>
        </row>
        <row r="1496">
          <cell r="A1496">
            <v>41620</v>
          </cell>
          <cell r="LJ1496">
            <v>19.530222526171812</v>
          </cell>
          <cell r="LK1496">
            <v>20.020152274152959</v>
          </cell>
          <cell r="LL1496">
            <v>17.982747259685677</v>
          </cell>
          <cell r="LM1496">
            <v>15.721193701553757</v>
          </cell>
          <cell r="LN1496">
            <v>20.244300817817596</v>
          </cell>
          <cell r="LY1496">
            <v>11.706873438141285</v>
          </cell>
          <cell r="LZ1496">
            <v>14.730476692982464</v>
          </cell>
          <cell r="MA1496">
            <v>11.870949885755934</v>
          </cell>
          <cell r="MB1496">
            <v>9.6544719773798295</v>
          </cell>
          <cell r="MC1496">
            <v>14.087427794132038</v>
          </cell>
        </row>
        <row r="1497">
          <cell r="A1497">
            <v>41621</v>
          </cell>
          <cell r="LJ1497">
            <v>19.551019949913883</v>
          </cell>
          <cell r="LK1497">
            <v>20.020152274152959</v>
          </cell>
          <cell r="LL1497">
            <v>17.982747259685677</v>
          </cell>
          <cell r="LM1497">
            <v>15.721193701553757</v>
          </cell>
          <cell r="LN1497">
            <v>20.244300817817596</v>
          </cell>
          <cell r="LY1497">
            <v>11.672735437889738</v>
          </cell>
          <cell r="LZ1497">
            <v>14.730476692982464</v>
          </cell>
          <cell r="MA1497">
            <v>11.870949885755934</v>
          </cell>
          <cell r="MB1497">
            <v>9.6544719773798295</v>
          </cell>
          <cell r="MC1497">
            <v>14.087427794132038</v>
          </cell>
        </row>
        <row r="1498">
          <cell r="A1498">
            <v>41624</v>
          </cell>
          <cell r="LJ1498">
            <v>19.911269921846081</v>
          </cell>
          <cell r="LK1498">
            <v>20.020152274152959</v>
          </cell>
          <cell r="LL1498">
            <v>17.982747259685677</v>
          </cell>
          <cell r="LM1498">
            <v>15.721193701553757</v>
          </cell>
          <cell r="LN1498">
            <v>20.244300817817596</v>
          </cell>
          <cell r="LY1498">
            <v>11.882113455453233</v>
          </cell>
          <cell r="LZ1498">
            <v>14.730476692982464</v>
          </cell>
          <cell r="MA1498">
            <v>11.870949885755934</v>
          </cell>
          <cell r="MB1498">
            <v>9.6544719773798295</v>
          </cell>
          <cell r="MC1498">
            <v>14.087427794132038</v>
          </cell>
        </row>
        <row r="1499">
          <cell r="A1499">
            <v>41625</v>
          </cell>
          <cell r="LJ1499">
            <v>19.776311543060306</v>
          </cell>
          <cell r="LK1499">
            <v>20.020152274152959</v>
          </cell>
          <cell r="LL1499">
            <v>17.982747259685677</v>
          </cell>
          <cell r="LM1499">
            <v>15.721193701553757</v>
          </cell>
          <cell r="LN1499">
            <v>20.244300817817596</v>
          </cell>
          <cell r="LY1499">
            <v>11.813849299753274</v>
          </cell>
          <cell r="LZ1499">
            <v>14.730476692982464</v>
          </cell>
          <cell r="MA1499">
            <v>11.870949885755934</v>
          </cell>
          <cell r="MB1499">
            <v>9.6544719773798295</v>
          </cell>
          <cell r="MC1499">
            <v>14.087427794132038</v>
          </cell>
        </row>
        <row r="1500">
          <cell r="A1500">
            <v>41626</v>
          </cell>
          <cell r="LJ1500">
            <v>20.353359920344893</v>
          </cell>
          <cell r="LK1500">
            <v>20.020152274152959</v>
          </cell>
          <cell r="LL1500">
            <v>17.982747259685677</v>
          </cell>
          <cell r="LM1500">
            <v>15.721193701553757</v>
          </cell>
          <cell r="LN1500">
            <v>20.244300817817596</v>
          </cell>
          <cell r="LY1500">
            <v>12.145384687742505</v>
          </cell>
          <cell r="LZ1500">
            <v>14.730476692982464</v>
          </cell>
          <cell r="MA1500">
            <v>11.870949885755934</v>
          </cell>
          <cell r="MB1500">
            <v>9.6544719773798295</v>
          </cell>
          <cell r="MC1500">
            <v>14.087427794132038</v>
          </cell>
        </row>
        <row r="1501">
          <cell r="A1501">
            <v>41627</v>
          </cell>
          <cell r="LJ1501">
            <v>20.279213140974718</v>
          </cell>
          <cell r="LK1501">
            <v>20.020152274152959</v>
          </cell>
          <cell r="LL1501">
            <v>17.982747259685677</v>
          </cell>
          <cell r="LM1501">
            <v>15.721193701553757</v>
          </cell>
          <cell r="LN1501">
            <v>20.244300817817596</v>
          </cell>
          <cell r="LY1501">
            <v>12.102400795933617</v>
          </cell>
          <cell r="LZ1501">
            <v>14.730476692982464</v>
          </cell>
          <cell r="MA1501">
            <v>11.870949885755934</v>
          </cell>
          <cell r="MB1501">
            <v>9.6544719773798295</v>
          </cell>
          <cell r="MC1501">
            <v>14.087427794132038</v>
          </cell>
        </row>
        <row r="1502">
          <cell r="A1502">
            <v>41628</v>
          </cell>
          <cell r="LJ1502">
            <v>20.268622559767813</v>
          </cell>
          <cell r="LK1502">
            <v>20.020152274152959</v>
          </cell>
          <cell r="LL1502">
            <v>17.982747259685677</v>
          </cell>
          <cell r="LM1502">
            <v>15.721193701553757</v>
          </cell>
          <cell r="LN1502">
            <v>20.244300817817596</v>
          </cell>
          <cell r="LY1502">
            <v>12.096261292631416</v>
          </cell>
          <cell r="LZ1502">
            <v>14.730476692982464</v>
          </cell>
          <cell r="MA1502">
            <v>11.870949885755934</v>
          </cell>
          <cell r="MB1502">
            <v>9.6544719773798295</v>
          </cell>
          <cell r="MC1502">
            <v>14.087427794132038</v>
          </cell>
        </row>
        <row r="1503">
          <cell r="A1503">
            <v>41631</v>
          </cell>
          <cell r="LJ1503">
            <v>20.321583939750234</v>
          </cell>
          <cell r="LK1503">
            <v>20.020152274152959</v>
          </cell>
          <cell r="LL1503">
            <v>17.982747259685677</v>
          </cell>
          <cell r="LM1503">
            <v>15.721193701553757</v>
          </cell>
          <cell r="LN1503">
            <v>20.244300817817596</v>
          </cell>
          <cell r="LY1503">
            <v>12.126963721604742</v>
          </cell>
          <cell r="LZ1503">
            <v>14.730476692982464</v>
          </cell>
          <cell r="MA1503">
            <v>11.870949885755934</v>
          </cell>
          <cell r="MB1503">
            <v>9.6544719773798295</v>
          </cell>
          <cell r="MC1503">
            <v>14.087427794132038</v>
          </cell>
        </row>
        <row r="1504">
          <cell r="A1504">
            <v>41632</v>
          </cell>
          <cell r="LJ1504">
            <v>20.334825277786603</v>
          </cell>
          <cell r="LK1504">
            <v>20.020152274152959</v>
          </cell>
          <cell r="LL1504">
            <v>17.982747259685677</v>
          </cell>
          <cell r="LM1504">
            <v>15.721193701553757</v>
          </cell>
          <cell r="LN1504">
            <v>20.244300817817596</v>
          </cell>
          <cell r="LY1504">
            <v>12.134639904527251</v>
          </cell>
          <cell r="LZ1504">
            <v>14.730476692982464</v>
          </cell>
          <cell r="MA1504">
            <v>11.870949885755934</v>
          </cell>
          <cell r="MB1504">
            <v>9.6544719773798295</v>
          </cell>
          <cell r="MC1504">
            <v>14.087427794132038</v>
          </cell>
        </row>
        <row r="1505">
          <cell r="A1505">
            <v>41633</v>
          </cell>
          <cell r="LJ1505">
            <v>20.334825277786603</v>
          </cell>
          <cell r="LK1505">
            <v>20.020152274152959</v>
          </cell>
          <cell r="LL1505">
            <v>17.982747259685677</v>
          </cell>
          <cell r="LM1505">
            <v>15.721193701553757</v>
          </cell>
          <cell r="LN1505">
            <v>20.244300817817596</v>
          </cell>
          <cell r="LY1505">
            <v>12.134639904527251</v>
          </cell>
          <cell r="LZ1505">
            <v>14.730476692982464</v>
          </cell>
          <cell r="MA1505">
            <v>11.870949885755934</v>
          </cell>
          <cell r="MB1505">
            <v>9.6544719773798295</v>
          </cell>
          <cell r="MC1505">
            <v>14.087427794132038</v>
          </cell>
        </row>
        <row r="1506">
          <cell r="A1506">
            <v>41634</v>
          </cell>
          <cell r="LJ1506">
            <v>20.369252015210737</v>
          </cell>
          <cell r="LK1506">
            <v>20.020152274152959</v>
          </cell>
          <cell r="LL1506">
            <v>17.982747259685677</v>
          </cell>
          <cell r="LM1506">
            <v>15.721193701553757</v>
          </cell>
          <cell r="LN1506">
            <v>20.244300817817596</v>
          </cell>
          <cell r="LY1506">
            <v>12.154597550285322</v>
          </cell>
          <cell r="LZ1506">
            <v>14.730476692982464</v>
          </cell>
          <cell r="MA1506">
            <v>11.870949885755934</v>
          </cell>
          <cell r="MB1506">
            <v>9.6544719773798295</v>
          </cell>
          <cell r="MC1506">
            <v>14.087427794132038</v>
          </cell>
        </row>
        <row r="1507">
          <cell r="A1507">
            <v>41635</v>
          </cell>
          <cell r="LJ1507">
            <v>20.403674515660917</v>
          </cell>
          <cell r="LK1507">
            <v>20.020152274152959</v>
          </cell>
          <cell r="LL1507">
            <v>17.982747259685677</v>
          </cell>
          <cell r="LM1507">
            <v>15.721193701553757</v>
          </cell>
          <cell r="LN1507">
            <v>20.244300817817596</v>
          </cell>
          <cell r="LY1507">
            <v>12.174552739812231</v>
          </cell>
          <cell r="LZ1507">
            <v>14.730476692982464</v>
          </cell>
          <cell r="MA1507">
            <v>11.870949885755934</v>
          </cell>
          <cell r="MB1507">
            <v>9.6544719773798295</v>
          </cell>
          <cell r="MC1507">
            <v>14.087427794132038</v>
          </cell>
        </row>
        <row r="1508">
          <cell r="A1508">
            <v>41638</v>
          </cell>
          <cell r="LJ1508">
            <v>20.342769339137988</v>
          </cell>
          <cell r="LK1508">
            <v>20.020152274152959</v>
          </cell>
          <cell r="LL1508">
            <v>17.982747259685677</v>
          </cell>
          <cell r="LM1508">
            <v>15.721193701553757</v>
          </cell>
          <cell r="LN1508">
            <v>20.244300817817596</v>
          </cell>
          <cell r="LY1508">
            <v>12.139245184440304</v>
          </cell>
          <cell r="LZ1508">
            <v>14.730476692982464</v>
          </cell>
          <cell r="MA1508">
            <v>11.870949885755934</v>
          </cell>
          <cell r="MB1508">
            <v>9.6544719773798295</v>
          </cell>
          <cell r="MC1508">
            <v>14.087427794132038</v>
          </cell>
        </row>
        <row r="1509">
          <cell r="A1509">
            <v>41639</v>
          </cell>
          <cell r="LJ1509">
            <v>20.454231535551148</v>
          </cell>
          <cell r="LK1509">
            <v>20.020152274152959</v>
          </cell>
          <cell r="LL1509">
            <v>17.982747259685677</v>
          </cell>
          <cell r="LM1509">
            <v>15.721193701553757</v>
          </cell>
          <cell r="LN1509">
            <v>20.244300817817596</v>
          </cell>
          <cell r="LY1509">
            <v>12.219288798204975</v>
          </cell>
          <cell r="LZ1509">
            <v>14.730476692982464</v>
          </cell>
          <cell r="MA1509">
            <v>11.870949885755934</v>
          </cell>
          <cell r="MB1509">
            <v>9.6544719773798295</v>
          </cell>
          <cell r="MC1509">
            <v>14.087427794132038</v>
          </cell>
        </row>
        <row r="1510">
          <cell r="A1510">
            <v>41640</v>
          </cell>
          <cell r="LJ1510">
            <v>20.275291457328105</v>
          </cell>
          <cell r="LK1510">
            <v>20.020152274152959</v>
          </cell>
          <cell r="LL1510">
            <v>17.982747259685677</v>
          </cell>
          <cell r="LM1510">
            <v>15.721193701553757</v>
          </cell>
          <cell r="LN1510">
            <v>20.244300817817596</v>
          </cell>
          <cell r="LY1510">
            <v>12.129112922152823</v>
          </cell>
          <cell r="LZ1510">
            <v>14.730476692982464</v>
          </cell>
          <cell r="MA1510">
            <v>11.870949885755934</v>
          </cell>
          <cell r="MB1510">
            <v>9.6544719773798295</v>
          </cell>
          <cell r="MC1510">
            <v>14.087427794132038</v>
          </cell>
        </row>
        <row r="1511">
          <cell r="A1511">
            <v>41641</v>
          </cell>
          <cell r="LJ1511">
            <v>20.078316467899075</v>
          </cell>
          <cell r="LK1511">
            <v>20.020152274152959</v>
          </cell>
          <cell r="LL1511">
            <v>17.982747259685677</v>
          </cell>
          <cell r="LM1511">
            <v>15.721193701553757</v>
          </cell>
          <cell r="LN1511">
            <v>20.244300817817596</v>
          </cell>
          <cell r="LY1511">
            <v>12.014619183691432</v>
          </cell>
          <cell r="LZ1511">
            <v>14.730476692982464</v>
          </cell>
          <cell r="MA1511">
            <v>11.870949885755934</v>
          </cell>
          <cell r="MB1511">
            <v>9.6544719773798295</v>
          </cell>
          <cell r="MC1511">
            <v>14.087427794132038</v>
          </cell>
        </row>
        <row r="1512">
          <cell r="A1512">
            <v>41642</v>
          </cell>
          <cell r="LJ1512">
            <v>20.10720639564865</v>
          </cell>
          <cell r="LK1512">
            <v>20.020152274152959</v>
          </cell>
          <cell r="LL1512">
            <v>17.982747259685677</v>
          </cell>
          <cell r="LM1512">
            <v>15.721193701553757</v>
          </cell>
          <cell r="LN1512">
            <v>20.244300817817596</v>
          </cell>
          <cell r="LY1512">
            <v>12.031411751324086</v>
          </cell>
          <cell r="LZ1512">
            <v>14.730476692982464</v>
          </cell>
          <cell r="MA1512">
            <v>11.870949885755934</v>
          </cell>
          <cell r="MB1512">
            <v>9.6544719773798295</v>
          </cell>
          <cell r="MC1512">
            <v>14.087427794132038</v>
          </cell>
        </row>
        <row r="1513">
          <cell r="A1513">
            <v>41645</v>
          </cell>
          <cell r="LJ1513">
            <v>19.93124259702536</v>
          </cell>
          <cell r="LK1513">
            <v>20.020152274152959</v>
          </cell>
          <cell r="LL1513">
            <v>17.982747259685677</v>
          </cell>
          <cell r="LM1513">
            <v>15.721193701553757</v>
          </cell>
          <cell r="LN1513">
            <v>20.244300817817596</v>
          </cell>
          <cell r="LY1513">
            <v>11.929130983615215</v>
          </cell>
          <cell r="LZ1513">
            <v>14.730476692982464</v>
          </cell>
          <cell r="MA1513">
            <v>11.870949885755934</v>
          </cell>
          <cell r="MB1513">
            <v>9.6544719773798295</v>
          </cell>
          <cell r="MC1513">
            <v>14.087427794132038</v>
          </cell>
        </row>
        <row r="1514">
          <cell r="A1514">
            <v>41646</v>
          </cell>
          <cell r="LJ1514">
            <v>20.096698961812553</v>
          </cell>
          <cell r="LK1514">
            <v>20.020152274152959</v>
          </cell>
          <cell r="LL1514">
            <v>17.982747259685677</v>
          </cell>
          <cell r="LM1514">
            <v>15.721193701553757</v>
          </cell>
          <cell r="LN1514">
            <v>20.244300817817596</v>
          </cell>
          <cell r="LY1514">
            <v>12.025304197339604</v>
          </cell>
          <cell r="LZ1514">
            <v>14.730476692982464</v>
          </cell>
          <cell r="MA1514">
            <v>11.870949885755934</v>
          </cell>
          <cell r="MB1514">
            <v>9.6544719773798295</v>
          </cell>
          <cell r="MC1514">
            <v>14.087427794132038</v>
          </cell>
        </row>
        <row r="1515">
          <cell r="A1515">
            <v>41647</v>
          </cell>
          <cell r="LJ1515">
            <v>20.108297824842396</v>
          </cell>
          <cell r="LK1515">
            <v>20.020152274152959</v>
          </cell>
          <cell r="LL1515">
            <v>17.982747259685677</v>
          </cell>
          <cell r="LM1515">
            <v>15.721193701553757</v>
          </cell>
          <cell r="LN1515">
            <v>20.244300817817596</v>
          </cell>
          <cell r="LY1515">
            <v>12.037099572825515</v>
          </cell>
          <cell r="LZ1515">
            <v>14.730476692982464</v>
          </cell>
          <cell r="MA1515">
            <v>11.870949885755934</v>
          </cell>
          <cell r="MB1515">
            <v>9.6544719773798295</v>
          </cell>
          <cell r="MC1515">
            <v>14.087427794132038</v>
          </cell>
        </row>
        <row r="1516">
          <cell r="A1516">
            <v>41648</v>
          </cell>
          <cell r="LJ1516">
            <v>20.349933068645033</v>
          </cell>
          <cell r="LK1516">
            <v>20.020152274152959</v>
          </cell>
          <cell r="LL1516">
            <v>17.982747259685677</v>
          </cell>
          <cell r="LM1516">
            <v>15.721193701553757</v>
          </cell>
          <cell r="LN1516">
            <v>20.244300817817596</v>
          </cell>
          <cell r="LY1516">
            <v>12.177611315227837</v>
          </cell>
          <cell r="LZ1516">
            <v>14.730476692982464</v>
          </cell>
          <cell r="MA1516">
            <v>11.870949885755934</v>
          </cell>
          <cell r="MB1516">
            <v>9.6544719773798295</v>
          </cell>
          <cell r="MC1516">
            <v>14.087427794132038</v>
          </cell>
        </row>
        <row r="1517">
          <cell r="A1517">
            <v>41649</v>
          </cell>
          <cell r="LJ1517">
            <v>20.400497143984762</v>
          </cell>
          <cell r="LK1517">
            <v>20.020152274152959</v>
          </cell>
          <cell r="LL1517">
            <v>17.982747259685677</v>
          </cell>
          <cell r="LM1517">
            <v>15.721193701553757</v>
          </cell>
          <cell r="LN1517">
            <v>20.244300817817596</v>
          </cell>
          <cell r="LY1517">
            <v>12.208156954397964</v>
          </cell>
          <cell r="LZ1517">
            <v>14.730476692982464</v>
          </cell>
          <cell r="MA1517">
            <v>11.870949885755934</v>
          </cell>
          <cell r="MB1517">
            <v>9.6544719773798295</v>
          </cell>
          <cell r="MC1517">
            <v>14.087427794132038</v>
          </cell>
        </row>
        <row r="1518">
          <cell r="A1518">
            <v>41652</v>
          </cell>
          <cell r="LJ1518">
            <v>19.997534293762747</v>
          </cell>
          <cell r="LK1518">
            <v>20.020152274152959</v>
          </cell>
          <cell r="LL1518">
            <v>17.982747259685677</v>
          </cell>
          <cell r="LM1518">
            <v>15.721193701553757</v>
          </cell>
          <cell r="LN1518">
            <v>20.244300817817596</v>
          </cell>
          <cell r="LY1518">
            <v>11.974479462312317</v>
          </cell>
          <cell r="LZ1518">
            <v>14.730476692982464</v>
          </cell>
          <cell r="MA1518">
            <v>11.870949885755934</v>
          </cell>
          <cell r="MB1518">
            <v>9.6544719773798295</v>
          </cell>
          <cell r="MC1518">
            <v>14.087427794132038</v>
          </cell>
        </row>
        <row r="1519">
          <cell r="A1519">
            <v>41653</v>
          </cell>
          <cell r="LJ1519">
            <v>20.551635681576037</v>
          </cell>
          <cell r="LK1519">
            <v>20.020152274152959</v>
          </cell>
          <cell r="LL1519">
            <v>17.982747259685677</v>
          </cell>
          <cell r="LM1519">
            <v>15.721193701553757</v>
          </cell>
          <cell r="LN1519">
            <v>20.244300817817596</v>
          </cell>
          <cell r="LY1519">
            <v>12.297110867379795</v>
          </cell>
          <cell r="LZ1519">
            <v>14.730476692982464</v>
          </cell>
          <cell r="MA1519">
            <v>11.870949885755934</v>
          </cell>
          <cell r="MB1519">
            <v>9.6544719773798295</v>
          </cell>
          <cell r="MC1519">
            <v>14.087427794132038</v>
          </cell>
        </row>
        <row r="1520">
          <cell r="A1520">
            <v>41654</v>
          </cell>
          <cell r="LJ1520">
            <v>20.538504535337324</v>
          </cell>
          <cell r="LK1520">
            <v>20.020152274152959</v>
          </cell>
          <cell r="LL1520">
            <v>17.982747259685677</v>
          </cell>
          <cell r="LM1520">
            <v>15.721193701553757</v>
          </cell>
          <cell r="LN1520">
            <v>20.244300817817596</v>
          </cell>
          <cell r="LY1520">
            <v>12.289473655103155</v>
          </cell>
          <cell r="LZ1520">
            <v>14.730476692982464</v>
          </cell>
          <cell r="MA1520">
            <v>11.870949885755934</v>
          </cell>
          <cell r="MB1520">
            <v>9.6544719773798295</v>
          </cell>
          <cell r="MC1520">
            <v>14.087427794132038</v>
          </cell>
        </row>
        <row r="1521">
          <cell r="A1521">
            <v>41655</v>
          </cell>
          <cell r="LJ1521">
            <v>20.611431081102705</v>
          </cell>
          <cell r="LK1521">
            <v>20.020152274152959</v>
          </cell>
          <cell r="LL1521">
            <v>17.982747259685677</v>
          </cell>
          <cell r="LM1521">
            <v>15.721193701553757</v>
          </cell>
          <cell r="LN1521">
            <v>20.244300817817596</v>
          </cell>
          <cell r="LY1521">
            <v>12.336989118431363</v>
          </cell>
          <cell r="LZ1521">
            <v>14.730476692982464</v>
          </cell>
          <cell r="MA1521">
            <v>11.870949885755934</v>
          </cell>
          <cell r="MB1521">
            <v>9.6544719773798295</v>
          </cell>
          <cell r="MC1521">
            <v>14.087427794132038</v>
          </cell>
        </row>
        <row r="1522">
          <cell r="A1522">
            <v>41656</v>
          </cell>
          <cell r="LJ1522">
            <v>20.437733564504079</v>
          </cell>
          <cell r="LK1522">
            <v>20.020152274152959</v>
          </cell>
          <cell r="LL1522">
            <v>17.982747259685677</v>
          </cell>
          <cell r="LM1522">
            <v>15.721193701553757</v>
          </cell>
          <cell r="LN1522">
            <v>20.244300817817596</v>
          </cell>
          <cell r="LY1522">
            <v>12.234472777561104</v>
          </cell>
          <cell r="LZ1522">
            <v>14.730476692982464</v>
          </cell>
          <cell r="MA1522">
            <v>11.870949885755934</v>
          </cell>
          <cell r="MB1522">
            <v>9.6544719773798295</v>
          </cell>
          <cell r="MC1522">
            <v>14.087427794132038</v>
          </cell>
        </row>
        <row r="1523">
          <cell r="A1523">
            <v>41659</v>
          </cell>
          <cell r="LJ1523">
            <v>20.430999392608157</v>
          </cell>
          <cell r="LK1523">
            <v>20.020152274152959</v>
          </cell>
          <cell r="LL1523">
            <v>17.982747259685677</v>
          </cell>
          <cell r="LM1523">
            <v>15.721193701553757</v>
          </cell>
          <cell r="LN1523">
            <v>20.244300817817596</v>
          </cell>
          <cell r="LY1523">
            <v>12.234472777561104</v>
          </cell>
          <cell r="LZ1523">
            <v>14.730476692982464</v>
          </cell>
          <cell r="MA1523">
            <v>11.870949885755934</v>
          </cell>
          <cell r="MB1523">
            <v>9.6544719773798295</v>
          </cell>
          <cell r="MC1523">
            <v>14.087427794132038</v>
          </cell>
        </row>
        <row r="1524">
          <cell r="A1524">
            <v>41660</v>
          </cell>
          <cell r="LJ1524">
            <v>20.465108957029308</v>
          </cell>
          <cell r="LK1524">
            <v>20.020152274152959</v>
          </cell>
          <cell r="LL1524">
            <v>17.982747259685677</v>
          </cell>
          <cell r="LM1524">
            <v>15.721193701553757</v>
          </cell>
          <cell r="LN1524">
            <v>20.244300817817596</v>
          </cell>
          <cell r="LY1524">
            <v>12.254323965289956</v>
          </cell>
          <cell r="LZ1524">
            <v>14.730476692982464</v>
          </cell>
          <cell r="MA1524">
            <v>11.870949885755934</v>
          </cell>
          <cell r="MB1524">
            <v>9.6544719773798295</v>
          </cell>
          <cell r="MC1524">
            <v>14.087427794132038</v>
          </cell>
        </row>
        <row r="1525">
          <cell r="A1525">
            <v>41661</v>
          </cell>
          <cell r="LJ1525">
            <v>20.459204652892506</v>
          </cell>
          <cell r="LK1525">
            <v>20.020152274152959</v>
          </cell>
          <cell r="LL1525">
            <v>17.982747259685677</v>
          </cell>
          <cell r="LM1525">
            <v>15.721193701553757</v>
          </cell>
          <cell r="LN1525">
            <v>20.244300817817596</v>
          </cell>
          <cell r="LY1525">
            <v>12.245160328186607</v>
          </cell>
          <cell r="LZ1525">
            <v>14.730476692982464</v>
          </cell>
          <cell r="MA1525">
            <v>11.870949885755934</v>
          </cell>
          <cell r="MB1525">
            <v>9.6544719773798295</v>
          </cell>
          <cell r="MC1525">
            <v>14.087427794132038</v>
          </cell>
        </row>
        <row r="1526">
          <cell r="A1526">
            <v>41662</v>
          </cell>
          <cell r="LJ1526">
            <v>20.24132957725983</v>
          </cell>
          <cell r="LK1526">
            <v>20.020152274152959</v>
          </cell>
          <cell r="LL1526">
            <v>17.982747259685677</v>
          </cell>
          <cell r="LM1526">
            <v>15.721193701553757</v>
          </cell>
          <cell r="LN1526">
            <v>20.244300817817596</v>
          </cell>
          <cell r="LY1526">
            <v>12.118421723856578</v>
          </cell>
          <cell r="LZ1526">
            <v>14.730476692982464</v>
          </cell>
          <cell r="MA1526">
            <v>11.870949885755934</v>
          </cell>
          <cell r="MB1526">
            <v>9.6544719773798295</v>
          </cell>
          <cell r="MC1526">
            <v>14.087427794132038</v>
          </cell>
        </row>
        <row r="1527">
          <cell r="A1527">
            <v>41663</v>
          </cell>
          <cell r="LJ1527">
            <v>19.459082240644879</v>
          </cell>
          <cell r="LK1527">
            <v>20.020152274152959</v>
          </cell>
          <cell r="LL1527">
            <v>17.982747259685677</v>
          </cell>
          <cell r="LM1527">
            <v>15.721193701553757</v>
          </cell>
          <cell r="LN1527">
            <v>20.244300817817596</v>
          </cell>
          <cell r="LY1527">
            <v>11.663386032437677</v>
          </cell>
          <cell r="LZ1527">
            <v>14.730476692982464</v>
          </cell>
          <cell r="MA1527">
            <v>11.870949885755934</v>
          </cell>
          <cell r="MB1527">
            <v>9.6544719773798295</v>
          </cell>
          <cell r="MC1527">
            <v>14.087427794132038</v>
          </cell>
        </row>
        <row r="1528">
          <cell r="A1528">
            <v>41666</v>
          </cell>
          <cell r="LJ1528">
            <v>19.45120751938649</v>
          </cell>
          <cell r="LK1528">
            <v>20.020152274152959</v>
          </cell>
          <cell r="LL1528">
            <v>17.982747259685677</v>
          </cell>
          <cell r="LM1528">
            <v>15.721193701553757</v>
          </cell>
          <cell r="LN1528">
            <v>20.244300817817596</v>
          </cell>
          <cell r="LY1528">
            <v>11.659039051451249</v>
          </cell>
          <cell r="LZ1528">
            <v>14.730476692982464</v>
          </cell>
          <cell r="MA1528">
            <v>11.870949885755934</v>
          </cell>
          <cell r="MB1528">
            <v>9.6544719773798295</v>
          </cell>
          <cell r="MC1528">
            <v>14.087427794132038</v>
          </cell>
        </row>
        <row r="1529">
          <cell r="A1529">
            <v>41667</v>
          </cell>
          <cell r="LJ1529">
            <v>19.776797824667987</v>
          </cell>
          <cell r="LK1529">
            <v>20.020152274152959</v>
          </cell>
          <cell r="LL1529">
            <v>17.982747259685677</v>
          </cell>
          <cell r="LM1529">
            <v>15.721193701553757</v>
          </cell>
          <cell r="LN1529">
            <v>20.244300817817596</v>
          </cell>
          <cell r="LY1529">
            <v>11.610872261171286</v>
          </cell>
          <cell r="LZ1529">
            <v>14.730476692982464</v>
          </cell>
          <cell r="MA1529">
            <v>11.870949885755934</v>
          </cell>
          <cell r="MB1529">
            <v>9.6544719773798295</v>
          </cell>
          <cell r="MC1529">
            <v>14.087427794132038</v>
          </cell>
        </row>
        <row r="1530">
          <cell r="A1530">
            <v>41668</v>
          </cell>
          <cell r="LJ1530">
            <v>19.790640998569476</v>
          </cell>
          <cell r="LK1530">
            <v>20.020152274152959</v>
          </cell>
          <cell r="LL1530">
            <v>17.982747259685677</v>
          </cell>
          <cell r="LM1530">
            <v>15.721193701553757</v>
          </cell>
          <cell r="LN1530">
            <v>20.244300817817596</v>
          </cell>
          <cell r="LY1530">
            <v>11.576195065108154</v>
          </cell>
          <cell r="LZ1530">
            <v>14.730476692982464</v>
          </cell>
          <cell r="MA1530">
            <v>11.870949885755934</v>
          </cell>
          <cell r="MB1530">
            <v>9.6544719773798295</v>
          </cell>
          <cell r="MC1530">
            <v>14.087427794132038</v>
          </cell>
        </row>
        <row r="1531">
          <cell r="A1531">
            <v>41669</v>
          </cell>
          <cell r="LJ1531">
            <v>19.845005475168762</v>
          </cell>
          <cell r="LK1531">
            <v>20.020152274152959</v>
          </cell>
          <cell r="LL1531">
            <v>17.982747259685677</v>
          </cell>
          <cell r="LM1531">
            <v>15.721193701553757</v>
          </cell>
          <cell r="LN1531">
            <v>20.244300817817596</v>
          </cell>
          <cell r="LY1531">
            <v>11.602138882493469</v>
          </cell>
          <cell r="LZ1531">
            <v>14.730476692982464</v>
          </cell>
          <cell r="MA1531">
            <v>11.870949885755934</v>
          </cell>
          <cell r="MB1531">
            <v>9.6544719773798295</v>
          </cell>
          <cell r="MC1531">
            <v>14.087427794132038</v>
          </cell>
        </row>
        <row r="1532">
          <cell r="A1532">
            <v>41670</v>
          </cell>
          <cell r="LJ1532">
            <v>19.605181840106063</v>
          </cell>
          <cell r="LK1532">
            <v>20.020152274152959</v>
          </cell>
          <cell r="LL1532">
            <v>17.982747259685677</v>
          </cell>
          <cell r="LM1532">
            <v>15.721193701553757</v>
          </cell>
          <cell r="LN1532">
            <v>20.244300817817596</v>
          </cell>
          <cell r="LY1532">
            <v>11.463263351635296</v>
          </cell>
          <cell r="LZ1532">
            <v>14.730476692982464</v>
          </cell>
          <cell r="MA1532">
            <v>11.870949885755934</v>
          </cell>
          <cell r="MB1532">
            <v>9.6544719773798295</v>
          </cell>
          <cell r="MC1532">
            <v>14.087427794132038</v>
          </cell>
        </row>
        <row r="1533">
          <cell r="A1533">
            <v>41673</v>
          </cell>
          <cell r="LJ1533">
            <v>18.951618348804772</v>
          </cell>
          <cell r="LK1533">
            <v>20.020152274152959</v>
          </cell>
          <cell r="LL1533">
            <v>17.982747259685677</v>
          </cell>
          <cell r="LM1533">
            <v>15.721193701553757</v>
          </cell>
          <cell r="LN1533">
            <v>20.244300817817596</v>
          </cell>
          <cell r="LY1533">
            <v>11.110989120248572</v>
          </cell>
          <cell r="LZ1533">
            <v>14.730476692982464</v>
          </cell>
          <cell r="MA1533">
            <v>11.870949885755934</v>
          </cell>
          <cell r="MB1533">
            <v>9.6544719773798295</v>
          </cell>
          <cell r="MC1533">
            <v>14.087427794132038</v>
          </cell>
        </row>
        <row r="1534">
          <cell r="A1534">
            <v>41674</v>
          </cell>
          <cell r="LJ1534">
            <v>19.048255672733116</v>
          </cell>
          <cell r="LK1534">
            <v>20.020152274152959</v>
          </cell>
          <cell r="LL1534">
            <v>17.982747259685677</v>
          </cell>
          <cell r="LM1534">
            <v>15.721193701553757</v>
          </cell>
          <cell r="LN1534">
            <v>20.244300817817596</v>
          </cell>
          <cell r="LY1534">
            <v>11.168703560777621</v>
          </cell>
          <cell r="LZ1534">
            <v>14.730476692982464</v>
          </cell>
          <cell r="MA1534">
            <v>11.870949885755934</v>
          </cell>
          <cell r="MB1534">
            <v>9.6544719773798295</v>
          </cell>
          <cell r="MC1534">
            <v>14.087427794132038</v>
          </cell>
        </row>
        <row r="1535">
          <cell r="A1535">
            <v>41675</v>
          </cell>
          <cell r="LJ1535">
            <v>18.933333536479601</v>
          </cell>
          <cell r="LK1535">
            <v>20.020152274152959</v>
          </cell>
          <cell r="LL1535">
            <v>17.982747259685677</v>
          </cell>
          <cell r="LM1535">
            <v>15.721193701553757</v>
          </cell>
          <cell r="LN1535">
            <v>20.244300817817596</v>
          </cell>
          <cell r="LY1535">
            <v>11.101982359269703</v>
          </cell>
          <cell r="LZ1535">
            <v>14.730476692982464</v>
          </cell>
          <cell r="MA1535">
            <v>11.870949885755934</v>
          </cell>
          <cell r="MB1535">
            <v>9.6544719773798295</v>
          </cell>
          <cell r="MC1535">
            <v>14.087427794132038</v>
          </cell>
        </row>
        <row r="1536">
          <cell r="A1536">
            <v>41676</v>
          </cell>
          <cell r="LJ1536">
            <v>19.251980090703046</v>
          </cell>
          <cell r="LK1536">
            <v>20.020152274152959</v>
          </cell>
          <cell r="LL1536">
            <v>17.982747259685677</v>
          </cell>
          <cell r="LM1536">
            <v>15.721193701553757</v>
          </cell>
          <cell r="LN1536">
            <v>20.244300817817596</v>
          </cell>
          <cell r="LY1536">
            <v>11.286981365094364</v>
          </cell>
          <cell r="LZ1536">
            <v>14.730476692982464</v>
          </cell>
          <cell r="MA1536">
            <v>11.870949885755934</v>
          </cell>
          <cell r="MB1536">
            <v>9.6544719773798295</v>
          </cell>
          <cell r="MC1536">
            <v>14.087427794132038</v>
          </cell>
        </row>
        <row r="1537">
          <cell r="A1537">
            <v>41677</v>
          </cell>
          <cell r="LJ1537">
            <v>19.620252670841325</v>
          </cell>
          <cell r="LK1537">
            <v>20.020152274152959</v>
          </cell>
          <cell r="LL1537">
            <v>17.982747259685677</v>
          </cell>
          <cell r="LM1537">
            <v>15.721193701553757</v>
          </cell>
          <cell r="LN1537">
            <v>20.244300817817596</v>
          </cell>
          <cell r="LY1537">
            <v>11.500792122797678</v>
          </cell>
          <cell r="LZ1537">
            <v>14.730476692982464</v>
          </cell>
          <cell r="MA1537">
            <v>11.870949885755934</v>
          </cell>
          <cell r="MB1537">
            <v>9.6544719773798295</v>
          </cell>
          <cell r="MC1537">
            <v>14.087427794132038</v>
          </cell>
        </row>
        <row r="1538">
          <cell r="A1538">
            <v>41680</v>
          </cell>
          <cell r="LJ1538">
            <v>19.607192612980029</v>
          </cell>
          <cell r="LK1538">
            <v>20.020152274152959</v>
          </cell>
          <cell r="LL1538">
            <v>17.982747259685677</v>
          </cell>
          <cell r="LM1538">
            <v>15.721193701553757</v>
          </cell>
          <cell r="LN1538">
            <v>20.244300817817596</v>
          </cell>
          <cell r="LY1538">
            <v>11.499440094843177</v>
          </cell>
          <cell r="LZ1538">
            <v>14.730476692982464</v>
          </cell>
          <cell r="MA1538">
            <v>11.870949885755934</v>
          </cell>
          <cell r="MB1538">
            <v>9.6544719773798295</v>
          </cell>
          <cell r="MC1538">
            <v>14.087427794132038</v>
          </cell>
        </row>
        <row r="1539">
          <cell r="A1539">
            <v>41681</v>
          </cell>
          <cell r="LJ1539">
            <v>19.690773796829372</v>
          </cell>
          <cell r="LK1539">
            <v>20.020152274152959</v>
          </cell>
          <cell r="LL1539">
            <v>17.982747259685677</v>
          </cell>
          <cell r="LM1539">
            <v>15.721193701553757</v>
          </cell>
          <cell r="LN1539">
            <v>20.244300817817596</v>
          </cell>
          <cell r="LY1539">
            <v>11.551709824477721</v>
          </cell>
          <cell r="LZ1539">
            <v>14.730476692982464</v>
          </cell>
          <cell r="MA1539">
            <v>11.870949885755934</v>
          </cell>
          <cell r="MB1539">
            <v>9.6544719773798295</v>
          </cell>
          <cell r="MC1539">
            <v>14.087427794132038</v>
          </cell>
        </row>
        <row r="1540">
          <cell r="A1540">
            <v>41682</v>
          </cell>
          <cell r="LJ1540">
            <v>19.73256034037901</v>
          </cell>
          <cell r="LK1540">
            <v>20.020152274152959</v>
          </cell>
          <cell r="LL1540">
            <v>17.982747259685677</v>
          </cell>
          <cell r="LM1540">
            <v>15.721193701553757</v>
          </cell>
          <cell r="LN1540">
            <v>20.244300817817596</v>
          </cell>
          <cell r="LY1540">
            <v>11.575991242415764</v>
          </cell>
          <cell r="LZ1540">
            <v>14.730476692982464</v>
          </cell>
          <cell r="MA1540">
            <v>11.870949885755934</v>
          </cell>
          <cell r="MB1540">
            <v>9.6544719773798295</v>
          </cell>
          <cell r="MC1540">
            <v>14.087427794132038</v>
          </cell>
        </row>
        <row r="1541">
          <cell r="A1541">
            <v>41683</v>
          </cell>
          <cell r="LJ1541">
            <v>19.90755409369282</v>
          </cell>
          <cell r="LK1541">
            <v>20.020152274152959</v>
          </cell>
          <cell r="LL1541">
            <v>17.982747259685677</v>
          </cell>
          <cell r="LM1541">
            <v>15.721193701553757</v>
          </cell>
          <cell r="LN1541">
            <v>20.244300817817596</v>
          </cell>
          <cell r="LY1541">
            <v>11.677677002945629</v>
          </cell>
          <cell r="LZ1541">
            <v>14.730476692982464</v>
          </cell>
          <cell r="MA1541">
            <v>11.870949885755934</v>
          </cell>
          <cell r="MB1541">
            <v>9.6544719773798295</v>
          </cell>
          <cell r="MC1541">
            <v>14.087427794132038</v>
          </cell>
        </row>
        <row r="1542">
          <cell r="A1542">
            <v>41684</v>
          </cell>
          <cell r="LJ1542">
            <v>19.963282584215278</v>
          </cell>
          <cell r="LK1542">
            <v>20.020152274152959</v>
          </cell>
          <cell r="LL1542">
            <v>17.982747259685677</v>
          </cell>
          <cell r="LM1542">
            <v>15.721193701553757</v>
          </cell>
          <cell r="LN1542">
            <v>20.244300817817596</v>
          </cell>
          <cell r="LY1542">
            <v>11.709549816762376</v>
          </cell>
          <cell r="LZ1542">
            <v>14.730476692982464</v>
          </cell>
          <cell r="MA1542">
            <v>11.870949885755934</v>
          </cell>
          <cell r="MB1542">
            <v>9.6544719773798295</v>
          </cell>
          <cell r="MC1542">
            <v>14.087427794132038</v>
          </cell>
        </row>
        <row r="1543">
          <cell r="A1543">
            <v>41687</v>
          </cell>
          <cell r="LJ1543">
            <v>19.967585349267249</v>
          </cell>
          <cell r="LK1543">
            <v>20.020152274152959</v>
          </cell>
          <cell r="LL1543">
            <v>17.982747259685677</v>
          </cell>
          <cell r="LM1543">
            <v>15.721193701553757</v>
          </cell>
          <cell r="LN1543">
            <v>20.244300817817596</v>
          </cell>
          <cell r="LY1543">
            <v>11.709549816762376</v>
          </cell>
          <cell r="LZ1543">
            <v>14.730476692982464</v>
          </cell>
          <cell r="MA1543">
            <v>11.870949885755934</v>
          </cell>
          <cell r="MB1543">
            <v>9.6544719773798295</v>
          </cell>
          <cell r="MC1543">
            <v>14.087427794132038</v>
          </cell>
        </row>
        <row r="1544">
          <cell r="A1544">
            <v>41688</v>
          </cell>
          <cell r="LJ1544">
            <v>19.839569942291252</v>
          </cell>
          <cell r="LK1544">
            <v>20.020152274152959</v>
          </cell>
          <cell r="LL1544">
            <v>17.982747259685677</v>
          </cell>
          <cell r="LM1544">
            <v>15.721193701553757</v>
          </cell>
          <cell r="LN1544">
            <v>20.244300817817596</v>
          </cell>
          <cell r="LY1544">
            <v>11.635181637919402</v>
          </cell>
          <cell r="LZ1544">
            <v>14.730476692982464</v>
          </cell>
          <cell r="MA1544">
            <v>11.870949885755934</v>
          </cell>
          <cell r="MB1544">
            <v>9.6544719773798295</v>
          </cell>
          <cell r="MC1544">
            <v>14.087427794132038</v>
          </cell>
        </row>
        <row r="1545">
          <cell r="A1545">
            <v>41689</v>
          </cell>
          <cell r="LJ1545">
            <v>19.667145660019273</v>
          </cell>
          <cell r="LK1545">
            <v>20.020152274152959</v>
          </cell>
          <cell r="LL1545">
            <v>17.982747259685677</v>
          </cell>
          <cell r="LM1545">
            <v>15.721193701553757</v>
          </cell>
          <cell r="LN1545">
            <v>20.244300817817596</v>
          </cell>
          <cell r="LY1545">
            <v>11.534985704568843</v>
          </cell>
          <cell r="LZ1545">
            <v>14.730476692982464</v>
          </cell>
          <cell r="MA1545">
            <v>11.870949885755934</v>
          </cell>
          <cell r="MB1545">
            <v>9.6544719773798295</v>
          </cell>
          <cell r="MC1545">
            <v>14.087427794132038</v>
          </cell>
        </row>
        <row r="1546">
          <cell r="A1546">
            <v>41690</v>
          </cell>
          <cell r="LJ1546">
            <v>19.883982475132971</v>
          </cell>
          <cell r="LK1546">
            <v>20.020152274152959</v>
          </cell>
          <cell r="LL1546">
            <v>17.982747259685677</v>
          </cell>
          <cell r="LM1546">
            <v>15.721193701553757</v>
          </cell>
          <cell r="LN1546">
            <v>20.244300817817596</v>
          </cell>
          <cell r="LY1546">
            <v>11.660952715480478</v>
          </cell>
          <cell r="LZ1546">
            <v>14.730476692982464</v>
          </cell>
          <cell r="MA1546">
            <v>11.870949885755934</v>
          </cell>
          <cell r="MB1546">
            <v>9.6544719773798295</v>
          </cell>
          <cell r="MC1546">
            <v>14.087427794132038</v>
          </cell>
        </row>
        <row r="1547">
          <cell r="A1547">
            <v>41691</v>
          </cell>
          <cell r="LJ1547">
            <v>19.894434695829283</v>
          </cell>
          <cell r="LK1547">
            <v>20.020152274152959</v>
          </cell>
          <cell r="LL1547">
            <v>17.982747259685677</v>
          </cell>
          <cell r="LM1547">
            <v>15.721193701553757</v>
          </cell>
          <cell r="LN1547">
            <v>20.244300817817596</v>
          </cell>
          <cell r="LY1547">
            <v>11.667975453698842</v>
          </cell>
          <cell r="LZ1547">
            <v>14.730476692982464</v>
          </cell>
          <cell r="MA1547">
            <v>11.870949885755934</v>
          </cell>
          <cell r="MB1547">
            <v>9.6544719773798295</v>
          </cell>
          <cell r="MC1547">
            <v>14.087427794132038</v>
          </cell>
        </row>
        <row r="1548">
          <cell r="A1548">
            <v>41694</v>
          </cell>
          <cell r="LJ1548">
            <v>20.012145476662884</v>
          </cell>
          <cell r="LK1548">
            <v>20.020152274152959</v>
          </cell>
          <cell r="LL1548">
            <v>17.982747259685677</v>
          </cell>
          <cell r="LM1548">
            <v>15.721193701553757</v>
          </cell>
          <cell r="LN1548">
            <v>20.244300817817596</v>
          </cell>
          <cell r="LY1548">
            <v>11.730206774168206</v>
          </cell>
          <cell r="LZ1548">
            <v>14.730476692982464</v>
          </cell>
          <cell r="MA1548">
            <v>11.870949885755934</v>
          </cell>
          <cell r="MB1548">
            <v>9.6544719773798295</v>
          </cell>
          <cell r="MC1548">
            <v>14.087427794132038</v>
          </cell>
        </row>
        <row r="1549">
          <cell r="A1549">
            <v>41695</v>
          </cell>
          <cell r="LJ1549">
            <v>20.084498436538027</v>
          </cell>
          <cell r="LK1549">
            <v>20.020152274152959</v>
          </cell>
          <cell r="LL1549">
            <v>17.982747259685677</v>
          </cell>
          <cell r="LM1549">
            <v>15.721193701553757</v>
          </cell>
          <cell r="LN1549">
            <v>20.244300817817596</v>
          </cell>
          <cell r="LY1549">
            <v>11.772833123605679</v>
          </cell>
          <cell r="LZ1549">
            <v>14.730476692982464</v>
          </cell>
          <cell r="MA1549">
            <v>11.870949885755934</v>
          </cell>
          <cell r="MB1549">
            <v>9.6544719773798295</v>
          </cell>
          <cell r="MC1549">
            <v>14.087427794132038</v>
          </cell>
        </row>
        <row r="1550">
          <cell r="A1550">
            <v>41696</v>
          </cell>
          <cell r="LJ1550">
            <v>20.084498436538027</v>
          </cell>
          <cell r="LK1550">
            <v>20.020152274152959</v>
          </cell>
          <cell r="LL1550">
            <v>17.982747259685677</v>
          </cell>
          <cell r="LM1550">
            <v>15.721193701553757</v>
          </cell>
          <cell r="LN1550">
            <v>20.244300817817596</v>
          </cell>
          <cell r="LY1550">
            <v>11.772833123605679</v>
          </cell>
          <cell r="LZ1550">
            <v>14.730476692982464</v>
          </cell>
          <cell r="MA1550">
            <v>11.870949885755934</v>
          </cell>
          <cell r="MB1550">
            <v>9.6544719773798295</v>
          </cell>
          <cell r="MC1550">
            <v>14.087427794132038</v>
          </cell>
        </row>
        <row r="1551">
          <cell r="A1551">
            <v>41697</v>
          </cell>
          <cell r="LJ1551">
            <v>20.139404262664097</v>
          </cell>
          <cell r="LK1551">
            <v>20.020152274152959</v>
          </cell>
          <cell r="LL1551">
            <v>17.982747259685677</v>
          </cell>
          <cell r="LM1551">
            <v>15.721193701553757</v>
          </cell>
          <cell r="LN1551">
            <v>20.244300817817596</v>
          </cell>
          <cell r="LY1551">
            <v>11.804716870269363</v>
          </cell>
          <cell r="LZ1551">
            <v>14.730476692982464</v>
          </cell>
          <cell r="MA1551">
            <v>11.870949885755934</v>
          </cell>
          <cell r="MB1551">
            <v>9.6544719773798295</v>
          </cell>
          <cell r="MC1551">
            <v>14.087427794132038</v>
          </cell>
        </row>
        <row r="1552">
          <cell r="A1552">
            <v>41698</v>
          </cell>
          <cell r="LJ1552">
            <v>19.998219794817061</v>
          </cell>
          <cell r="LK1552">
            <v>20.020152274152959</v>
          </cell>
          <cell r="LL1552">
            <v>17.982747259685677</v>
          </cell>
          <cell r="LM1552">
            <v>15.721193701553757</v>
          </cell>
          <cell r="LN1552">
            <v>20.244300817817596</v>
          </cell>
          <cell r="LY1552">
            <v>11.72273122096238</v>
          </cell>
          <cell r="LZ1552">
            <v>14.730476692982464</v>
          </cell>
          <cell r="MA1552">
            <v>11.870949885755934</v>
          </cell>
          <cell r="MB1552">
            <v>9.6544719773798295</v>
          </cell>
          <cell r="MC1552">
            <v>14.087427794132038</v>
          </cell>
        </row>
        <row r="1553">
          <cell r="A1553">
            <v>41701</v>
          </cell>
          <cell r="LJ1553">
            <v>19.582748579674249</v>
          </cell>
          <cell r="LK1553">
            <v>20.020152274152959</v>
          </cell>
          <cell r="LL1553">
            <v>17.982747259685677</v>
          </cell>
          <cell r="LM1553">
            <v>15.721193701553757</v>
          </cell>
          <cell r="LN1553">
            <v>20.244300817817596</v>
          </cell>
          <cell r="LY1553">
            <v>11.513822916842983</v>
          </cell>
          <cell r="LZ1553">
            <v>14.730476692982464</v>
          </cell>
          <cell r="MA1553">
            <v>11.870949885755934</v>
          </cell>
          <cell r="MB1553">
            <v>9.6544719773798295</v>
          </cell>
          <cell r="MC1553">
            <v>14.087427794132038</v>
          </cell>
        </row>
        <row r="1554">
          <cell r="A1554">
            <v>41702</v>
          </cell>
          <cell r="LJ1554">
            <v>19.784819288969256</v>
          </cell>
          <cell r="LK1554">
            <v>20.020152274152959</v>
          </cell>
          <cell r="LL1554">
            <v>17.982747259685677</v>
          </cell>
          <cell r="LM1554">
            <v>15.721193701553757</v>
          </cell>
          <cell r="LN1554">
            <v>20.244300817817596</v>
          </cell>
          <cell r="LY1554">
            <v>11.6309659117273</v>
          </cell>
          <cell r="LZ1554">
            <v>14.730476692982464</v>
          </cell>
          <cell r="MA1554">
            <v>11.870949885755934</v>
          </cell>
          <cell r="MB1554">
            <v>9.6544719773798295</v>
          </cell>
          <cell r="MC1554">
            <v>14.087427794132038</v>
          </cell>
        </row>
        <row r="1555">
          <cell r="A1555">
            <v>41703</v>
          </cell>
          <cell r="LJ1555">
            <v>19.78740838801771</v>
          </cell>
          <cell r="LK1555">
            <v>20.020152274152959</v>
          </cell>
          <cell r="LL1555">
            <v>17.982747259685677</v>
          </cell>
          <cell r="LM1555">
            <v>15.721193701553757</v>
          </cell>
          <cell r="LN1555">
            <v>20.244300817817596</v>
          </cell>
          <cell r="LY1555">
            <v>11.560124988855089</v>
          </cell>
          <cell r="LZ1555">
            <v>14.730476692982464</v>
          </cell>
          <cell r="MA1555">
            <v>11.870949885755934</v>
          </cell>
          <cell r="MB1555">
            <v>9.6544719773798295</v>
          </cell>
          <cell r="MC1555">
            <v>14.087427794132038</v>
          </cell>
        </row>
        <row r="1556">
          <cell r="A1556">
            <v>41704</v>
          </cell>
          <cell r="LJ1556">
            <v>19.911705250780557</v>
          </cell>
          <cell r="LK1556">
            <v>20.020152274152959</v>
          </cell>
          <cell r="LL1556">
            <v>17.982747259685677</v>
          </cell>
          <cell r="LM1556">
            <v>15.721193701553757</v>
          </cell>
          <cell r="LN1556">
            <v>20.244300817817596</v>
          </cell>
          <cell r="LY1556">
            <v>11.639581315172306</v>
          </cell>
          <cell r="LZ1556">
            <v>14.730476692982464</v>
          </cell>
          <cell r="MA1556">
            <v>11.870949885755934</v>
          </cell>
          <cell r="MB1556">
            <v>9.6544719773798295</v>
          </cell>
          <cell r="MC1556">
            <v>14.087427794132038</v>
          </cell>
        </row>
        <row r="1557">
          <cell r="A1557">
            <v>41705</v>
          </cell>
          <cell r="LJ1557">
            <v>20.054154509983697</v>
          </cell>
          <cell r="LK1557">
            <v>20.020152274152959</v>
          </cell>
          <cell r="LL1557">
            <v>17.982747259685677</v>
          </cell>
          <cell r="LM1557">
            <v>15.721193701553757</v>
          </cell>
          <cell r="LN1557">
            <v>20.244300817817596</v>
          </cell>
          <cell r="LY1557">
            <v>11.735850549936588</v>
          </cell>
          <cell r="LZ1557">
            <v>14.730476692982464</v>
          </cell>
          <cell r="MA1557">
            <v>11.870949885755934</v>
          </cell>
          <cell r="MB1557">
            <v>9.6544719773798295</v>
          </cell>
          <cell r="MC1557">
            <v>14.087427794132038</v>
          </cell>
        </row>
        <row r="1558">
          <cell r="A1558">
            <v>41708</v>
          </cell>
          <cell r="LJ1558">
            <v>19.981635541673306</v>
          </cell>
          <cell r="LK1558">
            <v>20.020152274152959</v>
          </cell>
          <cell r="LL1558">
            <v>17.982747259685677</v>
          </cell>
          <cell r="LM1558">
            <v>15.721193701553757</v>
          </cell>
          <cell r="LN1558">
            <v>20.244300817817596</v>
          </cell>
          <cell r="LY1558">
            <v>11.693804091482836</v>
          </cell>
          <cell r="LZ1558">
            <v>14.730476692982464</v>
          </cell>
          <cell r="MA1558">
            <v>11.870949885755934</v>
          </cell>
          <cell r="MB1558">
            <v>9.6544719773798295</v>
          </cell>
          <cell r="MC1558">
            <v>14.087427794132038</v>
          </cell>
        </row>
        <row r="1559">
          <cell r="A1559">
            <v>41709</v>
          </cell>
          <cell r="LJ1559">
            <v>19.795157269599294</v>
          </cell>
          <cell r="LK1559">
            <v>20.020152274152959</v>
          </cell>
          <cell r="LL1559">
            <v>17.982747259685677</v>
          </cell>
          <cell r="LM1559">
            <v>15.721193701553757</v>
          </cell>
          <cell r="LN1559">
            <v>20.244300817817596</v>
          </cell>
          <cell r="LY1559">
            <v>11.585684090578679</v>
          </cell>
          <cell r="LZ1559">
            <v>14.730476692982464</v>
          </cell>
          <cell r="MA1559">
            <v>11.870949885755934</v>
          </cell>
          <cell r="MB1559">
            <v>9.6544719773798295</v>
          </cell>
          <cell r="MC1559">
            <v>14.087427794132038</v>
          </cell>
        </row>
        <row r="1560">
          <cell r="A1560">
            <v>41710</v>
          </cell>
          <cell r="LJ1560">
            <v>19.637168952964807</v>
          </cell>
          <cell r="LK1560">
            <v>20.020152274152959</v>
          </cell>
          <cell r="LL1560">
            <v>17.982747259685677</v>
          </cell>
          <cell r="LM1560">
            <v>15.721193701553757</v>
          </cell>
          <cell r="LN1560">
            <v>20.244300817817596</v>
          </cell>
          <cell r="LY1560">
            <v>11.494082550370354</v>
          </cell>
          <cell r="LZ1560">
            <v>14.730476692982464</v>
          </cell>
          <cell r="MA1560">
            <v>11.870949885755934</v>
          </cell>
          <cell r="MB1560">
            <v>9.6544719773798295</v>
          </cell>
          <cell r="MC1560">
            <v>14.087427794132038</v>
          </cell>
        </row>
        <row r="1561">
          <cell r="A1561">
            <v>41711</v>
          </cell>
          <cell r="LJ1561">
            <v>19.277162788830484</v>
          </cell>
          <cell r="LK1561">
            <v>20.020152274152959</v>
          </cell>
          <cell r="LL1561">
            <v>17.982747259685677</v>
          </cell>
          <cell r="LM1561">
            <v>15.721193701553757</v>
          </cell>
          <cell r="LN1561">
            <v>20.244300817817596</v>
          </cell>
          <cell r="LY1561">
            <v>11.285351171862857</v>
          </cell>
          <cell r="LZ1561">
            <v>14.730476692982464</v>
          </cell>
          <cell r="MA1561">
            <v>11.870949885755934</v>
          </cell>
          <cell r="MB1561">
            <v>9.6544719773798295</v>
          </cell>
          <cell r="MC1561">
            <v>14.087427794132038</v>
          </cell>
        </row>
        <row r="1562">
          <cell r="A1562">
            <v>41712</v>
          </cell>
          <cell r="LJ1562">
            <v>19.111404813981707</v>
          </cell>
          <cell r="LK1562">
            <v>20.020152274152959</v>
          </cell>
          <cell r="LL1562">
            <v>17.982747259685677</v>
          </cell>
          <cell r="LM1562">
            <v>15.721193701553757</v>
          </cell>
          <cell r="LN1562">
            <v>20.244300817817596</v>
          </cell>
          <cell r="LY1562">
            <v>11.189244788040254</v>
          </cell>
          <cell r="LZ1562">
            <v>14.730476692982464</v>
          </cell>
          <cell r="MA1562">
            <v>11.870949885755934</v>
          </cell>
          <cell r="MB1562">
            <v>9.6544719773798295</v>
          </cell>
          <cell r="MC1562">
            <v>14.087427794132038</v>
          </cell>
        </row>
        <row r="1563">
          <cell r="A1563">
            <v>41715</v>
          </cell>
          <cell r="LJ1563">
            <v>19.385941111797454</v>
          </cell>
          <cell r="LK1563">
            <v>20.020152274152959</v>
          </cell>
          <cell r="LL1563">
            <v>17.982747259685677</v>
          </cell>
          <cell r="LM1563">
            <v>15.721193701553757</v>
          </cell>
          <cell r="LN1563">
            <v>20.244300817817596</v>
          </cell>
          <cell r="LY1563">
            <v>11.348420784460263</v>
          </cell>
          <cell r="LZ1563">
            <v>14.730476692982464</v>
          </cell>
          <cell r="MA1563">
            <v>11.870949885755934</v>
          </cell>
          <cell r="MB1563">
            <v>9.6544719773798295</v>
          </cell>
          <cell r="MC1563">
            <v>14.087427794132038</v>
          </cell>
        </row>
        <row r="1564">
          <cell r="A1564">
            <v>41716</v>
          </cell>
          <cell r="LJ1564">
            <v>19.492131016344022</v>
          </cell>
          <cell r="LK1564">
            <v>20.020152274152959</v>
          </cell>
          <cell r="LL1564">
            <v>17.982747259685677</v>
          </cell>
          <cell r="LM1564">
            <v>15.721193701553757</v>
          </cell>
          <cell r="LN1564">
            <v>20.244300817817596</v>
          </cell>
          <cell r="LY1564">
            <v>11.409989633462844</v>
          </cell>
          <cell r="LZ1564">
            <v>14.730476692982464</v>
          </cell>
          <cell r="MA1564">
            <v>11.870949885755934</v>
          </cell>
          <cell r="MB1564">
            <v>9.6544719773798295</v>
          </cell>
          <cell r="MC1564">
            <v>14.087427794132038</v>
          </cell>
        </row>
        <row r="1565">
          <cell r="A1565">
            <v>41717</v>
          </cell>
          <cell r="LJ1565">
            <v>19.261623731399144</v>
          </cell>
          <cell r="LK1565">
            <v>20.020152274152959</v>
          </cell>
          <cell r="LL1565">
            <v>17.982747259685677</v>
          </cell>
          <cell r="LM1565">
            <v>15.721193701553757</v>
          </cell>
          <cell r="LN1565">
            <v>20.244300817817596</v>
          </cell>
          <cell r="LY1565">
            <v>11.269571764267607</v>
          </cell>
          <cell r="LZ1565">
            <v>14.730476692982464</v>
          </cell>
          <cell r="MA1565">
            <v>11.870949885755934</v>
          </cell>
          <cell r="MB1565">
            <v>9.6544719773798295</v>
          </cell>
          <cell r="MC1565">
            <v>14.087427794132038</v>
          </cell>
        </row>
        <row r="1566">
          <cell r="A1566">
            <v>41718</v>
          </cell>
          <cell r="LJ1566">
            <v>19.360043718734179</v>
          </cell>
          <cell r="LK1566">
            <v>20.020152274152959</v>
          </cell>
          <cell r="LL1566">
            <v>17.982747259685677</v>
          </cell>
          <cell r="LM1566">
            <v>15.721193701553757</v>
          </cell>
          <cell r="LN1566">
            <v>20.244300817817596</v>
          </cell>
          <cell r="LY1566">
            <v>11.326601360602613</v>
          </cell>
          <cell r="LZ1566">
            <v>14.730476692982464</v>
          </cell>
          <cell r="MA1566">
            <v>11.870949885755934</v>
          </cell>
          <cell r="MB1566">
            <v>9.6544719773798295</v>
          </cell>
          <cell r="MC1566">
            <v>14.087427794132038</v>
          </cell>
        </row>
        <row r="1567">
          <cell r="A1567">
            <v>41719</v>
          </cell>
          <cell r="LJ1567">
            <v>19.502489092978713</v>
          </cell>
          <cell r="LK1567">
            <v>20.020152274152959</v>
          </cell>
          <cell r="LL1567">
            <v>17.982747259685677</v>
          </cell>
          <cell r="LM1567">
            <v>15.721193701553757</v>
          </cell>
          <cell r="LN1567">
            <v>20.244300817817596</v>
          </cell>
          <cell r="LY1567">
            <v>11.409141527624801</v>
          </cell>
          <cell r="LZ1567">
            <v>14.730476692982464</v>
          </cell>
          <cell r="MA1567">
            <v>11.870949885755934</v>
          </cell>
          <cell r="MB1567">
            <v>9.6544719773798295</v>
          </cell>
          <cell r="MC1567">
            <v>14.087427794132038</v>
          </cell>
        </row>
        <row r="1568">
          <cell r="A1568">
            <v>41722</v>
          </cell>
          <cell r="LJ1568">
            <v>19.248673092388202</v>
          </cell>
          <cell r="LK1568">
            <v>20.020152274152959</v>
          </cell>
          <cell r="LL1568">
            <v>17.982747259685677</v>
          </cell>
          <cell r="LM1568">
            <v>15.721193701553757</v>
          </cell>
          <cell r="LN1568">
            <v>20.244300817817596</v>
          </cell>
          <cell r="LY1568">
            <v>11.262067498771613</v>
          </cell>
          <cell r="LZ1568">
            <v>14.730476692982464</v>
          </cell>
          <cell r="MA1568">
            <v>11.870949885755934</v>
          </cell>
          <cell r="MB1568">
            <v>9.6544719773798295</v>
          </cell>
          <cell r="MC1568">
            <v>14.087427794132038</v>
          </cell>
        </row>
        <row r="1569">
          <cell r="A1569">
            <v>41723</v>
          </cell>
          <cell r="LJ1569">
            <v>19.277162788830484</v>
          </cell>
          <cell r="LK1569">
            <v>20.020152274152959</v>
          </cell>
          <cell r="LL1569">
            <v>17.982747259685677</v>
          </cell>
          <cell r="LM1569">
            <v>15.721193701553757</v>
          </cell>
          <cell r="LN1569">
            <v>20.244300817817596</v>
          </cell>
          <cell r="LY1569">
            <v>11.27857589235918</v>
          </cell>
          <cell r="LZ1569">
            <v>14.730476692982464</v>
          </cell>
          <cell r="MA1569">
            <v>11.870949885755934</v>
          </cell>
          <cell r="MB1569">
            <v>9.6544719773798295</v>
          </cell>
          <cell r="MC1569">
            <v>14.087427794132038</v>
          </cell>
        </row>
        <row r="1570">
          <cell r="A1570">
            <v>41724</v>
          </cell>
          <cell r="LJ1570">
            <v>19.000033928638494</v>
          </cell>
          <cell r="LK1570">
            <v>20.020152274152959</v>
          </cell>
          <cell r="LL1570">
            <v>17.982747259685677</v>
          </cell>
          <cell r="LM1570">
            <v>15.721193701553757</v>
          </cell>
          <cell r="LN1570">
            <v>20.244300817817596</v>
          </cell>
          <cell r="LY1570">
            <v>11.117993195109593</v>
          </cell>
          <cell r="LZ1570">
            <v>14.730476692982464</v>
          </cell>
          <cell r="MA1570">
            <v>11.870949885755934</v>
          </cell>
          <cell r="MB1570">
            <v>9.6544719773798295</v>
          </cell>
          <cell r="MC1570">
            <v>14.087427794132038</v>
          </cell>
        </row>
        <row r="1571">
          <cell r="A1571">
            <v>41725</v>
          </cell>
          <cell r="LJ1571">
            <v>19.020754225863723</v>
          </cell>
          <cell r="LK1571">
            <v>20.020152274152959</v>
          </cell>
          <cell r="LL1571">
            <v>17.982747259685677</v>
          </cell>
          <cell r="LM1571">
            <v>15.721193701553757</v>
          </cell>
          <cell r="LN1571">
            <v>20.244300817817596</v>
          </cell>
          <cell r="LY1571">
            <v>11.129999599689524</v>
          </cell>
          <cell r="LZ1571">
            <v>14.730476692982464</v>
          </cell>
          <cell r="MA1571">
            <v>11.870949885755934</v>
          </cell>
          <cell r="MB1571">
            <v>9.6544719773798295</v>
          </cell>
          <cell r="MC1571">
            <v>14.087427794132038</v>
          </cell>
        </row>
        <row r="1572">
          <cell r="A1572">
            <v>41726</v>
          </cell>
          <cell r="LJ1572">
            <v>19.132125111206943</v>
          </cell>
          <cell r="LK1572">
            <v>20.020152274152959</v>
          </cell>
          <cell r="LL1572">
            <v>17.982747259685677</v>
          </cell>
          <cell r="LM1572">
            <v>15.721193701553757</v>
          </cell>
          <cell r="LN1572">
            <v>20.244300817817596</v>
          </cell>
          <cell r="LY1572">
            <v>11.194533611596833</v>
          </cell>
          <cell r="LZ1572">
            <v>14.730476692982464</v>
          </cell>
          <cell r="MA1572">
            <v>11.870949885755934</v>
          </cell>
          <cell r="MB1572">
            <v>9.6544719773798295</v>
          </cell>
          <cell r="MC1572">
            <v>14.087427794132038</v>
          </cell>
        </row>
        <row r="1573">
          <cell r="A1573">
            <v>41729</v>
          </cell>
          <cell r="LJ1573">
            <v>19.42479302883028</v>
          </cell>
          <cell r="LK1573">
            <v>20.020152274152959</v>
          </cell>
          <cell r="LL1573">
            <v>17.982747259685677</v>
          </cell>
          <cell r="LM1573">
            <v>15.721193701553757</v>
          </cell>
          <cell r="LN1573">
            <v>20.244300817817596</v>
          </cell>
          <cell r="LY1573">
            <v>11.364120436938</v>
          </cell>
          <cell r="LZ1573">
            <v>14.730476692982464</v>
          </cell>
          <cell r="MA1573">
            <v>11.870949885755934</v>
          </cell>
          <cell r="MB1573">
            <v>9.6544719773798295</v>
          </cell>
          <cell r="MC1573">
            <v>14.087427794132038</v>
          </cell>
        </row>
        <row r="1574">
          <cell r="A1574">
            <v>41730</v>
          </cell>
          <cell r="LJ1574">
            <v>19.314718812477711</v>
          </cell>
          <cell r="LK1574">
            <v>20.020152274152959</v>
          </cell>
          <cell r="LL1574">
            <v>17.982747259685677</v>
          </cell>
          <cell r="LM1574">
            <v>15.721193701553757</v>
          </cell>
          <cell r="LN1574">
            <v>20.244300817817596</v>
          </cell>
          <cell r="LY1574">
            <v>11.325025842537793</v>
          </cell>
          <cell r="LZ1574">
            <v>14.730476692982464</v>
          </cell>
          <cell r="MA1574">
            <v>11.870949885755934</v>
          </cell>
          <cell r="MB1574">
            <v>9.6544719773798295</v>
          </cell>
          <cell r="MC1574">
            <v>14.087427794132038</v>
          </cell>
        </row>
        <row r="1575">
          <cell r="A1575">
            <v>41731</v>
          </cell>
          <cell r="LJ1575">
            <v>19.360912200920193</v>
          </cell>
          <cell r="LK1575">
            <v>20.020152274152959</v>
          </cell>
          <cell r="LL1575">
            <v>17.982747259685677</v>
          </cell>
          <cell r="LM1575">
            <v>15.721193701553757</v>
          </cell>
          <cell r="LN1575">
            <v>20.244300817817596</v>
          </cell>
          <cell r="LY1575">
            <v>11.3518534849182</v>
          </cell>
          <cell r="LZ1575">
            <v>14.730476692982464</v>
          </cell>
          <cell r="MA1575">
            <v>11.870949885755934</v>
          </cell>
          <cell r="MB1575">
            <v>9.6544719773798295</v>
          </cell>
          <cell r="MC1575">
            <v>14.087427794132038</v>
          </cell>
        </row>
        <row r="1576">
          <cell r="A1576">
            <v>41732</v>
          </cell>
          <cell r="LJ1576">
            <v>19.463570477172542</v>
          </cell>
          <cell r="LK1576">
            <v>20.020152274152959</v>
          </cell>
          <cell r="LL1576">
            <v>17.982747259685677</v>
          </cell>
          <cell r="LM1576">
            <v>15.721193701553757</v>
          </cell>
          <cell r="LN1576">
            <v>20.244300817817596</v>
          </cell>
          <cell r="LY1576">
            <v>11.411474127948452</v>
          </cell>
          <cell r="LZ1576">
            <v>14.730476692982464</v>
          </cell>
          <cell r="MA1576">
            <v>11.870949885755934</v>
          </cell>
          <cell r="MB1576">
            <v>9.6544719773798295</v>
          </cell>
          <cell r="MC1576">
            <v>14.087427794132038</v>
          </cell>
        </row>
        <row r="1577">
          <cell r="A1577">
            <v>41733</v>
          </cell>
          <cell r="LJ1577">
            <v>19.350648144110384</v>
          </cell>
          <cell r="LK1577">
            <v>20.020152274152959</v>
          </cell>
          <cell r="LL1577">
            <v>17.982747259685677</v>
          </cell>
          <cell r="LM1577">
            <v>15.721193701553757</v>
          </cell>
          <cell r="LN1577">
            <v>20.244300817817596</v>
          </cell>
          <cell r="LY1577">
            <v>11.345892449048128</v>
          </cell>
          <cell r="LZ1577">
            <v>14.730476692982464</v>
          </cell>
          <cell r="MA1577">
            <v>11.870949885755934</v>
          </cell>
          <cell r="MB1577">
            <v>9.6544719773798295</v>
          </cell>
          <cell r="MC1577">
            <v>14.087427794132038</v>
          </cell>
        </row>
        <row r="1578">
          <cell r="A1578">
            <v>41736</v>
          </cell>
          <cell r="LJ1578">
            <v>18.947721679145541</v>
          </cell>
          <cell r="LK1578">
            <v>20.020152274152959</v>
          </cell>
          <cell r="LL1578">
            <v>17.982747259685677</v>
          </cell>
          <cell r="LM1578">
            <v>15.721193701553757</v>
          </cell>
          <cell r="LN1578">
            <v>20.244300817817596</v>
          </cell>
          <cell r="LY1578">
            <v>11.111885646946174</v>
          </cell>
          <cell r="LZ1578">
            <v>14.730476692982464</v>
          </cell>
          <cell r="MA1578">
            <v>11.870949885755934</v>
          </cell>
          <cell r="MB1578">
            <v>9.6544719773798295</v>
          </cell>
          <cell r="MC1578">
            <v>14.087427794132038</v>
          </cell>
        </row>
        <row r="1579">
          <cell r="A1579">
            <v>41737</v>
          </cell>
          <cell r="LJ1579">
            <v>19.001279671053631</v>
          </cell>
          <cell r="LK1579">
            <v>20.020152274152959</v>
          </cell>
          <cell r="LL1579">
            <v>17.982747259685677</v>
          </cell>
          <cell r="LM1579">
            <v>15.721193701553757</v>
          </cell>
          <cell r="LN1579">
            <v>20.244300817817596</v>
          </cell>
          <cell r="LY1579">
            <v>11.137036715249678</v>
          </cell>
          <cell r="LZ1579">
            <v>14.730476692982464</v>
          </cell>
          <cell r="MA1579">
            <v>11.870949885755934</v>
          </cell>
          <cell r="MB1579">
            <v>9.6544719773798295</v>
          </cell>
          <cell r="MC1579">
            <v>14.087427794132038</v>
          </cell>
        </row>
        <row r="1580">
          <cell r="A1580">
            <v>41738</v>
          </cell>
          <cell r="LJ1580">
            <v>19.407519634136602</v>
          </cell>
          <cell r="LK1580">
            <v>20.020152274152959</v>
          </cell>
          <cell r="LL1580">
            <v>17.982747259685677</v>
          </cell>
          <cell r="LM1580">
            <v>15.721193701553757</v>
          </cell>
          <cell r="LN1580">
            <v>20.244300817817596</v>
          </cell>
          <cell r="LY1580">
            <v>11.37632492858377</v>
          </cell>
          <cell r="LZ1580">
            <v>14.730476692982464</v>
          </cell>
          <cell r="MA1580">
            <v>11.870949885755934</v>
          </cell>
          <cell r="MB1580">
            <v>9.6544719773798295</v>
          </cell>
          <cell r="MC1580">
            <v>14.087427794132038</v>
          </cell>
        </row>
        <row r="1581">
          <cell r="A1581">
            <v>41739</v>
          </cell>
          <cell r="LJ1581">
            <v>19.017572379494837</v>
          </cell>
          <cell r="LK1581">
            <v>20.020152274152959</v>
          </cell>
          <cell r="LL1581">
            <v>17.982747259685677</v>
          </cell>
          <cell r="LM1581">
            <v>15.721193701553757</v>
          </cell>
          <cell r="LN1581">
            <v>20.244300817817596</v>
          </cell>
          <cell r="LY1581">
            <v>11.149906912546601</v>
          </cell>
          <cell r="LZ1581">
            <v>14.730476692982464</v>
          </cell>
          <cell r="MA1581">
            <v>11.870949885755934</v>
          </cell>
          <cell r="MB1581">
            <v>9.6544719773798295</v>
          </cell>
          <cell r="MC1581">
            <v>14.087427794132038</v>
          </cell>
        </row>
        <row r="1582">
          <cell r="A1582">
            <v>41740</v>
          </cell>
          <cell r="LJ1582">
            <v>18.674963573555925</v>
          </cell>
          <cell r="LK1582">
            <v>20.020152274152959</v>
          </cell>
          <cell r="LL1582">
            <v>17.982747259685677</v>
          </cell>
          <cell r="LM1582">
            <v>15.721193701553757</v>
          </cell>
          <cell r="LN1582">
            <v>20.244300817817596</v>
          </cell>
          <cell r="LY1582">
            <v>10.954955479629664</v>
          </cell>
          <cell r="LZ1582">
            <v>14.730476692982464</v>
          </cell>
          <cell r="MA1582">
            <v>11.870949885755934</v>
          </cell>
          <cell r="MB1582">
            <v>9.6544719773798295</v>
          </cell>
          <cell r="MC1582">
            <v>14.087427794132038</v>
          </cell>
        </row>
        <row r="1583">
          <cell r="A1583">
            <v>41743</v>
          </cell>
          <cell r="LJ1583">
            <v>18.621828251959645</v>
          </cell>
          <cell r="LK1583">
            <v>20.020152274152959</v>
          </cell>
          <cell r="LL1583">
            <v>17.982747259685677</v>
          </cell>
          <cell r="LM1583">
            <v>15.721193701553757</v>
          </cell>
          <cell r="LN1583">
            <v>20.244300817817596</v>
          </cell>
          <cell r="LY1583">
            <v>10.921952545263165</v>
          </cell>
          <cell r="LZ1583">
            <v>14.730476692982464</v>
          </cell>
          <cell r="MA1583">
            <v>11.870949885755934</v>
          </cell>
          <cell r="MB1583">
            <v>9.6544719773798295</v>
          </cell>
          <cell r="MC1583">
            <v>14.087427794132038</v>
          </cell>
        </row>
        <row r="1584">
          <cell r="A1584">
            <v>41744</v>
          </cell>
          <cell r="LJ1584">
            <v>18.727008108197801</v>
          </cell>
          <cell r="LK1584">
            <v>20.020152274152959</v>
          </cell>
          <cell r="LL1584">
            <v>17.982747259685677</v>
          </cell>
          <cell r="LM1584">
            <v>15.721193701553757</v>
          </cell>
          <cell r="LN1584">
            <v>20.244300817817596</v>
          </cell>
          <cell r="LY1584">
            <v>10.983034362615594</v>
          </cell>
          <cell r="LZ1584">
            <v>14.730476692982464</v>
          </cell>
          <cell r="MA1584">
            <v>11.870949885755934</v>
          </cell>
          <cell r="MB1584">
            <v>9.6544719773798295</v>
          </cell>
          <cell r="MC1584">
            <v>14.087427794132038</v>
          </cell>
        </row>
        <row r="1585">
          <cell r="A1585">
            <v>41745</v>
          </cell>
          <cell r="LJ1585">
            <v>18.890943119406</v>
          </cell>
          <cell r="LK1585">
            <v>20.020152274152959</v>
          </cell>
          <cell r="LL1585">
            <v>17.982747259685677</v>
          </cell>
          <cell r="LM1585">
            <v>15.721193701553757</v>
          </cell>
          <cell r="LN1585">
            <v>20.244300817817596</v>
          </cell>
          <cell r="LY1585">
            <v>11.013462198132819</v>
          </cell>
          <cell r="LZ1585">
            <v>14.730476692982464</v>
          </cell>
          <cell r="MA1585">
            <v>11.870949885755934</v>
          </cell>
          <cell r="MB1585">
            <v>9.6544719773798295</v>
          </cell>
          <cell r="MC1585">
            <v>14.087427794132038</v>
          </cell>
        </row>
        <row r="1586">
          <cell r="A1586">
            <v>41746</v>
          </cell>
          <cell r="LJ1586">
            <v>18.692761525495616</v>
          </cell>
          <cell r="LK1586">
            <v>20.020152274152959</v>
          </cell>
          <cell r="LL1586">
            <v>17.982747259685677</v>
          </cell>
          <cell r="LM1586">
            <v>15.721193701553757</v>
          </cell>
          <cell r="LN1586">
            <v>20.244300817817596</v>
          </cell>
          <cell r="LY1586">
            <v>10.905309428287355</v>
          </cell>
          <cell r="LZ1586">
            <v>14.730476692982464</v>
          </cell>
          <cell r="MA1586">
            <v>11.870949885755934</v>
          </cell>
          <cell r="MB1586">
            <v>9.6544719773798295</v>
          </cell>
          <cell r="MC1586">
            <v>14.087427794132038</v>
          </cell>
        </row>
        <row r="1587">
          <cell r="A1587">
            <v>41747</v>
          </cell>
          <cell r="LJ1587">
            <v>18.699862927551123</v>
          </cell>
          <cell r="LK1587">
            <v>20.020152274152959</v>
          </cell>
          <cell r="LL1587">
            <v>17.982747259685677</v>
          </cell>
          <cell r="LM1587">
            <v>15.721193701553757</v>
          </cell>
          <cell r="LN1587">
            <v>20.244300817817596</v>
          </cell>
          <cell r="LY1587">
            <v>10.914707281706406</v>
          </cell>
          <cell r="LZ1587">
            <v>14.730476692982464</v>
          </cell>
          <cell r="MA1587">
            <v>11.870949885755934</v>
          </cell>
          <cell r="MB1587">
            <v>9.6544719773798295</v>
          </cell>
          <cell r="MC1587">
            <v>14.087427794132038</v>
          </cell>
        </row>
        <row r="1588">
          <cell r="A1588">
            <v>41750</v>
          </cell>
          <cell r="LJ1588">
            <v>19.157934480779332</v>
          </cell>
          <cell r="LK1588">
            <v>20.020152274152959</v>
          </cell>
          <cell r="LL1588">
            <v>17.982747259685677</v>
          </cell>
          <cell r="LM1588">
            <v>15.721193701553757</v>
          </cell>
          <cell r="LN1588">
            <v>20.244300817817596</v>
          </cell>
          <cell r="LY1588">
            <v>11.181246731902529</v>
          </cell>
          <cell r="LZ1588">
            <v>14.730476692982464</v>
          </cell>
          <cell r="MA1588">
            <v>11.870949885755934</v>
          </cell>
          <cell r="MB1588">
            <v>9.6544719773798295</v>
          </cell>
          <cell r="MC1588">
            <v>14.087427794132038</v>
          </cell>
        </row>
        <row r="1589">
          <cell r="A1589">
            <v>41751</v>
          </cell>
          <cell r="LJ1589">
            <v>18.893350721100369</v>
          </cell>
          <cell r="LK1589">
            <v>20.020152274152959</v>
          </cell>
          <cell r="LL1589">
            <v>17.982747259685677</v>
          </cell>
          <cell r="LM1589">
            <v>15.721193701553757</v>
          </cell>
          <cell r="LN1589">
            <v>20.244300817817596</v>
          </cell>
          <cell r="LY1589">
            <v>11.027438347979068</v>
          </cell>
          <cell r="LZ1589">
            <v>14.730476692982464</v>
          </cell>
          <cell r="MA1589">
            <v>11.870949885755934</v>
          </cell>
          <cell r="MB1589">
            <v>9.6544719773798295</v>
          </cell>
          <cell r="MC1589">
            <v>14.087427794132038</v>
          </cell>
        </row>
        <row r="1590">
          <cell r="A1590">
            <v>41752</v>
          </cell>
          <cell r="LJ1590">
            <v>18.859532700914539</v>
          </cell>
          <cell r="LK1590">
            <v>20.020152274152959</v>
          </cell>
          <cell r="LL1590">
            <v>17.982747259685677</v>
          </cell>
          <cell r="LM1590">
            <v>15.721193701553757</v>
          </cell>
          <cell r="LN1590">
            <v>20.244300817817596</v>
          </cell>
          <cell r="LY1590">
            <v>11.011157214714986</v>
          </cell>
          <cell r="LZ1590">
            <v>14.730476692982464</v>
          </cell>
          <cell r="MA1590">
            <v>11.870949885755934</v>
          </cell>
          <cell r="MB1590">
            <v>9.6544719773798295</v>
          </cell>
          <cell r="MC1590">
            <v>14.087427794132038</v>
          </cell>
        </row>
        <row r="1591">
          <cell r="A1591">
            <v>41753</v>
          </cell>
          <cell r="LJ1591">
            <v>18.930133508090762</v>
          </cell>
          <cell r="LK1591">
            <v>20.020152274152959</v>
          </cell>
          <cell r="LL1591">
            <v>17.982747259685677</v>
          </cell>
          <cell r="LM1591">
            <v>15.721193701553757</v>
          </cell>
          <cell r="LN1591">
            <v>20.244300817817596</v>
          </cell>
          <cell r="LY1591">
            <v>11.053003694099823</v>
          </cell>
          <cell r="LZ1591">
            <v>14.730476692982464</v>
          </cell>
          <cell r="MA1591">
            <v>11.870949885755934</v>
          </cell>
          <cell r="MB1591">
            <v>9.6544719773798295</v>
          </cell>
          <cell r="MC1591">
            <v>14.087427794132038</v>
          </cell>
        </row>
        <row r="1592">
          <cell r="A1592">
            <v>41754</v>
          </cell>
          <cell r="LJ1592">
            <v>18.773367256468475</v>
          </cell>
          <cell r="LK1592">
            <v>20.020152274152959</v>
          </cell>
          <cell r="LL1592">
            <v>17.982747259685677</v>
          </cell>
          <cell r="LM1592">
            <v>15.721193701553757</v>
          </cell>
          <cell r="LN1592">
            <v>20.244300817817596</v>
          </cell>
          <cell r="LY1592">
            <v>10.961837674681069</v>
          </cell>
          <cell r="LZ1592">
            <v>14.730476692982464</v>
          </cell>
          <cell r="MA1592">
            <v>11.870949885755934</v>
          </cell>
          <cell r="MB1592">
            <v>9.6544719773798295</v>
          </cell>
          <cell r="MC1592">
            <v>14.087427794132038</v>
          </cell>
        </row>
        <row r="1593">
          <cell r="A1593">
            <v>41757</v>
          </cell>
          <cell r="LJ1593">
            <v>18.889017385607687</v>
          </cell>
          <cell r="LK1593">
            <v>20.020152274152959</v>
          </cell>
          <cell r="LL1593">
            <v>17.982747259685677</v>
          </cell>
          <cell r="LM1593">
            <v>15.721193701553757</v>
          </cell>
          <cell r="LN1593">
            <v>20.244300817817596</v>
          </cell>
          <cell r="LY1593">
            <v>11.029092978739051</v>
          </cell>
          <cell r="LZ1593">
            <v>14.730476692982464</v>
          </cell>
          <cell r="MA1593">
            <v>11.870949885755934</v>
          </cell>
          <cell r="MB1593">
            <v>9.6544719773798295</v>
          </cell>
          <cell r="MC1593">
            <v>14.087427794132038</v>
          </cell>
        </row>
        <row r="1594">
          <cell r="A1594">
            <v>41758</v>
          </cell>
          <cell r="LJ1594">
            <v>18.863316500265306</v>
          </cell>
          <cell r="LK1594">
            <v>20.020152274152959</v>
          </cell>
          <cell r="LL1594">
            <v>17.982747259685677</v>
          </cell>
          <cell r="LM1594">
            <v>15.721193701553757</v>
          </cell>
          <cell r="LN1594">
            <v>20.244300817817596</v>
          </cell>
          <cell r="LY1594">
            <v>11.014146857440902</v>
          </cell>
          <cell r="LZ1594">
            <v>14.730476692982464</v>
          </cell>
          <cell r="MA1594">
            <v>11.870949885755934</v>
          </cell>
          <cell r="MB1594">
            <v>9.6544719773798295</v>
          </cell>
          <cell r="MC1594">
            <v>14.087427794132038</v>
          </cell>
        </row>
        <row r="1595">
          <cell r="A1595">
            <v>41759</v>
          </cell>
          <cell r="LJ1595">
            <v>18.858175603615216</v>
          </cell>
          <cell r="LK1595">
            <v>20.020152274152959</v>
          </cell>
          <cell r="LL1595">
            <v>17.982747259685677</v>
          </cell>
          <cell r="LM1595">
            <v>15.721193701553757</v>
          </cell>
          <cell r="LN1595">
            <v>20.244300817817596</v>
          </cell>
          <cell r="LY1595">
            <v>11.011157214714986</v>
          </cell>
          <cell r="LZ1595">
            <v>14.730476692982464</v>
          </cell>
          <cell r="MA1595">
            <v>11.870949885755934</v>
          </cell>
          <cell r="MB1595">
            <v>9.6544719773798295</v>
          </cell>
          <cell r="MC1595">
            <v>14.087427794132038</v>
          </cell>
        </row>
        <row r="1596">
          <cell r="A1596">
            <v>41760</v>
          </cell>
          <cell r="LJ1596">
            <v>18.746781135556386</v>
          </cell>
          <cell r="LK1596">
            <v>20.020152274152959</v>
          </cell>
          <cell r="LL1596">
            <v>17.982747259685677</v>
          </cell>
          <cell r="LM1596">
            <v>15.721193701553757</v>
          </cell>
          <cell r="LN1596">
            <v>20.244300817817596</v>
          </cell>
          <cell r="LY1596">
            <v>10.971500709942079</v>
          </cell>
          <cell r="LZ1596">
            <v>14.730476692982464</v>
          </cell>
          <cell r="MA1596">
            <v>11.870949885755934</v>
          </cell>
          <cell r="MB1596">
            <v>9.6544719773798295</v>
          </cell>
          <cell r="MC1596">
            <v>14.087427794132038</v>
          </cell>
        </row>
        <row r="1597">
          <cell r="A1597">
            <v>41761</v>
          </cell>
          <cell r="LJ1597">
            <v>18.663962863966653</v>
          </cell>
          <cell r="LK1597">
            <v>20.020152274152959</v>
          </cell>
          <cell r="LL1597">
            <v>17.982747259685677</v>
          </cell>
          <cell r="LM1597">
            <v>15.721193701553757</v>
          </cell>
          <cell r="LN1597">
            <v>20.244300817817596</v>
          </cell>
          <cell r="LY1597">
            <v>10.922283615606458</v>
          </cell>
          <cell r="LZ1597">
            <v>14.730476692982464</v>
          </cell>
          <cell r="MA1597">
            <v>11.870949885755934</v>
          </cell>
          <cell r="MB1597">
            <v>9.6544719773798295</v>
          </cell>
          <cell r="MC1597">
            <v>14.087427794132038</v>
          </cell>
        </row>
        <row r="1598">
          <cell r="A1598">
            <v>41764</v>
          </cell>
          <cell r="LJ1598">
            <v>18.595188685975874</v>
          </cell>
          <cell r="LK1598">
            <v>20.020152274152959</v>
          </cell>
          <cell r="LL1598">
            <v>17.982747259685677</v>
          </cell>
          <cell r="LM1598">
            <v>15.721193701553757</v>
          </cell>
          <cell r="LN1598">
            <v>20.244300817817596</v>
          </cell>
          <cell r="LY1598">
            <v>10.882198835979141</v>
          </cell>
          <cell r="LZ1598">
            <v>14.730476692982464</v>
          </cell>
          <cell r="MA1598">
            <v>11.870949885755934</v>
          </cell>
          <cell r="MB1598">
            <v>9.6544719773798295</v>
          </cell>
          <cell r="MC1598">
            <v>14.087427794132038</v>
          </cell>
        </row>
        <row r="1599">
          <cell r="A1599">
            <v>41765</v>
          </cell>
          <cell r="LJ1599">
            <v>18.48310758717852</v>
          </cell>
          <cell r="LK1599">
            <v>20.020152274152959</v>
          </cell>
          <cell r="LL1599">
            <v>17.982747259685677</v>
          </cell>
          <cell r="LM1599">
            <v>15.721193701553757</v>
          </cell>
          <cell r="LN1599">
            <v>20.244300817817596</v>
          </cell>
          <cell r="LY1599">
            <v>10.816872774993257</v>
          </cell>
          <cell r="LZ1599">
            <v>14.730476692982464</v>
          </cell>
          <cell r="MA1599">
            <v>11.870949885755934</v>
          </cell>
          <cell r="MB1599">
            <v>9.6544719773798295</v>
          </cell>
          <cell r="MC1599">
            <v>14.087427794132038</v>
          </cell>
        </row>
        <row r="1600">
          <cell r="A1600">
            <v>41766</v>
          </cell>
          <cell r="LJ1600">
            <v>18.546789740212684</v>
          </cell>
          <cell r="LK1600">
            <v>20.020152274152959</v>
          </cell>
          <cell r="LL1600">
            <v>17.982747259685677</v>
          </cell>
          <cell r="LM1600">
            <v>15.721193701553757</v>
          </cell>
          <cell r="LN1600">
            <v>20.244300817817596</v>
          </cell>
          <cell r="LY1600">
            <v>10.853989686385638</v>
          </cell>
          <cell r="LZ1600">
            <v>14.730476692982464</v>
          </cell>
          <cell r="MA1600">
            <v>11.870949885755934</v>
          </cell>
          <cell r="MB1600">
            <v>9.6544719773798295</v>
          </cell>
          <cell r="MC1600">
            <v>14.087427794132038</v>
          </cell>
        </row>
        <row r="1601">
          <cell r="A1601">
            <v>41767</v>
          </cell>
          <cell r="LJ1601">
            <v>18.663962863966653</v>
          </cell>
          <cell r="LK1601">
            <v>20.020152274152959</v>
          </cell>
          <cell r="LL1601">
            <v>17.982747259685677</v>
          </cell>
          <cell r="LM1601">
            <v>15.721193701553757</v>
          </cell>
          <cell r="LN1601">
            <v>20.244300817817596</v>
          </cell>
          <cell r="LY1601">
            <v>10.922283615606458</v>
          </cell>
          <cell r="LZ1601">
            <v>14.730476692982464</v>
          </cell>
          <cell r="MA1601">
            <v>11.870949885755934</v>
          </cell>
          <cell r="MB1601">
            <v>9.6544719773798295</v>
          </cell>
          <cell r="MC1601">
            <v>14.087427794132038</v>
          </cell>
        </row>
        <row r="1602">
          <cell r="A1602">
            <v>41768</v>
          </cell>
          <cell r="LJ1602">
            <v>18.857558901748018</v>
          </cell>
          <cell r="LK1602">
            <v>20.020152274152959</v>
          </cell>
          <cell r="LL1602">
            <v>17.982747259685677</v>
          </cell>
          <cell r="LM1602">
            <v>15.721193701553757</v>
          </cell>
          <cell r="LN1602">
            <v>20.244300817817596</v>
          </cell>
          <cell r="LY1602">
            <v>11.035120362448112</v>
          </cell>
          <cell r="LZ1602">
            <v>14.730476692982464</v>
          </cell>
          <cell r="MA1602">
            <v>11.870949885755934</v>
          </cell>
          <cell r="MB1602">
            <v>9.6544719773798295</v>
          </cell>
          <cell r="MC1602">
            <v>14.087427794132038</v>
          </cell>
        </row>
        <row r="1603">
          <cell r="A1603">
            <v>41771</v>
          </cell>
          <cell r="LJ1603">
            <v>19.122475129998467</v>
          </cell>
          <cell r="LK1603">
            <v>20.020152274152959</v>
          </cell>
          <cell r="LL1603">
            <v>17.982747259685677</v>
          </cell>
          <cell r="LM1603">
            <v>15.721193701553757</v>
          </cell>
          <cell r="LN1603">
            <v>20.244300817817596</v>
          </cell>
          <cell r="LY1603">
            <v>11.189525823034545</v>
          </cell>
          <cell r="LZ1603">
            <v>14.730476692982464</v>
          </cell>
          <cell r="MA1603">
            <v>11.870949885755934</v>
          </cell>
          <cell r="MB1603">
            <v>9.6544719773798295</v>
          </cell>
          <cell r="MC1603">
            <v>14.087427794132038</v>
          </cell>
        </row>
        <row r="1604">
          <cell r="A1604">
            <v>41772</v>
          </cell>
          <cell r="LJ1604">
            <v>19.265122388609161</v>
          </cell>
          <cell r="LK1604">
            <v>20.020152274152959</v>
          </cell>
          <cell r="LL1604">
            <v>17.982747259685677</v>
          </cell>
          <cell r="LM1604">
            <v>15.721193701553757</v>
          </cell>
          <cell r="LN1604">
            <v>20.244300817817596</v>
          </cell>
          <cell r="LY1604">
            <v>11.272667259150545</v>
          </cell>
          <cell r="LZ1604">
            <v>14.730476692982464</v>
          </cell>
          <cell r="MA1604">
            <v>11.870949885755934</v>
          </cell>
          <cell r="MB1604">
            <v>9.6544719773798295</v>
          </cell>
          <cell r="MC1604">
            <v>14.087427794132038</v>
          </cell>
        </row>
        <row r="1605">
          <cell r="A1605">
            <v>41773</v>
          </cell>
          <cell r="LJ1605">
            <v>19.158136880968986</v>
          </cell>
          <cell r="LK1605">
            <v>20.020152274152959</v>
          </cell>
          <cell r="LL1605">
            <v>17.982747259685677</v>
          </cell>
          <cell r="LM1605">
            <v>15.721193701553757</v>
          </cell>
          <cell r="LN1605">
            <v>20.244300817817596</v>
          </cell>
          <cell r="LY1605">
            <v>11.210311144946633</v>
          </cell>
          <cell r="LZ1605">
            <v>14.730476692982464</v>
          </cell>
          <cell r="MA1605">
            <v>11.870949885755934</v>
          </cell>
          <cell r="MB1605">
            <v>9.6544719773798295</v>
          </cell>
          <cell r="MC1605">
            <v>14.087427794132038</v>
          </cell>
        </row>
        <row r="1606">
          <cell r="A1606">
            <v>41774</v>
          </cell>
          <cell r="LJ1606">
            <v>19.097000485684518</v>
          </cell>
          <cell r="LK1606">
            <v>20.020152274152959</v>
          </cell>
          <cell r="LL1606">
            <v>17.982747259685677</v>
          </cell>
          <cell r="LM1606">
            <v>15.721193701553757</v>
          </cell>
          <cell r="LN1606">
            <v>20.244300817817596</v>
          </cell>
          <cell r="LY1606">
            <v>11.174678019204075</v>
          </cell>
          <cell r="LZ1606">
            <v>14.730476692982464</v>
          </cell>
          <cell r="MA1606">
            <v>11.870949885755934</v>
          </cell>
          <cell r="MB1606">
            <v>9.6544719773798295</v>
          </cell>
          <cell r="MC1606">
            <v>14.087427794132038</v>
          </cell>
        </row>
        <row r="1607">
          <cell r="A1607">
            <v>41775</v>
          </cell>
          <cell r="LJ1607">
            <v>19.186157283032628</v>
          </cell>
          <cell r="LK1607">
            <v>20.020152274152959</v>
          </cell>
          <cell r="LL1607">
            <v>17.982747259685677</v>
          </cell>
          <cell r="LM1607">
            <v>15.721193701553757</v>
          </cell>
          <cell r="LN1607">
            <v>20.244300817817596</v>
          </cell>
          <cell r="LY1607">
            <v>11.226642734426926</v>
          </cell>
          <cell r="LZ1607">
            <v>14.730476692982464</v>
          </cell>
          <cell r="MA1607">
            <v>11.870949885755934</v>
          </cell>
          <cell r="MB1607">
            <v>9.6544719773798295</v>
          </cell>
          <cell r="MC1607">
            <v>14.087427794132038</v>
          </cell>
        </row>
        <row r="1608">
          <cell r="A1608">
            <v>41778</v>
          </cell>
          <cell r="LJ1608">
            <v>19.313521589100958</v>
          </cell>
          <cell r="LK1608">
            <v>20.020152274152959</v>
          </cell>
          <cell r="LL1608">
            <v>17.982747259685677</v>
          </cell>
          <cell r="LM1608">
            <v>15.721193701553757</v>
          </cell>
          <cell r="LN1608">
            <v>20.244300817817596</v>
          </cell>
          <cell r="LY1608">
            <v>11.300876557211691</v>
          </cell>
          <cell r="LZ1608">
            <v>14.730476692982464</v>
          </cell>
          <cell r="MA1608">
            <v>11.870949885755934</v>
          </cell>
          <cell r="MB1608">
            <v>9.6544719773798295</v>
          </cell>
          <cell r="MC1608">
            <v>14.087427794132038</v>
          </cell>
        </row>
        <row r="1609">
          <cell r="A1609">
            <v>41779</v>
          </cell>
          <cell r="LJ1609">
            <v>19.053697131078508</v>
          </cell>
          <cell r="LK1609">
            <v>20.020152274152959</v>
          </cell>
          <cell r="LL1609">
            <v>17.982747259685677</v>
          </cell>
          <cell r="LM1609">
            <v>15.721193701553757</v>
          </cell>
          <cell r="LN1609">
            <v>20.244300817817596</v>
          </cell>
          <cell r="LY1609">
            <v>11.149438816392546</v>
          </cell>
          <cell r="LZ1609">
            <v>14.730476692982464</v>
          </cell>
          <cell r="MA1609">
            <v>11.870949885755934</v>
          </cell>
          <cell r="MB1609">
            <v>9.6544719773798295</v>
          </cell>
          <cell r="MC1609">
            <v>14.087427794132038</v>
          </cell>
        </row>
        <row r="1610">
          <cell r="A1610">
            <v>41780</v>
          </cell>
          <cell r="LJ1610">
            <v>19.4316263649084</v>
          </cell>
          <cell r="LK1610">
            <v>20.020152274152959</v>
          </cell>
          <cell r="LL1610">
            <v>17.982747259685677</v>
          </cell>
          <cell r="LM1610">
            <v>15.721193701553757</v>
          </cell>
          <cell r="LN1610">
            <v>20.244300817817596</v>
          </cell>
          <cell r="LY1610">
            <v>11.364688209980885</v>
          </cell>
          <cell r="LZ1610">
            <v>14.730476692982464</v>
          </cell>
          <cell r="MA1610">
            <v>11.870949885755934</v>
          </cell>
          <cell r="MB1610">
            <v>9.6544719773798295</v>
          </cell>
          <cell r="MC1610">
            <v>14.087427794132038</v>
          </cell>
        </row>
        <row r="1611">
          <cell r="A1611">
            <v>41781</v>
          </cell>
          <cell r="LJ1611">
            <v>19.877422728101713</v>
          </cell>
          <cell r="LK1611">
            <v>20.020152274152959</v>
          </cell>
          <cell r="LL1611">
            <v>17.982747259685677</v>
          </cell>
          <cell r="LM1611">
            <v>15.721193701553757</v>
          </cell>
          <cell r="LN1611">
            <v>20.244300817817596</v>
          </cell>
          <cell r="LY1611">
            <v>11.624404109283772</v>
          </cell>
          <cell r="LZ1611">
            <v>14.730476692982464</v>
          </cell>
          <cell r="MA1611">
            <v>11.870949885755934</v>
          </cell>
          <cell r="MB1611">
            <v>9.6544719773798295</v>
          </cell>
          <cell r="MC1611">
            <v>14.087427794132038</v>
          </cell>
        </row>
        <row r="1612">
          <cell r="A1612">
            <v>41782</v>
          </cell>
          <cell r="LJ1612">
            <v>19.97677163189908</v>
          </cell>
          <cell r="LK1612">
            <v>20.020152274152959</v>
          </cell>
          <cell r="LL1612">
            <v>17.982747259685677</v>
          </cell>
          <cell r="LM1612">
            <v>15.721193701553757</v>
          </cell>
          <cell r="LN1612">
            <v>20.244300817817596</v>
          </cell>
          <cell r="LY1612">
            <v>11.682283652556986</v>
          </cell>
          <cell r="LZ1612">
            <v>14.730476692982464</v>
          </cell>
          <cell r="MA1612">
            <v>11.870949885755934</v>
          </cell>
          <cell r="MB1612">
            <v>9.6544719773798295</v>
          </cell>
          <cell r="MC1612">
            <v>14.087427794132038</v>
          </cell>
        </row>
        <row r="1613">
          <cell r="A1613">
            <v>41785</v>
          </cell>
          <cell r="LJ1613">
            <v>19.97677163189908</v>
          </cell>
          <cell r="LK1613">
            <v>20.020152274152959</v>
          </cell>
          <cell r="LL1613">
            <v>17.982747259685677</v>
          </cell>
          <cell r="LM1613">
            <v>15.721193701553757</v>
          </cell>
          <cell r="LN1613">
            <v>20.244300817817596</v>
          </cell>
          <cell r="LY1613">
            <v>11.682283652556986</v>
          </cell>
          <cell r="LZ1613">
            <v>14.730476692982464</v>
          </cell>
          <cell r="MA1613">
            <v>11.870949885755934</v>
          </cell>
          <cell r="MB1613">
            <v>9.6544719773798295</v>
          </cell>
          <cell r="MC1613">
            <v>14.087427794132038</v>
          </cell>
        </row>
        <row r="1614">
          <cell r="A1614">
            <v>41786</v>
          </cell>
          <cell r="LJ1614">
            <v>20.035360737357738</v>
          </cell>
          <cell r="LK1614">
            <v>20.020152274152959</v>
          </cell>
          <cell r="LL1614">
            <v>17.982747259685677</v>
          </cell>
          <cell r="LM1614">
            <v>15.721193701553757</v>
          </cell>
          <cell r="LN1614">
            <v>20.244300817817596</v>
          </cell>
          <cell r="LY1614">
            <v>11.716417000134223</v>
          </cell>
          <cell r="LZ1614">
            <v>14.730476692982464</v>
          </cell>
          <cell r="MA1614">
            <v>11.870949885755934</v>
          </cell>
          <cell r="MB1614">
            <v>9.6544719773798295</v>
          </cell>
          <cell r="MC1614">
            <v>14.087427794132038</v>
          </cell>
        </row>
        <row r="1615">
          <cell r="A1615">
            <v>41787</v>
          </cell>
          <cell r="LJ1615">
            <v>20.043002705985984</v>
          </cell>
          <cell r="LK1615">
            <v>20.020152274152959</v>
          </cell>
          <cell r="LL1615">
            <v>17.982747259685677</v>
          </cell>
          <cell r="LM1615">
            <v>15.721193701553757</v>
          </cell>
          <cell r="LN1615">
            <v>20.244300817817596</v>
          </cell>
          <cell r="LY1615">
            <v>11.726514438778747</v>
          </cell>
          <cell r="LZ1615">
            <v>14.730476692982464</v>
          </cell>
          <cell r="MA1615">
            <v>11.870949885755934</v>
          </cell>
          <cell r="MB1615">
            <v>9.6544719773798295</v>
          </cell>
          <cell r="MC1615">
            <v>14.087427794132038</v>
          </cell>
        </row>
        <row r="1616">
          <cell r="A1616">
            <v>41788</v>
          </cell>
          <cell r="LJ1616">
            <v>20.009885131016301</v>
          </cell>
          <cell r="LK1616">
            <v>20.020152274152959</v>
          </cell>
          <cell r="LL1616">
            <v>17.982747259685677</v>
          </cell>
          <cell r="LM1616">
            <v>15.721193701553757</v>
          </cell>
          <cell r="LN1616">
            <v>20.244300817817596</v>
          </cell>
          <cell r="LY1616">
            <v>11.707211222793504</v>
          </cell>
          <cell r="LZ1616">
            <v>14.730476692982464</v>
          </cell>
          <cell r="MA1616">
            <v>11.870949885755934</v>
          </cell>
          <cell r="MB1616">
            <v>9.6544719773798295</v>
          </cell>
          <cell r="MC1616">
            <v>14.087427794132038</v>
          </cell>
        </row>
        <row r="1617">
          <cell r="A1617">
            <v>41789</v>
          </cell>
          <cell r="LJ1617">
            <v>19.97931751124408</v>
          </cell>
          <cell r="LK1617">
            <v>20.020152274152959</v>
          </cell>
          <cell r="LL1617">
            <v>17.982747259685677</v>
          </cell>
          <cell r="LM1617">
            <v>15.721193701553757</v>
          </cell>
          <cell r="LN1617">
            <v>20.244300817817596</v>
          </cell>
          <cell r="LY1617">
            <v>11.689394297274106</v>
          </cell>
          <cell r="LZ1617">
            <v>14.730476692982464</v>
          </cell>
          <cell r="MA1617">
            <v>11.870949885755934</v>
          </cell>
          <cell r="MB1617">
            <v>9.6544719773798295</v>
          </cell>
          <cell r="MC1617">
            <v>14.087427794132038</v>
          </cell>
        </row>
        <row r="1618">
          <cell r="A1618">
            <v>41792</v>
          </cell>
          <cell r="LJ1618">
            <v>19.853447024444428</v>
          </cell>
          <cell r="LK1618">
            <v>20.020152274152959</v>
          </cell>
          <cell r="LL1618">
            <v>17.982747259685677</v>
          </cell>
          <cell r="LM1618">
            <v>15.721193701553757</v>
          </cell>
          <cell r="LN1618">
            <v>20.244300817817596</v>
          </cell>
          <cell r="LY1618">
            <v>11.642230680617123</v>
          </cell>
          <cell r="LZ1618">
            <v>14.730476692982464</v>
          </cell>
          <cell r="MA1618">
            <v>11.870949885755934</v>
          </cell>
          <cell r="MB1618">
            <v>9.6544719773798295</v>
          </cell>
          <cell r="MC1618">
            <v>14.087427794132038</v>
          </cell>
        </row>
        <row r="1619">
          <cell r="A1619">
            <v>41793</v>
          </cell>
          <cell r="LJ1619">
            <v>19.891314495616662</v>
          </cell>
          <cell r="LK1619">
            <v>20.020152274152959</v>
          </cell>
          <cell r="LL1619">
            <v>17.982747259685677</v>
          </cell>
          <cell r="LM1619">
            <v>15.721193701553757</v>
          </cell>
          <cell r="LN1619">
            <v>20.244300817817596</v>
          </cell>
          <cell r="LY1619">
            <v>11.66435300401268</v>
          </cell>
          <cell r="LZ1619">
            <v>14.730476692982464</v>
          </cell>
          <cell r="MA1619">
            <v>11.870949885755934</v>
          </cell>
          <cell r="MB1619">
            <v>9.6544719773798295</v>
          </cell>
          <cell r="MC1619">
            <v>14.087427794132038</v>
          </cell>
        </row>
        <row r="1620">
          <cell r="A1620">
            <v>41794</v>
          </cell>
          <cell r="LJ1620">
            <v>19.801328504397418</v>
          </cell>
          <cell r="LK1620">
            <v>20.020152274152959</v>
          </cell>
          <cell r="LL1620">
            <v>17.982747259685677</v>
          </cell>
          <cell r="LM1620">
            <v>15.721193701553757</v>
          </cell>
          <cell r="LN1620">
            <v>20.244300817817596</v>
          </cell>
          <cell r="LY1620">
            <v>11.611257156547287</v>
          </cell>
          <cell r="LZ1620">
            <v>14.730476692982464</v>
          </cell>
          <cell r="MA1620">
            <v>11.870949885755934</v>
          </cell>
          <cell r="MB1620">
            <v>9.6544719773798295</v>
          </cell>
          <cell r="MC1620">
            <v>14.087427794132038</v>
          </cell>
        </row>
        <row r="1621">
          <cell r="A1621">
            <v>41795</v>
          </cell>
          <cell r="LJ1621">
            <v>20.071474647455279</v>
          </cell>
          <cell r="LK1621">
            <v>20.020152274152959</v>
          </cell>
          <cell r="LL1621">
            <v>17.982747259685677</v>
          </cell>
          <cell r="LM1621">
            <v>15.721193701553757</v>
          </cell>
          <cell r="LN1621">
            <v>20.244300817817596</v>
          </cell>
          <cell r="LY1621">
            <v>11.769070408340756</v>
          </cell>
          <cell r="LZ1621">
            <v>14.730476692982464</v>
          </cell>
          <cell r="MA1621">
            <v>11.870949885755934</v>
          </cell>
          <cell r="MB1621">
            <v>9.6544719773798295</v>
          </cell>
          <cell r="MC1621">
            <v>14.087427794132038</v>
          </cell>
        </row>
        <row r="1622">
          <cell r="A1622">
            <v>41796</v>
          </cell>
          <cell r="LJ1622">
            <v>20.291123737485311</v>
          </cell>
          <cell r="LK1622">
            <v>20.020152274152959</v>
          </cell>
          <cell r="LL1622">
            <v>17.982747259685677</v>
          </cell>
          <cell r="LM1622">
            <v>15.721193701553757</v>
          </cell>
          <cell r="LN1622">
            <v>20.244300817817596</v>
          </cell>
          <cell r="LY1622">
            <v>11.897384426667093</v>
          </cell>
          <cell r="LZ1622">
            <v>14.730476692982464</v>
          </cell>
          <cell r="MA1622">
            <v>11.870949885755934</v>
          </cell>
          <cell r="MB1622">
            <v>9.6544719773798295</v>
          </cell>
          <cell r="MC1622">
            <v>14.087427794132038</v>
          </cell>
        </row>
        <row r="1623">
          <cell r="A1623">
            <v>41799</v>
          </cell>
          <cell r="LJ1623">
            <v>20.336566565972664</v>
          </cell>
          <cell r="LK1623">
            <v>20.020152274152959</v>
          </cell>
          <cell r="LL1623">
            <v>17.982747259685677</v>
          </cell>
          <cell r="LM1623">
            <v>15.721193701553757</v>
          </cell>
          <cell r="LN1623">
            <v>20.244300817817596</v>
          </cell>
          <cell r="LY1623">
            <v>11.923931096751318</v>
          </cell>
          <cell r="LZ1623">
            <v>14.730476692982464</v>
          </cell>
          <cell r="MA1623">
            <v>11.870949885755934</v>
          </cell>
          <cell r="MB1623">
            <v>9.6544719773798295</v>
          </cell>
          <cell r="MC1623">
            <v>14.087427794132038</v>
          </cell>
        </row>
        <row r="1624">
          <cell r="A1624">
            <v>41800</v>
          </cell>
          <cell r="LJ1624">
            <v>20.306271262823966</v>
          </cell>
          <cell r="LK1624">
            <v>20.020152274152959</v>
          </cell>
          <cell r="LL1624">
            <v>17.982747259685677</v>
          </cell>
          <cell r="LM1624">
            <v>15.721193701553757</v>
          </cell>
          <cell r="LN1624">
            <v>20.244300817817596</v>
          </cell>
          <cell r="LY1624">
            <v>11.906233267532482</v>
          </cell>
          <cell r="LZ1624">
            <v>14.730476692982464</v>
          </cell>
          <cell r="MA1624">
            <v>11.870949885755934</v>
          </cell>
          <cell r="MB1624">
            <v>9.6544719773798295</v>
          </cell>
          <cell r="MC1624">
            <v>14.087427794132038</v>
          </cell>
        </row>
        <row r="1625">
          <cell r="A1625">
            <v>41801</v>
          </cell>
          <cell r="LJ1625">
            <v>20.22043200377697</v>
          </cell>
          <cell r="LK1625">
            <v>20.020152274152959</v>
          </cell>
          <cell r="LL1625">
            <v>17.982747259685677</v>
          </cell>
          <cell r="LM1625">
            <v>15.721193701553757</v>
          </cell>
          <cell r="LN1625">
            <v>20.244300817817596</v>
          </cell>
          <cell r="LY1625">
            <v>11.856025426060199</v>
          </cell>
          <cell r="LZ1625">
            <v>14.730476692982464</v>
          </cell>
          <cell r="MA1625">
            <v>11.870949885755934</v>
          </cell>
          <cell r="MB1625">
            <v>9.6544719773798295</v>
          </cell>
          <cell r="MC1625">
            <v>14.087427794132038</v>
          </cell>
        </row>
        <row r="1626">
          <cell r="A1626">
            <v>41802</v>
          </cell>
          <cell r="LJ1626">
            <v>20.230529091645849</v>
          </cell>
          <cell r="LK1626">
            <v>20.020152274152959</v>
          </cell>
          <cell r="LL1626">
            <v>17.982747259685677</v>
          </cell>
          <cell r="LM1626">
            <v>15.721193701553757</v>
          </cell>
          <cell r="LN1626">
            <v>20.244300817817596</v>
          </cell>
          <cell r="LY1626">
            <v>11.861923884773013</v>
          </cell>
          <cell r="LZ1626">
            <v>14.730476692982464</v>
          </cell>
          <cell r="MA1626">
            <v>11.870949885755934</v>
          </cell>
          <cell r="MB1626">
            <v>9.6544719773798295</v>
          </cell>
          <cell r="MC1626">
            <v>14.087427794132038</v>
          </cell>
        </row>
        <row r="1627">
          <cell r="A1627">
            <v>41803</v>
          </cell>
          <cell r="LJ1627">
            <v>20.265875084735708</v>
          </cell>
          <cell r="LK1627">
            <v>20.020152274152959</v>
          </cell>
          <cell r="LL1627">
            <v>17.982747259685677</v>
          </cell>
          <cell r="LM1627">
            <v>15.721193701553757</v>
          </cell>
          <cell r="LN1627">
            <v>20.244300817817596</v>
          </cell>
          <cell r="LY1627">
            <v>11.882572103706178</v>
          </cell>
          <cell r="LZ1627">
            <v>14.730476692982464</v>
          </cell>
          <cell r="MA1627">
            <v>11.870949885755934</v>
          </cell>
          <cell r="MB1627">
            <v>9.6544719773798295</v>
          </cell>
          <cell r="MC1627">
            <v>14.087427794132038</v>
          </cell>
        </row>
        <row r="1628">
          <cell r="A1628">
            <v>41806</v>
          </cell>
          <cell r="LJ1628">
            <v>20.21538156630719</v>
          </cell>
          <cell r="LK1628">
            <v>20.020152274152959</v>
          </cell>
          <cell r="LL1628">
            <v>17.982747259685677</v>
          </cell>
          <cell r="LM1628">
            <v>15.721193701553757</v>
          </cell>
          <cell r="LN1628">
            <v>20.244300817817596</v>
          </cell>
          <cell r="LY1628">
            <v>11.853075090549204</v>
          </cell>
          <cell r="LZ1628">
            <v>14.730476692982464</v>
          </cell>
          <cell r="MA1628">
            <v>11.870949885755934</v>
          </cell>
          <cell r="MB1628">
            <v>9.6544719773798295</v>
          </cell>
          <cell r="MC1628">
            <v>14.087427794132038</v>
          </cell>
        </row>
        <row r="1629">
          <cell r="A1629">
            <v>41807</v>
          </cell>
          <cell r="LJ1629">
            <v>20.239480493906949</v>
          </cell>
          <cell r="LK1629">
            <v>20.020152274152959</v>
          </cell>
          <cell r="LL1629">
            <v>17.982747259685677</v>
          </cell>
          <cell r="LM1629">
            <v>15.721193701553757</v>
          </cell>
          <cell r="LN1629">
            <v>20.244300817817596</v>
          </cell>
          <cell r="LY1629">
            <v>11.867824703282277</v>
          </cell>
          <cell r="LZ1629">
            <v>14.730476692982464</v>
          </cell>
          <cell r="MA1629">
            <v>11.870949885755934</v>
          </cell>
          <cell r="MB1629">
            <v>9.6544719773798295</v>
          </cell>
          <cell r="MC1629">
            <v>14.087427794132038</v>
          </cell>
        </row>
        <row r="1630">
          <cell r="A1630">
            <v>41808</v>
          </cell>
          <cell r="LJ1630">
            <v>20.365709012968718</v>
          </cell>
          <cell r="LK1630">
            <v>20.020152274152959</v>
          </cell>
          <cell r="LL1630">
            <v>17.982747259685677</v>
          </cell>
          <cell r="LM1630">
            <v>15.721193701553757</v>
          </cell>
          <cell r="LN1630">
            <v>20.244300817817596</v>
          </cell>
          <cell r="LY1630">
            <v>11.941568342329296</v>
          </cell>
          <cell r="LZ1630">
            <v>14.730476692982464</v>
          </cell>
          <cell r="MA1630">
            <v>11.870949885755934</v>
          </cell>
          <cell r="MB1630">
            <v>9.6544719773798295</v>
          </cell>
          <cell r="MC1630">
            <v>14.087427794132038</v>
          </cell>
        </row>
        <row r="1631">
          <cell r="A1631">
            <v>41809</v>
          </cell>
          <cell r="LJ1631">
            <v>20.221806481581996</v>
          </cell>
          <cell r="LK1631">
            <v>20.020152274152959</v>
          </cell>
          <cell r="LL1631">
            <v>17.982747259685677</v>
          </cell>
          <cell r="LM1631">
            <v>15.721193701553757</v>
          </cell>
          <cell r="LN1631">
            <v>20.244300817817596</v>
          </cell>
          <cell r="LY1631">
            <v>11.85749941391747</v>
          </cell>
          <cell r="LZ1631">
            <v>14.730476692982464</v>
          </cell>
          <cell r="MA1631">
            <v>11.870949885755934</v>
          </cell>
          <cell r="MB1631">
            <v>9.6544719773798295</v>
          </cell>
          <cell r="MC1631">
            <v>14.087427794132038</v>
          </cell>
        </row>
        <row r="1632">
          <cell r="A1632">
            <v>41810</v>
          </cell>
          <cell r="LJ1632">
            <v>20.368232068607725</v>
          </cell>
          <cell r="LK1632">
            <v>20.020152274152959</v>
          </cell>
          <cell r="LL1632">
            <v>17.982747259685677</v>
          </cell>
          <cell r="LM1632">
            <v>15.721193701553757</v>
          </cell>
          <cell r="LN1632">
            <v>20.244300817817596</v>
          </cell>
          <cell r="LY1632">
            <v>11.943042330186564</v>
          </cell>
          <cell r="LZ1632">
            <v>14.730476692982464</v>
          </cell>
          <cell r="MA1632">
            <v>11.870949885755934</v>
          </cell>
          <cell r="MB1632">
            <v>9.6544719773798295</v>
          </cell>
          <cell r="MC1632">
            <v>14.087427794132038</v>
          </cell>
        </row>
        <row r="1633">
          <cell r="A1633">
            <v>41813</v>
          </cell>
          <cell r="LJ1633">
            <v>20.279870590522258</v>
          </cell>
          <cell r="LK1633">
            <v>20.020152274152959</v>
          </cell>
          <cell r="LL1633">
            <v>17.982747259685677</v>
          </cell>
          <cell r="LM1633">
            <v>15.721193701553757</v>
          </cell>
          <cell r="LN1633">
            <v>20.244300817817596</v>
          </cell>
          <cell r="LY1633">
            <v>11.891420897929986</v>
          </cell>
          <cell r="LZ1633">
            <v>14.730476692982464</v>
          </cell>
          <cell r="MA1633">
            <v>11.870949885755934</v>
          </cell>
          <cell r="MB1633">
            <v>9.6544719773798295</v>
          </cell>
          <cell r="MC1633">
            <v>14.087427794132038</v>
          </cell>
        </row>
        <row r="1634">
          <cell r="A1634">
            <v>41814</v>
          </cell>
          <cell r="LJ1634">
            <v>20.007220271290333</v>
          </cell>
          <cell r="LK1634">
            <v>20.020152274152959</v>
          </cell>
          <cell r="LL1634">
            <v>17.982747259685677</v>
          </cell>
          <cell r="LM1634">
            <v>15.721193701553757</v>
          </cell>
          <cell r="LN1634">
            <v>20.244300817817596</v>
          </cell>
          <cell r="LY1634">
            <v>11.732136554923045</v>
          </cell>
          <cell r="LZ1634">
            <v>14.730476692982464</v>
          </cell>
          <cell r="MA1634">
            <v>11.870949885755934</v>
          </cell>
          <cell r="MB1634">
            <v>9.6544719773798295</v>
          </cell>
          <cell r="MC1634">
            <v>14.087427794132038</v>
          </cell>
        </row>
        <row r="1635">
          <cell r="A1635">
            <v>41815</v>
          </cell>
          <cell r="LJ1635">
            <v>20.067807688326642</v>
          </cell>
          <cell r="LK1635">
            <v>20.020152274152959</v>
          </cell>
          <cell r="LL1635">
            <v>17.982747259685677</v>
          </cell>
          <cell r="LM1635">
            <v>15.721193701553757</v>
          </cell>
          <cell r="LN1635">
            <v>20.244300817817596</v>
          </cell>
          <cell r="LY1635">
            <v>11.767532174280111</v>
          </cell>
          <cell r="LZ1635">
            <v>14.730476692982464</v>
          </cell>
          <cell r="MA1635">
            <v>11.870949885755934</v>
          </cell>
          <cell r="MB1635">
            <v>9.6544719773798295</v>
          </cell>
          <cell r="MC1635">
            <v>14.087427794132038</v>
          </cell>
        </row>
        <row r="1636">
          <cell r="A1636">
            <v>41816</v>
          </cell>
          <cell r="LJ1636">
            <v>19.969349443458462</v>
          </cell>
          <cell r="LK1636">
            <v>20.020152274152959</v>
          </cell>
          <cell r="LL1636">
            <v>17.982747259685677</v>
          </cell>
          <cell r="LM1636">
            <v>15.721193701553757</v>
          </cell>
          <cell r="LN1636">
            <v>20.244300817817596</v>
          </cell>
          <cell r="LY1636">
            <v>11.710012135823439</v>
          </cell>
          <cell r="LZ1636">
            <v>14.730476692982464</v>
          </cell>
          <cell r="MA1636">
            <v>11.870949885755934</v>
          </cell>
          <cell r="MB1636">
            <v>9.6544719773798295</v>
          </cell>
          <cell r="MC1636">
            <v>14.087427794132038</v>
          </cell>
        </row>
        <row r="1637">
          <cell r="A1637">
            <v>41817</v>
          </cell>
          <cell r="LJ1637">
            <v>19.992069819518463</v>
          </cell>
          <cell r="LK1637">
            <v>20.020152274152959</v>
          </cell>
          <cell r="LL1637">
            <v>17.982747259685677</v>
          </cell>
          <cell r="LM1637">
            <v>15.721193701553757</v>
          </cell>
          <cell r="LN1637">
            <v>20.244300817817596</v>
          </cell>
          <cell r="LY1637">
            <v>11.723285548390065</v>
          </cell>
          <cell r="LZ1637">
            <v>14.730476692982464</v>
          </cell>
          <cell r="MA1637">
            <v>11.870949885755934</v>
          </cell>
          <cell r="MB1637">
            <v>9.6544719773798295</v>
          </cell>
          <cell r="MC1637">
            <v>14.087427794132038</v>
          </cell>
        </row>
        <row r="1638">
          <cell r="A1638">
            <v>41820</v>
          </cell>
          <cell r="LJ1638">
            <v>19.87594160163794</v>
          </cell>
          <cell r="LK1638">
            <v>20.020152274152959</v>
          </cell>
          <cell r="LL1638">
            <v>17.982747259685677</v>
          </cell>
          <cell r="LM1638">
            <v>15.721193701553757</v>
          </cell>
          <cell r="LN1638">
            <v>20.244300817817596</v>
          </cell>
          <cell r="LY1638">
            <v>11.655442580365035</v>
          </cell>
          <cell r="LZ1638">
            <v>14.730476692982464</v>
          </cell>
          <cell r="MA1638">
            <v>11.870949885755934</v>
          </cell>
          <cell r="MB1638">
            <v>9.6544719773798295</v>
          </cell>
          <cell r="MC1638">
            <v>14.087427794132038</v>
          </cell>
        </row>
        <row r="1639">
          <cell r="A1639">
            <v>41821</v>
          </cell>
          <cell r="LJ1639">
            <v>19.891891531227206</v>
          </cell>
          <cell r="LK1639">
            <v>20.020152274152959</v>
          </cell>
          <cell r="LL1639">
            <v>17.982747259685677</v>
          </cell>
          <cell r="LM1639">
            <v>15.721193701553757</v>
          </cell>
          <cell r="LN1639">
            <v>20.244300817817596</v>
          </cell>
          <cell r="LY1639">
            <v>11.690863876360655</v>
          </cell>
          <cell r="LZ1639">
            <v>14.730476692982464</v>
          </cell>
          <cell r="MA1639">
            <v>11.870949885755934</v>
          </cell>
          <cell r="MB1639">
            <v>9.6544719773798295</v>
          </cell>
          <cell r="MC1639">
            <v>14.087427794132038</v>
          </cell>
        </row>
        <row r="1640">
          <cell r="A1640">
            <v>41822</v>
          </cell>
          <cell r="LJ1640">
            <v>19.709233924476123</v>
          </cell>
          <cell r="LK1640">
            <v>20.020152274152959</v>
          </cell>
          <cell r="LL1640">
            <v>17.982747259685677</v>
          </cell>
          <cell r="LM1640">
            <v>15.721193701553757</v>
          </cell>
          <cell r="LN1640">
            <v>20.244300817817596</v>
          </cell>
          <cell r="LY1640">
            <v>11.58391158289426</v>
          </cell>
          <cell r="LZ1640">
            <v>14.730476692982464</v>
          </cell>
          <cell r="MA1640">
            <v>11.870949885755934</v>
          </cell>
          <cell r="MB1640">
            <v>9.6544719773798295</v>
          </cell>
          <cell r="MC1640">
            <v>14.087427794132038</v>
          </cell>
        </row>
        <row r="1641">
          <cell r="A1641">
            <v>41823</v>
          </cell>
          <cell r="LJ1641">
            <v>19.879380156985242</v>
          </cell>
          <cell r="LK1641">
            <v>20.020152274152959</v>
          </cell>
          <cell r="LL1641">
            <v>17.982747259685677</v>
          </cell>
          <cell r="LM1641">
            <v>15.721193701553757</v>
          </cell>
          <cell r="LN1641">
            <v>20.244300817817596</v>
          </cell>
          <cell r="LY1641">
            <v>11.683538037632147</v>
          </cell>
          <cell r="LZ1641">
            <v>14.730476692982464</v>
          </cell>
          <cell r="MA1641">
            <v>11.870949885755934</v>
          </cell>
          <cell r="MB1641">
            <v>9.6544719773798295</v>
          </cell>
          <cell r="MC1641">
            <v>14.087427794132038</v>
          </cell>
        </row>
        <row r="1642">
          <cell r="A1642">
            <v>41824</v>
          </cell>
          <cell r="LJ1642">
            <v>19.879380156985242</v>
          </cell>
          <cell r="LK1642">
            <v>20.020152274152959</v>
          </cell>
          <cell r="LL1642">
            <v>17.982747259685677</v>
          </cell>
          <cell r="LM1642">
            <v>15.721193701553757</v>
          </cell>
          <cell r="LN1642">
            <v>20.244300817817596</v>
          </cell>
          <cell r="LY1642">
            <v>11.683538037632147</v>
          </cell>
          <cell r="LZ1642">
            <v>14.730476692982464</v>
          </cell>
          <cell r="MA1642">
            <v>11.870949885755934</v>
          </cell>
          <cell r="MB1642">
            <v>9.6544719773798295</v>
          </cell>
          <cell r="MC1642">
            <v>14.087427794132038</v>
          </cell>
        </row>
        <row r="1643">
          <cell r="A1643">
            <v>41827</v>
          </cell>
          <cell r="LJ1643">
            <v>19.650637375511575</v>
          </cell>
          <cell r="LK1643">
            <v>20.020152274152959</v>
          </cell>
          <cell r="LL1643">
            <v>17.982747259685677</v>
          </cell>
          <cell r="LM1643">
            <v>15.721193701553757</v>
          </cell>
          <cell r="LN1643">
            <v>20.244300817817596</v>
          </cell>
          <cell r="LY1643">
            <v>11.545820239570476</v>
          </cell>
          <cell r="LZ1643">
            <v>14.730476692982464</v>
          </cell>
          <cell r="MA1643">
            <v>11.870949885755934</v>
          </cell>
          <cell r="MB1643">
            <v>9.6544719773798295</v>
          </cell>
          <cell r="MC1643">
            <v>14.087427794132038</v>
          </cell>
        </row>
        <row r="1644">
          <cell r="A1644">
            <v>41828</v>
          </cell>
          <cell r="LJ1644">
            <v>19.57054131239725</v>
          </cell>
          <cell r="LK1644">
            <v>20.020152274152959</v>
          </cell>
          <cell r="LL1644">
            <v>17.982747259685677</v>
          </cell>
          <cell r="LM1644">
            <v>15.721193701553757</v>
          </cell>
          <cell r="LN1644">
            <v>20.244300817817596</v>
          </cell>
          <cell r="LY1644">
            <v>11.498936659105411</v>
          </cell>
          <cell r="LZ1644">
            <v>14.730476692982464</v>
          </cell>
          <cell r="MA1644">
            <v>11.870949885755934</v>
          </cell>
          <cell r="MB1644">
            <v>9.6544719773798295</v>
          </cell>
          <cell r="MC1644">
            <v>14.087427794132038</v>
          </cell>
        </row>
        <row r="1645">
          <cell r="A1645">
            <v>41829</v>
          </cell>
          <cell r="LJ1645">
            <v>19.589467876549968</v>
          </cell>
          <cell r="LK1645">
            <v>20.020152274152959</v>
          </cell>
          <cell r="LL1645">
            <v>17.982747259685677</v>
          </cell>
          <cell r="LM1645">
            <v>15.721193701553757</v>
          </cell>
          <cell r="LN1645">
            <v>20.244300817817596</v>
          </cell>
          <cell r="LY1645">
            <v>11.513264819842021</v>
          </cell>
          <cell r="LZ1645">
            <v>14.730476692982464</v>
          </cell>
          <cell r="MA1645">
            <v>11.870949885755934</v>
          </cell>
          <cell r="MB1645">
            <v>9.6544719773798295</v>
          </cell>
          <cell r="MC1645">
            <v>14.087427794132038</v>
          </cell>
        </row>
        <row r="1646">
          <cell r="A1646">
            <v>41830</v>
          </cell>
          <cell r="LJ1646">
            <v>19.515624697024954</v>
          </cell>
          <cell r="LK1646">
            <v>20.020152274152959</v>
          </cell>
          <cell r="LL1646">
            <v>17.982747259685677</v>
          </cell>
          <cell r="LM1646">
            <v>15.721193701553757</v>
          </cell>
          <cell r="LN1646">
            <v>20.244300817817596</v>
          </cell>
          <cell r="LY1646">
            <v>11.469358369362343</v>
          </cell>
          <cell r="LZ1646">
            <v>14.730476692982464</v>
          </cell>
          <cell r="MA1646">
            <v>11.870949885755934</v>
          </cell>
          <cell r="MB1646">
            <v>9.6544719773798295</v>
          </cell>
          <cell r="MC1646">
            <v>14.087427794132038</v>
          </cell>
        </row>
        <row r="1647">
          <cell r="A1647">
            <v>41831</v>
          </cell>
          <cell r="LJ1647">
            <v>19.611986383206364</v>
          </cell>
          <cell r="LK1647">
            <v>20.020152274152959</v>
          </cell>
          <cell r="LL1647">
            <v>17.982747259685677</v>
          </cell>
          <cell r="LM1647">
            <v>15.721193701553757</v>
          </cell>
          <cell r="LN1647">
            <v>20.244300817817596</v>
          </cell>
          <cell r="LY1647">
            <v>11.545169895833835</v>
          </cell>
          <cell r="LZ1647">
            <v>14.730476692982464</v>
          </cell>
          <cell r="MA1647">
            <v>11.870949885755934</v>
          </cell>
          <cell r="MB1647">
            <v>9.6544719773798295</v>
          </cell>
          <cell r="MC1647">
            <v>14.087427794132038</v>
          </cell>
        </row>
        <row r="1648">
          <cell r="A1648">
            <v>41834</v>
          </cell>
          <cell r="LJ1648">
            <v>19.719581587552135</v>
          </cell>
          <cell r="LK1648">
            <v>20.020152274152959</v>
          </cell>
          <cell r="LL1648">
            <v>17.982747259685677</v>
          </cell>
          <cell r="LM1648">
            <v>15.721193701553757</v>
          </cell>
          <cell r="LN1648">
            <v>20.244300817817596</v>
          </cell>
          <cell r="LY1648">
            <v>11.608270438036579</v>
          </cell>
          <cell r="LZ1648">
            <v>14.730476692982464</v>
          </cell>
          <cell r="MA1648">
            <v>11.870949885755934</v>
          </cell>
          <cell r="MB1648">
            <v>9.6544719773798295</v>
          </cell>
          <cell r="MC1648">
            <v>14.087427794132038</v>
          </cell>
        </row>
        <row r="1649">
          <cell r="A1649">
            <v>41835</v>
          </cell>
          <cell r="LJ1649">
            <v>19.576956288386722</v>
          </cell>
          <cell r="LK1649">
            <v>20.020152274152959</v>
          </cell>
          <cell r="LL1649">
            <v>17.982747259685677</v>
          </cell>
          <cell r="LM1649">
            <v>15.721193701553757</v>
          </cell>
          <cell r="LN1649">
            <v>20.244300817817596</v>
          </cell>
          <cell r="LY1649">
            <v>11.5246260622125</v>
          </cell>
          <cell r="LZ1649">
            <v>14.730476692982464</v>
          </cell>
          <cell r="MA1649">
            <v>11.870949885755934</v>
          </cell>
          <cell r="MB1649">
            <v>9.6544719773798295</v>
          </cell>
          <cell r="MC1649">
            <v>14.087427794132038</v>
          </cell>
        </row>
        <row r="1650">
          <cell r="A1650">
            <v>41836</v>
          </cell>
          <cell r="LJ1650">
            <v>19.668734250137685</v>
          </cell>
          <cell r="LK1650">
            <v>20.020152274152959</v>
          </cell>
          <cell r="LL1650">
            <v>17.982747259685677</v>
          </cell>
          <cell r="LM1650">
            <v>15.721193701553757</v>
          </cell>
          <cell r="LN1650">
            <v>20.244300817817596</v>
          </cell>
          <cell r="LY1650">
            <v>11.562780489287331</v>
          </cell>
          <cell r="LZ1650">
            <v>14.730476692982464</v>
          </cell>
          <cell r="MA1650">
            <v>11.870949885755934</v>
          </cell>
          <cell r="MB1650">
            <v>9.6544719773798295</v>
          </cell>
          <cell r="MC1650">
            <v>14.087427794132038</v>
          </cell>
        </row>
        <row r="1651">
          <cell r="A1651">
            <v>41837</v>
          </cell>
          <cell r="LJ1651">
            <v>18.648347488210742</v>
          </cell>
          <cell r="LK1651">
            <v>20.020152274152959</v>
          </cell>
          <cell r="LL1651">
            <v>17.982747259685677</v>
          </cell>
          <cell r="LM1651">
            <v>15.721193701553757</v>
          </cell>
          <cell r="LN1651">
            <v>20.244300817817596</v>
          </cell>
          <cell r="LY1651">
            <v>10.835440436346413</v>
          </cell>
          <cell r="LZ1651">
            <v>14.730476692982464</v>
          </cell>
          <cell r="MA1651">
            <v>11.870949885755934</v>
          </cell>
          <cell r="MB1651">
            <v>9.6544719773798295</v>
          </cell>
          <cell r="MC1651">
            <v>14.087427794132038</v>
          </cell>
        </row>
        <row r="1652">
          <cell r="A1652">
            <v>41838</v>
          </cell>
          <cell r="LJ1652">
            <v>18.984626687422725</v>
          </cell>
          <cell r="LK1652">
            <v>20.020152274152959</v>
          </cell>
          <cell r="LL1652">
            <v>17.982747259685677</v>
          </cell>
          <cell r="LM1652">
            <v>15.721193701553757</v>
          </cell>
          <cell r="LN1652">
            <v>20.244300817817596</v>
          </cell>
          <cell r="LY1652">
            <v>11.099893419692545</v>
          </cell>
          <cell r="LZ1652">
            <v>14.730476692982464</v>
          </cell>
          <cell r="MA1652">
            <v>11.870949885755934</v>
          </cell>
          <cell r="MB1652">
            <v>9.6544719773798295</v>
          </cell>
          <cell r="MC1652">
            <v>14.087427794132038</v>
          </cell>
        </row>
        <row r="1653">
          <cell r="A1653">
            <v>41841</v>
          </cell>
          <cell r="LJ1653">
            <v>18.999281111643175</v>
          </cell>
          <cell r="LK1653">
            <v>20.020152274152959</v>
          </cell>
          <cell r="LL1653">
            <v>17.982747259685677</v>
          </cell>
          <cell r="LM1653">
            <v>15.721193701553757</v>
          </cell>
          <cell r="LN1653">
            <v>20.244300817817596</v>
          </cell>
          <cell r="LY1653">
            <v>11.10582658613423</v>
          </cell>
          <cell r="LZ1653">
            <v>14.730476692982464</v>
          </cell>
          <cell r="MA1653">
            <v>11.870949885755934</v>
          </cell>
          <cell r="MB1653">
            <v>9.6544719773798295</v>
          </cell>
          <cell r="MC1653">
            <v>14.087427794132038</v>
          </cell>
        </row>
        <row r="1654">
          <cell r="A1654">
            <v>41842</v>
          </cell>
          <cell r="LJ1654">
            <v>19.170012834807999</v>
          </cell>
          <cell r="LK1654">
            <v>20.020152274152959</v>
          </cell>
          <cell r="LL1654">
            <v>17.982747259685677</v>
          </cell>
          <cell r="LM1654">
            <v>15.721193701553757</v>
          </cell>
          <cell r="LN1654">
            <v>20.244300817817596</v>
          </cell>
          <cell r="LY1654">
            <v>11.203880279968669</v>
          </cell>
          <cell r="LZ1654">
            <v>14.730476692982464</v>
          </cell>
          <cell r="MA1654">
            <v>11.870949885755934</v>
          </cell>
          <cell r="MB1654">
            <v>9.6544719773798295</v>
          </cell>
          <cell r="MC1654">
            <v>14.087427794132038</v>
          </cell>
        </row>
        <row r="1655">
          <cell r="A1655">
            <v>41843</v>
          </cell>
          <cell r="LJ1655">
            <v>19.133816367460952</v>
          </cell>
          <cell r="LK1655">
            <v>20.020152274152959</v>
          </cell>
          <cell r="LL1655">
            <v>17.982747259685677</v>
          </cell>
          <cell r="LM1655">
            <v>15.721193701553757</v>
          </cell>
          <cell r="LN1655">
            <v>20.244300817817596</v>
          </cell>
          <cell r="LY1655">
            <v>11.18121366406365</v>
          </cell>
          <cell r="LZ1655">
            <v>14.730476692982464</v>
          </cell>
          <cell r="MA1655">
            <v>11.870949885755934</v>
          </cell>
          <cell r="MB1655">
            <v>9.6544719773798295</v>
          </cell>
          <cell r="MC1655">
            <v>14.087427794132038</v>
          </cell>
        </row>
        <row r="1656">
          <cell r="A1656">
            <v>41844</v>
          </cell>
          <cell r="LJ1656">
            <v>19.246225911603148</v>
          </cell>
          <cell r="LK1656">
            <v>20.020152274152959</v>
          </cell>
          <cell r="LL1656">
            <v>17.982747259685677</v>
          </cell>
          <cell r="LM1656">
            <v>15.721193701553757</v>
          </cell>
          <cell r="LN1656">
            <v>20.244300817817596</v>
          </cell>
          <cell r="LY1656">
            <v>11.247312043818916</v>
          </cell>
          <cell r="LZ1656">
            <v>14.730476692982464</v>
          </cell>
          <cell r="MA1656">
            <v>11.870949885755934</v>
          </cell>
          <cell r="MB1656">
            <v>9.6544719773798295</v>
          </cell>
          <cell r="MC1656">
            <v>14.087427794132038</v>
          </cell>
        </row>
        <row r="1657">
          <cell r="A1657">
            <v>41845</v>
          </cell>
          <cell r="LJ1657">
            <v>19.175291256398694</v>
          </cell>
          <cell r="LK1657">
            <v>20.020152274152959</v>
          </cell>
          <cell r="LL1657">
            <v>17.982747259685677</v>
          </cell>
          <cell r="LM1657">
            <v>15.721193701553757</v>
          </cell>
          <cell r="LN1657">
            <v>20.244300817817596</v>
          </cell>
          <cell r="LY1657">
            <v>11.205714951952908</v>
          </cell>
          <cell r="LZ1657">
            <v>14.730476692982464</v>
          </cell>
          <cell r="MA1657">
            <v>11.870949885755934</v>
          </cell>
          <cell r="MB1657">
            <v>9.6544719773798295</v>
          </cell>
          <cell r="MC1657">
            <v>14.087427794132038</v>
          </cell>
        </row>
        <row r="1658">
          <cell r="A1658">
            <v>41848</v>
          </cell>
          <cell r="LJ1658">
            <v>19.053689135099557</v>
          </cell>
          <cell r="LK1658">
            <v>20.020152274152959</v>
          </cell>
          <cell r="LL1658">
            <v>17.982747259685677</v>
          </cell>
          <cell r="LM1658">
            <v>15.721193701553757</v>
          </cell>
          <cell r="LN1658">
            <v>20.244300817817596</v>
          </cell>
          <cell r="LY1658">
            <v>11.134405736503814</v>
          </cell>
          <cell r="LZ1658">
            <v>14.730476692982464</v>
          </cell>
          <cell r="MA1658">
            <v>11.870949885755934</v>
          </cell>
          <cell r="MB1658">
            <v>9.6544719773798295</v>
          </cell>
          <cell r="MC1658">
            <v>14.087427794132038</v>
          </cell>
        </row>
        <row r="1659">
          <cell r="A1659">
            <v>41849</v>
          </cell>
          <cell r="LJ1659">
            <v>18.807834991348564</v>
          </cell>
          <cell r="LK1659">
            <v>20.020152274152959</v>
          </cell>
          <cell r="LL1659">
            <v>17.982747259685677</v>
          </cell>
          <cell r="LM1659">
            <v>15.721193701553757</v>
          </cell>
          <cell r="LN1659">
            <v>20.244300817817596</v>
          </cell>
          <cell r="LY1659">
            <v>10.992585058339099</v>
          </cell>
          <cell r="LZ1659">
            <v>14.730476692982464</v>
          </cell>
          <cell r="MA1659">
            <v>11.870949885755934</v>
          </cell>
          <cell r="MB1659">
            <v>9.6544719773798295</v>
          </cell>
          <cell r="MC1659">
            <v>14.087427794132038</v>
          </cell>
        </row>
        <row r="1660">
          <cell r="A1660">
            <v>41850</v>
          </cell>
          <cell r="LJ1660">
            <v>18.836534123389978</v>
          </cell>
          <cell r="LK1660">
            <v>20.020152274152959</v>
          </cell>
          <cell r="LL1660">
            <v>17.982747259685677</v>
          </cell>
          <cell r="LM1660">
            <v>15.721193701553757</v>
          </cell>
          <cell r="LN1660">
            <v>20.244300817817596</v>
          </cell>
          <cell r="LY1660">
            <v>11.005989201654904</v>
          </cell>
          <cell r="LZ1660">
            <v>14.730476692982464</v>
          </cell>
          <cell r="MA1660">
            <v>11.870949885755934</v>
          </cell>
          <cell r="MB1660">
            <v>9.6544719773798295</v>
          </cell>
          <cell r="MC1660">
            <v>14.087427794132038</v>
          </cell>
        </row>
        <row r="1661">
          <cell r="A1661">
            <v>41851</v>
          </cell>
          <cell r="LJ1661">
            <v>18.762882181927903</v>
          </cell>
          <cell r="LK1661">
            <v>20.020152274152959</v>
          </cell>
          <cell r="LL1661">
            <v>17.982747259685677</v>
          </cell>
          <cell r="LM1661">
            <v>15.721193701553757</v>
          </cell>
          <cell r="LN1661">
            <v>20.244300817817596</v>
          </cell>
          <cell r="LY1661">
            <v>10.96280249100662</v>
          </cell>
          <cell r="LZ1661">
            <v>14.730476692982464</v>
          </cell>
          <cell r="MA1661">
            <v>11.870949885755934</v>
          </cell>
          <cell r="MB1661">
            <v>9.6544719773798295</v>
          </cell>
          <cell r="MC1661">
            <v>14.087427794132038</v>
          </cell>
        </row>
        <row r="1662">
          <cell r="A1662">
            <v>41852</v>
          </cell>
          <cell r="LJ1662">
            <v>18.470201122216455</v>
          </cell>
          <cell r="LK1662">
            <v>20.020152274152959</v>
          </cell>
          <cell r="LL1662">
            <v>17.982747259685677</v>
          </cell>
          <cell r="LM1662">
            <v>15.721193701553757</v>
          </cell>
          <cell r="LN1662">
            <v>20.244300817817596</v>
          </cell>
          <cell r="LY1662">
            <v>10.817508990838267</v>
          </cell>
          <cell r="LZ1662">
            <v>14.730476692982464</v>
          </cell>
          <cell r="MA1662">
            <v>11.870949885755934</v>
          </cell>
          <cell r="MB1662">
            <v>9.6544719773798295</v>
          </cell>
          <cell r="MC1662">
            <v>14.087427794132038</v>
          </cell>
        </row>
        <row r="1663">
          <cell r="A1663">
            <v>41855</v>
          </cell>
          <cell r="LJ1663">
            <v>18.649036886452752</v>
          </cell>
          <cell r="LK1663">
            <v>20.020152274152959</v>
          </cell>
          <cell r="LL1663">
            <v>17.982747259685677</v>
          </cell>
          <cell r="LM1663">
            <v>15.721193701553757</v>
          </cell>
          <cell r="LN1663">
            <v>20.244300817817596</v>
          </cell>
          <cell r="LY1663">
            <v>10.915207416109324</v>
          </cell>
          <cell r="LZ1663">
            <v>14.730476692982464</v>
          </cell>
          <cell r="MA1663">
            <v>11.870949885755934</v>
          </cell>
          <cell r="MB1663">
            <v>9.6544719773798295</v>
          </cell>
          <cell r="MC1663">
            <v>14.087427794132038</v>
          </cell>
        </row>
        <row r="1664">
          <cell r="A1664">
            <v>41856</v>
          </cell>
          <cell r="LJ1664">
            <v>18.538150217153927</v>
          </cell>
          <cell r="LK1664">
            <v>20.020152274152959</v>
          </cell>
          <cell r="LL1664">
            <v>17.982747259685677</v>
          </cell>
          <cell r="LM1664">
            <v>15.721193701553757</v>
          </cell>
          <cell r="LN1664">
            <v>20.244300817817596</v>
          </cell>
          <cell r="LY1664">
            <v>10.850075132595286</v>
          </cell>
          <cell r="LZ1664">
            <v>14.730476692982464</v>
          </cell>
          <cell r="MA1664">
            <v>11.870949885755934</v>
          </cell>
          <cell r="MB1664">
            <v>9.6544719773798295</v>
          </cell>
          <cell r="MC1664">
            <v>14.087427794132038</v>
          </cell>
        </row>
        <row r="1665">
          <cell r="A1665">
            <v>41857</v>
          </cell>
          <cell r="LJ1665">
            <v>18.666676103193204</v>
          </cell>
          <cell r="LK1665">
            <v>20.020152274152959</v>
          </cell>
          <cell r="LL1665">
            <v>17.982747259685677</v>
          </cell>
          <cell r="LM1665">
            <v>15.721193701553757</v>
          </cell>
          <cell r="LN1665">
            <v>20.244300817817596</v>
          </cell>
          <cell r="LY1665">
            <v>10.925568287014453</v>
          </cell>
          <cell r="LZ1665">
            <v>14.730476692982464</v>
          </cell>
          <cell r="MA1665">
            <v>11.870949885755934</v>
          </cell>
          <cell r="MB1665">
            <v>9.6544719773798295</v>
          </cell>
          <cell r="MC1665">
            <v>14.087427794132038</v>
          </cell>
        </row>
        <row r="1666">
          <cell r="A1666">
            <v>41858</v>
          </cell>
          <cell r="LJ1666">
            <v>18.638954309861493</v>
          </cell>
          <cell r="LK1666">
            <v>20.020152274152959</v>
          </cell>
          <cell r="LL1666">
            <v>17.982747259685677</v>
          </cell>
          <cell r="LM1666">
            <v>15.721193701553757</v>
          </cell>
          <cell r="LN1666">
            <v>20.244300817817596</v>
          </cell>
          <cell r="LY1666">
            <v>10.909285142122322</v>
          </cell>
          <cell r="LZ1666">
            <v>14.730476692982464</v>
          </cell>
          <cell r="MA1666">
            <v>11.870949885755934</v>
          </cell>
          <cell r="MB1666">
            <v>9.6544719773798295</v>
          </cell>
          <cell r="MC1666">
            <v>14.087427794132038</v>
          </cell>
        </row>
        <row r="1667">
          <cell r="A1667">
            <v>41859</v>
          </cell>
          <cell r="LJ1667">
            <v>18.868288068818512</v>
          </cell>
          <cell r="LK1667">
            <v>20.020152274152959</v>
          </cell>
          <cell r="LL1667">
            <v>17.982747259685677</v>
          </cell>
          <cell r="LM1667">
            <v>15.721193701553757</v>
          </cell>
          <cell r="LN1667">
            <v>20.244300817817596</v>
          </cell>
          <cell r="LY1667">
            <v>11.043990526477186</v>
          </cell>
          <cell r="LZ1667">
            <v>14.730476692982464</v>
          </cell>
          <cell r="MA1667">
            <v>11.870949885755934</v>
          </cell>
          <cell r="MB1667">
            <v>9.6544719773798295</v>
          </cell>
          <cell r="MC1667">
            <v>14.087427794132038</v>
          </cell>
        </row>
        <row r="1668">
          <cell r="A1668">
            <v>41862</v>
          </cell>
          <cell r="LJ1668">
            <v>18.953971824835357</v>
          </cell>
          <cell r="LK1668">
            <v>20.020152274152959</v>
          </cell>
          <cell r="LL1668">
            <v>17.982747259685677</v>
          </cell>
          <cell r="LM1668">
            <v>15.721193701553757</v>
          </cell>
          <cell r="LN1668">
            <v>20.244300817817596</v>
          </cell>
          <cell r="LY1668">
            <v>11.094319197405135</v>
          </cell>
          <cell r="LZ1668">
            <v>14.730476692982464</v>
          </cell>
          <cell r="MA1668">
            <v>11.870949885755934</v>
          </cell>
          <cell r="MB1668">
            <v>9.6544719773798295</v>
          </cell>
          <cell r="MC1668">
            <v>14.087427794132038</v>
          </cell>
        </row>
        <row r="1669">
          <cell r="A1669">
            <v>41863</v>
          </cell>
          <cell r="LJ1669">
            <v>18.734720894483605</v>
          </cell>
          <cell r="LK1669">
            <v>20.020152274152959</v>
          </cell>
          <cell r="LL1669">
            <v>17.982747259685677</v>
          </cell>
          <cell r="LM1669">
            <v>15.721193701553757</v>
          </cell>
          <cell r="LN1669">
            <v>20.244300817817596</v>
          </cell>
          <cell r="LY1669">
            <v>10.96234798898239</v>
          </cell>
          <cell r="LZ1669">
            <v>14.730476692982464</v>
          </cell>
          <cell r="MA1669">
            <v>11.870949885755934</v>
          </cell>
          <cell r="MB1669">
            <v>9.6544719773798295</v>
          </cell>
          <cell r="MC1669">
            <v>14.087427794132038</v>
          </cell>
        </row>
        <row r="1670">
          <cell r="A1670">
            <v>41864</v>
          </cell>
          <cell r="LJ1670">
            <v>18.845607563782433</v>
          </cell>
          <cell r="LK1670">
            <v>20.020152274152959</v>
          </cell>
          <cell r="LL1670">
            <v>17.982747259685677</v>
          </cell>
          <cell r="LM1670">
            <v>15.721193701553757</v>
          </cell>
          <cell r="LN1670">
            <v>20.244300817817596</v>
          </cell>
          <cell r="LY1670">
            <v>11.027461335187455</v>
          </cell>
          <cell r="LZ1670">
            <v>14.730476692982464</v>
          </cell>
          <cell r="MA1670">
            <v>11.870949885755934</v>
          </cell>
          <cell r="MB1670">
            <v>9.6544719773798295</v>
          </cell>
          <cell r="MC1670">
            <v>14.087427794132038</v>
          </cell>
        </row>
        <row r="1671">
          <cell r="A1671">
            <v>41865</v>
          </cell>
          <cell r="LJ1671">
            <v>18.870806696854235</v>
          </cell>
          <cell r="LK1671">
            <v>20.020152274152959</v>
          </cell>
          <cell r="LL1671">
            <v>17.982747259685677</v>
          </cell>
          <cell r="LM1671">
            <v>15.721193701553757</v>
          </cell>
          <cell r="LN1671">
            <v>20.244300817817596</v>
          </cell>
          <cell r="LY1671">
            <v>11.042258423837941</v>
          </cell>
          <cell r="LZ1671">
            <v>14.730476692982464</v>
          </cell>
          <cell r="MA1671">
            <v>11.870949885755934</v>
          </cell>
          <cell r="MB1671">
            <v>9.6544719773798295</v>
          </cell>
          <cell r="MC1671">
            <v>14.087427794132038</v>
          </cell>
        </row>
        <row r="1672">
          <cell r="A1672">
            <v>41866</v>
          </cell>
          <cell r="LJ1672">
            <v>18.943052533052462</v>
          </cell>
          <cell r="LK1672">
            <v>20.020152274152959</v>
          </cell>
          <cell r="LL1672">
            <v>17.982747259685677</v>
          </cell>
          <cell r="LM1672">
            <v>15.721193701553757</v>
          </cell>
          <cell r="LN1672">
            <v>20.244300817817596</v>
          </cell>
          <cell r="LY1672">
            <v>11.082214751147255</v>
          </cell>
          <cell r="LZ1672">
            <v>14.730476692982464</v>
          </cell>
          <cell r="MA1672">
            <v>11.870949885755934</v>
          </cell>
          <cell r="MB1672">
            <v>9.6544719773798295</v>
          </cell>
          <cell r="MC1672">
            <v>14.087427794132038</v>
          </cell>
        </row>
        <row r="1673">
          <cell r="A1673">
            <v>41869</v>
          </cell>
          <cell r="LJ1673">
            <v>19.230412235139458</v>
          </cell>
          <cell r="LK1673">
            <v>20.020152274152959</v>
          </cell>
          <cell r="LL1673">
            <v>17.982747259685677</v>
          </cell>
          <cell r="LM1673">
            <v>15.721193701553757</v>
          </cell>
          <cell r="LN1673">
            <v>20.244300817817596</v>
          </cell>
          <cell r="LY1673">
            <v>11.250916744942225</v>
          </cell>
          <cell r="LZ1673">
            <v>14.730476692982464</v>
          </cell>
          <cell r="MA1673">
            <v>11.870949885755934</v>
          </cell>
          <cell r="MB1673">
            <v>9.6544719773798295</v>
          </cell>
          <cell r="MC1673">
            <v>14.087427794132038</v>
          </cell>
        </row>
        <row r="1674">
          <cell r="A1674">
            <v>41870</v>
          </cell>
          <cell r="LJ1674">
            <v>19.318638217497934</v>
          </cell>
          <cell r="LK1674">
            <v>20.020152274152959</v>
          </cell>
          <cell r="LL1674">
            <v>17.982747259685677</v>
          </cell>
          <cell r="LM1674">
            <v>15.721193701553757</v>
          </cell>
          <cell r="LN1674">
            <v>20.244300817817596</v>
          </cell>
          <cell r="LY1674">
            <v>11.302712104626615</v>
          </cell>
          <cell r="LZ1674">
            <v>14.730476692982464</v>
          </cell>
          <cell r="MA1674">
            <v>11.870949885755934</v>
          </cell>
          <cell r="MB1674">
            <v>9.6544719773798295</v>
          </cell>
          <cell r="MC1674">
            <v>14.087427794132038</v>
          </cell>
        </row>
        <row r="1675">
          <cell r="A1675">
            <v>41871</v>
          </cell>
          <cell r="LJ1675">
            <v>19.457273645420237</v>
          </cell>
          <cell r="LK1675">
            <v>20.020152274152959</v>
          </cell>
          <cell r="LL1675">
            <v>17.982747259685677</v>
          </cell>
          <cell r="LM1675">
            <v>15.721193701553757</v>
          </cell>
          <cell r="LN1675">
            <v>20.244300817817596</v>
          </cell>
          <cell r="LY1675">
            <v>11.384101641611974</v>
          </cell>
          <cell r="LZ1675">
            <v>14.730476692982464</v>
          </cell>
          <cell r="MA1675">
            <v>11.870949885755934</v>
          </cell>
          <cell r="MB1675">
            <v>9.6544719773798295</v>
          </cell>
          <cell r="MC1675">
            <v>14.087427794132038</v>
          </cell>
        </row>
        <row r="1676">
          <cell r="A1676">
            <v>41872</v>
          </cell>
          <cell r="LJ1676">
            <v>19.522814091718427</v>
          </cell>
          <cell r="LK1676">
            <v>20.020152274152959</v>
          </cell>
          <cell r="LL1676">
            <v>17.982747259685677</v>
          </cell>
          <cell r="LM1676">
            <v>15.721193701553757</v>
          </cell>
          <cell r="LN1676">
            <v>20.244300817817596</v>
          </cell>
          <cell r="LY1676">
            <v>11.422578866791479</v>
          </cell>
          <cell r="LZ1676">
            <v>14.730476692982464</v>
          </cell>
          <cell r="MA1676">
            <v>11.870949885755934</v>
          </cell>
          <cell r="MB1676">
            <v>9.6544719773798295</v>
          </cell>
          <cell r="MC1676">
            <v>14.087427794132038</v>
          </cell>
        </row>
        <row r="1677">
          <cell r="A1677">
            <v>41873</v>
          </cell>
          <cell r="LJ1677">
            <v>19.419464670723009</v>
          </cell>
          <cell r="LK1677">
            <v>20.020152274152959</v>
          </cell>
          <cell r="LL1677">
            <v>17.982747259685677</v>
          </cell>
          <cell r="LM1677">
            <v>15.721193701553757</v>
          </cell>
          <cell r="LN1677">
            <v>20.244300817817596</v>
          </cell>
          <cell r="LY1677">
            <v>11.361904898754705</v>
          </cell>
          <cell r="LZ1677">
            <v>14.730476692982464</v>
          </cell>
          <cell r="MA1677">
            <v>11.870949885755934</v>
          </cell>
          <cell r="MB1677">
            <v>9.6544719773798295</v>
          </cell>
          <cell r="MC1677">
            <v>14.087427794132038</v>
          </cell>
        </row>
        <row r="1678">
          <cell r="A1678">
            <v>41876</v>
          </cell>
          <cell r="LJ1678">
            <v>19.497605587887804</v>
          </cell>
          <cell r="LK1678">
            <v>20.020152274152959</v>
          </cell>
          <cell r="LL1678">
            <v>17.982747259685677</v>
          </cell>
          <cell r="LM1678">
            <v>15.721193701553757</v>
          </cell>
          <cell r="LN1678">
            <v>20.244300817817596</v>
          </cell>
          <cell r="LY1678">
            <v>11.407779558377918</v>
          </cell>
          <cell r="LZ1678">
            <v>14.730476692982464</v>
          </cell>
          <cell r="MA1678">
            <v>11.870949885755934</v>
          </cell>
          <cell r="MB1678">
            <v>9.6544719773798295</v>
          </cell>
          <cell r="MC1678">
            <v>14.087427794132038</v>
          </cell>
        </row>
        <row r="1679">
          <cell r="A1679">
            <v>41877</v>
          </cell>
          <cell r="LJ1679">
            <v>19.49256318132592</v>
          </cell>
          <cell r="LK1679">
            <v>20.020152274152959</v>
          </cell>
          <cell r="LL1679">
            <v>17.982747259685677</v>
          </cell>
          <cell r="LM1679">
            <v>15.721193701553757</v>
          </cell>
          <cell r="LN1679">
            <v>20.244300817817596</v>
          </cell>
          <cell r="LY1679">
            <v>11.404819282339432</v>
          </cell>
          <cell r="LZ1679">
            <v>14.730476692982464</v>
          </cell>
          <cell r="MA1679">
            <v>11.870949885755934</v>
          </cell>
          <cell r="MB1679">
            <v>9.6544719773798295</v>
          </cell>
          <cell r="MC1679">
            <v>14.087427794132038</v>
          </cell>
        </row>
        <row r="1680">
          <cell r="A1680">
            <v>41878</v>
          </cell>
          <cell r="LJ1680">
            <v>19.321157404219566</v>
          </cell>
          <cell r="LK1680">
            <v>20.020152274152959</v>
          </cell>
          <cell r="LL1680">
            <v>17.982747259685677</v>
          </cell>
          <cell r="LM1680">
            <v>15.721193701553757</v>
          </cell>
          <cell r="LN1680">
            <v>20.244300817817596</v>
          </cell>
          <cell r="LY1680">
            <v>11.304191058772219</v>
          </cell>
          <cell r="LZ1680">
            <v>14.730476692982464</v>
          </cell>
          <cell r="MA1680">
            <v>11.870949885755934</v>
          </cell>
          <cell r="MB1680">
            <v>9.6544719773798295</v>
          </cell>
          <cell r="MC1680">
            <v>14.087427794132038</v>
          </cell>
        </row>
        <row r="1681">
          <cell r="A1681">
            <v>41879</v>
          </cell>
          <cell r="LJ1681">
            <v>19.240493267214518</v>
          </cell>
          <cell r="LK1681">
            <v>20.020152274152959</v>
          </cell>
          <cell r="LL1681">
            <v>17.982747259685677</v>
          </cell>
          <cell r="LM1681">
            <v>15.721193701553757</v>
          </cell>
          <cell r="LN1681">
            <v>20.244300817817596</v>
          </cell>
          <cell r="LY1681">
            <v>11.256835077256122</v>
          </cell>
          <cell r="LZ1681">
            <v>14.730476692982464</v>
          </cell>
          <cell r="MA1681">
            <v>11.870949885755934</v>
          </cell>
          <cell r="MB1681">
            <v>9.6544719773798295</v>
          </cell>
          <cell r="MC1681">
            <v>14.087427794132038</v>
          </cell>
        </row>
        <row r="1682">
          <cell r="A1682">
            <v>41880</v>
          </cell>
          <cell r="LJ1682">
            <v>19.311072591095797</v>
          </cell>
          <cell r="LK1682">
            <v>20.020152274152959</v>
          </cell>
          <cell r="LL1682">
            <v>17.982747259685677</v>
          </cell>
          <cell r="LM1682">
            <v>15.721193701553757</v>
          </cell>
          <cell r="LN1682">
            <v>20.244300817817596</v>
          </cell>
          <cell r="LY1682">
            <v>11.298270506695244</v>
          </cell>
          <cell r="LZ1682">
            <v>14.730476692982464</v>
          </cell>
          <cell r="MA1682">
            <v>11.870949885755934</v>
          </cell>
          <cell r="MB1682">
            <v>9.6544719773798295</v>
          </cell>
          <cell r="MC1682">
            <v>14.087427794132038</v>
          </cell>
        </row>
        <row r="1683">
          <cell r="A1683">
            <v>41883</v>
          </cell>
          <cell r="LJ1683">
            <v>19.115496067923527</v>
          </cell>
          <cell r="LK1683">
            <v>20.020152274152959</v>
          </cell>
          <cell r="LL1683">
            <v>17.982747259685677</v>
          </cell>
          <cell r="LM1683">
            <v>15.721193701553757</v>
          </cell>
          <cell r="LN1683">
            <v>20.244300817817596</v>
          </cell>
          <cell r="LY1683">
            <v>11.219528045662754</v>
          </cell>
          <cell r="LZ1683">
            <v>14.730476692982464</v>
          </cell>
          <cell r="MA1683">
            <v>11.870949885755934</v>
          </cell>
          <cell r="MB1683">
            <v>9.6544719773798295</v>
          </cell>
          <cell r="MC1683">
            <v>14.087427794132038</v>
          </cell>
        </row>
        <row r="1684">
          <cell r="A1684">
            <v>41884</v>
          </cell>
          <cell r="LJ1684">
            <v>19.06809107621061</v>
          </cell>
          <cell r="LK1684">
            <v>20.020152274152959</v>
          </cell>
          <cell r="LL1684">
            <v>17.982747259685677</v>
          </cell>
          <cell r="LM1684">
            <v>15.721193701553757</v>
          </cell>
          <cell r="LN1684">
            <v>20.244300817817596</v>
          </cell>
          <cell r="LY1684">
            <v>11.191608916429493</v>
          </cell>
          <cell r="LZ1684">
            <v>14.730476692982464</v>
          </cell>
          <cell r="MA1684">
            <v>11.870949885755934</v>
          </cell>
          <cell r="MB1684">
            <v>9.6544719773798295</v>
          </cell>
          <cell r="MC1684">
            <v>14.087427794132038</v>
          </cell>
        </row>
        <row r="1685">
          <cell r="A1685">
            <v>41885</v>
          </cell>
          <cell r="LJ1685">
            <v>19.097523418404464</v>
          </cell>
          <cell r="LK1685">
            <v>20.020152274152959</v>
          </cell>
          <cell r="LL1685">
            <v>17.982747259685677</v>
          </cell>
          <cell r="LM1685">
            <v>15.721193701553757</v>
          </cell>
          <cell r="LN1685">
            <v>20.244300817817596</v>
          </cell>
          <cell r="LY1685">
            <v>11.216590605341869</v>
          </cell>
          <cell r="LZ1685">
            <v>14.730476692982464</v>
          </cell>
          <cell r="MA1685">
            <v>11.870949885755934</v>
          </cell>
          <cell r="MB1685">
            <v>9.6544719773798295</v>
          </cell>
          <cell r="MC1685">
            <v>14.087427794132038</v>
          </cell>
        </row>
        <row r="1686">
          <cell r="A1686">
            <v>41886</v>
          </cell>
          <cell r="LJ1686">
            <v>19.010250301242937</v>
          </cell>
          <cell r="LK1686">
            <v>20.020152274152959</v>
          </cell>
          <cell r="LL1686">
            <v>17.982747259685677</v>
          </cell>
          <cell r="LM1686">
            <v>15.721193701553757</v>
          </cell>
          <cell r="LN1686">
            <v>20.244300817817596</v>
          </cell>
          <cell r="LY1686">
            <v>11.16515622958765</v>
          </cell>
          <cell r="LZ1686">
            <v>14.730476692982464</v>
          </cell>
          <cell r="MA1686">
            <v>11.870949885755934</v>
          </cell>
          <cell r="MB1686">
            <v>9.6544719773798295</v>
          </cell>
          <cell r="MC1686">
            <v>14.087427794132038</v>
          </cell>
        </row>
        <row r="1687">
          <cell r="A1687">
            <v>41887</v>
          </cell>
          <cell r="LJ1687">
            <v>19.234665285281579</v>
          </cell>
          <cell r="LK1687">
            <v>20.020152274152959</v>
          </cell>
          <cell r="LL1687">
            <v>17.982747259685677</v>
          </cell>
          <cell r="LM1687">
            <v>15.721193701553757</v>
          </cell>
          <cell r="LN1687">
            <v>20.244300817817596</v>
          </cell>
          <cell r="LY1687">
            <v>11.297415108258814</v>
          </cell>
          <cell r="LZ1687">
            <v>14.730476692982464</v>
          </cell>
          <cell r="MA1687">
            <v>11.870949885755934</v>
          </cell>
          <cell r="MB1687">
            <v>9.6544719773798295</v>
          </cell>
          <cell r="MC1687">
            <v>14.087427794132038</v>
          </cell>
        </row>
        <row r="1688">
          <cell r="A1688">
            <v>41890</v>
          </cell>
          <cell r="LJ1688">
            <v>19.212221019120591</v>
          </cell>
          <cell r="LK1688">
            <v>20.020152274152959</v>
          </cell>
          <cell r="LL1688">
            <v>17.982747259685677</v>
          </cell>
          <cell r="LM1688">
            <v>15.721193701553757</v>
          </cell>
          <cell r="LN1688">
            <v>20.244300817817596</v>
          </cell>
          <cell r="LY1688">
            <v>11.284187589215174</v>
          </cell>
          <cell r="LZ1688">
            <v>14.730476692982464</v>
          </cell>
          <cell r="MA1688">
            <v>11.870949885755934</v>
          </cell>
          <cell r="MB1688">
            <v>9.6544719773798295</v>
          </cell>
          <cell r="MC1688">
            <v>14.087427794132038</v>
          </cell>
        </row>
        <row r="1689">
          <cell r="A1689">
            <v>41891</v>
          </cell>
          <cell r="LJ1689">
            <v>19.092535471238701</v>
          </cell>
          <cell r="LK1689">
            <v>20.020152274152959</v>
          </cell>
          <cell r="LL1689">
            <v>17.982747259685677</v>
          </cell>
          <cell r="LM1689">
            <v>15.721193701553757</v>
          </cell>
          <cell r="LN1689">
            <v>20.244300817817596</v>
          </cell>
          <cell r="LY1689">
            <v>11.213650960728385</v>
          </cell>
          <cell r="LZ1689">
            <v>14.730476692982464</v>
          </cell>
          <cell r="MA1689">
            <v>11.870949885755934</v>
          </cell>
          <cell r="MB1689">
            <v>9.6544719773798295</v>
          </cell>
          <cell r="MC1689">
            <v>14.087427794132038</v>
          </cell>
        </row>
        <row r="1690">
          <cell r="A1690">
            <v>41892</v>
          </cell>
          <cell r="LJ1690">
            <v>19.1823005672032</v>
          </cell>
          <cell r="LK1690">
            <v>20.020152274152959</v>
          </cell>
          <cell r="LL1690">
            <v>17.982747259685677</v>
          </cell>
          <cell r="LM1690">
            <v>15.721193701553757</v>
          </cell>
          <cell r="LN1690">
            <v>20.244300817817596</v>
          </cell>
          <cell r="LY1690">
            <v>11.266553983166627</v>
          </cell>
          <cell r="LZ1690">
            <v>14.730476692982464</v>
          </cell>
          <cell r="MA1690">
            <v>11.870949885755934</v>
          </cell>
          <cell r="MB1690">
            <v>9.6544719773798295</v>
          </cell>
          <cell r="MC1690">
            <v>14.087427794132038</v>
          </cell>
        </row>
        <row r="1691">
          <cell r="A1691">
            <v>41893</v>
          </cell>
          <cell r="LJ1691">
            <v>19.26957368436473</v>
          </cell>
          <cell r="LK1691">
            <v>20.020152274152959</v>
          </cell>
          <cell r="LL1691">
            <v>17.982747259685677</v>
          </cell>
          <cell r="LM1691">
            <v>15.721193701553757</v>
          </cell>
          <cell r="LN1691">
            <v>20.244300817817596</v>
          </cell>
          <cell r="LY1691">
            <v>11.317988358920847</v>
          </cell>
          <cell r="LZ1691">
            <v>14.730476692982464</v>
          </cell>
          <cell r="MA1691">
            <v>11.870949885755934</v>
          </cell>
          <cell r="MB1691">
            <v>9.6544719773798295</v>
          </cell>
          <cell r="MC1691">
            <v>14.087427794132038</v>
          </cell>
        </row>
        <row r="1692">
          <cell r="A1692">
            <v>41894</v>
          </cell>
          <cell r="LJ1692">
            <v>19.170465808966089</v>
          </cell>
          <cell r="LK1692">
            <v>20.020152274152959</v>
          </cell>
          <cell r="LL1692">
            <v>17.982747259685677</v>
          </cell>
          <cell r="LM1692">
            <v>15.721193701553757</v>
          </cell>
          <cell r="LN1692">
            <v>20.244300817817596</v>
          </cell>
          <cell r="LY1692">
            <v>11.259205900302797</v>
          </cell>
          <cell r="LZ1692">
            <v>14.730476692982464</v>
          </cell>
          <cell r="MA1692">
            <v>11.870949885755934</v>
          </cell>
          <cell r="MB1692">
            <v>9.6544719773798295</v>
          </cell>
          <cell r="MC1692">
            <v>14.087427794132038</v>
          </cell>
        </row>
        <row r="1693">
          <cell r="A1693">
            <v>41897</v>
          </cell>
          <cell r="LJ1693">
            <v>19.108126877181085</v>
          </cell>
          <cell r="LK1693">
            <v>20.020152274152959</v>
          </cell>
          <cell r="LL1693">
            <v>17.982747259685677</v>
          </cell>
          <cell r="LM1693">
            <v>15.721193701553757</v>
          </cell>
          <cell r="LN1693">
            <v>20.244300817817596</v>
          </cell>
          <cell r="LY1693">
            <v>11.22146158985764</v>
          </cell>
          <cell r="LZ1693">
            <v>14.730476692982464</v>
          </cell>
          <cell r="MA1693">
            <v>11.870949885755934</v>
          </cell>
          <cell r="MB1693">
            <v>9.6544719773798295</v>
          </cell>
          <cell r="MC1693">
            <v>14.087427794132038</v>
          </cell>
        </row>
        <row r="1694">
          <cell r="A1694">
            <v>41898</v>
          </cell>
          <cell r="LJ1694">
            <v>19.321311293702262</v>
          </cell>
          <cell r="LK1694">
            <v>20.020152274152959</v>
          </cell>
          <cell r="LL1694">
            <v>17.982747259685677</v>
          </cell>
          <cell r="LM1694">
            <v>15.721193701553757</v>
          </cell>
          <cell r="LN1694">
            <v>20.244300817817596</v>
          </cell>
          <cell r="LY1694">
            <v>11.373681624911578</v>
          </cell>
          <cell r="LZ1694">
            <v>14.730476692982464</v>
          </cell>
          <cell r="MA1694">
            <v>11.870949885755934</v>
          </cell>
          <cell r="MB1694">
            <v>9.6544719773798295</v>
          </cell>
          <cell r="MC1694">
            <v>14.087427794132038</v>
          </cell>
        </row>
        <row r="1695">
          <cell r="A1695">
            <v>41899</v>
          </cell>
          <cell r="LJ1695">
            <v>19.61024749438786</v>
          </cell>
          <cell r="LK1695">
            <v>20.020152274152959</v>
          </cell>
          <cell r="LL1695">
            <v>17.982747259685677</v>
          </cell>
          <cell r="LM1695">
            <v>15.721193701553757</v>
          </cell>
          <cell r="LN1695">
            <v>20.244300817817596</v>
          </cell>
          <cell r="LY1695">
            <v>11.44966506415604</v>
          </cell>
          <cell r="LZ1695">
            <v>14.730476692982464</v>
          </cell>
          <cell r="MA1695">
            <v>11.870949885755934</v>
          </cell>
          <cell r="MB1695">
            <v>9.6544719773798295</v>
          </cell>
          <cell r="MC1695">
            <v>14.087427794132038</v>
          </cell>
        </row>
        <row r="1696">
          <cell r="A1696">
            <v>41900</v>
          </cell>
          <cell r="LJ1696">
            <v>19.767166844656717</v>
          </cell>
          <cell r="LK1696">
            <v>20.020152274152959</v>
          </cell>
          <cell r="LL1696">
            <v>17.982747259685677</v>
          </cell>
          <cell r="LM1696">
            <v>15.721193701553757</v>
          </cell>
          <cell r="LN1696">
            <v>20.244300817817596</v>
          </cell>
          <cell r="LY1696">
            <v>11.541590316597867</v>
          </cell>
          <cell r="LZ1696">
            <v>14.730476692982464</v>
          </cell>
          <cell r="MA1696">
            <v>11.870949885755934</v>
          </cell>
          <cell r="MB1696">
            <v>9.6544719773798295</v>
          </cell>
          <cell r="MC1696">
            <v>14.087427794132038</v>
          </cell>
        </row>
        <row r="1697">
          <cell r="A1697">
            <v>41901</v>
          </cell>
          <cell r="LJ1697">
            <v>19.789586990432124</v>
          </cell>
          <cell r="LK1697">
            <v>20.020152274152959</v>
          </cell>
          <cell r="LL1697">
            <v>17.982747259685677</v>
          </cell>
          <cell r="LM1697">
            <v>15.721193701553757</v>
          </cell>
          <cell r="LN1697">
            <v>20.244300817817596</v>
          </cell>
          <cell r="LY1697">
            <v>11.554724309038289</v>
          </cell>
          <cell r="LZ1697">
            <v>14.730476692982464</v>
          </cell>
          <cell r="MA1697">
            <v>11.870949885755934</v>
          </cell>
          <cell r="MB1697">
            <v>9.6544719773798295</v>
          </cell>
          <cell r="MC1697">
            <v>14.087427794132038</v>
          </cell>
        </row>
        <row r="1698">
          <cell r="A1698">
            <v>41904</v>
          </cell>
          <cell r="LJ1698">
            <v>19.46826884696695</v>
          </cell>
          <cell r="LK1698">
            <v>20.020152274152959</v>
          </cell>
          <cell r="LL1698">
            <v>17.982747259685677</v>
          </cell>
          <cell r="LM1698">
            <v>15.721193701553757</v>
          </cell>
          <cell r="LN1698">
            <v>20.244300817817596</v>
          </cell>
          <cell r="LY1698">
            <v>11.366492256066055</v>
          </cell>
          <cell r="LZ1698">
            <v>14.730476692982464</v>
          </cell>
          <cell r="MA1698">
            <v>11.870949885755934</v>
          </cell>
          <cell r="MB1698">
            <v>9.6544719773798295</v>
          </cell>
          <cell r="MC1698">
            <v>14.087427794132038</v>
          </cell>
        </row>
        <row r="1699">
          <cell r="A1699">
            <v>41905</v>
          </cell>
          <cell r="LJ1699">
            <v>19.283950445078911</v>
          </cell>
          <cell r="LK1699">
            <v>20.020152274152959</v>
          </cell>
          <cell r="LL1699">
            <v>17.982747259685677</v>
          </cell>
          <cell r="LM1699">
            <v>15.721193701553757</v>
          </cell>
          <cell r="LN1699">
            <v>20.244300817817596</v>
          </cell>
          <cell r="LY1699">
            <v>11.25851630794874</v>
          </cell>
          <cell r="LZ1699">
            <v>14.730476692982464</v>
          </cell>
          <cell r="MA1699">
            <v>11.870949885755934</v>
          </cell>
          <cell r="MB1699">
            <v>9.6544719773798295</v>
          </cell>
          <cell r="MC1699">
            <v>14.087427794132038</v>
          </cell>
        </row>
        <row r="1700">
          <cell r="A1700">
            <v>41906</v>
          </cell>
          <cell r="LJ1700">
            <v>19.371225392679779</v>
          </cell>
          <cell r="LK1700">
            <v>20.020152274152959</v>
          </cell>
          <cell r="LL1700">
            <v>17.982747259685677</v>
          </cell>
          <cell r="LM1700">
            <v>15.721193701553757</v>
          </cell>
          <cell r="LN1700">
            <v>20.244300817817596</v>
          </cell>
          <cell r="LY1700">
            <v>11.301349106213973</v>
          </cell>
          <cell r="LZ1700">
            <v>14.730476692982464</v>
          </cell>
          <cell r="MA1700">
            <v>11.870949885755934</v>
          </cell>
          <cell r="MB1700">
            <v>9.6544719773798295</v>
          </cell>
          <cell r="MC1700">
            <v>14.087427794132038</v>
          </cell>
        </row>
        <row r="1701">
          <cell r="A1701">
            <v>41907</v>
          </cell>
          <cell r="LJ1701">
            <v>18.850373911022697</v>
          </cell>
          <cell r="LK1701">
            <v>20.020152274152959</v>
          </cell>
          <cell r="LL1701">
            <v>17.982747259685677</v>
          </cell>
          <cell r="LM1701">
            <v>15.721193701553757</v>
          </cell>
          <cell r="LN1701">
            <v>20.244300817817596</v>
          </cell>
          <cell r="LY1701">
            <v>10.99645123602243</v>
          </cell>
          <cell r="LZ1701">
            <v>14.730476692982464</v>
          </cell>
          <cell r="MA1701">
            <v>11.870949885755934</v>
          </cell>
          <cell r="MB1701">
            <v>9.6544719773798295</v>
          </cell>
          <cell r="MC1701">
            <v>14.087427794132038</v>
          </cell>
        </row>
        <row r="1702">
          <cell r="A1702">
            <v>41908</v>
          </cell>
          <cell r="LJ1702">
            <v>18.91765833198863</v>
          </cell>
          <cell r="LK1702">
            <v>20.020152274152959</v>
          </cell>
          <cell r="LL1702">
            <v>17.982747259685677</v>
          </cell>
          <cell r="LM1702">
            <v>15.721193701553757</v>
          </cell>
          <cell r="LN1702">
            <v>20.244300817817596</v>
          </cell>
          <cell r="LY1702">
            <v>11.035838426751573</v>
          </cell>
          <cell r="LZ1702">
            <v>14.730476692982464</v>
          </cell>
          <cell r="MA1702">
            <v>11.870949885755934</v>
          </cell>
          <cell r="MB1702">
            <v>9.6544719773798295</v>
          </cell>
          <cell r="MC1702">
            <v>14.087427794132038</v>
          </cell>
        </row>
        <row r="1703">
          <cell r="A1703">
            <v>41911</v>
          </cell>
          <cell r="LJ1703">
            <v>18.884236308366969</v>
          </cell>
          <cell r="LK1703">
            <v>20.020152274152959</v>
          </cell>
          <cell r="LL1703">
            <v>17.982747259685677</v>
          </cell>
          <cell r="LM1703">
            <v>15.721193701553757</v>
          </cell>
          <cell r="LN1703">
            <v>20.244300817817596</v>
          </cell>
          <cell r="LY1703">
            <v>11.018333024859112</v>
          </cell>
          <cell r="LZ1703">
            <v>14.730476692982464</v>
          </cell>
          <cell r="MA1703">
            <v>11.870949885755934</v>
          </cell>
          <cell r="MB1703">
            <v>9.6544719773798295</v>
          </cell>
          <cell r="MC1703">
            <v>14.087427794132038</v>
          </cell>
        </row>
        <row r="1704">
          <cell r="A1704">
            <v>41912</v>
          </cell>
          <cell r="LJ1704">
            <v>18.93088246744308</v>
          </cell>
          <cell r="LK1704">
            <v>20.020152274152959</v>
          </cell>
          <cell r="LL1704">
            <v>17.982747259685677</v>
          </cell>
          <cell r="LM1704">
            <v>15.721193701553757</v>
          </cell>
          <cell r="LN1704">
            <v>20.244300817817596</v>
          </cell>
          <cell r="LY1704">
            <v>11.046051357876081</v>
          </cell>
          <cell r="LZ1704">
            <v>14.730476692982464</v>
          </cell>
          <cell r="MA1704">
            <v>11.870949885755934</v>
          </cell>
          <cell r="MB1704">
            <v>9.6544719773798295</v>
          </cell>
          <cell r="MC1704">
            <v>14.087427794132038</v>
          </cell>
        </row>
        <row r="1705">
          <cell r="A1705">
            <v>41913</v>
          </cell>
          <cell r="LJ1705">
            <v>18.420459029621941</v>
          </cell>
          <cell r="LK1705">
            <v>20.020152274152959</v>
          </cell>
          <cell r="LL1705">
            <v>17.982747259685677</v>
          </cell>
          <cell r="LM1705">
            <v>15.721193701553757</v>
          </cell>
          <cell r="LN1705">
            <v>20.244300817817596</v>
          </cell>
          <cell r="LY1705">
            <v>10.763057299315678</v>
          </cell>
          <cell r="LZ1705">
            <v>14.730476692982464</v>
          </cell>
          <cell r="MA1705">
            <v>11.870949885755934</v>
          </cell>
          <cell r="MB1705">
            <v>9.6544719773798295</v>
          </cell>
          <cell r="MC1705">
            <v>14.087427794132038</v>
          </cell>
        </row>
        <row r="1706">
          <cell r="A1706">
            <v>41914</v>
          </cell>
          <cell r="LJ1706">
            <v>18.383412116062019</v>
          </cell>
          <cell r="LK1706">
            <v>20.020152274152959</v>
          </cell>
          <cell r="LL1706">
            <v>17.982747259685677</v>
          </cell>
          <cell r="LM1706">
            <v>15.721193701553757</v>
          </cell>
          <cell r="LN1706">
            <v>20.244300817817596</v>
          </cell>
          <cell r="LY1706">
            <v>10.741334459037622</v>
          </cell>
          <cell r="LZ1706">
            <v>14.730476692982464</v>
          </cell>
          <cell r="MA1706">
            <v>11.870949885755934</v>
          </cell>
          <cell r="MB1706">
            <v>9.6544719773798295</v>
          </cell>
          <cell r="MC1706">
            <v>14.087427794132038</v>
          </cell>
        </row>
        <row r="1707">
          <cell r="A1707">
            <v>41915</v>
          </cell>
          <cell r="LJ1707">
            <v>18.529741509159688</v>
          </cell>
          <cell r="LK1707">
            <v>20.020152274152959</v>
          </cell>
          <cell r="LL1707">
            <v>17.982747259685677</v>
          </cell>
          <cell r="LM1707">
            <v>15.721193701553757</v>
          </cell>
          <cell r="LN1707">
            <v>20.244300817817596</v>
          </cell>
          <cell r="LY1707">
            <v>10.82683838991251</v>
          </cell>
          <cell r="LZ1707">
            <v>14.730476692982464</v>
          </cell>
          <cell r="MA1707">
            <v>11.870949885755934</v>
          </cell>
          <cell r="MB1707">
            <v>9.6544719773798295</v>
          </cell>
          <cell r="MC1707">
            <v>14.087427794132038</v>
          </cell>
        </row>
        <row r="1708">
          <cell r="A1708">
            <v>41918</v>
          </cell>
          <cell r="LJ1708">
            <v>18.55279602866128</v>
          </cell>
          <cell r="LK1708">
            <v>20.020152274152959</v>
          </cell>
          <cell r="LL1708">
            <v>17.982747259685677</v>
          </cell>
          <cell r="LM1708">
            <v>15.721193701553757</v>
          </cell>
          <cell r="LN1708">
            <v>20.244300817817596</v>
          </cell>
          <cell r="LY1708">
            <v>10.826569190104214</v>
          </cell>
          <cell r="LZ1708">
            <v>14.730476692982464</v>
          </cell>
          <cell r="MA1708">
            <v>11.870949885755934</v>
          </cell>
          <cell r="MB1708">
            <v>9.6544719773798295</v>
          </cell>
          <cell r="MC1708">
            <v>14.087427794132038</v>
          </cell>
        </row>
        <row r="1709">
          <cell r="A1709">
            <v>41919</v>
          </cell>
          <cell r="LJ1709">
            <v>18.172180628905924</v>
          </cell>
          <cell r="LK1709">
            <v>20.020152274152959</v>
          </cell>
          <cell r="LL1709">
            <v>17.982747259685677</v>
          </cell>
          <cell r="LM1709">
            <v>15.721193701553757</v>
          </cell>
          <cell r="LN1709">
            <v>20.244300817817596</v>
          </cell>
          <cell r="LY1709">
            <v>10.599210169158123</v>
          </cell>
          <cell r="LZ1709">
            <v>14.730476692982464</v>
          </cell>
          <cell r="MA1709">
            <v>11.870949885755934</v>
          </cell>
          <cell r="MB1709">
            <v>9.6544719773798295</v>
          </cell>
          <cell r="MC1709">
            <v>14.087427794132038</v>
          </cell>
        </row>
        <row r="1710">
          <cell r="A1710">
            <v>41920</v>
          </cell>
          <cell r="LJ1710">
            <v>18.499564400016308</v>
          </cell>
          <cell r="LK1710">
            <v>20.020152274152959</v>
          </cell>
          <cell r="LL1710">
            <v>17.982747259685677</v>
          </cell>
          <cell r="LM1710">
            <v>15.721193701553757</v>
          </cell>
          <cell r="LN1710">
            <v>20.244300817817596</v>
          </cell>
          <cell r="LY1710">
            <v>10.799570644608158</v>
          </cell>
          <cell r="LZ1710">
            <v>14.730476692982464</v>
          </cell>
          <cell r="MA1710">
            <v>11.870949885755934</v>
          </cell>
          <cell r="MB1710">
            <v>9.6544719773798295</v>
          </cell>
          <cell r="MC1710">
            <v>14.087427794132038</v>
          </cell>
        </row>
        <row r="1711">
          <cell r="A1711">
            <v>41921</v>
          </cell>
          <cell r="LJ1711">
            <v>18.064346018621297</v>
          </cell>
          <cell r="LK1711">
            <v>20.020152274152959</v>
          </cell>
          <cell r="LL1711">
            <v>17.982747259685677</v>
          </cell>
          <cell r="LM1711">
            <v>15.721193701553757</v>
          </cell>
          <cell r="LN1711">
            <v>20.244300817817596</v>
          </cell>
          <cell r="LY1711">
            <v>10.544670838417973</v>
          </cell>
          <cell r="LZ1711">
            <v>14.730476692982464</v>
          </cell>
          <cell r="MA1711">
            <v>11.870949885755934</v>
          </cell>
          <cell r="MB1711">
            <v>9.6544719773798295</v>
          </cell>
          <cell r="MC1711">
            <v>14.087427794132038</v>
          </cell>
        </row>
        <row r="1712">
          <cell r="A1712">
            <v>41922</v>
          </cell>
          <cell r="LJ1712">
            <v>17.838447579796039</v>
          </cell>
          <cell r="LK1712">
            <v>20.020152274152959</v>
          </cell>
          <cell r="LL1712">
            <v>17.982747259685677</v>
          </cell>
          <cell r="LM1712">
            <v>15.721193701553757</v>
          </cell>
          <cell r="LN1712">
            <v>20.244300817817596</v>
          </cell>
          <cell r="LY1712">
            <v>10.440206429268015</v>
          </cell>
          <cell r="LZ1712">
            <v>14.730476692982464</v>
          </cell>
          <cell r="MA1712">
            <v>11.870949885755934</v>
          </cell>
          <cell r="MB1712">
            <v>9.6544719773798295</v>
          </cell>
          <cell r="MC1712">
            <v>14.087427794132038</v>
          </cell>
        </row>
        <row r="1713">
          <cell r="A1713">
            <v>41925</v>
          </cell>
          <cell r="LJ1713">
            <v>17.798327073029032</v>
          </cell>
          <cell r="LK1713">
            <v>20.020152274152959</v>
          </cell>
          <cell r="LL1713">
            <v>17.982747259685677</v>
          </cell>
          <cell r="LM1713">
            <v>15.721193701553757</v>
          </cell>
          <cell r="LN1713">
            <v>20.244300817817596</v>
          </cell>
          <cell r="LY1713">
            <v>10.478704103020529</v>
          </cell>
          <cell r="LZ1713">
            <v>14.730476692982464</v>
          </cell>
          <cell r="MA1713">
            <v>11.870949885755934</v>
          </cell>
          <cell r="MB1713">
            <v>9.6544719773798295</v>
          </cell>
          <cell r="MC1713">
            <v>14.087427794132038</v>
          </cell>
        </row>
        <row r="1714">
          <cell r="A1714">
            <v>41926</v>
          </cell>
          <cell r="LJ1714">
            <v>17.902461422683789</v>
          </cell>
          <cell r="LK1714">
            <v>20.020152274152959</v>
          </cell>
          <cell r="LL1714">
            <v>17.982747259685677</v>
          </cell>
          <cell r="LM1714">
            <v>15.721193701553757</v>
          </cell>
          <cell r="LN1714">
            <v>20.244300817817596</v>
          </cell>
          <cell r="LY1714">
            <v>10.477708551446339</v>
          </cell>
          <cell r="LZ1714">
            <v>14.730476692982464</v>
          </cell>
          <cell r="MA1714">
            <v>11.870949885755934</v>
          </cell>
          <cell r="MB1714">
            <v>9.6544719773798295</v>
          </cell>
          <cell r="MC1714">
            <v>14.087427794132038</v>
          </cell>
        </row>
        <row r="1715">
          <cell r="A1715">
            <v>41927</v>
          </cell>
          <cell r="LJ1715">
            <v>17.904447257994406</v>
          </cell>
          <cell r="LK1715">
            <v>20.020152274152959</v>
          </cell>
          <cell r="LL1715">
            <v>17.982747259685677</v>
          </cell>
          <cell r="LM1715">
            <v>15.721193701553757</v>
          </cell>
          <cell r="LN1715">
            <v>20.244300817817596</v>
          </cell>
          <cell r="LY1715">
            <v>10.472682703405885</v>
          </cell>
          <cell r="LZ1715">
            <v>14.730476692982464</v>
          </cell>
          <cell r="MA1715">
            <v>11.870949885755934</v>
          </cell>
          <cell r="MB1715">
            <v>9.6544719773798295</v>
          </cell>
          <cell r="MC1715">
            <v>14.087427794132038</v>
          </cell>
        </row>
        <row r="1716">
          <cell r="A1716">
            <v>41928</v>
          </cell>
          <cell r="LJ1716">
            <v>18.528489857489628</v>
          </cell>
          <cell r="LK1716">
            <v>20.020152274152959</v>
          </cell>
          <cell r="LL1716">
            <v>17.982747259685677</v>
          </cell>
          <cell r="LM1716">
            <v>15.721193701553757</v>
          </cell>
          <cell r="LN1716">
            <v>20.244300817817596</v>
          </cell>
          <cell r="LY1716">
            <v>10.638254318420675</v>
          </cell>
          <cell r="LZ1716">
            <v>14.730476692982464</v>
          </cell>
          <cell r="MA1716">
            <v>11.870949885755934</v>
          </cell>
          <cell r="MB1716">
            <v>9.6544719773798295</v>
          </cell>
          <cell r="MC1716">
            <v>14.087427794132038</v>
          </cell>
        </row>
        <row r="1717">
          <cell r="A1717">
            <v>41929</v>
          </cell>
          <cell r="LJ1717">
            <v>18.838726150375773</v>
          </cell>
          <cell r="LK1717">
            <v>20.020152274152959</v>
          </cell>
          <cell r="LL1717">
            <v>17.982747259685677</v>
          </cell>
          <cell r="LM1717">
            <v>15.721193701553757</v>
          </cell>
          <cell r="LN1717">
            <v>20.244300817817596</v>
          </cell>
          <cell r="LY1717">
            <v>10.822020793599396</v>
          </cell>
          <cell r="LZ1717">
            <v>14.730476692982464</v>
          </cell>
          <cell r="MA1717">
            <v>11.870949885755934</v>
          </cell>
          <cell r="MB1717">
            <v>9.6544719773798295</v>
          </cell>
          <cell r="MC1717">
            <v>14.087427794132038</v>
          </cell>
        </row>
        <row r="1718">
          <cell r="A1718">
            <v>41932</v>
          </cell>
          <cell r="LJ1718">
            <v>18.828529940129105</v>
          </cell>
          <cell r="LK1718">
            <v>20.020152274152959</v>
          </cell>
          <cell r="LL1718">
            <v>17.982747259685677</v>
          </cell>
          <cell r="LM1718">
            <v>15.721193701553757</v>
          </cell>
          <cell r="LN1718">
            <v>20.244300817817596</v>
          </cell>
          <cell r="LY1718">
            <v>10.813184504424537</v>
          </cell>
          <cell r="LZ1718">
            <v>14.730476692982464</v>
          </cell>
          <cell r="MA1718">
            <v>11.870949885755934</v>
          </cell>
          <cell r="MB1718">
            <v>9.6544719773798295</v>
          </cell>
          <cell r="MC1718">
            <v>14.087427794132038</v>
          </cell>
        </row>
        <row r="1719">
          <cell r="A1719">
            <v>41933</v>
          </cell>
          <cell r="LJ1719">
            <v>19.211501201403038</v>
          </cell>
          <cell r="LK1719">
            <v>20.020152274152959</v>
          </cell>
          <cell r="LL1719">
            <v>17.982747259685677</v>
          </cell>
          <cell r="LM1719">
            <v>15.721193701553757</v>
          </cell>
          <cell r="LN1719">
            <v>20.244300817817596</v>
          </cell>
          <cell r="LY1719">
            <v>11.037045214630648</v>
          </cell>
          <cell r="LZ1719">
            <v>14.730476692982464</v>
          </cell>
          <cell r="MA1719">
            <v>11.870949885755934</v>
          </cell>
          <cell r="MB1719">
            <v>9.6544719773798295</v>
          </cell>
          <cell r="MC1719">
            <v>14.087427794132038</v>
          </cell>
        </row>
        <row r="1720">
          <cell r="A1720">
            <v>41934</v>
          </cell>
          <cell r="LJ1720">
            <v>19.052459524761787</v>
          </cell>
          <cell r="LK1720">
            <v>20.020152274152959</v>
          </cell>
          <cell r="LL1720">
            <v>17.982747259685677</v>
          </cell>
          <cell r="LM1720">
            <v>15.721193701553757</v>
          </cell>
          <cell r="LN1720">
            <v>20.244300817817596</v>
          </cell>
          <cell r="LY1720">
            <v>10.946348478690721</v>
          </cell>
          <cell r="LZ1720">
            <v>14.730476692982464</v>
          </cell>
          <cell r="MA1720">
            <v>11.870949885755934</v>
          </cell>
          <cell r="MB1720">
            <v>9.6544719773798295</v>
          </cell>
          <cell r="MC1720">
            <v>14.087427794132038</v>
          </cell>
        </row>
        <row r="1721">
          <cell r="A1721">
            <v>41935</v>
          </cell>
          <cell r="LJ1721">
            <v>19.503132073491578</v>
          </cell>
          <cell r="LK1721">
            <v>20.020152274152959</v>
          </cell>
          <cell r="LL1721">
            <v>17.982747259685677</v>
          </cell>
          <cell r="LM1721">
            <v>15.721193701553757</v>
          </cell>
          <cell r="LN1721">
            <v>20.244300817817596</v>
          </cell>
          <cell r="LY1721">
            <v>11.210983942972913</v>
          </cell>
          <cell r="LZ1721">
            <v>14.730476692982464</v>
          </cell>
          <cell r="MA1721">
            <v>11.870949885755934</v>
          </cell>
          <cell r="MB1721">
            <v>9.6544719773798295</v>
          </cell>
          <cell r="MC1721">
            <v>14.087427794132038</v>
          </cell>
        </row>
        <row r="1722">
          <cell r="A1722">
            <v>41936</v>
          </cell>
          <cell r="LJ1722">
            <v>19.655051293236824</v>
          </cell>
          <cell r="LK1722">
            <v>20.020152274152959</v>
          </cell>
          <cell r="LL1722">
            <v>17.982747259685677</v>
          </cell>
          <cell r="LM1722">
            <v>15.721193701553757</v>
          </cell>
          <cell r="LN1722">
            <v>20.244300817817596</v>
          </cell>
          <cell r="LY1722">
            <v>11.298891993144496</v>
          </cell>
          <cell r="LZ1722">
            <v>14.730476692982464</v>
          </cell>
          <cell r="MA1722">
            <v>11.870949885755934</v>
          </cell>
          <cell r="MB1722">
            <v>9.6544719773798295</v>
          </cell>
          <cell r="MC1722">
            <v>14.087427794132038</v>
          </cell>
        </row>
        <row r="1723">
          <cell r="A1723">
            <v>41939</v>
          </cell>
          <cell r="LJ1723">
            <v>19.627207220757771</v>
          </cell>
          <cell r="LK1723">
            <v>20.020152274152959</v>
          </cell>
          <cell r="LL1723">
            <v>17.982747259685677</v>
          </cell>
          <cell r="LM1723">
            <v>15.721193701553757</v>
          </cell>
          <cell r="LN1723">
            <v>20.244300817817596</v>
          </cell>
          <cell r="LY1723">
            <v>11.2856259594077</v>
          </cell>
          <cell r="LZ1723">
            <v>14.730476692982464</v>
          </cell>
          <cell r="MA1723">
            <v>11.870949885755934</v>
          </cell>
          <cell r="MB1723">
            <v>9.6544719773798295</v>
          </cell>
          <cell r="MC1723">
            <v>14.087427794132038</v>
          </cell>
        </row>
        <row r="1724">
          <cell r="A1724">
            <v>41940</v>
          </cell>
          <cell r="LJ1724">
            <v>20.098541255072874</v>
          </cell>
          <cell r="LK1724">
            <v>20.020152274152959</v>
          </cell>
          <cell r="LL1724">
            <v>17.982747259685677</v>
          </cell>
          <cell r="LM1724">
            <v>15.721193701553757</v>
          </cell>
          <cell r="LN1724">
            <v>20.244300817817596</v>
          </cell>
          <cell r="LY1724">
            <v>11.561276174502153</v>
          </cell>
          <cell r="LZ1724">
            <v>14.730476692982464</v>
          </cell>
          <cell r="MA1724">
            <v>11.870949885755934</v>
          </cell>
          <cell r="MB1724">
            <v>9.6544719773798295</v>
          </cell>
          <cell r="MC1724">
            <v>14.087427794132038</v>
          </cell>
        </row>
        <row r="1725">
          <cell r="A1725">
            <v>41941</v>
          </cell>
          <cell r="LJ1725">
            <v>19.987638076668251</v>
          </cell>
          <cell r="LK1725">
            <v>20.020152274152959</v>
          </cell>
          <cell r="LL1725">
            <v>17.982747259685677</v>
          </cell>
          <cell r="LM1725">
            <v>15.721193701553757</v>
          </cell>
          <cell r="LN1725">
            <v>20.244300817817596</v>
          </cell>
          <cell r="LY1725">
            <v>11.496416684721588</v>
          </cell>
          <cell r="LZ1725">
            <v>14.730476692982464</v>
          </cell>
          <cell r="MA1725">
            <v>11.870949885755934</v>
          </cell>
          <cell r="MB1725">
            <v>9.6544719773798295</v>
          </cell>
          <cell r="MC1725">
            <v>14.087427794132038</v>
          </cell>
        </row>
        <row r="1726">
          <cell r="A1726">
            <v>41942</v>
          </cell>
          <cell r="LJ1726">
            <v>20.090979978333941</v>
          </cell>
          <cell r="LK1726">
            <v>20.020152274152959</v>
          </cell>
          <cell r="LL1726">
            <v>17.982747259685677</v>
          </cell>
          <cell r="LM1726">
            <v>15.721193701553757</v>
          </cell>
          <cell r="LN1726">
            <v>20.244300817817596</v>
          </cell>
          <cell r="LY1726">
            <v>11.55685411412091</v>
          </cell>
          <cell r="LZ1726">
            <v>14.730476692982464</v>
          </cell>
          <cell r="MA1726">
            <v>11.870949885755934</v>
          </cell>
          <cell r="MB1726">
            <v>9.6544719773798295</v>
          </cell>
          <cell r="MC1726">
            <v>14.087427794132038</v>
          </cell>
        </row>
        <row r="1727">
          <cell r="A1727">
            <v>41943</v>
          </cell>
          <cell r="LJ1727">
            <v>20.264895644603367</v>
          </cell>
          <cell r="LK1727">
            <v>20.020152274152959</v>
          </cell>
          <cell r="LL1727">
            <v>17.982747259685677</v>
          </cell>
          <cell r="LM1727">
            <v>15.721193701553757</v>
          </cell>
          <cell r="LN1727">
            <v>20.244300817817596</v>
          </cell>
          <cell r="LY1727">
            <v>11.658565188062607</v>
          </cell>
          <cell r="LZ1727">
            <v>14.730476692982464</v>
          </cell>
          <cell r="MA1727">
            <v>11.870949885755934</v>
          </cell>
          <cell r="MB1727">
            <v>9.6544719773798295</v>
          </cell>
          <cell r="MC1727">
            <v>14.087427794132038</v>
          </cell>
        </row>
        <row r="1728">
          <cell r="A1728">
            <v>41946</v>
          </cell>
          <cell r="LJ1728">
            <v>20.01758938235897</v>
          </cell>
          <cell r="LK1728">
            <v>20.020152274152959</v>
          </cell>
          <cell r="LL1728">
            <v>17.982747259685677</v>
          </cell>
          <cell r="LM1728">
            <v>15.721193701553757</v>
          </cell>
          <cell r="LN1728">
            <v>20.244300817817596</v>
          </cell>
          <cell r="LY1728">
            <v>11.542356467774425</v>
          </cell>
          <cell r="LZ1728">
            <v>14.730476692982464</v>
          </cell>
          <cell r="MA1728">
            <v>11.870949885755934</v>
          </cell>
          <cell r="MB1728">
            <v>9.6544719773798295</v>
          </cell>
          <cell r="MC1728">
            <v>14.087427794132038</v>
          </cell>
        </row>
        <row r="1729">
          <cell r="A1729">
            <v>41947</v>
          </cell>
          <cell r="LJ1729">
            <v>20.022596909502891</v>
          </cell>
          <cell r="LK1729">
            <v>20.020152274152959</v>
          </cell>
          <cell r="LL1729">
            <v>17.982747259685677</v>
          </cell>
          <cell r="LM1729">
            <v>15.721193701553757</v>
          </cell>
          <cell r="LN1729">
            <v>20.244300817817596</v>
          </cell>
          <cell r="LY1729">
            <v>11.54529190954759</v>
          </cell>
          <cell r="LZ1729">
            <v>14.730476692982464</v>
          </cell>
          <cell r="MA1729">
            <v>11.870949885755934</v>
          </cell>
          <cell r="MB1729">
            <v>9.6544719773798295</v>
          </cell>
          <cell r="MC1729">
            <v>14.087427794132038</v>
          </cell>
        </row>
        <row r="1730">
          <cell r="A1730">
            <v>41948</v>
          </cell>
          <cell r="LJ1730">
            <v>20.217841406615229</v>
          </cell>
          <cell r="LK1730">
            <v>20.020152274152959</v>
          </cell>
          <cell r="LL1730">
            <v>17.982747259685677</v>
          </cell>
          <cell r="LM1730">
            <v>15.721193701553757</v>
          </cell>
          <cell r="LN1730">
            <v>20.244300817817596</v>
          </cell>
          <cell r="LY1730">
            <v>11.65974537856175</v>
          </cell>
          <cell r="LZ1730">
            <v>14.730476692982464</v>
          </cell>
          <cell r="MA1730">
            <v>11.870949885755934</v>
          </cell>
          <cell r="MB1730">
            <v>9.6544719773798295</v>
          </cell>
          <cell r="MC1730">
            <v>14.087427794132038</v>
          </cell>
        </row>
        <row r="1731">
          <cell r="A1731">
            <v>41949</v>
          </cell>
          <cell r="LJ1731">
            <v>20.334341792632227</v>
          </cell>
          <cell r="LK1731">
            <v>20.020152274152959</v>
          </cell>
          <cell r="LL1731">
            <v>17.982747259685677</v>
          </cell>
          <cell r="LM1731">
            <v>15.721193701553757</v>
          </cell>
          <cell r="LN1731">
            <v>20.244300817817596</v>
          </cell>
          <cell r="LY1731">
            <v>11.707232120754922</v>
          </cell>
          <cell r="LZ1731">
            <v>14.730476692982464</v>
          </cell>
          <cell r="MA1731">
            <v>11.870949885755934</v>
          </cell>
          <cell r="MB1731">
            <v>9.6544719773798295</v>
          </cell>
          <cell r="MC1731">
            <v>14.087427794132038</v>
          </cell>
        </row>
        <row r="1732">
          <cell r="A1732">
            <v>41950</v>
          </cell>
          <cell r="LJ1732">
            <v>20.31682713181112</v>
          </cell>
          <cell r="LK1732">
            <v>20.020152274152959</v>
          </cell>
          <cell r="LL1732">
            <v>17.982747259685677</v>
          </cell>
          <cell r="LM1732">
            <v>15.721193701553757</v>
          </cell>
          <cell r="LN1732">
            <v>20.244300817817596</v>
          </cell>
          <cell r="LY1732">
            <v>11.696983189491181</v>
          </cell>
          <cell r="LZ1732">
            <v>14.730476692982464</v>
          </cell>
          <cell r="MA1732">
            <v>11.870949885755934</v>
          </cell>
          <cell r="MB1732">
            <v>9.6544719773798295</v>
          </cell>
          <cell r="MC1732">
            <v>14.087427794132038</v>
          </cell>
        </row>
        <row r="1733">
          <cell r="A1733">
            <v>41953</v>
          </cell>
          <cell r="LJ1733">
            <v>20.341848683562223</v>
          </cell>
          <cell r="LK1733">
            <v>20.020152274152959</v>
          </cell>
          <cell r="LL1733">
            <v>17.982747259685677</v>
          </cell>
          <cell r="LM1733">
            <v>15.721193701553757</v>
          </cell>
          <cell r="LN1733">
            <v>20.244300817817596</v>
          </cell>
          <cell r="LY1733">
            <v>11.711624875483761</v>
          </cell>
          <cell r="LZ1733">
            <v>14.730476692982464</v>
          </cell>
          <cell r="MA1733">
            <v>11.870949885755934</v>
          </cell>
          <cell r="MB1733">
            <v>9.6544719773798295</v>
          </cell>
          <cell r="MC1733">
            <v>14.087427794132038</v>
          </cell>
        </row>
        <row r="1734">
          <cell r="A1734">
            <v>41954</v>
          </cell>
          <cell r="LJ1734">
            <v>20.371879750614763</v>
          </cell>
          <cell r="LK1734">
            <v>20.020152274152959</v>
          </cell>
          <cell r="LL1734">
            <v>17.982747259685677</v>
          </cell>
          <cell r="LM1734">
            <v>15.721193701553757</v>
          </cell>
          <cell r="LN1734">
            <v>20.244300817817596</v>
          </cell>
          <cell r="LY1734">
            <v>11.729197944419663</v>
          </cell>
          <cell r="LZ1734">
            <v>14.730476692982464</v>
          </cell>
          <cell r="MA1734">
            <v>11.870949885755934</v>
          </cell>
          <cell r="MB1734">
            <v>9.6544719773798295</v>
          </cell>
          <cell r="MC1734">
            <v>14.087427794132038</v>
          </cell>
        </row>
        <row r="1735">
          <cell r="A1735">
            <v>41955</v>
          </cell>
          <cell r="LJ1735">
            <v>20.636707999106658</v>
          </cell>
          <cell r="LK1735">
            <v>20.020152274152959</v>
          </cell>
          <cell r="LL1735">
            <v>17.982747259685677</v>
          </cell>
          <cell r="LM1735">
            <v>15.721193701553757</v>
          </cell>
          <cell r="LN1735">
            <v>20.244300817817596</v>
          </cell>
          <cell r="LY1735">
            <v>11.874211614474801</v>
          </cell>
          <cell r="LZ1735">
            <v>14.730476692982464</v>
          </cell>
          <cell r="MA1735">
            <v>11.870949885755934</v>
          </cell>
          <cell r="MB1735">
            <v>9.6544719773798295</v>
          </cell>
          <cell r="MC1735">
            <v>14.087427794132038</v>
          </cell>
        </row>
        <row r="1736">
          <cell r="A1736">
            <v>41956</v>
          </cell>
          <cell r="LJ1736">
            <v>20.646728929813161</v>
          </cell>
          <cell r="LK1736">
            <v>20.020152274152959</v>
          </cell>
          <cell r="LL1736">
            <v>17.982747259685677</v>
          </cell>
          <cell r="LM1736">
            <v>15.721193701553757</v>
          </cell>
          <cell r="LN1736">
            <v>20.244300817817596</v>
          </cell>
          <cell r="LY1736">
            <v>11.880070704995562</v>
          </cell>
          <cell r="LZ1736">
            <v>14.730476692982464</v>
          </cell>
          <cell r="MA1736">
            <v>11.870949885755934</v>
          </cell>
          <cell r="MB1736">
            <v>9.6544719773798295</v>
          </cell>
          <cell r="MC1736">
            <v>14.087427794132038</v>
          </cell>
        </row>
        <row r="1737">
          <cell r="A1737">
            <v>41957</v>
          </cell>
          <cell r="LJ1737">
            <v>20.604133021073039</v>
          </cell>
          <cell r="LK1737">
            <v>20.020152274152959</v>
          </cell>
          <cell r="LL1737">
            <v>17.982747259685677</v>
          </cell>
          <cell r="LM1737">
            <v>15.721193701553757</v>
          </cell>
          <cell r="LN1737">
            <v>20.244300817817596</v>
          </cell>
          <cell r="LY1737">
            <v>11.855165504826831</v>
          </cell>
          <cell r="LZ1737">
            <v>14.730476692982464</v>
          </cell>
          <cell r="MA1737">
            <v>11.870949885755934</v>
          </cell>
          <cell r="MB1737">
            <v>9.6544719773798295</v>
          </cell>
          <cell r="MC1737">
            <v>14.087427794132038</v>
          </cell>
        </row>
        <row r="1738">
          <cell r="A1738">
            <v>41960</v>
          </cell>
          <cell r="LJ1738">
            <v>20.626752300541099</v>
          </cell>
          <cell r="LK1738">
            <v>20.020152274152959</v>
          </cell>
          <cell r="LL1738">
            <v>17.982747259685677</v>
          </cell>
          <cell r="LM1738">
            <v>15.721193701553757</v>
          </cell>
          <cell r="LN1738">
            <v>20.244300817817596</v>
          </cell>
          <cell r="LY1738">
            <v>11.876061757252653</v>
          </cell>
          <cell r="LZ1738">
            <v>14.730476692982464</v>
          </cell>
          <cell r="MA1738">
            <v>11.870949885755934</v>
          </cell>
          <cell r="MB1738">
            <v>9.6544719773798295</v>
          </cell>
          <cell r="MC1738">
            <v>14.087427794132038</v>
          </cell>
        </row>
        <row r="1739">
          <cell r="A1739">
            <v>41961</v>
          </cell>
          <cell r="LJ1739">
            <v>20.679341130867464</v>
          </cell>
          <cell r="LK1739">
            <v>20.020152274152959</v>
          </cell>
          <cell r="LL1739">
            <v>17.982747259685677</v>
          </cell>
          <cell r="LM1739">
            <v>15.721193701553757</v>
          </cell>
          <cell r="LN1739">
            <v>20.244300817817596</v>
          </cell>
          <cell r="LY1739">
            <v>11.906829245103294</v>
          </cell>
          <cell r="LZ1739">
            <v>14.730476692982464</v>
          </cell>
          <cell r="MA1739">
            <v>11.870949885755934</v>
          </cell>
          <cell r="MB1739">
            <v>9.6544719773798295</v>
          </cell>
          <cell r="MC1739">
            <v>14.087427794132038</v>
          </cell>
        </row>
        <row r="1740">
          <cell r="A1740">
            <v>41962</v>
          </cell>
          <cell r="LJ1740">
            <v>20.676838474894392</v>
          </cell>
          <cell r="LK1740">
            <v>20.020152274152959</v>
          </cell>
          <cell r="LL1740">
            <v>17.982747259685677</v>
          </cell>
          <cell r="LM1740">
            <v>15.721193701553757</v>
          </cell>
          <cell r="LN1740">
            <v>20.244300817817596</v>
          </cell>
          <cell r="LY1740">
            <v>11.895134734082292</v>
          </cell>
          <cell r="LZ1740">
            <v>14.730476692982464</v>
          </cell>
          <cell r="MA1740">
            <v>11.870949885755934</v>
          </cell>
          <cell r="MB1740">
            <v>9.6544719773798295</v>
          </cell>
          <cell r="MC1740">
            <v>14.087427794132038</v>
          </cell>
        </row>
        <row r="1741">
          <cell r="A1741">
            <v>41963</v>
          </cell>
          <cell r="LJ1741">
            <v>20.661810268679446</v>
          </cell>
          <cell r="LK1741">
            <v>20.020152274152959</v>
          </cell>
          <cell r="LL1741">
            <v>17.982747259685677</v>
          </cell>
          <cell r="LM1741">
            <v>15.721193701553757</v>
          </cell>
          <cell r="LN1741">
            <v>20.244300817817596</v>
          </cell>
          <cell r="LY1741">
            <v>11.8863499251274</v>
          </cell>
          <cell r="LZ1741">
            <v>14.730476692982464</v>
          </cell>
          <cell r="MA1741">
            <v>11.870949885755934</v>
          </cell>
          <cell r="MB1741">
            <v>9.6544719773798295</v>
          </cell>
          <cell r="MC1741">
            <v>14.087427794132038</v>
          </cell>
        </row>
        <row r="1742">
          <cell r="A1742">
            <v>41964</v>
          </cell>
          <cell r="LJ1742">
            <v>20.932259884072032</v>
          </cell>
          <cell r="LK1742">
            <v>20.020152274152959</v>
          </cell>
          <cell r="LL1742">
            <v>17.982747259685677</v>
          </cell>
          <cell r="LM1742">
            <v>15.721193701553757</v>
          </cell>
          <cell r="LN1742">
            <v>20.244300817817596</v>
          </cell>
          <cell r="LY1742">
            <v>12.044442525745636</v>
          </cell>
          <cell r="LZ1742">
            <v>14.730476692982464</v>
          </cell>
          <cell r="MA1742">
            <v>11.870949885755934</v>
          </cell>
          <cell r="MB1742">
            <v>9.6544719773798295</v>
          </cell>
          <cell r="MC1742">
            <v>14.087427794132038</v>
          </cell>
        </row>
        <row r="1743">
          <cell r="A1743">
            <v>41967</v>
          </cell>
          <cell r="LJ1743">
            <v>20.950169650978875</v>
          </cell>
          <cell r="LK1743">
            <v>20.020152274152959</v>
          </cell>
          <cell r="LL1743">
            <v>17.982747259685677</v>
          </cell>
          <cell r="LM1743">
            <v>15.721193701553757</v>
          </cell>
          <cell r="LN1743">
            <v>20.244300817817596</v>
          </cell>
          <cell r="LY1743">
            <v>12.032731691659531</v>
          </cell>
          <cell r="LZ1743">
            <v>14.730476692982464</v>
          </cell>
          <cell r="MA1743">
            <v>11.870949885755934</v>
          </cell>
          <cell r="MB1743">
            <v>9.6544719773798295</v>
          </cell>
          <cell r="MC1743">
            <v>14.087427794132038</v>
          </cell>
        </row>
        <row r="1744">
          <cell r="A1744">
            <v>41968</v>
          </cell>
          <cell r="LJ1744">
            <v>20.917559032897401</v>
          </cell>
          <cell r="LK1744">
            <v>20.020152274152959</v>
          </cell>
          <cell r="LL1744">
            <v>17.982747259685677</v>
          </cell>
          <cell r="LM1744">
            <v>15.721193701553757</v>
          </cell>
          <cell r="LN1744">
            <v>20.244300817817596</v>
          </cell>
          <cell r="LY1744">
            <v>12.013703525828019</v>
          </cell>
          <cell r="LZ1744">
            <v>14.730476692982464</v>
          </cell>
          <cell r="MA1744">
            <v>11.870949885755934</v>
          </cell>
          <cell r="MB1744">
            <v>9.6544719773798295</v>
          </cell>
          <cell r="MC1744">
            <v>14.087427794132038</v>
          </cell>
        </row>
        <row r="1745">
          <cell r="A1745">
            <v>41969</v>
          </cell>
          <cell r="LJ1745">
            <v>20.935117940357657</v>
          </cell>
          <cell r="LK1745">
            <v>20.020152274152959</v>
          </cell>
          <cell r="LL1745">
            <v>17.982747259685677</v>
          </cell>
          <cell r="LM1745">
            <v>15.721193701553757</v>
          </cell>
          <cell r="LN1745">
            <v>20.244300817817596</v>
          </cell>
          <cell r="LY1745">
            <v>12.023949078431135</v>
          </cell>
          <cell r="LZ1745">
            <v>14.730476692982464</v>
          </cell>
          <cell r="MA1745">
            <v>11.870949885755934</v>
          </cell>
          <cell r="MB1745">
            <v>9.6544719773798295</v>
          </cell>
          <cell r="MC1745">
            <v>14.087427794132038</v>
          </cell>
        </row>
        <row r="1746">
          <cell r="A1746">
            <v>41970</v>
          </cell>
          <cell r="LJ1746">
            <v>20.935117940357657</v>
          </cell>
          <cell r="LK1746">
            <v>20.020152274152959</v>
          </cell>
          <cell r="LL1746">
            <v>17.982747259685677</v>
          </cell>
          <cell r="LM1746">
            <v>15.721193701553757</v>
          </cell>
          <cell r="LN1746">
            <v>20.244300817817596</v>
          </cell>
          <cell r="LY1746">
            <v>12.023949078431135</v>
          </cell>
          <cell r="LZ1746">
            <v>14.730476692982464</v>
          </cell>
          <cell r="MA1746">
            <v>11.870949885755934</v>
          </cell>
          <cell r="MB1746">
            <v>9.6544719773798295</v>
          </cell>
          <cell r="MC1746">
            <v>14.087427794132038</v>
          </cell>
        </row>
        <row r="1747">
          <cell r="A1747">
            <v>41971</v>
          </cell>
          <cell r="LJ1747">
            <v>20.962713913890852</v>
          </cell>
          <cell r="LK1747">
            <v>20.020152274152959</v>
          </cell>
          <cell r="LL1747">
            <v>17.982747259685677</v>
          </cell>
          <cell r="LM1747">
            <v>15.721193701553757</v>
          </cell>
          <cell r="LN1747">
            <v>20.244300817817596</v>
          </cell>
          <cell r="LY1747">
            <v>12.040051219131437</v>
          </cell>
          <cell r="LZ1747">
            <v>14.730476692982464</v>
          </cell>
          <cell r="MA1747">
            <v>11.870949885755934</v>
          </cell>
          <cell r="MB1747">
            <v>9.6544719773798295</v>
          </cell>
          <cell r="MC1747">
            <v>14.087427794132038</v>
          </cell>
        </row>
        <row r="1748">
          <cell r="A1748">
            <v>41974</v>
          </cell>
          <cell r="LJ1748">
            <v>20.695069257598405</v>
          </cell>
          <cell r="LK1748">
            <v>20.020152274152959</v>
          </cell>
          <cell r="LL1748">
            <v>17.982747259685677</v>
          </cell>
          <cell r="LM1748">
            <v>15.721193701553757</v>
          </cell>
          <cell r="LN1748">
            <v>20.244300817817596</v>
          </cell>
          <cell r="LY1748">
            <v>11.8884403595395</v>
          </cell>
          <cell r="LZ1748">
            <v>14.730476692982464</v>
          </cell>
          <cell r="MA1748">
            <v>11.870949885755934</v>
          </cell>
          <cell r="MB1748">
            <v>9.6544719773798295</v>
          </cell>
          <cell r="MC1748">
            <v>14.087427794132038</v>
          </cell>
        </row>
        <row r="1749">
          <cell r="A1749">
            <v>41975</v>
          </cell>
          <cell r="LJ1749">
            <v>20.822123069257596</v>
          </cell>
          <cell r="LK1749">
            <v>20.020152274152959</v>
          </cell>
          <cell r="LL1749">
            <v>17.982747259685677</v>
          </cell>
          <cell r="LM1749">
            <v>15.721193701553757</v>
          </cell>
          <cell r="LN1749">
            <v>20.244300817817596</v>
          </cell>
          <cell r="LY1749">
            <v>11.962595888596141</v>
          </cell>
          <cell r="LZ1749">
            <v>14.730476692982464</v>
          </cell>
          <cell r="MA1749">
            <v>11.870949885755934</v>
          </cell>
          <cell r="MB1749">
            <v>9.6544719773798295</v>
          </cell>
          <cell r="MC1749">
            <v>14.087427794132038</v>
          </cell>
        </row>
        <row r="1750">
          <cell r="A1750">
            <v>41976</v>
          </cell>
          <cell r="LJ1750">
            <v>21.138516940707525</v>
          </cell>
          <cell r="LK1750">
            <v>20.020152274152959</v>
          </cell>
          <cell r="LL1750">
            <v>17.982747259685677</v>
          </cell>
          <cell r="LM1750">
            <v>15.721193701553757</v>
          </cell>
          <cell r="LN1750">
            <v>20.244300817817596</v>
          </cell>
          <cell r="LY1750">
            <v>12.14726059578796</v>
          </cell>
          <cell r="LZ1750">
            <v>14.730476692982464</v>
          </cell>
          <cell r="MA1750">
            <v>11.870949885755934</v>
          </cell>
          <cell r="MB1750">
            <v>9.6544719773798295</v>
          </cell>
          <cell r="MC1750">
            <v>14.087427794132038</v>
          </cell>
        </row>
        <row r="1751">
          <cell r="A1751">
            <v>41977</v>
          </cell>
          <cell r="LJ1751">
            <v>21.07125112107623</v>
          </cell>
          <cell r="LK1751">
            <v>20.020152274152959</v>
          </cell>
          <cell r="LL1751">
            <v>17.982747259685677</v>
          </cell>
          <cell r="LM1751">
            <v>15.721193701553757</v>
          </cell>
          <cell r="LN1751">
            <v>20.244300817817596</v>
          </cell>
          <cell r="LY1751">
            <v>12.108000597390056</v>
          </cell>
          <cell r="LZ1751">
            <v>14.730476692982464</v>
          </cell>
          <cell r="MA1751">
            <v>11.870949885755934</v>
          </cell>
          <cell r="MB1751">
            <v>9.6544719773798295</v>
          </cell>
          <cell r="MC1751">
            <v>14.087427794132038</v>
          </cell>
        </row>
        <row r="1752">
          <cell r="A1752">
            <v>41978</v>
          </cell>
          <cell r="LJ1752">
            <v>21.145990284005975</v>
          </cell>
          <cell r="LK1752">
            <v>20.020152274152959</v>
          </cell>
          <cell r="LL1752">
            <v>17.982747259685677</v>
          </cell>
          <cell r="LM1752">
            <v>15.721193701553757</v>
          </cell>
          <cell r="LN1752">
            <v>20.244300817817596</v>
          </cell>
          <cell r="LY1752">
            <v>12.151622446242358</v>
          </cell>
          <cell r="LZ1752">
            <v>14.730476692982464</v>
          </cell>
          <cell r="MA1752">
            <v>11.870949885755934</v>
          </cell>
          <cell r="MB1752">
            <v>9.6544719773798295</v>
          </cell>
          <cell r="MC1752">
            <v>14.087427794132038</v>
          </cell>
        </row>
        <row r="1753">
          <cell r="A1753">
            <v>41981</v>
          </cell>
          <cell r="LJ1753">
            <v>21.11111260587942</v>
          </cell>
          <cell r="LK1753">
            <v>20.020152274152959</v>
          </cell>
          <cell r="LL1753">
            <v>17.982747259685677</v>
          </cell>
          <cell r="LM1753">
            <v>15.721193701553757</v>
          </cell>
          <cell r="LN1753">
            <v>20.244300817817596</v>
          </cell>
          <cell r="LY1753">
            <v>12.123589376752399</v>
          </cell>
          <cell r="LZ1753">
            <v>14.730476692982464</v>
          </cell>
          <cell r="MA1753">
            <v>11.870949885755934</v>
          </cell>
          <cell r="MB1753">
            <v>9.6544719773798295</v>
          </cell>
          <cell r="MC1753">
            <v>14.087427794132038</v>
          </cell>
        </row>
        <row r="1754">
          <cell r="A1754">
            <v>41982</v>
          </cell>
          <cell r="LJ1754">
            <v>21.01644270054808</v>
          </cell>
          <cell r="LK1754">
            <v>20.020152274152959</v>
          </cell>
          <cell r="LL1754">
            <v>17.982747259685677</v>
          </cell>
          <cell r="LM1754">
            <v>15.721193701553757</v>
          </cell>
          <cell r="LN1754">
            <v>20.244300817817596</v>
          </cell>
          <cell r="LY1754">
            <v>12.093829360007692</v>
          </cell>
          <cell r="LZ1754">
            <v>14.730476692982464</v>
          </cell>
          <cell r="MA1754">
            <v>11.870949885755934</v>
          </cell>
          <cell r="MB1754">
            <v>9.6544719773798295</v>
          </cell>
          <cell r="MC1754">
            <v>14.087427794132038</v>
          </cell>
        </row>
        <row r="1755">
          <cell r="A1755">
            <v>41983</v>
          </cell>
          <cell r="LJ1755">
            <v>20.712506228201295</v>
          </cell>
          <cell r="LK1755">
            <v>20.020152274152959</v>
          </cell>
          <cell r="LL1755">
            <v>17.982747259685677</v>
          </cell>
          <cell r="LM1755">
            <v>15.721193701553757</v>
          </cell>
          <cell r="LN1755">
            <v>20.244300817817596</v>
          </cell>
          <cell r="LY1755">
            <v>11.916173728287404</v>
          </cell>
          <cell r="LZ1755">
            <v>14.730476692982464</v>
          </cell>
          <cell r="MA1755">
            <v>11.870949885755934</v>
          </cell>
          <cell r="MB1755">
            <v>9.6544719773798295</v>
          </cell>
          <cell r="MC1755">
            <v>14.087427794132038</v>
          </cell>
        </row>
        <row r="1756">
          <cell r="A1756">
            <v>41984</v>
          </cell>
          <cell r="LJ1756">
            <v>20.805193739854523</v>
          </cell>
          <cell r="LK1756">
            <v>20.020152274152959</v>
          </cell>
          <cell r="LL1756">
            <v>17.982747259685677</v>
          </cell>
          <cell r="LM1756">
            <v>15.721193701553757</v>
          </cell>
          <cell r="LN1756">
            <v>20.244300817817596</v>
          </cell>
          <cell r="LY1756">
            <v>12.027096363138922</v>
          </cell>
          <cell r="LZ1756">
            <v>14.730476692982464</v>
          </cell>
          <cell r="MA1756">
            <v>11.870949885755934</v>
          </cell>
          <cell r="MB1756">
            <v>9.6544719773798295</v>
          </cell>
          <cell r="MC1756">
            <v>14.087427794132038</v>
          </cell>
        </row>
        <row r="1757">
          <cell r="A1757">
            <v>41985</v>
          </cell>
          <cell r="LJ1757">
            <v>20.009315464459338</v>
          </cell>
          <cell r="LK1757">
            <v>20.020152274152959</v>
          </cell>
          <cell r="LL1757">
            <v>17.982747259685677</v>
          </cell>
          <cell r="LM1757">
            <v>15.721193701553757</v>
          </cell>
          <cell r="LN1757">
            <v>20.244300817817596</v>
          </cell>
          <cell r="LY1757">
            <v>11.836303058021988</v>
          </cell>
          <cell r="LZ1757">
            <v>14.730476692982464</v>
          </cell>
          <cell r="MA1757">
            <v>11.870949885755934</v>
          </cell>
          <cell r="MB1757">
            <v>9.6544719773798295</v>
          </cell>
          <cell r="MC1757">
            <v>14.087427794132038</v>
          </cell>
        </row>
        <row r="1758">
          <cell r="A1758">
            <v>41988</v>
          </cell>
          <cell r="LJ1758">
            <v>19.935977278867</v>
          </cell>
          <cell r="LK1758">
            <v>20.020152274152959</v>
          </cell>
          <cell r="LL1758">
            <v>17.982747259685677</v>
          </cell>
          <cell r="LM1758">
            <v>15.721193701553757</v>
          </cell>
          <cell r="LN1758">
            <v>20.244300817817596</v>
          </cell>
          <cell r="LY1758">
            <v>11.77969876659396</v>
          </cell>
          <cell r="LZ1758">
            <v>14.730476692982464</v>
          </cell>
          <cell r="MA1758">
            <v>11.870949885755934</v>
          </cell>
          <cell r="MB1758">
            <v>9.6544719773798295</v>
          </cell>
          <cell r="MC1758">
            <v>14.087427794132038</v>
          </cell>
        </row>
        <row r="1759">
          <cell r="A1759">
            <v>41989</v>
          </cell>
          <cell r="LJ1759">
            <v>19.658656096622188</v>
          </cell>
          <cell r="LK1759">
            <v>20.020152274152959</v>
          </cell>
          <cell r="LL1759">
            <v>17.982747259685677</v>
          </cell>
          <cell r="LM1759">
            <v>15.721193701553757</v>
          </cell>
          <cell r="LN1759">
            <v>20.244300817817596</v>
          </cell>
          <cell r="LY1759">
            <v>11.613223063425469</v>
          </cell>
          <cell r="LZ1759">
            <v>14.730476692982464</v>
          </cell>
          <cell r="MA1759">
            <v>11.870949885755934</v>
          </cell>
          <cell r="MB1759">
            <v>9.6544719773798295</v>
          </cell>
          <cell r="MC1759">
            <v>14.087427794132038</v>
          </cell>
        </row>
        <row r="1760">
          <cell r="A1760">
            <v>41990</v>
          </cell>
          <cell r="LJ1760">
            <v>20.067466034249048</v>
          </cell>
          <cell r="LK1760">
            <v>20.020152274152959</v>
          </cell>
          <cell r="LL1760">
            <v>17.982747259685677</v>
          </cell>
          <cell r="LM1760">
            <v>15.721193701553757</v>
          </cell>
          <cell r="LN1760">
            <v>20.244300817817596</v>
          </cell>
          <cell r="LY1760">
            <v>11.858631370421</v>
          </cell>
          <cell r="LZ1760">
            <v>14.730476692982464</v>
          </cell>
          <cell r="MA1760">
            <v>11.870949885755934</v>
          </cell>
          <cell r="MB1760">
            <v>9.6544719773798295</v>
          </cell>
          <cell r="MC1760">
            <v>14.087427794132038</v>
          </cell>
        </row>
        <row r="1761">
          <cell r="A1761">
            <v>41991</v>
          </cell>
          <cell r="LJ1761">
            <v>20.559947787295386</v>
          </cell>
          <cell r="LK1761">
            <v>20.020152274152959</v>
          </cell>
          <cell r="LL1761">
            <v>17.982747259685677</v>
          </cell>
          <cell r="LM1761">
            <v>15.721193701553757</v>
          </cell>
          <cell r="LN1761">
            <v>20.244300817817596</v>
          </cell>
          <cell r="LY1761">
            <v>12.154267807105688</v>
          </cell>
          <cell r="LZ1761">
            <v>14.730476692982464</v>
          </cell>
          <cell r="MA1761">
            <v>11.870949885755934</v>
          </cell>
          <cell r="MB1761">
            <v>9.6544719773798295</v>
          </cell>
          <cell r="MC1761">
            <v>14.087427794132038</v>
          </cell>
        </row>
        <row r="1762">
          <cell r="A1762">
            <v>41992</v>
          </cell>
          <cell r="LJ1762">
            <v>20.624497655926881</v>
          </cell>
          <cell r="LK1762">
            <v>20.020152274152959</v>
          </cell>
          <cell r="LL1762">
            <v>17.982747259685677</v>
          </cell>
          <cell r="LM1762">
            <v>15.721193701553757</v>
          </cell>
          <cell r="LN1762">
            <v>20.244300817817596</v>
          </cell>
          <cell r="LY1762">
            <v>12.192519022304964</v>
          </cell>
          <cell r="LZ1762">
            <v>14.730476692982464</v>
          </cell>
          <cell r="MA1762">
            <v>11.870949885755934</v>
          </cell>
          <cell r="MB1762">
            <v>9.6544719773798295</v>
          </cell>
          <cell r="MC1762">
            <v>14.087427794132038</v>
          </cell>
        </row>
        <row r="1763">
          <cell r="A1763">
            <v>41995</v>
          </cell>
          <cell r="LJ1763">
            <v>20.813360619093494</v>
          </cell>
          <cell r="LK1763">
            <v>20.020152274152959</v>
          </cell>
          <cell r="LL1763">
            <v>17.982747259685677</v>
          </cell>
          <cell r="LM1763">
            <v>15.721193701553757</v>
          </cell>
          <cell r="LN1763">
            <v>20.244300817817596</v>
          </cell>
          <cell r="LY1763">
            <v>12.305888690390182</v>
          </cell>
          <cell r="LZ1763">
            <v>14.730476692982464</v>
          </cell>
          <cell r="MA1763">
            <v>11.870949885755934</v>
          </cell>
          <cell r="MB1763">
            <v>9.6544719773798295</v>
          </cell>
          <cell r="MC1763">
            <v>14.087427794132038</v>
          </cell>
        </row>
        <row r="1764">
          <cell r="A1764">
            <v>41996</v>
          </cell>
          <cell r="LJ1764">
            <v>20.813360619093494</v>
          </cell>
          <cell r="LK1764">
            <v>20.020152274152959</v>
          </cell>
          <cell r="LL1764">
            <v>17.982747259685677</v>
          </cell>
          <cell r="LM1764">
            <v>15.721193701553757</v>
          </cell>
          <cell r="LN1764">
            <v>20.244300817817596</v>
          </cell>
          <cell r="LY1764">
            <v>12.305888690390182</v>
          </cell>
          <cell r="LZ1764">
            <v>14.730476692982464</v>
          </cell>
          <cell r="MA1764">
            <v>11.870949885755934</v>
          </cell>
          <cell r="MB1764">
            <v>9.6544719773798295</v>
          </cell>
          <cell r="MC1764">
            <v>14.087427794132038</v>
          </cell>
        </row>
        <row r="1765">
          <cell r="A1765">
            <v>41997</v>
          </cell>
          <cell r="LJ1765">
            <v>20.748810989531158</v>
          </cell>
          <cell r="LK1765">
            <v>20.020152274152959</v>
          </cell>
          <cell r="LL1765">
            <v>17.982747259685677</v>
          </cell>
          <cell r="LM1765">
            <v>15.721193701553757</v>
          </cell>
          <cell r="LN1765">
            <v>20.244300817817596</v>
          </cell>
          <cell r="LY1765">
            <v>12.267141177612622</v>
          </cell>
          <cell r="LZ1765">
            <v>14.730476692982464</v>
          </cell>
          <cell r="MA1765">
            <v>11.870949885755934</v>
          </cell>
          <cell r="MB1765">
            <v>9.6544719773798295</v>
          </cell>
          <cell r="MC1765">
            <v>14.087427794132038</v>
          </cell>
        </row>
        <row r="1766">
          <cell r="A1766">
            <v>41998</v>
          </cell>
          <cell r="LJ1766">
            <v>20.748810989531158</v>
          </cell>
          <cell r="LK1766">
            <v>20.020152274152959</v>
          </cell>
          <cell r="LL1766">
            <v>17.982747259685677</v>
          </cell>
          <cell r="LM1766">
            <v>15.721193701553757</v>
          </cell>
          <cell r="LN1766">
            <v>20.244300817817596</v>
          </cell>
          <cell r="LY1766">
            <v>12.267141177612622</v>
          </cell>
          <cell r="LZ1766">
            <v>14.730476692982464</v>
          </cell>
          <cell r="MA1766">
            <v>11.870949885755934</v>
          </cell>
          <cell r="MB1766">
            <v>9.6544719773798295</v>
          </cell>
          <cell r="MC1766">
            <v>14.087427794132038</v>
          </cell>
        </row>
        <row r="1767">
          <cell r="A1767">
            <v>41999</v>
          </cell>
          <cell r="LJ1767">
            <v>20.734467318050438</v>
          </cell>
          <cell r="LK1767">
            <v>20.020152274152959</v>
          </cell>
          <cell r="LL1767">
            <v>17.982747259685677</v>
          </cell>
          <cell r="LM1767">
            <v>15.721193701553757</v>
          </cell>
          <cell r="LN1767">
            <v>20.244300817817596</v>
          </cell>
          <cell r="LY1767">
            <v>12.258531033793911</v>
          </cell>
          <cell r="LZ1767">
            <v>14.730476692982464</v>
          </cell>
          <cell r="MA1767">
            <v>11.870949885755934</v>
          </cell>
          <cell r="MB1767">
            <v>9.6544719773798295</v>
          </cell>
          <cell r="MC1767">
            <v>14.087427794132038</v>
          </cell>
        </row>
        <row r="1768">
          <cell r="A1768">
            <v>42002</v>
          </cell>
          <cell r="LJ1768">
            <v>20.770329843720486</v>
          </cell>
          <cell r="LK1768">
            <v>20.020152274152959</v>
          </cell>
          <cell r="LL1768">
            <v>17.982747259685677</v>
          </cell>
          <cell r="LM1768">
            <v>15.721193701553757</v>
          </cell>
          <cell r="LN1768">
            <v>20.244300817817596</v>
          </cell>
          <cell r="LY1768">
            <v>12.280058402441222</v>
          </cell>
          <cell r="LZ1768">
            <v>14.730476692982464</v>
          </cell>
          <cell r="MA1768">
            <v>11.870949885755934</v>
          </cell>
          <cell r="MB1768">
            <v>9.6544719773798295</v>
          </cell>
          <cell r="MC1768">
            <v>14.087427794132038</v>
          </cell>
        </row>
        <row r="1769">
          <cell r="A1769">
            <v>42003</v>
          </cell>
          <cell r="LJ1769">
            <v>20.617325820186519</v>
          </cell>
          <cell r="LK1769">
            <v>20.020152274152959</v>
          </cell>
          <cell r="LL1769">
            <v>17.982747259685677</v>
          </cell>
          <cell r="LM1769">
            <v>15.721193701553757</v>
          </cell>
          <cell r="LN1769">
            <v>20.244300817817596</v>
          </cell>
          <cell r="LY1769">
            <v>12.188213950395605</v>
          </cell>
          <cell r="LZ1769">
            <v>14.730476692982464</v>
          </cell>
          <cell r="MA1769">
            <v>11.870949885755934</v>
          </cell>
          <cell r="MB1769">
            <v>9.6544719773798295</v>
          </cell>
          <cell r="MC1769">
            <v>14.087427794132038</v>
          </cell>
        </row>
        <row r="1770">
          <cell r="A1770">
            <v>42004</v>
          </cell>
          <cell r="LJ1770">
            <v>20.490619404287465</v>
          </cell>
          <cell r="LK1770">
            <v>20.020152274152959</v>
          </cell>
          <cell r="LL1770">
            <v>17.982747259685677</v>
          </cell>
          <cell r="LM1770">
            <v>15.721193701553757</v>
          </cell>
          <cell r="LN1770">
            <v>20.244300817817596</v>
          </cell>
          <cell r="LY1770">
            <v>12.140310326045224</v>
          </cell>
          <cell r="LZ1770">
            <v>14.730476692982464</v>
          </cell>
          <cell r="MA1770">
            <v>11.870949885755934</v>
          </cell>
          <cell r="MB1770">
            <v>9.6544719773798295</v>
          </cell>
          <cell r="MC1770">
            <v>14.087427794132038</v>
          </cell>
        </row>
        <row r="1771">
          <cell r="A1771">
            <v>42005</v>
          </cell>
          <cell r="LJ1771">
            <v>20.322090125180548</v>
          </cell>
          <cell r="LK1771">
            <v>20.020152274152959</v>
          </cell>
          <cell r="LL1771">
            <v>17.982747259685677</v>
          </cell>
          <cell r="LM1771">
            <v>15.721193701553757</v>
          </cell>
          <cell r="LN1771">
            <v>20.244300817817596</v>
          </cell>
          <cell r="LY1771">
            <v>12.044601216758235</v>
          </cell>
          <cell r="LZ1771">
            <v>14.730476692982464</v>
          </cell>
          <cell r="MA1771">
            <v>11.870949885755934</v>
          </cell>
          <cell r="MB1771">
            <v>9.6544719773798295</v>
          </cell>
          <cell r="MC1771">
            <v>14.087427794132038</v>
          </cell>
        </row>
        <row r="1772">
          <cell r="A1772">
            <v>42006</v>
          </cell>
          <cell r="LJ1772">
            <v>20.324459968538523</v>
          </cell>
          <cell r="LK1772">
            <v>20.020152274152959</v>
          </cell>
          <cell r="LL1772">
            <v>17.982747259685677</v>
          </cell>
          <cell r="LM1772">
            <v>15.721193701553757</v>
          </cell>
          <cell r="LN1772">
            <v>20.244300817817596</v>
          </cell>
          <cell r="LY1772">
            <v>12.046027520572983</v>
          </cell>
          <cell r="LZ1772">
            <v>14.730476692982464</v>
          </cell>
          <cell r="MA1772">
            <v>11.870949885755934</v>
          </cell>
          <cell r="MB1772">
            <v>9.6544719773798295</v>
          </cell>
          <cell r="MC1772">
            <v>14.087427794132038</v>
          </cell>
        </row>
        <row r="1773">
          <cell r="A1773">
            <v>42009</v>
          </cell>
          <cell r="LJ1773">
            <v>20.015296872754249</v>
          </cell>
          <cell r="LK1773">
            <v>20.020152274152959</v>
          </cell>
          <cell r="LL1773">
            <v>17.982747259685677</v>
          </cell>
          <cell r="LM1773">
            <v>15.721193701553757</v>
          </cell>
          <cell r="LN1773">
            <v>20.244300817817596</v>
          </cell>
          <cell r="LY1773">
            <v>11.924730191872543</v>
          </cell>
          <cell r="LZ1773">
            <v>14.730476692982464</v>
          </cell>
          <cell r="MA1773">
            <v>11.870949885755934</v>
          </cell>
          <cell r="MB1773">
            <v>9.6544719773798295</v>
          </cell>
          <cell r="MC1773">
            <v>14.087427794132038</v>
          </cell>
        </row>
        <row r="1774">
          <cell r="A1774">
            <v>42010</v>
          </cell>
          <cell r="LJ1774">
            <v>19.878512228428455</v>
          </cell>
          <cell r="LK1774">
            <v>20.020152274152959</v>
          </cell>
          <cell r="LL1774">
            <v>17.982747259685677</v>
          </cell>
          <cell r="LM1774">
            <v>15.721193701553757</v>
          </cell>
          <cell r="LN1774">
            <v>20.244300817817596</v>
          </cell>
          <cell r="LY1774">
            <v>11.841962901711161</v>
          </cell>
          <cell r="LZ1774">
            <v>14.730476692982464</v>
          </cell>
          <cell r="MA1774">
            <v>11.870949885755934</v>
          </cell>
          <cell r="MB1774">
            <v>9.6544719773798295</v>
          </cell>
          <cell r="MC1774">
            <v>14.087427794132038</v>
          </cell>
        </row>
        <row r="1775">
          <cell r="A1775">
            <v>42011</v>
          </cell>
          <cell r="LJ1775">
            <v>19.878949549160531</v>
          </cell>
          <cell r="LK1775">
            <v>20.020152274152959</v>
          </cell>
          <cell r="LL1775">
            <v>17.982747259685677</v>
          </cell>
          <cell r="LM1775">
            <v>15.721193701553757</v>
          </cell>
          <cell r="LN1775">
            <v>20.244300817817596</v>
          </cell>
          <cell r="LY1775">
            <v>11.914742212222516</v>
          </cell>
          <cell r="LZ1775">
            <v>14.730476692982464</v>
          </cell>
          <cell r="MA1775">
            <v>11.870949885755934</v>
          </cell>
          <cell r="MB1775">
            <v>9.6544719773798295</v>
          </cell>
          <cell r="MC1775">
            <v>14.087427794132038</v>
          </cell>
        </row>
        <row r="1776">
          <cell r="A1776">
            <v>42012</v>
          </cell>
          <cell r="LJ1776">
            <v>20.186041094492907</v>
          </cell>
          <cell r="LK1776">
            <v>20.020152274152959</v>
          </cell>
          <cell r="LL1776">
            <v>17.982747259685677</v>
          </cell>
          <cell r="LM1776">
            <v>15.721193701553757</v>
          </cell>
          <cell r="LN1776">
            <v>20.244300817817596</v>
          </cell>
          <cell r="LY1776">
            <v>12.101681053484333</v>
          </cell>
          <cell r="LZ1776">
            <v>14.730476692982464</v>
          </cell>
          <cell r="MA1776">
            <v>11.870949885755934</v>
          </cell>
          <cell r="MB1776">
            <v>9.6544719773798295</v>
          </cell>
          <cell r="MC1776">
            <v>14.087427794132038</v>
          </cell>
        </row>
        <row r="1777">
          <cell r="A1777">
            <v>42013</v>
          </cell>
          <cell r="LJ1777">
            <v>20.050076118637339</v>
          </cell>
          <cell r="LK1777">
            <v>20.020152274152959</v>
          </cell>
          <cell r="LL1777">
            <v>17.982747259685677</v>
          </cell>
          <cell r="LM1777">
            <v>15.721193701553757</v>
          </cell>
          <cell r="LN1777">
            <v>20.244300817817596</v>
          </cell>
          <cell r="LY1777">
            <v>12.018913763322955</v>
          </cell>
          <cell r="LZ1777">
            <v>14.730476692982464</v>
          </cell>
          <cell r="MA1777">
            <v>11.870949885755934</v>
          </cell>
          <cell r="MB1777">
            <v>9.6544719773798295</v>
          </cell>
          <cell r="MC1777">
            <v>14.087427794132038</v>
          </cell>
        </row>
        <row r="1778">
          <cell r="A1778">
            <v>42016</v>
          </cell>
          <cell r="LJ1778">
            <v>19.928260779387251</v>
          </cell>
          <cell r="LK1778">
            <v>20.020152274152959</v>
          </cell>
          <cell r="LL1778">
            <v>17.982747259685677</v>
          </cell>
          <cell r="LM1778">
            <v>15.721193701553757</v>
          </cell>
          <cell r="LN1778">
            <v>20.244300817817596</v>
          </cell>
          <cell r="LY1778">
            <v>11.877623642450255</v>
          </cell>
          <cell r="LZ1778">
            <v>14.730476692982464</v>
          </cell>
          <cell r="MA1778">
            <v>11.870949885755934</v>
          </cell>
          <cell r="MB1778">
            <v>9.6544719773798295</v>
          </cell>
          <cell r="MC1778">
            <v>14.087427794132038</v>
          </cell>
        </row>
        <row r="1779">
          <cell r="A1779">
            <v>42017</v>
          </cell>
          <cell r="LJ1779">
            <v>19.899951419903367</v>
          </cell>
          <cell r="LK1779">
            <v>20.020152274152959</v>
          </cell>
          <cell r="LL1779">
            <v>17.982747259685677</v>
          </cell>
          <cell r="LM1779">
            <v>15.721193701553757</v>
          </cell>
          <cell r="LN1779">
            <v>20.244300817817596</v>
          </cell>
          <cell r="LY1779">
            <v>11.860485757906041</v>
          </cell>
          <cell r="LZ1779">
            <v>14.730476692982464</v>
          </cell>
          <cell r="MA1779">
            <v>11.870949885755934</v>
          </cell>
          <cell r="MB1779">
            <v>9.6544719773798295</v>
          </cell>
          <cell r="MC1779">
            <v>14.087427794132038</v>
          </cell>
        </row>
        <row r="1780">
          <cell r="A1780">
            <v>42018</v>
          </cell>
          <cell r="LJ1780">
            <v>19.406991612591519</v>
          </cell>
          <cell r="LK1780">
            <v>20.020152274152959</v>
          </cell>
          <cell r="LL1780">
            <v>17.982747259685677</v>
          </cell>
          <cell r="LM1780">
            <v>15.721193701553757</v>
          </cell>
          <cell r="LN1780">
            <v>20.244300817817596</v>
          </cell>
          <cell r="LY1780">
            <v>11.670670724527685</v>
          </cell>
          <cell r="LZ1780">
            <v>14.730476692982464</v>
          </cell>
          <cell r="MA1780">
            <v>11.870949885755934</v>
          </cell>
          <cell r="MB1780">
            <v>9.6544719773798295</v>
          </cell>
          <cell r="MC1780">
            <v>14.087427794132038</v>
          </cell>
        </row>
        <row r="1781">
          <cell r="A1781">
            <v>42019</v>
          </cell>
          <cell r="LJ1781">
            <v>19.082864523410144</v>
          </cell>
          <cell r="LK1781">
            <v>20.020152274152959</v>
          </cell>
          <cell r="LL1781">
            <v>17.982747259685677</v>
          </cell>
          <cell r="LM1781">
            <v>15.721193701553757</v>
          </cell>
          <cell r="LN1781">
            <v>20.244300817817596</v>
          </cell>
          <cell r="LY1781">
            <v>11.483436254895649</v>
          </cell>
          <cell r="LZ1781">
            <v>14.730476692982464</v>
          </cell>
          <cell r="MA1781">
            <v>11.870949885755934</v>
          </cell>
          <cell r="MB1781">
            <v>9.6544719773798295</v>
          </cell>
          <cell r="MC1781">
            <v>14.087427794132038</v>
          </cell>
        </row>
        <row r="1782">
          <cell r="A1782">
            <v>42020</v>
          </cell>
          <cell r="LJ1782">
            <v>18.548650190838689</v>
          </cell>
          <cell r="LK1782">
            <v>20.020152274152959</v>
          </cell>
          <cell r="LL1782">
            <v>17.982747259685677</v>
          </cell>
          <cell r="LM1782">
            <v>15.721193701553757</v>
          </cell>
          <cell r="LN1782">
            <v>20.244300817817596</v>
          </cell>
          <cell r="LY1782">
            <v>11.564178489672278</v>
          </cell>
          <cell r="LZ1782">
            <v>14.730476692982464</v>
          </cell>
          <cell r="MA1782">
            <v>11.870949885755934</v>
          </cell>
          <cell r="MB1782">
            <v>9.6544719773798295</v>
          </cell>
          <cell r="MC1782">
            <v>14.087427794132038</v>
          </cell>
        </row>
        <row r="1783">
          <cell r="A1783">
            <v>42023</v>
          </cell>
          <cell r="LJ1783">
            <v>18.548650190838689</v>
          </cell>
          <cell r="LK1783">
            <v>20.020152274152959</v>
          </cell>
          <cell r="LL1783">
            <v>17.982747259685677</v>
          </cell>
          <cell r="LM1783">
            <v>15.721193701553757</v>
          </cell>
          <cell r="LN1783">
            <v>20.244300817817596</v>
          </cell>
          <cell r="LY1783">
            <v>11.564178489672278</v>
          </cell>
          <cell r="LZ1783">
            <v>14.730476692982464</v>
          </cell>
          <cell r="MA1783">
            <v>11.870949885755934</v>
          </cell>
          <cell r="MB1783">
            <v>9.6544719773798295</v>
          </cell>
          <cell r="MC1783">
            <v>14.087427794132038</v>
          </cell>
        </row>
        <row r="1784">
          <cell r="A1784">
            <v>42024</v>
          </cell>
          <cell r="LJ1784">
            <v>18.645282957388954</v>
          </cell>
          <cell r="LK1784">
            <v>20.020152274152959</v>
          </cell>
          <cell r="LL1784">
            <v>17.982747259685677</v>
          </cell>
          <cell r="LM1784">
            <v>15.721193701553757</v>
          </cell>
          <cell r="LN1784">
            <v>20.244300817817596</v>
          </cell>
          <cell r="LY1784">
            <v>11.625392861216374</v>
          </cell>
          <cell r="LZ1784">
            <v>14.730476692982464</v>
          </cell>
          <cell r="MA1784">
            <v>11.870949885755934</v>
          </cell>
          <cell r="MB1784">
            <v>9.6544719773798295</v>
          </cell>
          <cell r="MC1784">
            <v>14.087427794132038</v>
          </cell>
        </row>
        <row r="1785">
          <cell r="A1785">
            <v>42025</v>
          </cell>
          <cell r="LJ1785">
            <v>18.71045110744712</v>
          </cell>
          <cell r="LK1785">
            <v>20.020152274152959</v>
          </cell>
          <cell r="LL1785">
            <v>17.982747259685677</v>
          </cell>
          <cell r="LM1785">
            <v>15.721193701553757</v>
          </cell>
          <cell r="LN1785">
            <v>20.244300817817596</v>
          </cell>
          <cell r="LY1785">
            <v>11.666675207701061</v>
          </cell>
          <cell r="LZ1785">
            <v>14.730476692982464</v>
          </cell>
          <cell r="MA1785">
            <v>11.870949885755934</v>
          </cell>
          <cell r="MB1785">
            <v>9.6544719773798295</v>
          </cell>
          <cell r="MC1785">
            <v>14.087427794132038</v>
          </cell>
        </row>
        <row r="1786">
          <cell r="A1786">
            <v>42026</v>
          </cell>
          <cell r="LJ1786">
            <v>18.931437949133493</v>
          </cell>
          <cell r="LK1786">
            <v>20.020152274152959</v>
          </cell>
          <cell r="LL1786">
            <v>17.982747259685677</v>
          </cell>
          <cell r="LM1786">
            <v>15.721193701553757</v>
          </cell>
          <cell r="LN1786">
            <v>20.244300817817596</v>
          </cell>
          <cell r="LY1786">
            <v>11.848518418285799</v>
          </cell>
          <cell r="LZ1786">
            <v>14.730476692982464</v>
          </cell>
          <cell r="MA1786">
            <v>11.870949885755934</v>
          </cell>
          <cell r="MB1786">
            <v>9.6544719773798295</v>
          </cell>
          <cell r="MC1786">
            <v>14.087427794132038</v>
          </cell>
        </row>
        <row r="1787">
          <cell r="A1787">
            <v>42027</v>
          </cell>
          <cell r="LJ1787">
            <v>19.208697106312425</v>
          </cell>
          <cell r="LK1787">
            <v>20.020152274152959</v>
          </cell>
          <cell r="LL1787">
            <v>17.982747259685677</v>
          </cell>
          <cell r="LM1787">
            <v>15.721193701553757</v>
          </cell>
          <cell r="LN1787">
            <v>20.244300817817596</v>
          </cell>
          <cell r="LY1787">
            <v>11.823185622894494</v>
          </cell>
          <cell r="LZ1787">
            <v>14.730476692982464</v>
          </cell>
          <cell r="MA1787">
            <v>11.870949885755934</v>
          </cell>
          <cell r="MB1787">
            <v>9.6544719773798295</v>
          </cell>
          <cell r="MC1787">
            <v>14.087427794132038</v>
          </cell>
        </row>
        <row r="1788">
          <cell r="A1788">
            <v>42030</v>
          </cell>
          <cell r="LJ1788">
            <v>18.845901609802876</v>
          </cell>
          <cell r="LK1788">
            <v>20.020152274152959</v>
          </cell>
          <cell r="LL1788">
            <v>17.982747259685677</v>
          </cell>
          <cell r="LM1788">
            <v>15.721193701553757</v>
          </cell>
          <cell r="LN1788">
            <v>20.244300817817596</v>
          </cell>
          <cell r="LY1788">
            <v>11.773179190020047</v>
          </cell>
          <cell r="LZ1788">
            <v>14.730476692982464</v>
          </cell>
          <cell r="MA1788">
            <v>11.870949885755934</v>
          </cell>
          <cell r="MB1788">
            <v>9.6544719773798295</v>
          </cell>
          <cell r="MC1788">
            <v>14.087427794132038</v>
          </cell>
        </row>
        <row r="1789">
          <cell r="A1789">
            <v>42031</v>
          </cell>
          <cell r="LJ1789">
            <v>19.311866450596597</v>
          </cell>
          <cell r="LK1789">
            <v>20.020152274152959</v>
          </cell>
          <cell r="LL1789">
            <v>17.982747259685677</v>
          </cell>
          <cell r="LM1789">
            <v>15.721193701553757</v>
          </cell>
          <cell r="LN1789">
            <v>20.244300817817596</v>
          </cell>
          <cell r="LY1789">
            <v>12.231679699946492</v>
          </cell>
          <cell r="LZ1789">
            <v>14.730476692982464</v>
          </cell>
          <cell r="MA1789">
            <v>11.870949885755934</v>
          </cell>
          <cell r="MB1789">
            <v>9.6544719773798295</v>
          </cell>
          <cell r="MC1789">
            <v>14.087427794132038</v>
          </cell>
        </row>
        <row r="1790">
          <cell r="A1790">
            <v>42032</v>
          </cell>
          <cell r="LJ1790">
            <v>18.940802737902171</v>
          </cell>
          <cell r="LK1790">
            <v>20.020152274152959</v>
          </cell>
          <cell r="LL1790">
            <v>17.982747259685677</v>
          </cell>
          <cell r="LM1790">
            <v>15.721193701553757</v>
          </cell>
          <cell r="LN1790">
            <v>20.244300817817596</v>
          </cell>
          <cell r="LY1790">
            <v>12.024246821421205</v>
          </cell>
          <cell r="LZ1790">
            <v>14.730476692982464</v>
          </cell>
          <cell r="MA1790">
            <v>11.870949885755934</v>
          </cell>
          <cell r="MB1790">
            <v>9.6544719773798295</v>
          </cell>
          <cell r="MC1790">
            <v>14.087427794132038</v>
          </cell>
        </row>
        <row r="1791">
          <cell r="A1791">
            <v>42033</v>
          </cell>
          <cell r="LJ1791">
            <v>19.194805989812608</v>
          </cell>
          <cell r="LK1791">
            <v>20.020152274152959</v>
          </cell>
          <cell r="LL1791">
            <v>17.982747259685677</v>
          </cell>
          <cell r="LM1791">
            <v>15.721193701553757</v>
          </cell>
          <cell r="LN1791">
            <v>20.244300817817596</v>
          </cell>
          <cell r="LY1791">
            <v>12.182042466224294</v>
          </cell>
          <cell r="LZ1791">
            <v>14.730476692982464</v>
          </cell>
          <cell r="MA1791">
            <v>11.870949885755934</v>
          </cell>
          <cell r="MB1791">
            <v>9.6544719773798295</v>
          </cell>
          <cell r="MC1791">
            <v>14.087427794132038</v>
          </cell>
        </row>
        <row r="1792">
          <cell r="A1792">
            <v>42034</v>
          </cell>
          <cell r="LJ1792">
            <v>18.851342406728726</v>
          </cell>
          <cell r="LK1792">
            <v>20.020152274152959</v>
          </cell>
          <cell r="LL1792">
            <v>17.982747259685677</v>
          </cell>
          <cell r="LM1792">
            <v>15.721193701553757</v>
          </cell>
          <cell r="LN1792">
            <v>20.244300817817596</v>
          </cell>
          <cell r="LY1792">
            <v>11.959209446745934</v>
          </cell>
          <cell r="LZ1792">
            <v>14.730476692982464</v>
          </cell>
          <cell r="MA1792">
            <v>11.870949885755934</v>
          </cell>
          <cell r="MB1792">
            <v>9.6544719773798295</v>
          </cell>
          <cell r="MC1792">
            <v>14.087427794132038</v>
          </cell>
        </row>
        <row r="1793">
          <cell r="A1793">
            <v>42037</v>
          </cell>
          <cell r="LJ1793">
            <v>19.024548420700285</v>
          </cell>
          <cell r="LK1793">
            <v>20.020152274152959</v>
          </cell>
          <cell r="LL1793">
            <v>17.982747259685677</v>
          </cell>
          <cell r="LM1793">
            <v>15.721193701553757</v>
          </cell>
          <cell r="LN1793">
            <v>20.244300817817596</v>
          </cell>
          <cell r="LY1793">
            <v>12.067702609203272</v>
          </cell>
          <cell r="LZ1793">
            <v>14.730476692982464</v>
          </cell>
          <cell r="MA1793">
            <v>11.870949885755934</v>
          </cell>
          <cell r="MB1793">
            <v>9.6544719773798295</v>
          </cell>
          <cell r="MC1793">
            <v>14.087427794132038</v>
          </cell>
        </row>
        <row r="1794">
          <cell r="A1794">
            <v>42038</v>
          </cell>
          <cell r="LJ1794">
            <v>19.181937348486258</v>
          </cell>
          <cell r="LK1794">
            <v>20.020152274152959</v>
          </cell>
          <cell r="LL1794">
            <v>17.982747259685677</v>
          </cell>
          <cell r="LM1794">
            <v>15.721193701553757</v>
          </cell>
          <cell r="LN1794">
            <v>20.244300817817596</v>
          </cell>
          <cell r="LY1794">
            <v>12.317921979356413</v>
          </cell>
          <cell r="LZ1794">
            <v>14.730476692982464</v>
          </cell>
          <cell r="MA1794">
            <v>11.870949885755934</v>
          </cell>
          <cell r="MB1794">
            <v>9.6544719773798295</v>
          </cell>
          <cell r="MC1794">
            <v>14.087427794132038</v>
          </cell>
        </row>
        <row r="1795">
          <cell r="A1795">
            <v>42039</v>
          </cell>
          <cell r="LJ1795">
            <v>19.02851615246928</v>
          </cell>
          <cell r="LK1795">
            <v>20.020152274152959</v>
          </cell>
          <cell r="LL1795">
            <v>17.982747259685677</v>
          </cell>
          <cell r="LM1795">
            <v>15.721193701553757</v>
          </cell>
          <cell r="LN1795">
            <v>20.244300817817596</v>
          </cell>
          <cell r="LY1795">
            <v>12.220326071297512</v>
          </cell>
          <cell r="LZ1795">
            <v>14.730476692982464</v>
          </cell>
          <cell r="MA1795">
            <v>11.870949885755934</v>
          </cell>
          <cell r="MB1795">
            <v>9.6544719773798295</v>
          </cell>
          <cell r="MC1795">
            <v>14.087427794132038</v>
          </cell>
        </row>
        <row r="1796">
          <cell r="A1796">
            <v>42040</v>
          </cell>
          <cell r="LJ1796">
            <v>19.285719023668086</v>
          </cell>
          <cell r="LK1796">
            <v>20.020152274152959</v>
          </cell>
          <cell r="LL1796">
            <v>17.982747259685677</v>
          </cell>
          <cell r="LM1796">
            <v>15.721193701553757</v>
          </cell>
          <cell r="LN1796">
            <v>20.244300817817596</v>
          </cell>
          <cell r="LY1796">
            <v>12.383940672289324</v>
          </cell>
          <cell r="LZ1796">
            <v>14.730476692982464</v>
          </cell>
          <cell r="MA1796">
            <v>11.870949885755934</v>
          </cell>
          <cell r="MB1796">
            <v>9.6544719773798295</v>
          </cell>
          <cell r="MC1796">
            <v>14.087427794132038</v>
          </cell>
        </row>
        <row r="1797">
          <cell r="A1797">
            <v>42041</v>
          </cell>
          <cell r="LJ1797">
            <v>19.130043013835692</v>
          </cell>
          <cell r="LK1797">
            <v>20.020152274152959</v>
          </cell>
          <cell r="LL1797">
            <v>17.982747259685677</v>
          </cell>
          <cell r="LM1797">
            <v>15.721193701553757</v>
          </cell>
          <cell r="LN1797">
            <v>20.244300817817596</v>
          </cell>
          <cell r="LY1797">
            <v>12.284910408303519</v>
          </cell>
          <cell r="LZ1797">
            <v>14.730476692982464</v>
          </cell>
          <cell r="MA1797">
            <v>11.870949885755934</v>
          </cell>
          <cell r="MB1797">
            <v>9.6544719773798295</v>
          </cell>
          <cell r="MC1797">
            <v>14.087427794132038</v>
          </cell>
        </row>
        <row r="1798">
          <cell r="A1798">
            <v>42044</v>
          </cell>
          <cell r="LJ1798">
            <v>19.053333995144463</v>
          </cell>
          <cell r="LK1798">
            <v>20.020152274152959</v>
          </cell>
          <cell r="LL1798">
            <v>17.982747259685677</v>
          </cell>
          <cell r="LM1798">
            <v>15.721193701553757</v>
          </cell>
          <cell r="LN1798">
            <v>20.244300817817596</v>
          </cell>
          <cell r="LY1798">
            <v>12.26154170583046</v>
          </cell>
          <cell r="LZ1798">
            <v>14.730476692982464</v>
          </cell>
          <cell r="MA1798">
            <v>11.870949885755934</v>
          </cell>
          <cell r="MB1798">
            <v>9.6544719773798295</v>
          </cell>
          <cell r="MC1798">
            <v>14.087427794132038</v>
          </cell>
        </row>
        <row r="1799">
          <cell r="A1799">
            <v>42045</v>
          </cell>
          <cell r="LJ1799">
            <v>19.281209170420503</v>
          </cell>
          <cell r="LK1799">
            <v>20.020152274152959</v>
          </cell>
          <cell r="LL1799">
            <v>17.982747259685677</v>
          </cell>
          <cell r="LM1799">
            <v>15.721193701553757</v>
          </cell>
          <cell r="LN1799">
            <v>20.244300817817596</v>
          </cell>
          <cell r="LY1799">
            <v>12.406804182048795</v>
          </cell>
          <cell r="LZ1799">
            <v>14.730476692982464</v>
          </cell>
          <cell r="MA1799">
            <v>11.870949885755934</v>
          </cell>
          <cell r="MB1799">
            <v>9.6544719773798295</v>
          </cell>
          <cell r="MC1799">
            <v>14.087427794132038</v>
          </cell>
        </row>
        <row r="1800">
          <cell r="A1800">
            <v>42046</v>
          </cell>
          <cell r="LJ1800">
            <v>19.326331843888767</v>
          </cell>
          <cell r="LK1800">
            <v>20.020152274152959</v>
          </cell>
          <cell r="LL1800">
            <v>17.982747259685677</v>
          </cell>
          <cell r="LM1800">
            <v>15.721193701553757</v>
          </cell>
          <cell r="LN1800">
            <v>20.244300817817596</v>
          </cell>
          <cell r="LY1800">
            <v>12.435568312558628</v>
          </cell>
          <cell r="LZ1800">
            <v>14.730476692982464</v>
          </cell>
          <cell r="MA1800">
            <v>11.870949885755934</v>
          </cell>
          <cell r="MB1800">
            <v>9.6544719773798295</v>
          </cell>
          <cell r="MC1800">
            <v>14.087427794132038</v>
          </cell>
        </row>
        <row r="1801">
          <cell r="A1801">
            <v>42047</v>
          </cell>
          <cell r="LJ1801">
            <v>19.538412267236062</v>
          </cell>
          <cell r="LK1801">
            <v>20.020152274152959</v>
          </cell>
          <cell r="LL1801">
            <v>17.982747259685677</v>
          </cell>
          <cell r="LM1801">
            <v>15.721193701553757</v>
          </cell>
          <cell r="LN1801">
            <v>20.244300817817596</v>
          </cell>
          <cell r="LY1801">
            <v>12.570762185324904</v>
          </cell>
          <cell r="LZ1801">
            <v>14.730476692982464</v>
          </cell>
          <cell r="MA1801">
            <v>11.870949885755934</v>
          </cell>
          <cell r="MB1801">
            <v>9.6544719773798295</v>
          </cell>
          <cell r="MC1801">
            <v>14.087427794132038</v>
          </cell>
        </row>
        <row r="1802">
          <cell r="A1802">
            <v>42048</v>
          </cell>
          <cell r="LJ1802">
            <v>19.585789754519741</v>
          </cell>
          <cell r="LK1802">
            <v>20.020152274152959</v>
          </cell>
          <cell r="LL1802">
            <v>17.982747259685677</v>
          </cell>
          <cell r="LM1802">
            <v>15.721193701553757</v>
          </cell>
          <cell r="LN1802">
            <v>20.244300817817596</v>
          </cell>
          <cell r="LY1802">
            <v>12.600963680996788</v>
          </cell>
          <cell r="LZ1802">
            <v>14.730476692982464</v>
          </cell>
          <cell r="MA1802">
            <v>11.870949885755934</v>
          </cell>
          <cell r="MB1802">
            <v>9.6544719773798295</v>
          </cell>
          <cell r="MC1802">
            <v>14.087427794132038</v>
          </cell>
        </row>
        <row r="1803">
          <cell r="A1803">
            <v>42051</v>
          </cell>
          <cell r="LJ1803">
            <v>19.585789754519741</v>
          </cell>
          <cell r="LK1803">
            <v>20.020152274152959</v>
          </cell>
          <cell r="LL1803">
            <v>17.982747259685677</v>
          </cell>
          <cell r="LM1803">
            <v>15.721193701553757</v>
          </cell>
          <cell r="LN1803">
            <v>20.244300817817596</v>
          </cell>
          <cell r="LY1803">
            <v>12.600963680996788</v>
          </cell>
          <cell r="LZ1803">
            <v>14.730476692982464</v>
          </cell>
          <cell r="MA1803">
            <v>11.870949885755934</v>
          </cell>
          <cell r="MB1803">
            <v>9.6544719773798295</v>
          </cell>
          <cell r="MC1803">
            <v>14.087427794132038</v>
          </cell>
        </row>
        <row r="1804">
          <cell r="A1804">
            <v>42052</v>
          </cell>
          <cell r="LJ1804">
            <v>19.583534940704325</v>
          </cell>
          <cell r="LK1804">
            <v>20.020152274152959</v>
          </cell>
          <cell r="LL1804">
            <v>17.982747259685677</v>
          </cell>
          <cell r="LM1804">
            <v>15.721193701553757</v>
          </cell>
          <cell r="LN1804">
            <v>20.244300817817596</v>
          </cell>
          <cell r="LY1804">
            <v>12.599526315834735</v>
          </cell>
          <cell r="LZ1804">
            <v>14.730476692982464</v>
          </cell>
          <cell r="MA1804">
            <v>11.870949885755934</v>
          </cell>
          <cell r="MB1804">
            <v>9.6544719773798295</v>
          </cell>
          <cell r="MC1804">
            <v>14.087427794132038</v>
          </cell>
        </row>
        <row r="1805">
          <cell r="A1805">
            <v>42053</v>
          </cell>
          <cell r="LJ1805">
            <v>19.730184249922253</v>
          </cell>
          <cell r="LK1805">
            <v>20.020152274152959</v>
          </cell>
          <cell r="LL1805">
            <v>17.982747259685677</v>
          </cell>
          <cell r="LM1805">
            <v>15.721193701553757</v>
          </cell>
          <cell r="LN1805">
            <v>20.244300817817596</v>
          </cell>
          <cell r="LY1805">
            <v>12.693010135504426</v>
          </cell>
          <cell r="LZ1805">
            <v>14.730476692982464</v>
          </cell>
          <cell r="MA1805">
            <v>11.870949885755934</v>
          </cell>
          <cell r="MB1805">
            <v>9.6544719773798295</v>
          </cell>
          <cell r="MC1805">
            <v>14.087427794132038</v>
          </cell>
        </row>
        <row r="1806">
          <cell r="A1806">
            <v>42054</v>
          </cell>
          <cell r="LJ1806">
            <v>19.79930756896999</v>
          </cell>
          <cell r="LK1806">
            <v>20.020152274152959</v>
          </cell>
          <cell r="LL1806">
            <v>17.982747259685677</v>
          </cell>
          <cell r="LM1806">
            <v>15.721193701553757</v>
          </cell>
          <cell r="LN1806">
            <v>20.244300817817596</v>
          </cell>
          <cell r="LY1806">
            <v>12.662808639832537</v>
          </cell>
          <cell r="LZ1806">
            <v>14.730476692982464</v>
          </cell>
          <cell r="MA1806">
            <v>11.870949885755934</v>
          </cell>
          <cell r="MB1806">
            <v>9.6544719773798295</v>
          </cell>
          <cell r="MC1806">
            <v>14.087427794132038</v>
          </cell>
        </row>
        <row r="1807">
          <cell r="A1807">
            <v>42055</v>
          </cell>
          <cell r="LJ1807">
            <v>19.901120762152118</v>
          </cell>
          <cell r="LK1807">
            <v>20.020152274152959</v>
          </cell>
          <cell r="LL1807">
            <v>17.982747259685677</v>
          </cell>
          <cell r="LM1807">
            <v>15.721193701553757</v>
          </cell>
          <cell r="LN1807">
            <v>20.244300817817596</v>
          </cell>
          <cell r="LY1807">
            <v>12.739545022661424</v>
          </cell>
          <cell r="LZ1807">
            <v>14.730476692982464</v>
          </cell>
          <cell r="MA1807">
            <v>11.870949885755934</v>
          </cell>
          <cell r="MB1807">
            <v>9.6544719773798295</v>
          </cell>
          <cell r="MC1807">
            <v>14.087427794132038</v>
          </cell>
        </row>
        <row r="1808">
          <cell r="A1808">
            <v>42058</v>
          </cell>
          <cell r="LJ1808">
            <v>19.715003504866313</v>
          </cell>
          <cell r="LK1808">
            <v>20.020152274152959</v>
          </cell>
          <cell r="LL1808">
            <v>17.982747259685677</v>
          </cell>
          <cell r="LM1808">
            <v>15.721193701553757</v>
          </cell>
          <cell r="LN1808">
            <v>20.244300817817596</v>
          </cell>
          <cell r="LY1808">
            <v>12.621486769438203</v>
          </cell>
          <cell r="LZ1808">
            <v>14.730476692982464</v>
          </cell>
          <cell r="MA1808">
            <v>11.870949885755934</v>
          </cell>
          <cell r="MB1808">
            <v>9.6544719773798295</v>
          </cell>
          <cell r="MC1808">
            <v>14.087427794132038</v>
          </cell>
        </row>
        <row r="1809">
          <cell r="A1809">
            <v>42059</v>
          </cell>
          <cell r="LJ1809">
            <v>19.75585732233117</v>
          </cell>
          <cell r="LK1809">
            <v>20.020152274152959</v>
          </cell>
          <cell r="LL1809">
            <v>17.982747259685677</v>
          </cell>
          <cell r="LM1809">
            <v>15.721193701553757</v>
          </cell>
          <cell r="LN1809">
            <v>20.244300817817596</v>
          </cell>
          <cell r="LY1809">
            <v>12.64740124076525</v>
          </cell>
          <cell r="LZ1809">
            <v>14.730476692982464</v>
          </cell>
          <cell r="MA1809">
            <v>11.870949885755934</v>
          </cell>
          <cell r="MB1809">
            <v>9.6544719773798295</v>
          </cell>
          <cell r="MC1809">
            <v>14.087427794132038</v>
          </cell>
        </row>
        <row r="1810">
          <cell r="A1810">
            <v>42060</v>
          </cell>
          <cell r="LJ1810">
            <v>19.79671454441322</v>
          </cell>
          <cell r="LK1810">
            <v>20.020152274152959</v>
          </cell>
          <cell r="LL1810">
            <v>17.982747259685677</v>
          </cell>
          <cell r="LM1810">
            <v>15.721193701553757</v>
          </cell>
          <cell r="LN1810">
            <v>20.244300817817596</v>
          </cell>
          <cell r="LY1810">
            <v>12.67348591776627</v>
          </cell>
          <cell r="LZ1810">
            <v>14.730476692982464</v>
          </cell>
          <cell r="MA1810">
            <v>11.870949885755934</v>
          </cell>
          <cell r="MB1810">
            <v>9.6544719773798295</v>
          </cell>
          <cell r="MC1810">
            <v>14.087427794132038</v>
          </cell>
        </row>
        <row r="1811">
          <cell r="A1811">
            <v>42061</v>
          </cell>
          <cell r="LJ1811">
            <v>19.930628579342336</v>
          </cell>
          <cell r="LK1811">
            <v>20.020152274152959</v>
          </cell>
          <cell r="LL1811">
            <v>17.982747259685677</v>
          </cell>
          <cell r="LM1811">
            <v>15.721193701553757</v>
          </cell>
          <cell r="LN1811">
            <v>20.244300817817596</v>
          </cell>
          <cell r="LY1811">
            <v>12.758431649880215</v>
          </cell>
          <cell r="LZ1811">
            <v>14.730476692982464</v>
          </cell>
          <cell r="MA1811">
            <v>11.870949885755934</v>
          </cell>
          <cell r="MB1811">
            <v>9.6544719773798295</v>
          </cell>
          <cell r="MC1811">
            <v>14.087427794132038</v>
          </cell>
        </row>
        <row r="1812">
          <cell r="A1812">
            <v>42062</v>
          </cell>
          <cell r="LJ1812">
            <v>19.810332332251853</v>
          </cell>
          <cell r="LK1812">
            <v>20.020152274152959</v>
          </cell>
          <cell r="LL1812">
            <v>17.982747259685677</v>
          </cell>
          <cell r="LM1812">
            <v>15.721193701553757</v>
          </cell>
          <cell r="LN1812">
            <v>20.244300817817596</v>
          </cell>
          <cell r="LY1812">
            <v>12.682124093431261</v>
          </cell>
          <cell r="LZ1812">
            <v>14.730476692982464</v>
          </cell>
          <cell r="MA1812">
            <v>11.870949885755934</v>
          </cell>
          <cell r="MB1812">
            <v>9.6544719773798295</v>
          </cell>
          <cell r="MC1812">
            <v>14.087427794132038</v>
          </cell>
        </row>
        <row r="1813">
          <cell r="A1813">
            <v>42065</v>
          </cell>
          <cell r="LJ1813">
            <v>19.70505540427521</v>
          </cell>
          <cell r="LK1813">
            <v>20.020152274152959</v>
          </cell>
          <cell r="LL1813">
            <v>17.982747259685677</v>
          </cell>
          <cell r="LM1813">
            <v>15.721193701553757</v>
          </cell>
          <cell r="LN1813">
            <v>20.244300817817596</v>
          </cell>
          <cell r="LY1813">
            <v>12.620972385454015</v>
          </cell>
          <cell r="LZ1813">
            <v>14.730476692982464</v>
          </cell>
          <cell r="MA1813">
            <v>11.870949885755934</v>
          </cell>
          <cell r="MB1813">
            <v>9.6544719773798295</v>
          </cell>
          <cell r="MC1813">
            <v>14.087427794132038</v>
          </cell>
        </row>
        <row r="1814">
          <cell r="A1814">
            <v>42066</v>
          </cell>
          <cell r="LJ1814">
            <v>19.610439151040364</v>
          </cell>
          <cell r="LK1814">
            <v>20.020152274152959</v>
          </cell>
          <cell r="LL1814">
            <v>17.982747259685677</v>
          </cell>
          <cell r="LM1814">
            <v>15.721193701553757</v>
          </cell>
          <cell r="LN1814">
            <v>20.244300817817596</v>
          </cell>
          <cell r="LY1814">
            <v>12.560923527896929</v>
          </cell>
          <cell r="LZ1814">
            <v>14.730476692982464</v>
          </cell>
          <cell r="MA1814">
            <v>11.870949885755934</v>
          </cell>
          <cell r="MB1814">
            <v>9.6544719773798295</v>
          </cell>
          <cell r="MC1814">
            <v>14.087427794132038</v>
          </cell>
        </row>
        <row r="1815">
          <cell r="A1815">
            <v>42067</v>
          </cell>
          <cell r="LJ1815">
            <v>19.398677281008794</v>
          </cell>
          <cell r="LK1815">
            <v>20.020152274152959</v>
          </cell>
          <cell r="LL1815">
            <v>17.982747259685677</v>
          </cell>
          <cell r="LM1815">
            <v>15.721193701553757</v>
          </cell>
          <cell r="LN1815">
            <v>20.244300817817596</v>
          </cell>
          <cell r="LY1815">
            <v>12.426527396843369</v>
          </cell>
          <cell r="LZ1815">
            <v>14.730476692982464</v>
          </cell>
          <cell r="MA1815">
            <v>11.870949885755934</v>
          </cell>
          <cell r="MB1815">
            <v>9.6544719773798295</v>
          </cell>
          <cell r="MC1815">
            <v>14.087427794132038</v>
          </cell>
        </row>
        <row r="1816">
          <cell r="A1816">
            <v>42068</v>
          </cell>
          <cell r="LJ1816">
            <v>19.450490289115983</v>
          </cell>
          <cell r="LK1816">
            <v>20.020152274152959</v>
          </cell>
          <cell r="LL1816">
            <v>17.982747259685677</v>
          </cell>
          <cell r="LM1816">
            <v>15.721193701553757</v>
          </cell>
          <cell r="LN1816">
            <v>20.244300817817596</v>
          </cell>
          <cell r="LY1816">
            <v>12.459410879723523</v>
          </cell>
          <cell r="LZ1816">
            <v>14.730476692982464</v>
          </cell>
          <cell r="MA1816">
            <v>11.870949885755934</v>
          </cell>
          <cell r="MB1816">
            <v>9.6544719773798295</v>
          </cell>
          <cell r="MC1816">
            <v>14.087427794132038</v>
          </cell>
        </row>
        <row r="1817">
          <cell r="A1817">
            <v>42069</v>
          </cell>
          <cell r="LJ1817">
            <v>19.198180205397094</v>
          </cell>
          <cell r="LK1817">
            <v>20.020152274152959</v>
          </cell>
          <cell r="LL1817">
            <v>17.982747259685677</v>
          </cell>
          <cell r="LM1817">
            <v>15.721193701553757</v>
          </cell>
          <cell r="LN1817">
            <v>20.244300817817596</v>
          </cell>
          <cell r="LY1817">
            <v>12.299280545246578</v>
          </cell>
          <cell r="LZ1817">
            <v>14.730476692982464</v>
          </cell>
          <cell r="MA1817">
            <v>11.870949885755934</v>
          </cell>
          <cell r="MB1817">
            <v>9.6544719773798295</v>
          </cell>
          <cell r="MC1817">
            <v>14.087427794132038</v>
          </cell>
        </row>
        <row r="1818">
          <cell r="A1818">
            <v>42072</v>
          </cell>
          <cell r="LJ1818">
            <v>19.394170822573969</v>
          </cell>
          <cell r="LK1818">
            <v>20.020152274152959</v>
          </cell>
          <cell r="LL1818">
            <v>17.982747259685677</v>
          </cell>
          <cell r="LM1818">
            <v>15.721193701553757</v>
          </cell>
          <cell r="LN1818">
            <v>20.244300817817596</v>
          </cell>
          <cell r="LY1818">
            <v>12.423667341922696</v>
          </cell>
          <cell r="LZ1818">
            <v>14.730476692982464</v>
          </cell>
          <cell r="MA1818">
            <v>11.870949885755934</v>
          </cell>
          <cell r="MB1818">
            <v>9.6544719773798295</v>
          </cell>
          <cell r="MC1818">
            <v>14.087427794132038</v>
          </cell>
        </row>
        <row r="1819">
          <cell r="A1819">
            <v>42073</v>
          </cell>
          <cell r="LJ1819">
            <v>19.069770019458378</v>
          </cell>
          <cell r="LK1819">
            <v>20.020152274152959</v>
          </cell>
          <cell r="LL1819">
            <v>17.982747259685677</v>
          </cell>
          <cell r="LM1819">
            <v>15.721193701553757</v>
          </cell>
          <cell r="LN1819">
            <v>20.244300817817596</v>
          </cell>
          <cell r="LY1819">
            <v>12.217784135267484</v>
          </cell>
          <cell r="LZ1819">
            <v>14.730476692982464</v>
          </cell>
          <cell r="MA1819">
            <v>11.870949885755934</v>
          </cell>
          <cell r="MB1819">
            <v>9.6544719773798295</v>
          </cell>
          <cell r="MC1819">
            <v>14.087427794132038</v>
          </cell>
        </row>
        <row r="1820">
          <cell r="A1820">
            <v>42074</v>
          </cell>
          <cell r="LJ1820">
            <v>19.006692667487055</v>
          </cell>
          <cell r="LK1820">
            <v>20.020152274152959</v>
          </cell>
          <cell r="LL1820">
            <v>17.982747259685677</v>
          </cell>
          <cell r="LM1820">
            <v>15.721193701553757</v>
          </cell>
          <cell r="LN1820">
            <v>20.244300817817596</v>
          </cell>
          <cell r="LY1820">
            <v>12.178053865263774</v>
          </cell>
          <cell r="LZ1820">
            <v>14.730476692982464</v>
          </cell>
          <cell r="MA1820">
            <v>11.870949885755934</v>
          </cell>
          <cell r="MB1820">
            <v>9.6544719773798295</v>
          </cell>
          <cell r="MC1820">
            <v>14.087427794132038</v>
          </cell>
        </row>
        <row r="1821">
          <cell r="A1821">
            <v>42075</v>
          </cell>
          <cell r="LJ1821">
            <v>19.274773778782766</v>
          </cell>
          <cell r="LK1821">
            <v>20.020152274152959</v>
          </cell>
          <cell r="LL1821">
            <v>17.982747259685677</v>
          </cell>
          <cell r="LM1821">
            <v>15.721193701553757</v>
          </cell>
          <cell r="LN1821">
            <v>20.244300817817596</v>
          </cell>
          <cell r="LY1821">
            <v>12.348197613372585</v>
          </cell>
          <cell r="LZ1821">
            <v>14.730476692982464</v>
          </cell>
          <cell r="MA1821">
            <v>11.870949885755934</v>
          </cell>
          <cell r="MB1821">
            <v>9.6544719773798295</v>
          </cell>
          <cell r="MC1821">
            <v>14.087427794132038</v>
          </cell>
        </row>
        <row r="1822">
          <cell r="A1822">
            <v>42076</v>
          </cell>
          <cell r="LJ1822">
            <v>19.193673521684403</v>
          </cell>
          <cell r="LK1822">
            <v>20.020152274152959</v>
          </cell>
          <cell r="LL1822">
            <v>17.982747259685677</v>
          </cell>
          <cell r="LM1822">
            <v>15.721193701553757</v>
          </cell>
          <cell r="LN1822">
            <v>20.244300817817596</v>
          </cell>
          <cell r="LY1822">
            <v>12.296725498650996</v>
          </cell>
          <cell r="LZ1822">
            <v>14.730476692982464</v>
          </cell>
          <cell r="MA1822">
            <v>11.870949885755934</v>
          </cell>
          <cell r="MB1822">
            <v>9.6544719773798295</v>
          </cell>
          <cell r="MC1822">
            <v>14.087427794132038</v>
          </cell>
        </row>
        <row r="1823">
          <cell r="A1823">
            <v>42079</v>
          </cell>
          <cell r="LJ1823">
            <v>19.55411968449835</v>
          </cell>
          <cell r="LK1823">
            <v>20.020152274152959</v>
          </cell>
          <cell r="LL1823">
            <v>17.982747259685677</v>
          </cell>
          <cell r="LM1823">
            <v>15.721193701553757</v>
          </cell>
          <cell r="LN1823">
            <v>20.244300817817596</v>
          </cell>
          <cell r="LY1823">
            <v>12.525490818356625</v>
          </cell>
          <cell r="LZ1823">
            <v>14.730476692982464</v>
          </cell>
          <cell r="MA1823">
            <v>11.870949885755934</v>
          </cell>
          <cell r="MB1823">
            <v>9.6544719773798295</v>
          </cell>
          <cell r="MC1823">
            <v>14.087427794132038</v>
          </cell>
        </row>
        <row r="1824">
          <cell r="A1824">
            <v>42080</v>
          </cell>
          <cell r="LJ1824">
            <v>19.338779439966732</v>
          </cell>
          <cell r="LK1824">
            <v>20.020152274152959</v>
          </cell>
          <cell r="LL1824">
            <v>17.982747259685677</v>
          </cell>
          <cell r="LM1824">
            <v>15.721193701553757</v>
          </cell>
          <cell r="LN1824">
            <v>20.244300817817596</v>
          </cell>
          <cell r="LY1824">
            <v>12.449025550412331</v>
          </cell>
          <cell r="LZ1824">
            <v>14.730476692982464</v>
          </cell>
          <cell r="MA1824">
            <v>11.870949885755934</v>
          </cell>
          <cell r="MB1824">
            <v>9.6544719773798295</v>
          </cell>
          <cell r="MC1824">
            <v>14.087427794132038</v>
          </cell>
        </row>
        <row r="1825">
          <cell r="A1825">
            <v>42081</v>
          </cell>
          <cell r="LJ1825">
            <v>19.56518549154503</v>
          </cell>
          <cell r="LK1825">
            <v>20.020152274152959</v>
          </cell>
          <cell r="LL1825">
            <v>17.982747259685677</v>
          </cell>
          <cell r="LM1825">
            <v>15.721193701553757</v>
          </cell>
          <cell r="LN1825">
            <v>20.244300817817596</v>
          </cell>
          <cell r="LY1825">
            <v>12.593424197510894</v>
          </cell>
          <cell r="LZ1825">
            <v>14.730476692982464</v>
          </cell>
          <cell r="MA1825">
            <v>11.870949885755934</v>
          </cell>
          <cell r="MB1825">
            <v>9.6544719773798295</v>
          </cell>
          <cell r="MC1825">
            <v>14.087427794132038</v>
          </cell>
        </row>
        <row r="1826">
          <cell r="A1826">
            <v>42082</v>
          </cell>
          <cell r="LJ1826">
            <v>19.516537805023027</v>
          </cell>
          <cell r="LK1826">
            <v>20.020152274152959</v>
          </cell>
          <cell r="LL1826">
            <v>17.982747259685677</v>
          </cell>
          <cell r="LM1826">
            <v>15.721193701553757</v>
          </cell>
          <cell r="LN1826">
            <v>20.244300817817596</v>
          </cell>
          <cell r="LY1826">
            <v>12.554821777782459</v>
          </cell>
          <cell r="LZ1826">
            <v>14.730476692982464</v>
          </cell>
          <cell r="MA1826">
            <v>11.870949885755934</v>
          </cell>
          <cell r="MB1826">
            <v>9.6544719773798295</v>
          </cell>
          <cell r="MC1826">
            <v>14.087427794132038</v>
          </cell>
        </row>
        <row r="1827">
          <cell r="A1827">
            <v>42083</v>
          </cell>
          <cell r="LJ1827">
            <v>19.572359963011273</v>
          </cell>
          <cell r="LK1827">
            <v>20.020152274152959</v>
          </cell>
          <cell r="LL1827">
            <v>17.982747259685677</v>
          </cell>
          <cell r="LM1827">
            <v>15.721193701553757</v>
          </cell>
          <cell r="LN1827">
            <v>20.244300817817596</v>
          </cell>
          <cell r="LY1827">
            <v>12.589054620097324</v>
          </cell>
          <cell r="LZ1827">
            <v>14.730476692982464</v>
          </cell>
          <cell r="MA1827">
            <v>11.870949885755934</v>
          </cell>
          <cell r="MB1827">
            <v>9.6544719773798295</v>
          </cell>
          <cell r="MC1827">
            <v>14.087427794132038</v>
          </cell>
        </row>
        <row r="1828">
          <cell r="A1828">
            <v>42086</v>
          </cell>
          <cell r="LJ1828">
            <v>19.487021098960575</v>
          </cell>
          <cell r="LK1828">
            <v>20.020152274152959</v>
          </cell>
          <cell r="LL1828">
            <v>17.982747259685677</v>
          </cell>
          <cell r="LM1828">
            <v>15.721193701553757</v>
          </cell>
          <cell r="LN1828">
            <v>20.244300817817596</v>
          </cell>
          <cell r="LY1828">
            <v>12.534666243671484</v>
          </cell>
          <cell r="LZ1828">
            <v>14.730476692982464</v>
          </cell>
          <cell r="MA1828">
            <v>11.870949885755934</v>
          </cell>
          <cell r="MB1828">
            <v>9.6544719773798295</v>
          </cell>
          <cell r="MC1828">
            <v>14.087427794132038</v>
          </cell>
        </row>
        <row r="1829">
          <cell r="A1829">
            <v>42087</v>
          </cell>
          <cell r="LJ1829">
            <v>19.298369138327637</v>
          </cell>
          <cell r="LK1829">
            <v>20.020152274152959</v>
          </cell>
          <cell r="LL1829">
            <v>17.982747259685677</v>
          </cell>
          <cell r="LM1829">
            <v>15.721193701553757</v>
          </cell>
          <cell r="LN1829">
            <v>20.244300817817596</v>
          </cell>
          <cell r="LY1829">
            <v>12.414434108377511</v>
          </cell>
          <cell r="LZ1829">
            <v>14.730476692982464</v>
          </cell>
          <cell r="MA1829">
            <v>11.870949885755934</v>
          </cell>
          <cell r="MB1829">
            <v>9.6544719773798295</v>
          </cell>
          <cell r="MC1829">
            <v>14.087427794132038</v>
          </cell>
        </row>
        <row r="1830">
          <cell r="A1830">
            <v>42088</v>
          </cell>
          <cell r="LJ1830">
            <v>18.943531997105133</v>
          </cell>
          <cell r="LK1830">
            <v>20.020152274152959</v>
          </cell>
          <cell r="LL1830">
            <v>17.982747259685677</v>
          </cell>
          <cell r="LM1830">
            <v>15.721193701553757</v>
          </cell>
          <cell r="LN1830">
            <v>20.244300817817596</v>
          </cell>
          <cell r="LY1830">
            <v>12.188288421750912</v>
          </cell>
          <cell r="LZ1830">
            <v>14.730476692982464</v>
          </cell>
          <cell r="MA1830">
            <v>11.870949885755934</v>
          </cell>
          <cell r="MB1830">
            <v>9.6544719773798295</v>
          </cell>
          <cell r="MC1830">
            <v>14.087427794132038</v>
          </cell>
        </row>
        <row r="1831">
          <cell r="A1831">
            <v>42089</v>
          </cell>
          <cell r="LJ1831">
            <v>18.936794747914611</v>
          </cell>
          <cell r="LK1831">
            <v>20.020152274152959</v>
          </cell>
          <cell r="LL1831">
            <v>17.982747259685677</v>
          </cell>
          <cell r="LM1831">
            <v>15.721193701553757</v>
          </cell>
          <cell r="LN1831">
            <v>20.244300817817596</v>
          </cell>
          <cell r="LY1831">
            <v>12.183994621392483</v>
          </cell>
          <cell r="LZ1831">
            <v>14.730476692982464</v>
          </cell>
          <cell r="MA1831">
            <v>11.870949885755934</v>
          </cell>
          <cell r="MB1831">
            <v>9.6544719773798295</v>
          </cell>
          <cell r="MC1831">
            <v>14.087427794132038</v>
          </cell>
        </row>
        <row r="1832">
          <cell r="A1832">
            <v>42090</v>
          </cell>
          <cell r="LJ1832">
            <v>19.055823226654795</v>
          </cell>
          <cell r="LK1832">
            <v>20.020152274152959</v>
          </cell>
          <cell r="LL1832">
            <v>17.982747259685677</v>
          </cell>
          <cell r="LM1832">
            <v>15.721193701553757</v>
          </cell>
          <cell r="LN1832">
            <v>20.244300817817596</v>
          </cell>
          <cell r="LY1832">
            <v>12.282868214461699</v>
          </cell>
          <cell r="LZ1832">
            <v>14.730476692982464</v>
          </cell>
          <cell r="MA1832">
            <v>11.870949885755934</v>
          </cell>
          <cell r="MB1832">
            <v>9.6544719773798295</v>
          </cell>
          <cell r="MC1832">
            <v>14.087427794132038</v>
          </cell>
        </row>
        <row r="1833">
          <cell r="A1833">
            <v>42093</v>
          </cell>
          <cell r="LJ1833">
            <v>19.224260070979287</v>
          </cell>
          <cell r="LK1833">
            <v>20.020152274152959</v>
          </cell>
          <cell r="LL1833">
            <v>17.982747259685677</v>
          </cell>
          <cell r="LM1833">
            <v>15.721193701553757</v>
          </cell>
          <cell r="LN1833">
            <v>20.244300817817596</v>
          </cell>
          <cell r="LY1833">
            <v>12.390420225980719</v>
          </cell>
          <cell r="LZ1833">
            <v>14.730476692982464</v>
          </cell>
          <cell r="MA1833">
            <v>11.870949885755934</v>
          </cell>
          <cell r="MB1833">
            <v>9.6544719773798295</v>
          </cell>
          <cell r="MC1833">
            <v>14.087427794132038</v>
          </cell>
        </row>
        <row r="1834">
          <cell r="A1834">
            <v>42094</v>
          </cell>
          <cell r="LJ1834">
            <v>19.067049430037795</v>
          </cell>
          <cell r="LK1834">
            <v>20.020152274152959</v>
          </cell>
          <cell r="LL1834">
            <v>17.982747259685677</v>
          </cell>
          <cell r="LM1834">
            <v>15.721193701553757</v>
          </cell>
          <cell r="LN1834">
            <v>20.244300817817596</v>
          </cell>
          <cell r="LY1834">
            <v>12.287167857076867</v>
          </cell>
          <cell r="LZ1834">
            <v>14.730476692982464</v>
          </cell>
          <cell r="MA1834">
            <v>11.870949885755934</v>
          </cell>
          <cell r="MB1834">
            <v>9.6544719773798295</v>
          </cell>
          <cell r="MC1834">
            <v>14.087427794132038</v>
          </cell>
        </row>
        <row r="1835">
          <cell r="A1835">
            <v>42095</v>
          </cell>
          <cell r="LJ1835">
            <v>18.700100149929586</v>
          </cell>
          <cell r="LK1835">
            <v>20.020152274152959</v>
          </cell>
          <cell r="LL1835">
            <v>17.982747259685677</v>
          </cell>
          <cell r="LM1835">
            <v>15.721193701553757</v>
          </cell>
          <cell r="LN1835">
            <v>20.244300817817596</v>
          </cell>
          <cell r="LY1835">
            <v>12.052809137055023</v>
          </cell>
          <cell r="LZ1835">
            <v>14.730476692982464</v>
          </cell>
          <cell r="MA1835">
            <v>11.870949885755934</v>
          </cell>
          <cell r="MB1835">
            <v>9.6544719773798295</v>
          </cell>
          <cell r="MC1835">
            <v>14.087427794132038</v>
          </cell>
        </row>
        <row r="1836">
          <cell r="A1836">
            <v>42096</v>
          </cell>
          <cell r="LJ1836">
            <v>18.776568654128528</v>
          </cell>
          <cell r="LK1836">
            <v>20.020152274152959</v>
          </cell>
          <cell r="LL1836">
            <v>17.982747259685677</v>
          </cell>
          <cell r="LM1836">
            <v>15.721193701553757</v>
          </cell>
          <cell r="LN1836">
            <v>20.244300817817596</v>
          </cell>
          <cell r="LY1836">
            <v>12.100390731519056</v>
          </cell>
          <cell r="LZ1836">
            <v>14.730476692982464</v>
          </cell>
          <cell r="MA1836">
            <v>11.870949885755934</v>
          </cell>
          <cell r="MB1836">
            <v>9.6544719773798295</v>
          </cell>
          <cell r="MC1836">
            <v>14.087427794132038</v>
          </cell>
        </row>
        <row r="1837">
          <cell r="A1837">
            <v>42097</v>
          </cell>
          <cell r="LJ1837">
            <v>18.776568654128528</v>
          </cell>
          <cell r="LK1837">
            <v>20.020152274152959</v>
          </cell>
          <cell r="LL1837">
            <v>17.982747259685677</v>
          </cell>
          <cell r="LM1837">
            <v>15.721193701553757</v>
          </cell>
          <cell r="LN1837">
            <v>20.244300817817596</v>
          </cell>
          <cell r="LY1837">
            <v>12.100390731519056</v>
          </cell>
          <cell r="LZ1837">
            <v>14.730476692982464</v>
          </cell>
          <cell r="MA1837">
            <v>11.870949885755934</v>
          </cell>
          <cell r="MB1837">
            <v>9.6544719773798295</v>
          </cell>
          <cell r="MC1837">
            <v>14.087427794132038</v>
          </cell>
        </row>
        <row r="1838">
          <cell r="A1838">
            <v>42100</v>
          </cell>
          <cell r="LJ1838">
            <v>18.953656893538422</v>
          </cell>
          <cell r="LK1838">
            <v>20.020152274152959</v>
          </cell>
          <cell r="LL1838">
            <v>17.982747259685677</v>
          </cell>
          <cell r="LM1838">
            <v>15.721193701553757</v>
          </cell>
          <cell r="LN1838">
            <v>20.244300817817596</v>
          </cell>
          <cell r="LY1838">
            <v>12.218105157885548</v>
          </cell>
          <cell r="LZ1838">
            <v>14.730476692982464</v>
          </cell>
          <cell r="MA1838">
            <v>11.870949885755934</v>
          </cell>
          <cell r="MB1838">
            <v>9.6544719773798295</v>
          </cell>
          <cell r="MC1838">
            <v>14.087427794132038</v>
          </cell>
        </row>
        <row r="1839">
          <cell r="A1839">
            <v>42101</v>
          </cell>
          <cell r="LJ1839">
            <v>19.037498345310983</v>
          </cell>
          <cell r="LK1839">
            <v>20.020152274152959</v>
          </cell>
          <cell r="LL1839">
            <v>17.982747259685677</v>
          </cell>
          <cell r="LM1839">
            <v>15.721193701553757</v>
          </cell>
          <cell r="LN1839">
            <v>20.244300817817596</v>
          </cell>
          <cell r="LY1839">
            <v>12.256185238355814</v>
          </cell>
          <cell r="LZ1839">
            <v>14.730476692982464</v>
          </cell>
          <cell r="MA1839">
            <v>11.870949885755934</v>
          </cell>
          <cell r="MB1839">
            <v>9.6544719773798295</v>
          </cell>
          <cell r="MC1839">
            <v>14.087427794132038</v>
          </cell>
        </row>
        <row r="1840">
          <cell r="A1840">
            <v>42102</v>
          </cell>
          <cell r="LJ1840">
            <v>19.033723324543772</v>
          </cell>
          <cell r="LK1840">
            <v>20.020152274152959</v>
          </cell>
          <cell r="LL1840">
            <v>17.982747259685677</v>
          </cell>
          <cell r="LM1840">
            <v>15.721193701553757</v>
          </cell>
          <cell r="LN1840">
            <v>20.244300817817596</v>
          </cell>
          <cell r="LY1840">
            <v>12.259031824842427</v>
          </cell>
          <cell r="LZ1840">
            <v>14.730476692982464</v>
          </cell>
          <cell r="MA1840">
            <v>11.870949885755934</v>
          </cell>
          <cell r="MB1840">
            <v>9.6544719773798295</v>
          </cell>
          <cell r="MC1840">
            <v>14.087427794132038</v>
          </cell>
        </row>
        <row r="1841">
          <cell r="A1841">
            <v>42103</v>
          </cell>
          <cell r="LJ1841">
            <v>19.076433783099944</v>
          </cell>
          <cell r="LK1841">
            <v>20.020152274152959</v>
          </cell>
          <cell r="LL1841">
            <v>17.982747259685677</v>
          </cell>
          <cell r="LM1841">
            <v>15.721193701553757</v>
          </cell>
          <cell r="LN1841">
            <v>20.244300817817596</v>
          </cell>
          <cell r="LY1841">
            <v>12.274684137440657</v>
          </cell>
          <cell r="LZ1841">
            <v>14.730476692982464</v>
          </cell>
          <cell r="MA1841">
            <v>11.870949885755934</v>
          </cell>
          <cell r="MB1841">
            <v>9.6544719773798295</v>
          </cell>
          <cell r="MC1841">
            <v>14.087427794132038</v>
          </cell>
        </row>
        <row r="1842">
          <cell r="A1842">
            <v>42104</v>
          </cell>
          <cell r="LJ1842">
            <v>19.008080559552578</v>
          </cell>
          <cell r="LK1842">
            <v>20.020152274152959</v>
          </cell>
          <cell r="LL1842">
            <v>17.982747259685677</v>
          </cell>
          <cell r="LM1842">
            <v>15.721193701553757</v>
          </cell>
          <cell r="LN1842">
            <v>20.244300817817596</v>
          </cell>
          <cell r="LY1842">
            <v>12.224774235024146</v>
          </cell>
          <cell r="LZ1842">
            <v>14.730476692982464</v>
          </cell>
          <cell r="MA1842">
            <v>11.870949885755934</v>
          </cell>
          <cell r="MB1842">
            <v>9.6544719773798295</v>
          </cell>
          <cell r="MC1842">
            <v>14.087427794132038</v>
          </cell>
        </row>
        <row r="1843">
          <cell r="A1843">
            <v>42107</v>
          </cell>
          <cell r="LJ1843">
            <v>19.072674284599429</v>
          </cell>
          <cell r="LK1843">
            <v>20.020152274152959</v>
          </cell>
          <cell r="LL1843">
            <v>17.982747259685677</v>
          </cell>
          <cell r="LM1843">
            <v>15.721193701553757</v>
          </cell>
          <cell r="LN1843">
            <v>20.244300817817596</v>
          </cell>
          <cell r="LY1843">
            <v>12.265394516310641</v>
          </cell>
          <cell r="LZ1843">
            <v>14.730476692982464</v>
          </cell>
          <cell r="MA1843">
            <v>11.870949885755934</v>
          </cell>
          <cell r="MB1843">
            <v>9.6544719773798295</v>
          </cell>
          <cell r="MC1843">
            <v>14.087427794132038</v>
          </cell>
        </row>
        <row r="1844">
          <cell r="A1844">
            <v>42108</v>
          </cell>
          <cell r="LJ1844">
            <v>19.128619008228771</v>
          </cell>
          <cell r="LK1844">
            <v>20.020152274152959</v>
          </cell>
          <cell r="LL1844">
            <v>17.982747259685677</v>
          </cell>
          <cell r="LM1844">
            <v>15.721193701553757</v>
          </cell>
          <cell r="LN1844">
            <v>20.244300817817596</v>
          </cell>
          <cell r="LY1844">
            <v>12.301036066017225</v>
          </cell>
          <cell r="LZ1844">
            <v>14.730476692982464</v>
          </cell>
          <cell r="MA1844">
            <v>11.870949885755934</v>
          </cell>
          <cell r="MB1844">
            <v>9.6544719773798295</v>
          </cell>
          <cell r="MC1844">
            <v>14.087427794132038</v>
          </cell>
        </row>
        <row r="1845">
          <cell r="A1845">
            <v>42109</v>
          </cell>
          <cell r="LJ1845">
            <v>19.155474937138695</v>
          </cell>
          <cell r="LK1845">
            <v>20.020152274152959</v>
          </cell>
          <cell r="LL1845">
            <v>17.982747259685677</v>
          </cell>
          <cell r="LM1845">
            <v>15.721193701553757</v>
          </cell>
          <cell r="LN1845">
            <v>20.244300817817596</v>
          </cell>
          <cell r="LY1845">
            <v>12.318145578104573</v>
          </cell>
          <cell r="LZ1845">
            <v>14.730476692982464</v>
          </cell>
          <cell r="MA1845">
            <v>11.870949885755934</v>
          </cell>
          <cell r="MB1845">
            <v>9.6544719773798295</v>
          </cell>
          <cell r="MC1845">
            <v>14.087427794132038</v>
          </cell>
        </row>
        <row r="1846">
          <cell r="A1846">
            <v>42110</v>
          </cell>
          <cell r="LJ1846">
            <v>19.11966941890034</v>
          </cell>
          <cell r="LK1846">
            <v>20.020152274152959</v>
          </cell>
          <cell r="LL1846">
            <v>17.982747259685677</v>
          </cell>
          <cell r="LM1846">
            <v>15.721193701553757</v>
          </cell>
          <cell r="LN1846">
            <v>20.244300817817596</v>
          </cell>
          <cell r="LY1846">
            <v>12.295334416027565</v>
          </cell>
          <cell r="LZ1846">
            <v>14.730476692982464</v>
          </cell>
          <cell r="MA1846">
            <v>11.870949885755934</v>
          </cell>
          <cell r="MB1846">
            <v>9.6544719773798295</v>
          </cell>
          <cell r="MC1846">
            <v>14.087427794132038</v>
          </cell>
        </row>
        <row r="1847">
          <cell r="A1847">
            <v>42111</v>
          </cell>
          <cell r="LJ1847">
            <v>18.846658943810258</v>
          </cell>
          <cell r="LK1847">
            <v>20.020152274152959</v>
          </cell>
          <cell r="LL1847">
            <v>17.982747259685677</v>
          </cell>
          <cell r="LM1847">
            <v>15.721193701553757</v>
          </cell>
          <cell r="LN1847">
            <v>20.244300817817596</v>
          </cell>
          <cell r="LY1847">
            <v>12.278226044469807</v>
          </cell>
          <cell r="LZ1847">
            <v>14.730476692982464</v>
          </cell>
          <cell r="MA1847">
            <v>11.870949885755934</v>
          </cell>
          <cell r="MB1847">
            <v>9.6544719773798295</v>
          </cell>
          <cell r="MC1847">
            <v>14.087427794132038</v>
          </cell>
        </row>
        <row r="1848">
          <cell r="A1848">
            <v>42114</v>
          </cell>
          <cell r="LJ1848">
            <v>19.003303498635731</v>
          </cell>
          <cell r="LK1848">
            <v>20.020152274152959</v>
          </cell>
          <cell r="LL1848">
            <v>17.982747259685677</v>
          </cell>
          <cell r="LM1848">
            <v>15.721193701553757</v>
          </cell>
          <cell r="LN1848">
            <v>20.244300817817596</v>
          </cell>
          <cell r="LY1848">
            <v>12.278226044469807</v>
          </cell>
          <cell r="LZ1848">
            <v>14.730476692982464</v>
          </cell>
          <cell r="MA1848">
            <v>11.870949885755934</v>
          </cell>
          <cell r="MB1848">
            <v>9.6544719773798295</v>
          </cell>
          <cell r="MC1848">
            <v>14.087427794132038</v>
          </cell>
        </row>
        <row r="1849">
          <cell r="A1849">
            <v>42115</v>
          </cell>
          <cell r="LJ1849">
            <v>19.065961141542804</v>
          </cell>
          <cell r="LK1849">
            <v>20.020152274152959</v>
          </cell>
          <cell r="LL1849">
            <v>17.982747259685677</v>
          </cell>
          <cell r="LM1849">
            <v>15.721193701553757</v>
          </cell>
          <cell r="LN1849">
            <v>20.244300817817596</v>
          </cell>
          <cell r="LY1849">
            <v>12.26111767291205</v>
          </cell>
          <cell r="LZ1849">
            <v>14.730476692982464</v>
          </cell>
          <cell r="MA1849">
            <v>11.870949885755934</v>
          </cell>
          <cell r="MB1849">
            <v>9.6544719773798295</v>
          </cell>
          <cell r="MC1849">
            <v>14.087427794132038</v>
          </cell>
        </row>
        <row r="1850">
          <cell r="A1850">
            <v>42116</v>
          </cell>
          <cell r="LJ1850">
            <v>19.271633963289748</v>
          </cell>
          <cell r="LK1850">
            <v>20.020152274152959</v>
          </cell>
          <cell r="LL1850">
            <v>17.982747259685677</v>
          </cell>
          <cell r="LM1850">
            <v>15.721193701553757</v>
          </cell>
          <cell r="LN1850">
            <v>20.244300817817596</v>
          </cell>
          <cell r="LY1850">
            <v>12.268246410551964</v>
          </cell>
          <cell r="LZ1850">
            <v>14.730476692982464</v>
          </cell>
          <cell r="MA1850">
            <v>11.870949885755934</v>
          </cell>
          <cell r="MB1850">
            <v>9.6544719773798295</v>
          </cell>
          <cell r="MC1850">
            <v>14.087427794132038</v>
          </cell>
        </row>
        <row r="1851">
          <cell r="A1851">
            <v>42117</v>
          </cell>
          <cell r="LJ1851">
            <v>19.061331239667361</v>
          </cell>
          <cell r="LK1851">
            <v>20.020152274152959</v>
          </cell>
          <cell r="LL1851">
            <v>17.982747259685677</v>
          </cell>
          <cell r="LM1851">
            <v>15.721193701553757</v>
          </cell>
          <cell r="LN1851">
            <v>20.244300817817596</v>
          </cell>
          <cell r="LY1851">
            <v>12.2200939130588</v>
          </cell>
          <cell r="LZ1851">
            <v>14.730476692982464</v>
          </cell>
          <cell r="MA1851">
            <v>11.870949885755934</v>
          </cell>
          <cell r="MB1851">
            <v>9.6544719773798295</v>
          </cell>
          <cell r="MC1851">
            <v>14.087427794132038</v>
          </cell>
        </row>
        <row r="1852">
          <cell r="A1852">
            <v>42118</v>
          </cell>
          <cell r="LJ1852">
            <v>18.74848166565322</v>
          </cell>
          <cell r="LK1852">
            <v>20.020152274152959</v>
          </cell>
          <cell r="LL1852">
            <v>17.982747259685677</v>
          </cell>
          <cell r="LM1852">
            <v>15.721193701553757</v>
          </cell>
          <cell r="LN1852">
            <v>20.244300817817596</v>
          </cell>
          <cell r="LY1852">
            <v>12.028325043111584</v>
          </cell>
          <cell r="LZ1852">
            <v>14.730476692982464</v>
          </cell>
          <cell r="MA1852">
            <v>11.870949885755934</v>
          </cell>
          <cell r="MB1852">
            <v>9.6544719773798295</v>
          </cell>
          <cell r="MC1852">
            <v>14.087427794132038</v>
          </cell>
        </row>
        <row r="1853">
          <cell r="A1853">
            <v>42121</v>
          </cell>
          <cell r="LJ1853">
            <v>18.724675152003243</v>
          </cell>
          <cell r="LK1853">
            <v>20.020152274152959</v>
          </cell>
          <cell r="LL1853">
            <v>17.982747259685677</v>
          </cell>
          <cell r="LM1853">
            <v>15.721193701553757</v>
          </cell>
          <cell r="LN1853">
            <v>20.244300817817596</v>
          </cell>
          <cell r="LY1853">
            <v>11.998289885028198</v>
          </cell>
          <cell r="LZ1853">
            <v>14.730476692982464</v>
          </cell>
          <cell r="MA1853">
            <v>11.870949885755934</v>
          </cell>
          <cell r="MB1853">
            <v>9.6544719773798295</v>
          </cell>
          <cell r="MC1853">
            <v>14.087427794132038</v>
          </cell>
        </row>
        <row r="1854">
          <cell r="A1854">
            <v>42122</v>
          </cell>
          <cell r="LJ1854">
            <v>18.762984905781313</v>
          </cell>
          <cell r="LK1854">
            <v>20.020152274152959</v>
          </cell>
          <cell r="LL1854">
            <v>17.982747259685677</v>
          </cell>
          <cell r="LM1854">
            <v>15.721193701553757</v>
          </cell>
          <cell r="LN1854">
            <v>20.244300817817596</v>
          </cell>
          <cell r="LY1854">
            <v>12.022602964134416</v>
          </cell>
          <cell r="LZ1854">
            <v>14.730476692982464</v>
          </cell>
          <cell r="MA1854">
            <v>11.870949885755934</v>
          </cell>
          <cell r="MB1854">
            <v>9.6544719773798295</v>
          </cell>
          <cell r="MC1854">
            <v>14.087427794132038</v>
          </cell>
        </row>
        <row r="1855">
          <cell r="A1855">
            <v>42123</v>
          </cell>
          <cell r="LJ1855">
            <v>18.659324027711413</v>
          </cell>
          <cell r="LK1855">
            <v>20.020152274152959</v>
          </cell>
          <cell r="LL1855">
            <v>17.982747259685677</v>
          </cell>
          <cell r="LM1855">
            <v>15.721193701553757</v>
          </cell>
          <cell r="LN1855">
            <v>20.244300817817596</v>
          </cell>
          <cell r="LY1855">
            <v>11.956815145623917</v>
          </cell>
          <cell r="LZ1855">
            <v>14.730476692982464</v>
          </cell>
          <cell r="MA1855">
            <v>11.870949885755934</v>
          </cell>
          <cell r="MB1855">
            <v>9.6544719773798295</v>
          </cell>
          <cell r="MC1855">
            <v>14.087427794132038</v>
          </cell>
        </row>
        <row r="1856">
          <cell r="A1856">
            <v>42124</v>
          </cell>
          <cell r="LJ1856">
            <v>18.451998440551169</v>
          </cell>
          <cell r="LK1856">
            <v>20.020152274152959</v>
          </cell>
          <cell r="LL1856">
            <v>17.982747259685677</v>
          </cell>
          <cell r="LM1856">
            <v>15.721193701553757</v>
          </cell>
          <cell r="LN1856">
            <v>20.244300817817596</v>
          </cell>
          <cell r="LY1856">
            <v>11.85927758897912</v>
          </cell>
          <cell r="LZ1856">
            <v>14.730476692982464</v>
          </cell>
          <cell r="MA1856">
            <v>11.870949885755934</v>
          </cell>
          <cell r="MB1856">
            <v>9.6544719773798295</v>
          </cell>
          <cell r="MC1856">
            <v>14.087427794132038</v>
          </cell>
        </row>
        <row r="1857">
          <cell r="A1857">
            <v>42125</v>
          </cell>
          <cell r="LJ1857">
            <v>18.461625627475073</v>
          </cell>
          <cell r="LK1857">
            <v>20.020152274152959</v>
          </cell>
          <cell r="LL1857">
            <v>17.982747259685677</v>
          </cell>
          <cell r="LM1857">
            <v>15.721193701553757</v>
          </cell>
          <cell r="LN1857">
            <v>20.244300817817596</v>
          </cell>
          <cell r="LY1857">
            <v>11.866402560490469</v>
          </cell>
          <cell r="LZ1857">
            <v>14.730476692982464</v>
          </cell>
          <cell r="MA1857">
            <v>11.870949885755934</v>
          </cell>
          <cell r="MB1857">
            <v>9.6544719773798295</v>
          </cell>
          <cell r="MC1857">
            <v>14.087427794132038</v>
          </cell>
        </row>
        <row r="1858">
          <cell r="A1858">
            <v>42128</v>
          </cell>
          <cell r="LJ1858">
            <v>18.578178785103486</v>
          </cell>
          <cell r="LK1858">
            <v>20.020152274152959</v>
          </cell>
          <cell r="LL1858">
            <v>17.982747259685677</v>
          </cell>
          <cell r="LM1858">
            <v>15.721193701553757</v>
          </cell>
          <cell r="LN1858">
            <v>20.244300817817596</v>
          </cell>
          <cell r="LY1858">
            <v>11.89054391810026</v>
          </cell>
          <cell r="LZ1858">
            <v>14.730476692982464</v>
          </cell>
          <cell r="MA1858">
            <v>11.870949885755934</v>
          </cell>
          <cell r="MB1858">
            <v>9.6544719773798295</v>
          </cell>
          <cell r="MC1858">
            <v>14.087427794132038</v>
          </cell>
        </row>
        <row r="1859">
          <cell r="A1859">
            <v>42129</v>
          </cell>
          <cell r="LJ1859">
            <v>18.513021706184418</v>
          </cell>
          <cell r="LK1859">
            <v>20.020152274152959</v>
          </cell>
          <cell r="LL1859">
            <v>17.982747259685677</v>
          </cell>
          <cell r="LM1859">
            <v>15.721193701553757</v>
          </cell>
          <cell r="LN1859">
            <v>20.244300817817596</v>
          </cell>
          <cell r="LY1859">
            <v>11.849359839587233</v>
          </cell>
          <cell r="LZ1859">
            <v>14.730476692982464</v>
          </cell>
          <cell r="MA1859">
            <v>11.870949885755934</v>
          </cell>
          <cell r="MB1859">
            <v>9.6544719773798295</v>
          </cell>
          <cell r="MC1859">
            <v>14.087427794132038</v>
          </cell>
        </row>
        <row r="1860">
          <cell r="A1860">
            <v>42130</v>
          </cell>
          <cell r="LJ1860">
            <v>18.499542023609365</v>
          </cell>
          <cell r="LK1860">
            <v>20.020152274152959</v>
          </cell>
          <cell r="LL1860">
            <v>17.982747259685677</v>
          </cell>
          <cell r="LM1860">
            <v>15.721193701553757</v>
          </cell>
          <cell r="LN1860">
            <v>20.244300817817596</v>
          </cell>
          <cell r="LY1860">
            <v>11.940005501359588</v>
          </cell>
          <cell r="LZ1860">
            <v>14.730476692982464</v>
          </cell>
          <cell r="MA1860">
            <v>11.870949885755934</v>
          </cell>
          <cell r="MB1860">
            <v>9.6544719773798295</v>
          </cell>
          <cell r="MC1860">
            <v>14.087427794132038</v>
          </cell>
        </row>
        <row r="1861">
          <cell r="A1861">
            <v>42131</v>
          </cell>
          <cell r="LJ1861">
            <v>18.688678100132396</v>
          </cell>
          <cell r="LK1861">
            <v>20.020152274152959</v>
          </cell>
          <cell r="LL1861">
            <v>17.982747259685677</v>
          </cell>
          <cell r="LM1861">
            <v>15.721193701553757</v>
          </cell>
          <cell r="LN1861">
            <v>20.244300817817596</v>
          </cell>
          <cell r="LY1861">
            <v>12.060535509467385</v>
          </cell>
          <cell r="LZ1861">
            <v>14.730476692982464</v>
          </cell>
          <cell r="MA1861">
            <v>11.870949885755934</v>
          </cell>
          <cell r="MB1861">
            <v>9.6544719773798295</v>
          </cell>
          <cell r="MC1861">
            <v>14.087427794132038</v>
          </cell>
        </row>
        <row r="1862">
          <cell r="A1862">
            <v>42132</v>
          </cell>
          <cell r="LJ1862">
            <v>18.900612982224271</v>
          </cell>
          <cell r="LK1862">
            <v>20.020152274152959</v>
          </cell>
          <cell r="LL1862">
            <v>17.982747259685677</v>
          </cell>
          <cell r="LM1862">
            <v>15.721193701553757</v>
          </cell>
          <cell r="LN1862">
            <v>20.244300817817596</v>
          </cell>
          <cell r="LY1862">
            <v>12.274718970474501</v>
          </cell>
          <cell r="LZ1862">
            <v>14.730476692982464</v>
          </cell>
          <cell r="MA1862">
            <v>11.870949885755934</v>
          </cell>
          <cell r="MB1862">
            <v>9.6544719773798295</v>
          </cell>
          <cell r="MC1862">
            <v>14.087427794132038</v>
          </cell>
        </row>
        <row r="1863">
          <cell r="A1863">
            <v>42135</v>
          </cell>
          <cell r="LJ1863">
            <v>18.794897081855659</v>
          </cell>
          <cell r="LK1863">
            <v>20.020152274152959</v>
          </cell>
          <cell r="LL1863">
            <v>17.982747259685677</v>
          </cell>
          <cell r="LM1863">
            <v>15.721193701553757</v>
          </cell>
          <cell r="LN1863">
            <v>20.244300817817596</v>
          </cell>
          <cell r="LY1863">
            <v>12.206903119165927</v>
          </cell>
          <cell r="LZ1863">
            <v>14.730476692982464</v>
          </cell>
          <cell r="MA1863">
            <v>11.870949885755934</v>
          </cell>
          <cell r="MB1863">
            <v>9.6544719773798295</v>
          </cell>
          <cell r="MC1863">
            <v>14.087427794132038</v>
          </cell>
        </row>
        <row r="1864">
          <cell r="A1864">
            <v>42136</v>
          </cell>
          <cell r="LJ1864">
            <v>19.343719336130032</v>
          </cell>
          <cell r="LK1864">
            <v>20.020152274152959</v>
          </cell>
          <cell r="LL1864">
            <v>17.982747259685677</v>
          </cell>
          <cell r="LM1864">
            <v>15.721193701553757</v>
          </cell>
          <cell r="LN1864">
            <v>20.244300817817596</v>
          </cell>
          <cell r="LY1864">
            <v>12.558967929293178</v>
          </cell>
          <cell r="LZ1864">
            <v>14.730476692982464</v>
          </cell>
          <cell r="MA1864">
            <v>11.870949885755934</v>
          </cell>
          <cell r="MB1864">
            <v>9.6544719773798295</v>
          </cell>
          <cell r="MC1864">
            <v>14.087427794132038</v>
          </cell>
        </row>
        <row r="1865">
          <cell r="A1865">
            <v>42137</v>
          </cell>
          <cell r="LJ1865">
            <v>19.804002063154915</v>
          </cell>
          <cell r="LK1865">
            <v>20.020152274152959</v>
          </cell>
          <cell r="LL1865">
            <v>17.982747259685677</v>
          </cell>
          <cell r="LM1865">
            <v>15.721193701553757</v>
          </cell>
          <cell r="LN1865">
            <v>20.244300817817596</v>
          </cell>
          <cell r="LY1865">
            <v>12.753758736073443</v>
          </cell>
          <cell r="LZ1865">
            <v>14.730476692982464</v>
          </cell>
          <cell r="MA1865">
            <v>11.870949885755934</v>
          </cell>
          <cell r="MB1865">
            <v>9.6544719773798295</v>
          </cell>
          <cell r="MC1865">
            <v>14.087427794132038</v>
          </cell>
        </row>
        <row r="1866">
          <cell r="A1866">
            <v>42138</v>
          </cell>
          <cell r="LJ1866">
            <v>19.697193829978421</v>
          </cell>
          <cell r="LK1866">
            <v>20.020152274152959</v>
          </cell>
          <cell r="LL1866">
            <v>17.982747259685677</v>
          </cell>
          <cell r="LM1866">
            <v>15.721193701553757</v>
          </cell>
          <cell r="LN1866">
            <v>20.244300817817596</v>
          </cell>
          <cell r="LY1866">
            <v>12.858005304185919</v>
          </cell>
          <cell r="LZ1866">
            <v>14.730476692982464</v>
          </cell>
          <cell r="MA1866">
            <v>11.870949885755934</v>
          </cell>
          <cell r="MB1866">
            <v>9.6544719773798295</v>
          </cell>
          <cell r="MC1866">
            <v>14.087427794132038</v>
          </cell>
        </row>
        <row r="1867">
          <cell r="A1867">
            <v>42139</v>
          </cell>
          <cell r="LJ1867">
            <v>19.396182351045976</v>
          </cell>
          <cell r="LK1867">
            <v>20.020152274152959</v>
          </cell>
          <cell r="LL1867">
            <v>17.982747259685677</v>
          </cell>
          <cell r="LM1867">
            <v>15.721193701553757</v>
          </cell>
          <cell r="LN1867">
            <v>20.244300817817596</v>
          </cell>
          <cell r="LY1867">
            <v>12.656919324676295</v>
          </cell>
          <cell r="LZ1867">
            <v>14.730476692982464</v>
          </cell>
          <cell r="MA1867">
            <v>11.870949885755934</v>
          </cell>
          <cell r="MB1867">
            <v>9.6544719773798295</v>
          </cell>
          <cell r="MC1867">
            <v>14.087427794132038</v>
          </cell>
        </row>
        <row r="1868">
          <cell r="A1868">
            <v>42142</v>
          </cell>
          <cell r="LJ1868">
            <v>19.534945077088107</v>
          </cell>
          <cell r="LK1868">
            <v>20.020152274152959</v>
          </cell>
          <cell r="LL1868">
            <v>17.982747259685677</v>
          </cell>
          <cell r="LM1868">
            <v>15.721193701553757</v>
          </cell>
          <cell r="LN1868">
            <v>20.244300817817596</v>
          </cell>
          <cell r="LY1868">
            <v>12.733374546391399</v>
          </cell>
          <cell r="LZ1868">
            <v>14.730476692982464</v>
          </cell>
          <cell r="MA1868">
            <v>11.870949885755934</v>
          </cell>
          <cell r="MB1868">
            <v>9.6544719773798295</v>
          </cell>
          <cell r="MC1868">
            <v>14.087427794132038</v>
          </cell>
        </row>
        <row r="1869">
          <cell r="A1869">
            <v>42143</v>
          </cell>
          <cell r="LJ1869">
            <v>19.362567198485635</v>
          </cell>
          <cell r="LK1869">
            <v>20.020152274152959</v>
          </cell>
          <cell r="LL1869">
            <v>17.982747259685677</v>
          </cell>
          <cell r="LM1869">
            <v>15.721193701553757</v>
          </cell>
          <cell r="LN1869">
            <v>20.244300817817596</v>
          </cell>
          <cell r="LY1869">
            <v>12.6223383029866</v>
          </cell>
          <cell r="LZ1869">
            <v>14.730476692982464</v>
          </cell>
          <cell r="MA1869">
            <v>11.870949885755934</v>
          </cell>
          <cell r="MB1869">
            <v>9.6544719773798295</v>
          </cell>
          <cell r="MC1869">
            <v>14.087427794132038</v>
          </cell>
        </row>
        <row r="1870">
          <cell r="A1870">
            <v>42144</v>
          </cell>
          <cell r="LJ1870">
            <v>19.481218378283568</v>
          </cell>
          <cell r="LK1870">
            <v>20.020152274152959</v>
          </cell>
          <cell r="LL1870">
            <v>17.982747259685677</v>
          </cell>
          <cell r="LM1870">
            <v>15.721193701553757</v>
          </cell>
          <cell r="LN1870">
            <v>20.244300817817596</v>
          </cell>
          <cell r="LY1870">
            <v>12.698766794781028</v>
          </cell>
          <cell r="LZ1870">
            <v>14.730476692982464</v>
          </cell>
          <cell r="MA1870">
            <v>11.870949885755934</v>
          </cell>
          <cell r="MB1870">
            <v>9.6544719773798295</v>
          </cell>
          <cell r="MC1870">
            <v>14.087427794132038</v>
          </cell>
        </row>
        <row r="1871">
          <cell r="A1871">
            <v>42145</v>
          </cell>
          <cell r="LJ1871">
            <v>19.454351446952135</v>
          </cell>
          <cell r="LK1871">
            <v>20.020152274152959</v>
          </cell>
          <cell r="LL1871">
            <v>17.982747259685677</v>
          </cell>
          <cell r="LM1871">
            <v>15.721193701553757</v>
          </cell>
          <cell r="LN1871">
            <v>20.244300817817596</v>
          </cell>
          <cell r="LY1871">
            <v>12.681460611696266</v>
          </cell>
          <cell r="LZ1871">
            <v>14.730476692982464</v>
          </cell>
          <cell r="MA1871">
            <v>11.870949885755934</v>
          </cell>
          <cell r="MB1871">
            <v>9.6544719773798295</v>
          </cell>
          <cell r="MC1871">
            <v>14.087427794132038</v>
          </cell>
        </row>
        <row r="1872">
          <cell r="A1872">
            <v>42146</v>
          </cell>
          <cell r="LJ1872">
            <v>19.346966579519318</v>
          </cell>
          <cell r="LK1872">
            <v>20.020152274152959</v>
          </cell>
          <cell r="LL1872">
            <v>17.982747259685677</v>
          </cell>
          <cell r="LM1872">
            <v>15.721193701553757</v>
          </cell>
          <cell r="LN1872">
            <v>20.244300817817596</v>
          </cell>
          <cell r="LY1872">
            <v>12.696679121117391</v>
          </cell>
          <cell r="LZ1872">
            <v>14.730476692982464</v>
          </cell>
          <cell r="MA1872">
            <v>11.870949885755934</v>
          </cell>
          <cell r="MB1872">
            <v>9.6544719773798295</v>
          </cell>
          <cell r="MC1872">
            <v>14.087427794132038</v>
          </cell>
        </row>
        <row r="1873">
          <cell r="A1873">
            <v>42149</v>
          </cell>
          <cell r="LJ1873">
            <v>19.397192696286769</v>
          </cell>
          <cell r="LK1873">
            <v>20.020152274152959</v>
          </cell>
          <cell r="LL1873">
            <v>17.982747259685677</v>
          </cell>
          <cell r="LM1873">
            <v>15.721193701553757</v>
          </cell>
          <cell r="LN1873">
            <v>20.244300817817596</v>
          </cell>
          <cell r="LY1873">
            <v>12.717517632871195</v>
          </cell>
          <cell r="LZ1873">
            <v>14.730476692982464</v>
          </cell>
          <cell r="MA1873">
            <v>11.870949885755934</v>
          </cell>
          <cell r="MB1873">
            <v>9.6544719773798295</v>
          </cell>
          <cell r="MC1873">
            <v>14.087427794132038</v>
          </cell>
        </row>
        <row r="1874">
          <cell r="A1874">
            <v>42150</v>
          </cell>
          <cell r="LJ1874">
            <v>19.300888020837739</v>
          </cell>
          <cell r="LK1874">
            <v>20.020152274152959</v>
          </cell>
          <cell r="LL1874">
            <v>17.982747259685677</v>
          </cell>
          <cell r="LM1874">
            <v>15.721193701553757</v>
          </cell>
          <cell r="LN1874">
            <v>20.244300817817596</v>
          </cell>
          <cell r="LY1874">
            <v>12.655126288493875</v>
          </cell>
          <cell r="LZ1874">
            <v>14.730476692982464</v>
          </cell>
          <cell r="MA1874">
            <v>11.870949885755934</v>
          </cell>
          <cell r="MB1874">
            <v>9.6544719773798295</v>
          </cell>
          <cell r="MC1874">
            <v>14.087427794132038</v>
          </cell>
        </row>
        <row r="1875">
          <cell r="A1875">
            <v>42151</v>
          </cell>
          <cell r="LJ1875">
            <v>19.578600006160912</v>
          </cell>
          <cell r="LK1875">
            <v>20.020152274152959</v>
          </cell>
          <cell r="LL1875">
            <v>17.982747259685677</v>
          </cell>
          <cell r="LM1875">
            <v>15.721193701553757</v>
          </cell>
          <cell r="LN1875">
            <v>20.244300817817596</v>
          </cell>
          <cell r="LY1875">
            <v>12.835043037428644</v>
          </cell>
          <cell r="LZ1875">
            <v>14.730476692982464</v>
          </cell>
          <cell r="MA1875">
            <v>11.870949885755934</v>
          </cell>
          <cell r="MB1875">
            <v>9.6544719773798295</v>
          </cell>
          <cell r="MC1875">
            <v>14.087427794132038</v>
          </cell>
        </row>
        <row r="1876">
          <cell r="A1876">
            <v>42152</v>
          </cell>
          <cell r="LJ1876">
            <v>19.556206002321858</v>
          </cell>
          <cell r="LK1876">
            <v>20.020152274152959</v>
          </cell>
          <cell r="LL1876">
            <v>17.982747259685677</v>
          </cell>
          <cell r="LM1876">
            <v>15.721193701553757</v>
          </cell>
          <cell r="LN1876">
            <v>20.244300817817596</v>
          </cell>
          <cell r="LY1876">
            <v>12.820534998239532</v>
          </cell>
          <cell r="LZ1876">
            <v>14.730476692982464</v>
          </cell>
          <cell r="MA1876">
            <v>11.870949885755934</v>
          </cell>
          <cell r="MB1876">
            <v>9.6544719773798295</v>
          </cell>
          <cell r="MC1876">
            <v>14.087427794132038</v>
          </cell>
        </row>
        <row r="1877">
          <cell r="A1877">
            <v>42153</v>
          </cell>
          <cell r="LJ1877">
            <v>19.332245807513793</v>
          </cell>
          <cell r="LK1877">
            <v>20.020152274152959</v>
          </cell>
          <cell r="LL1877">
            <v>17.982747259685677</v>
          </cell>
          <cell r="LM1877">
            <v>15.721193701553757</v>
          </cell>
          <cell r="LN1877">
            <v>20.244300817817596</v>
          </cell>
          <cell r="LY1877">
            <v>12.675441547937865</v>
          </cell>
          <cell r="LZ1877">
            <v>14.730476692982464</v>
          </cell>
          <cell r="MA1877">
            <v>11.870949885755934</v>
          </cell>
          <cell r="MB1877">
            <v>9.6544719773798295</v>
          </cell>
          <cell r="MC1877">
            <v>14.087427794132038</v>
          </cell>
        </row>
        <row r="1878">
          <cell r="A1878">
            <v>42156</v>
          </cell>
          <cell r="LJ1878">
            <v>19.412551142246652</v>
          </cell>
          <cell r="LK1878">
            <v>20.020152274152959</v>
          </cell>
          <cell r="LL1878">
            <v>17.982747259685677</v>
          </cell>
          <cell r="LM1878">
            <v>15.721193701553757</v>
          </cell>
          <cell r="LN1878">
            <v>20.244300817817596</v>
          </cell>
          <cell r="LY1878">
            <v>12.677412566913594</v>
          </cell>
          <cell r="LZ1878">
            <v>14.730476692982464</v>
          </cell>
          <cell r="MA1878">
            <v>11.870949885755934</v>
          </cell>
          <cell r="MB1878">
            <v>9.6544719773798295</v>
          </cell>
          <cell r="MC1878">
            <v>14.087427794132038</v>
          </cell>
        </row>
        <row r="1879">
          <cell r="A1879">
            <v>42157</v>
          </cell>
          <cell r="LJ1879">
            <v>19.278204343649175</v>
          </cell>
          <cell r="LK1879">
            <v>20.020152274152959</v>
          </cell>
          <cell r="LL1879">
            <v>17.982747259685677</v>
          </cell>
          <cell r="LM1879">
            <v>15.721193701553757</v>
          </cell>
          <cell r="LN1879">
            <v>20.244300817817596</v>
          </cell>
          <cell r="LY1879">
            <v>12.681502535867445</v>
          </cell>
          <cell r="LZ1879">
            <v>14.730476692982464</v>
          </cell>
          <cell r="MA1879">
            <v>11.870949885755934</v>
          </cell>
          <cell r="MB1879">
            <v>9.6544719773798295</v>
          </cell>
          <cell r="MC1879">
            <v>14.087427794132038</v>
          </cell>
        </row>
        <row r="1880">
          <cell r="A1880">
            <v>42158</v>
          </cell>
          <cell r="LJ1880">
            <v>19.378163139510992</v>
          </cell>
          <cell r="LK1880">
            <v>20.020152274152959</v>
          </cell>
          <cell r="LL1880">
            <v>17.982747259685677</v>
          </cell>
          <cell r="LM1880">
            <v>15.721193701553757</v>
          </cell>
          <cell r="LN1880">
            <v>20.244300817817596</v>
          </cell>
          <cell r="LY1880">
            <v>12.746477993229631</v>
          </cell>
          <cell r="LZ1880">
            <v>14.730476692982464</v>
          </cell>
          <cell r="MA1880">
            <v>11.870949885755934</v>
          </cell>
          <cell r="MB1880">
            <v>9.6544719773798295</v>
          </cell>
          <cell r="MC1880">
            <v>14.087427794132038</v>
          </cell>
        </row>
        <row r="1881">
          <cell r="A1881">
            <v>42159</v>
          </cell>
          <cell r="LJ1881">
            <v>19.058303078093505</v>
          </cell>
          <cell r="LK1881">
            <v>20.020152274152959</v>
          </cell>
          <cell r="LL1881">
            <v>17.982747259685677</v>
          </cell>
          <cell r="LM1881">
            <v>15.721193701553757</v>
          </cell>
          <cell r="LN1881">
            <v>20.244300817817596</v>
          </cell>
          <cell r="LY1881">
            <v>12.538561785323031</v>
          </cell>
          <cell r="LZ1881">
            <v>14.730476692982464</v>
          </cell>
          <cell r="MA1881">
            <v>11.870949885755934</v>
          </cell>
          <cell r="MB1881">
            <v>9.6544719773798295</v>
          </cell>
          <cell r="MC1881">
            <v>14.087427794132038</v>
          </cell>
        </row>
        <row r="1882">
          <cell r="A1882">
            <v>42160</v>
          </cell>
          <cell r="LJ1882">
            <v>19.07829341566757</v>
          </cell>
          <cell r="LK1882">
            <v>20.020152274152959</v>
          </cell>
          <cell r="LL1882">
            <v>17.982747259685677</v>
          </cell>
          <cell r="LM1882">
            <v>15.721193701553757</v>
          </cell>
          <cell r="LN1882">
            <v>20.244300817817596</v>
          </cell>
          <cell r="LY1882">
            <v>12.551555952724717</v>
          </cell>
          <cell r="LZ1882">
            <v>14.730476692982464</v>
          </cell>
          <cell r="MA1882">
            <v>11.870949885755934</v>
          </cell>
          <cell r="MB1882">
            <v>9.6544719773798295</v>
          </cell>
          <cell r="MC1882">
            <v>14.087427794132038</v>
          </cell>
        </row>
        <row r="1883">
          <cell r="A1883">
            <v>42163</v>
          </cell>
          <cell r="LJ1883">
            <v>18.860612064704934</v>
          </cell>
          <cell r="LK1883">
            <v>20.020152274152959</v>
          </cell>
          <cell r="LL1883">
            <v>17.982747259685677</v>
          </cell>
          <cell r="LM1883">
            <v>15.721193701553757</v>
          </cell>
          <cell r="LN1883">
            <v>20.244300817817596</v>
          </cell>
          <cell r="LY1883">
            <v>12.410058196413519</v>
          </cell>
          <cell r="LZ1883">
            <v>14.730476692982464</v>
          </cell>
          <cell r="MA1883">
            <v>11.870949885755934</v>
          </cell>
          <cell r="MB1883">
            <v>9.6544719773798295</v>
          </cell>
          <cell r="MC1883">
            <v>14.087427794132038</v>
          </cell>
        </row>
        <row r="1884">
          <cell r="A1884">
            <v>42164</v>
          </cell>
          <cell r="LJ1884">
            <v>18.925026682733687</v>
          </cell>
          <cell r="LK1884">
            <v>20.020152274152959</v>
          </cell>
          <cell r="LL1884">
            <v>17.982747259685677</v>
          </cell>
          <cell r="LM1884">
            <v>15.721193701553757</v>
          </cell>
          <cell r="LN1884">
            <v>20.244300817817596</v>
          </cell>
          <cell r="LY1884">
            <v>12.460842030788546</v>
          </cell>
          <cell r="LZ1884">
            <v>14.730476692982464</v>
          </cell>
          <cell r="MA1884">
            <v>11.870949885755934</v>
          </cell>
          <cell r="MB1884">
            <v>9.6544719773798295</v>
          </cell>
          <cell r="MC1884">
            <v>14.087427794132038</v>
          </cell>
        </row>
        <row r="1885">
          <cell r="A1885">
            <v>42165</v>
          </cell>
          <cell r="LJ1885">
            <v>19.10717074173002</v>
          </cell>
          <cell r="LK1885">
            <v>20.020152274152959</v>
          </cell>
          <cell r="LL1885">
            <v>17.982747259685677</v>
          </cell>
          <cell r="LM1885">
            <v>15.721193701553757</v>
          </cell>
          <cell r="LN1885">
            <v>20.244300817817596</v>
          </cell>
          <cell r="LY1885">
            <v>12.579324498109555</v>
          </cell>
          <cell r="LZ1885">
            <v>14.730476692982464</v>
          </cell>
          <cell r="MA1885">
            <v>11.870949885755934</v>
          </cell>
          <cell r="MB1885">
            <v>9.6544719773798295</v>
          </cell>
          <cell r="MC1885">
            <v>14.087427794132038</v>
          </cell>
        </row>
        <row r="1886">
          <cell r="A1886">
            <v>42166</v>
          </cell>
          <cell r="LJ1886">
            <v>19.087176850160208</v>
          </cell>
          <cell r="LK1886">
            <v>20.020152274152959</v>
          </cell>
          <cell r="LL1886">
            <v>17.982747259685677</v>
          </cell>
          <cell r="LM1886">
            <v>15.721193701553757</v>
          </cell>
          <cell r="LN1886">
            <v>20.244300817817596</v>
          </cell>
          <cell r="LY1886">
            <v>12.566318717862902</v>
          </cell>
          <cell r="LZ1886">
            <v>14.730476692982464</v>
          </cell>
          <cell r="MA1886">
            <v>11.870949885755934</v>
          </cell>
          <cell r="MB1886">
            <v>9.6544719773798295</v>
          </cell>
          <cell r="MC1886">
            <v>14.087427794132038</v>
          </cell>
        </row>
        <row r="1887">
          <cell r="A1887">
            <v>42167</v>
          </cell>
          <cell r="LJ1887">
            <v>18.891709527485162</v>
          </cell>
          <cell r="LK1887">
            <v>20.020152274152959</v>
          </cell>
          <cell r="LL1887">
            <v>17.982747259685677</v>
          </cell>
          <cell r="LM1887">
            <v>15.721193701553757</v>
          </cell>
          <cell r="LN1887">
            <v>20.244300817817596</v>
          </cell>
          <cell r="LY1887">
            <v>12.439169631591369</v>
          </cell>
          <cell r="LZ1887">
            <v>14.730476692982464</v>
          </cell>
          <cell r="MA1887">
            <v>11.870949885755934</v>
          </cell>
          <cell r="MB1887">
            <v>9.6544719773798295</v>
          </cell>
          <cell r="MC1887">
            <v>14.087427794132038</v>
          </cell>
        </row>
        <row r="1888">
          <cell r="A1888">
            <v>42170</v>
          </cell>
          <cell r="LJ1888">
            <v>18.760656600714132</v>
          </cell>
          <cell r="LK1888">
            <v>20.020152274152959</v>
          </cell>
          <cell r="LL1888">
            <v>17.982747259685677</v>
          </cell>
          <cell r="LM1888">
            <v>15.721193701553757</v>
          </cell>
          <cell r="LN1888">
            <v>20.244300817817596</v>
          </cell>
          <cell r="LY1888">
            <v>12.353921316609087</v>
          </cell>
          <cell r="LZ1888">
            <v>14.730476692982464</v>
          </cell>
          <cell r="MA1888">
            <v>11.870949885755934</v>
          </cell>
          <cell r="MB1888">
            <v>9.6544719773798295</v>
          </cell>
          <cell r="MC1888">
            <v>14.087427794132038</v>
          </cell>
        </row>
        <row r="1889">
          <cell r="A1889">
            <v>42171</v>
          </cell>
          <cell r="LJ1889">
            <v>18.79841736126922</v>
          </cell>
          <cell r="LK1889">
            <v>20.020152274152959</v>
          </cell>
          <cell r="LL1889">
            <v>17.982747259685677</v>
          </cell>
          <cell r="LM1889">
            <v>15.721193701553757</v>
          </cell>
          <cell r="LN1889">
            <v>20.244300817817596</v>
          </cell>
          <cell r="LY1889">
            <v>12.378484226336351</v>
          </cell>
          <cell r="LZ1889">
            <v>14.730476692982464</v>
          </cell>
          <cell r="MA1889">
            <v>11.870949885755934</v>
          </cell>
          <cell r="MB1889">
            <v>9.6544719773798295</v>
          </cell>
          <cell r="MC1889">
            <v>14.087427794132038</v>
          </cell>
        </row>
        <row r="1890">
          <cell r="A1890">
            <v>42172</v>
          </cell>
          <cell r="LJ1890">
            <v>18.820627835561059</v>
          </cell>
          <cell r="LK1890">
            <v>20.020152274152959</v>
          </cell>
          <cell r="LL1890">
            <v>17.982747259685677</v>
          </cell>
          <cell r="LM1890">
            <v>15.721193701553757</v>
          </cell>
          <cell r="LN1890">
            <v>20.244300817817596</v>
          </cell>
          <cell r="LY1890">
            <v>12.392931866347054</v>
          </cell>
          <cell r="LZ1890">
            <v>14.730476692982464</v>
          </cell>
          <cell r="MA1890">
            <v>11.870949885755934</v>
          </cell>
          <cell r="MB1890">
            <v>9.6544719773798295</v>
          </cell>
          <cell r="MC1890">
            <v>14.087427794132038</v>
          </cell>
        </row>
        <row r="1891">
          <cell r="A1891">
            <v>42173</v>
          </cell>
          <cell r="LJ1891">
            <v>19.091620233342034</v>
          </cell>
          <cell r="LK1891">
            <v>20.020152274152959</v>
          </cell>
          <cell r="LL1891">
            <v>17.982747259685677</v>
          </cell>
          <cell r="LM1891">
            <v>15.721193701553757</v>
          </cell>
          <cell r="LN1891">
            <v>20.244300817817596</v>
          </cell>
          <cell r="LY1891">
            <v>12.569209083903585</v>
          </cell>
          <cell r="LZ1891">
            <v>14.730476692982464</v>
          </cell>
          <cell r="MA1891">
            <v>11.870949885755934</v>
          </cell>
          <cell r="MB1891">
            <v>9.6544719773798295</v>
          </cell>
          <cell r="MC1891">
            <v>14.087427794132038</v>
          </cell>
        </row>
        <row r="1892">
          <cell r="A1892">
            <v>42174</v>
          </cell>
          <cell r="LJ1892">
            <v>19.067186512586144</v>
          </cell>
          <cell r="LK1892">
            <v>20.020152274152959</v>
          </cell>
          <cell r="LL1892">
            <v>17.982747259685677</v>
          </cell>
          <cell r="LM1892">
            <v>15.721193701553757</v>
          </cell>
          <cell r="LN1892">
            <v>20.244300817817596</v>
          </cell>
          <cell r="LY1892">
            <v>12.553315249446714</v>
          </cell>
          <cell r="LZ1892">
            <v>14.730476692982464</v>
          </cell>
          <cell r="MA1892">
            <v>11.870949885755934</v>
          </cell>
          <cell r="MB1892">
            <v>9.6544719773798295</v>
          </cell>
          <cell r="MC1892">
            <v>14.087427794132038</v>
          </cell>
        </row>
        <row r="1893">
          <cell r="A1893">
            <v>42177</v>
          </cell>
          <cell r="LJ1893">
            <v>19.158258319959575</v>
          </cell>
          <cell r="LK1893">
            <v>20.020152274152959</v>
          </cell>
          <cell r="LL1893">
            <v>17.982747259685677</v>
          </cell>
          <cell r="LM1893">
            <v>15.721193701553757</v>
          </cell>
          <cell r="LN1893">
            <v>20.244300817817596</v>
          </cell>
          <cell r="LY1893">
            <v>12.612556338617814</v>
          </cell>
          <cell r="LZ1893">
            <v>14.730476692982464</v>
          </cell>
          <cell r="MA1893">
            <v>11.870949885755934</v>
          </cell>
          <cell r="MB1893">
            <v>9.6544719773798295</v>
          </cell>
          <cell r="MC1893">
            <v>14.087427794132038</v>
          </cell>
        </row>
        <row r="1894">
          <cell r="A1894">
            <v>42178</v>
          </cell>
          <cell r="LJ1894">
            <v>19.040532655112479</v>
          </cell>
          <cell r="LK1894">
            <v>20.020152274152959</v>
          </cell>
          <cell r="LL1894">
            <v>17.982747259685677</v>
          </cell>
          <cell r="LM1894">
            <v>15.721193701553757</v>
          </cell>
          <cell r="LN1894">
            <v>20.244300817817596</v>
          </cell>
          <cell r="LY1894">
            <v>12.535977243395328</v>
          </cell>
          <cell r="LZ1894">
            <v>14.730476692982464</v>
          </cell>
          <cell r="MA1894">
            <v>11.870949885755934</v>
          </cell>
          <cell r="MB1894">
            <v>9.6544719773798295</v>
          </cell>
          <cell r="MC1894">
            <v>14.087427794132038</v>
          </cell>
        </row>
        <row r="1895">
          <cell r="A1895">
            <v>42179</v>
          </cell>
          <cell r="LJ1895">
            <v>18.973894568494941</v>
          </cell>
          <cell r="LK1895">
            <v>20.020152274152959</v>
          </cell>
          <cell r="LL1895">
            <v>17.982747259685677</v>
          </cell>
          <cell r="LM1895">
            <v>15.721193701553757</v>
          </cell>
          <cell r="LN1895">
            <v>20.244300817817596</v>
          </cell>
          <cell r="LY1895">
            <v>12.492629988681101</v>
          </cell>
          <cell r="LZ1895">
            <v>14.730476692982464</v>
          </cell>
          <cell r="MA1895">
            <v>11.870949885755934</v>
          </cell>
          <cell r="MB1895">
            <v>9.6544719773798295</v>
          </cell>
          <cell r="MC1895">
            <v>14.087427794132038</v>
          </cell>
        </row>
        <row r="1896">
          <cell r="A1896">
            <v>42180</v>
          </cell>
          <cell r="LJ1896">
            <v>18.976114483087979</v>
          </cell>
          <cell r="LK1896">
            <v>20.020152274152959</v>
          </cell>
          <cell r="LL1896">
            <v>17.982747259685677</v>
          </cell>
          <cell r="LM1896">
            <v>15.721193701553757</v>
          </cell>
          <cell r="LN1896">
            <v>20.244300817817596</v>
          </cell>
          <cell r="LY1896">
            <v>12.494074015786209</v>
          </cell>
          <cell r="LZ1896">
            <v>14.730476692982464</v>
          </cell>
          <cell r="MA1896">
            <v>11.870949885755934</v>
          </cell>
          <cell r="MB1896">
            <v>9.6544719773798295</v>
          </cell>
          <cell r="MC1896">
            <v>14.087427794132038</v>
          </cell>
        </row>
        <row r="1897">
          <cell r="A1897">
            <v>42181</v>
          </cell>
          <cell r="LJ1897">
            <v>19.049416089605121</v>
          </cell>
          <cell r="LK1897">
            <v>20.020152274152959</v>
          </cell>
          <cell r="LL1897">
            <v>17.982747259685677</v>
          </cell>
          <cell r="LM1897">
            <v>15.721193701553757</v>
          </cell>
          <cell r="LN1897">
            <v>20.244300817817596</v>
          </cell>
          <cell r="LY1897">
            <v>12.541755808135635</v>
          </cell>
          <cell r="LZ1897">
            <v>14.730476692982464</v>
          </cell>
          <cell r="MA1897">
            <v>11.870949885755934</v>
          </cell>
          <cell r="MB1897">
            <v>9.6544719773798295</v>
          </cell>
          <cell r="MC1897">
            <v>14.087427794132038</v>
          </cell>
        </row>
        <row r="1898">
          <cell r="A1898">
            <v>42184</v>
          </cell>
          <cell r="LJ1898">
            <v>18.825071218742885</v>
          </cell>
          <cell r="LK1898">
            <v>20.020152274152959</v>
          </cell>
          <cell r="LL1898">
            <v>17.982747259685677</v>
          </cell>
          <cell r="LM1898">
            <v>15.721193701553757</v>
          </cell>
          <cell r="LN1898">
            <v>20.244300817817596</v>
          </cell>
          <cell r="LY1898">
            <v>12.395822232387737</v>
          </cell>
          <cell r="LZ1898">
            <v>14.730476692982464</v>
          </cell>
          <cell r="MA1898">
            <v>11.870949885755934</v>
          </cell>
          <cell r="MB1898">
            <v>9.6544719773798295</v>
          </cell>
          <cell r="MC1898">
            <v>14.087427794132038</v>
          </cell>
        </row>
        <row r="1899">
          <cell r="A1899">
            <v>42185</v>
          </cell>
          <cell r="LJ1899">
            <v>19.011655329050029</v>
          </cell>
          <cell r="LK1899">
            <v>20.020152274152959</v>
          </cell>
          <cell r="LL1899">
            <v>17.982747259685677</v>
          </cell>
          <cell r="LM1899">
            <v>15.721193701553757</v>
          </cell>
          <cell r="LN1899">
            <v>20.244300817817596</v>
          </cell>
          <cell r="LY1899">
            <v>12.517192898408368</v>
          </cell>
          <cell r="LZ1899">
            <v>14.730476692982464</v>
          </cell>
          <cell r="MA1899">
            <v>11.870949885755934</v>
          </cell>
          <cell r="MB1899">
            <v>9.6544719773798295</v>
          </cell>
          <cell r="MC1899">
            <v>14.087427794132038</v>
          </cell>
        </row>
        <row r="1900">
          <cell r="A1900">
            <v>42186</v>
          </cell>
          <cell r="LJ1900">
            <v>19.019760556760538</v>
          </cell>
          <cell r="LK1900">
            <v>20.020152274152959</v>
          </cell>
          <cell r="LL1900">
            <v>17.982747259685677</v>
          </cell>
          <cell r="LM1900">
            <v>15.721193701553757</v>
          </cell>
          <cell r="LN1900">
            <v>20.244300817817596</v>
          </cell>
          <cell r="LY1900">
            <v>12.544126652282433</v>
          </cell>
          <cell r="LZ1900">
            <v>14.730476692982464</v>
          </cell>
          <cell r="MA1900">
            <v>11.870949885755934</v>
          </cell>
          <cell r="MB1900">
            <v>9.6544719773798295</v>
          </cell>
          <cell r="MC1900">
            <v>14.087427794132038</v>
          </cell>
        </row>
        <row r="1901">
          <cell r="A1901">
            <v>42187</v>
          </cell>
          <cell r="LJ1901">
            <v>19.121095086508479</v>
          </cell>
          <cell r="LK1901">
            <v>20.020152274152959</v>
          </cell>
          <cell r="LL1901">
            <v>17.982747259685677</v>
          </cell>
          <cell r="LM1901">
            <v>15.721193701553757</v>
          </cell>
          <cell r="LN1901">
            <v>20.244300817817596</v>
          </cell>
          <cell r="LY1901">
            <v>12.61016409125836</v>
          </cell>
          <cell r="LZ1901">
            <v>14.730476692982464</v>
          </cell>
          <cell r="MA1901">
            <v>11.870949885755934</v>
          </cell>
          <cell r="MB1901">
            <v>9.6544719773798295</v>
          </cell>
          <cell r="MC1901">
            <v>14.087427794132038</v>
          </cell>
        </row>
        <row r="1902">
          <cell r="A1902">
            <v>42188</v>
          </cell>
          <cell r="LJ1902">
            <v>19.121095086508479</v>
          </cell>
          <cell r="LK1902">
            <v>20.020152274152959</v>
          </cell>
          <cell r="LL1902">
            <v>17.982747259685677</v>
          </cell>
          <cell r="LM1902">
            <v>15.721193701553757</v>
          </cell>
          <cell r="LN1902">
            <v>20.244300817817596</v>
          </cell>
          <cell r="LY1902">
            <v>12.61016409125836</v>
          </cell>
          <cell r="LZ1902">
            <v>14.730476692982464</v>
          </cell>
          <cell r="MA1902">
            <v>11.870949885755934</v>
          </cell>
          <cell r="MB1902">
            <v>9.6544719773798295</v>
          </cell>
          <cell r="MC1902">
            <v>14.087427794132038</v>
          </cell>
        </row>
        <row r="1903">
          <cell r="A1903">
            <v>42191</v>
          </cell>
          <cell r="LJ1903">
            <v>18.876474749848789</v>
          </cell>
          <cell r="LK1903">
            <v>20.020152274152959</v>
          </cell>
          <cell r="LL1903">
            <v>17.982747259685677</v>
          </cell>
          <cell r="LM1903">
            <v>15.721193701553757</v>
          </cell>
          <cell r="LN1903">
            <v>20.244300817817596</v>
          </cell>
          <cell r="LY1903">
            <v>12.476654499997526</v>
          </cell>
          <cell r="LZ1903">
            <v>14.730476692982464</v>
          </cell>
          <cell r="MA1903">
            <v>11.870949885755934</v>
          </cell>
          <cell r="MB1903">
            <v>9.6544719773798295</v>
          </cell>
          <cell r="MC1903">
            <v>14.087427794132038</v>
          </cell>
        </row>
        <row r="1904">
          <cell r="A1904">
            <v>42192</v>
          </cell>
          <cell r="LJ1904">
            <v>19.123026476177699</v>
          </cell>
          <cell r="LK1904">
            <v>20.020152274152959</v>
          </cell>
          <cell r="LL1904">
            <v>17.982747259685677</v>
          </cell>
          <cell r="LM1904">
            <v>15.721193701553757</v>
          </cell>
          <cell r="LN1904">
            <v>20.244300817817596</v>
          </cell>
          <cell r="LY1904">
            <v>12.6462459198379</v>
          </cell>
          <cell r="LZ1904">
            <v>14.730476692982464</v>
          </cell>
          <cell r="MA1904">
            <v>11.870949885755934</v>
          </cell>
          <cell r="MB1904">
            <v>9.6544719773798295</v>
          </cell>
          <cell r="MC1904">
            <v>14.087427794132038</v>
          </cell>
        </row>
        <row r="1905">
          <cell r="A1905">
            <v>42193</v>
          </cell>
          <cell r="LJ1905">
            <v>18.83092057147433</v>
          </cell>
          <cell r="LK1905">
            <v>20.020152274152959</v>
          </cell>
          <cell r="LL1905">
            <v>17.982747259685677</v>
          </cell>
          <cell r="LM1905">
            <v>15.721193701553757</v>
          </cell>
          <cell r="LN1905">
            <v>20.244300817817596</v>
          </cell>
          <cell r="LY1905">
            <v>12.455354646413271</v>
          </cell>
          <cell r="LZ1905">
            <v>14.730476692982464</v>
          </cell>
          <cell r="MA1905">
            <v>11.870949885755934</v>
          </cell>
          <cell r="MB1905">
            <v>9.6544719773798295</v>
          </cell>
          <cell r="MC1905">
            <v>14.087427794132038</v>
          </cell>
        </row>
        <row r="1906">
          <cell r="A1906">
            <v>42194</v>
          </cell>
          <cell r="LJ1906">
            <v>18.837364285139397</v>
          </cell>
          <cell r="LK1906">
            <v>20.020152274152959</v>
          </cell>
          <cell r="LL1906">
            <v>17.982747259685677</v>
          </cell>
          <cell r="LM1906">
            <v>15.721193701553757</v>
          </cell>
          <cell r="LN1906">
            <v>20.244300817817596</v>
          </cell>
          <cell r="LY1906">
            <v>12.457559552164899</v>
          </cell>
          <cell r="LZ1906">
            <v>14.730476692982464</v>
          </cell>
          <cell r="MA1906">
            <v>11.870949885755934</v>
          </cell>
          <cell r="MB1906">
            <v>9.6544719773798295</v>
          </cell>
          <cell r="MC1906">
            <v>14.087427794132038</v>
          </cell>
        </row>
        <row r="1907">
          <cell r="A1907">
            <v>42195</v>
          </cell>
          <cell r="LJ1907">
            <v>19.037291673190964</v>
          </cell>
          <cell r="LK1907">
            <v>20.020152274152959</v>
          </cell>
          <cell r="LL1907">
            <v>17.982747259685677</v>
          </cell>
          <cell r="LM1907">
            <v>15.721193701553757</v>
          </cell>
          <cell r="LN1907">
            <v>20.244300817817596</v>
          </cell>
          <cell r="LY1907">
            <v>12.588190572921505</v>
          </cell>
          <cell r="LZ1907">
            <v>14.730476692982464</v>
          </cell>
          <cell r="MA1907">
            <v>11.870949885755934</v>
          </cell>
          <cell r="MB1907">
            <v>9.6544719773798295</v>
          </cell>
          <cell r="MC1907">
            <v>14.087427794132038</v>
          </cell>
        </row>
        <row r="1908">
          <cell r="A1908">
            <v>42198</v>
          </cell>
          <cell r="LJ1908">
            <v>19.333892478293823</v>
          </cell>
          <cell r="LK1908">
            <v>20.020152274152959</v>
          </cell>
          <cell r="LL1908">
            <v>17.982747259685677</v>
          </cell>
          <cell r="LM1908">
            <v>15.721193701553757</v>
          </cell>
          <cell r="LN1908">
            <v>20.244300817817596</v>
          </cell>
          <cell r="LY1908">
            <v>12.781987262336681</v>
          </cell>
          <cell r="LZ1908">
            <v>14.730476692982464</v>
          </cell>
          <cell r="MA1908">
            <v>11.870949885755934</v>
          </cell>
          <cell r="MB1908">
            <v>9.6544719773798295</v>
          </cell>
          <cell r="MC1908">
            <v>14.087427794132038</v>
          </cell>
        </row>
        <row r="1909">
          <cell r="A1909">
            <v>42199</v>
          </cell>
          <cell r="LJ1909">
            <v>19.544809206889383</v>
          </cell>
          <cell r="LK1909">
            <v>20.020152274152959</v>
          </cell>
          <cell r="LL1909">
            <v>17.982747259685677</v>
          </cell>
          <cell r="LM1909">
            <v>15.721193701553757</v>
          </cell>
          <cell r="LN1909">
            <v>20.244300817817596</v>
          </cell>
          <cell r="LY1909">
            <v>12.929012675925982</v>
          </cell>
          <cell r="LZ1909">
            <v>14.730476692982464</v>
          </cell>
          <cell r="MA1909">
            <v>11.870949885755934</v>
          </cell>
          <cell r="MB1909">
            <v>9.6544719773798295</v>
          </cell>
          <cell r="MC1909">
            <v>14.087427794132038</v>
          </cell>
        </row>
        <row r="1910">
          <cell r="A1910">
            <v>42200</v>
          </cell>
          <cell r="LJ1910">
            <v>19.400062009331108</v>
          </cell>
          <cell r="LK1910">
            <v>20.020152274152959</v>
          </cell>
          <cell r="LL1910">
            <v>17.982747259685677</v>
          </cell>
          <cell r="LM1910">
            <v>15.721193701553757</v>
          </cell>
          <cell r="LN1910">
            <v>20.244300817817596</v>
          </cell>
          <cell r="LY1910">
            <v>12.838509406626946</v>
          </cell>
          <cell r="LZ1910">
            <v>14.730476692982464</v>
          </cell>
          <cell r="MA1910">
            <v>11.870949885755934</v>
          </cell>
          <cell r="MB1910">
            <v>9.6544719773798295</v>
          </cell>
          <cell r="MC1910">
            <v>14.087427794132038</v>
          </cell>
        </row>
        <row r="1911">
          <cell r="A1911">
            <v>42201</v>
          </cell>
          <cell r="LJ1911">
            <v>19.479246092394355</v>
          </cell>
          <cell r="LK1911">
            <v>20.020152274152959</v>
          </cell>
          <cell r="LL1911">
            <v>17.982747259685677</v>
          </cell>
          <cell r="LM1911">
            <v>15.721193701553757</v>
          </cell>
          <cell r="LN1911">
            <v>20.244300817817596</v>
          </cell>
          <cell r="LY1911">
            <v>12.891660980224453</v>
          </cell>
          <cell r="LZ1911">
            <v>14.730476692982464</v>
          </cell>
          <cell r="MA1911">
            <v>11.870949885755934</v>
          </cell>
          <cell r="MB1911">
            <v>9.6544719773798295</v>
          </cell>
          <cell r="MC1911">
            <v>14.087427794132038</v>
          </cell>
        </row>
        <row r="1912">
          <cell r="A1912">
            <v>42202</v>
          </cell>
          <cell r="LJ1912">
            <v>19.483639354302564</v>
          </cell>
          <cell r="LK1912">
            <v>20.020152274152959</v>
          </cell>
          <cell r="LL1912">
            <v>17.982747259685677</v>
          </cell>
          <cell r="LM1912">
            <v>15.721193701553757</v>
          </cell>
          <cell r="LN1912">
            <v>20.244300817817596</v>
          </cell>
          <cell r="LY1912">
            <v>12.894534795356595</v>
          </cell>
          <cell r="LZ1912">
            <v>14.730476692982464</v>
          </cell>
          <cell r="MA1912">
            <v>11.870949885755934</v>
          </cell>
          <cell r="MB1912">
            <v>9.6544719773798295</v>
          </cell>
          <cell r="MC1912">
            <v>14.087427794132038</v>
          </cell>
        </row>
        <row r="1913">
          <cell r="A1913">
            <v>42205</v>
          </cell>
          <cell r="LJ1913">
            <v>19.452894207231868</v>
          </cell>
          <cell r="LK1913">
            <v>20.020152274152959</v>
          </cell>
          <cell r="LL1913">
            <v>17.982747259685677</v>
          </cell>
          <cell r="LM1913">
            <v>15.721193701553757</v>
          </cell>
          <cell r="LN1913">
            <v>20.244300817817596</v>
          </cell>
          <cell r="LY1913">
            <v>12.874423117351082</v>
          </cell>
          <cell r="LZ1913">
            <v>14.730476692982464</v>
          </cell>
          <cell r="MA1913">
            <v>11.870949885755934</v>
          </cell>
          <cell r="MB1913">
            <v>9.6544719773798295</v>
          </cell>
          <cell r="MC1913">
            <v>14.087427794132038</v>
          </cell>
        </row>
        <row r="1914">
          <cell r="A1914">
            <v>42206</v>
          </cell>
          <cell r="LJ1914">
            <v>19.279401977610256</v>
          </cell>
          <cell r="LK1914">
            <v>20.020152274152959</v>
          </cell>
          <cell r="LL1914">
            <v>17.982747259685677</v>
          </cell>
          <cell r="LM1914">
            <v>15.721193701553757</v>
          </cell>
          <cell r="LN1914">
            <v>20.244300817817596</v>
          </cell>
          <cell r="LY1914">
            <v>12.760934642224072</v>
          </cell>
          <cell r="LZ1914">
            <v>14.730476692982464</v>
          </cell>
          <cell r="MA1914">
            <v>11.870949885755934</v>
          </cell>
          <cell r="MB1914">
            <v>9.6544719773798295</v>
          </cell>
          <cell r="MC1914">
            <v>14.087427794132038</v>
          </cell>
        </row>
        <row r="1915">
          <cell r="A1915">
            <v>42207</v>
          </cell>
          <cell r="LJ1915">
            <v>19.294776088402958</v>
          </cell>
          <cell r="LK1915">
            <v>20.020152274152959</v>
          </cell>
          <cell r="LL1915">
            <v>17.982747259685677</v>
          </cell>
          <cell r="LM1915">
            <v>15.721193701553757</v>
          </cell>
          <cell r="LN1915">
            <v>20.244300817817596</v>
          </cell>
          <cell r="LY1915">
            <v>12.770991486810731</v>
          </cell>
          <cell r="LZ1915">
            <v>14.730476692982464</v>
          </cell>
          <cell r="MA1915">
            <v>11.870949885755934</v>
          </cell>
          <cell r="MB1915">
            <v>9.6544719773798295</v>
          </cell>
          <cell r="MC1915">
            <v>14.087427794132038</v>
          </cell>
        </row>
        <row r="1916">
          <cell r="A1916">
            <v>42208</v>
          </cell>
          <cell r="LJ1916">
            <v>19.696632937614687</v>
          </cell>
          <cell r="LK1916">
            <v>20.020152274152959</v>
          </cell>
          <cell r="LL1916">
            <v>17.982747259685677</v>
          </cell>
          <cell r="LM1916">
            <v>15.721193701553757</v>
          </cell>
          <cell r="LN1916">
            <v>20.244300817817596</v>
          </cell>
          <cell r="LY1916">
            <v>12.954290053893832</v>
          </cell>
          <cell r="LZ1916">
            <v>14.730476692982464</v>
          </cell>
          <cell r="MA1916">
            <v>11.870949885755934</v>
          </cell>
          <cell r="MB1916">
            <v>9.6544719773798295</v>
          </cell>
          <cell r="MC1916">
            <v>14.087427794132038</v>
          </cell>
        </row>
        <row r="1917">
          <cell r="A1917">
            <v>42209</v>
          </cell>
          <cell r="LJ1917">
            <v>19.293724465846346</v>
          </cell>
          <cell r="LK1917">
            <v>20.020152274152959</v>
          </cell>
          <cell r="LL1917">
            <v>17.982747259685677</v>
          </cell>
          <cell r="LM1917">
            <v>15.721193701553757</v>
          </cell>
          <cell r="LN1917">
            <v>20.244300817817596</v>
          </cell>
          <cell r="LY1917">
            <v>12.219335687763484</v>
          </cell>
          <cell r="LZ1917">
            <v>14.730476692982464</v>
          </cell>
          <cell r="MA1917">
            <v>11.870949885755934</v>
          </cell>
          <cell r="MB1917">
            <v>9.6544719773798295</v>
          </cell>
          <cell r="MC1917">
            <v>14.087427794132038</v>
          </cell>
        </row>
        <row r="1918">
          <cell r="A1918">
            <v>42212</v>
          </cell>
          <cell r="LJ1918">
            <v>19.177067112955893</v>
          </cell>
          <cell r="LK1918">
            <v>20.020152274152959</v>
          </cell>
          <cell r="LL1918">
            <v>17.982747259685677</v>
          </cell>
          <cell r="LM1918">
            <v>15.721193701553757</v>
          </cell>
          <cell r="LN1918">
            <v>20.244300817817596</v>
          </cell>
          <cell r="LY1918">
            <v>12.14963199199528</v>
          </cell>
          <cell r="LZ1918">
            <v>14.730476692982464</v>
          </cell>
          <cell r="MA1918">
            <v>11.870949885755934</v>
          </cell>
          <cell r="MB1918">
            <v>9.6544719773798295</v>
          </cell>
          <cell r="MC1918">
            <v>14.087427794132038</v>
          </cell>
        </row>
        <row r="1919">
          <cell r="A1919">
            <v>42213</v>
          </cell>
          <cell r="LJ1919">
            <v>19.485860681599281</v>
          </cell>
          <cell r="LK1919">
            <v>20.020152274152959</v>
          </cell>
          <cell r="LL1919">
            <v>17.982747259685677</v>
          </cell>
          <cell r="LM1919">
            <v>15.721193701553757</v>
          </cell>
          <cell r="LN1919">
            <v>20.244300817817596</v>
          </cell>
          <cell r="LY1919">
            <v>12.365580755284537</v>
          </cell>
          <cell r="LZ1919">
            <v>14.730476692982464</v>
          </cell>
          <cell r="MA1919">
            <v>11.870949885755934</v>
          </cell>
          <cell r="MB1919">
            <v>9.6544719773798295</v>
          </cell>
          <cell r="MC1919">
            <v>14.087427794132038</v>
          </cell>
        </row>
        <row r="1920">
          <cell r="A1920">
            <v>42214</v>
          </cell>
          <cell r="LJ1920">
            <v>20.007046958020201</v>
          </cell>
          <cell r="LK1920">
            <v>20.020152274152959</v>
          </cell>
          <cell r="LL1920">
            <v>17.982747259685677</v>
          </cell>
          <cell r="LM1920">
            <v>15.721193701553757</v>
          </cell>
          <cell r="LN1920">
            <v>20.244300817817596</v>
          </cell>
          <cell r="LY1920">
            <v>12.579392694266256</v>
          </cell>
          <cell r="LZ1920">
            <v>14.730476692982464</v>
          </cell>
          <cell r="MA1920">
            <v>11.870949885755934</v>
          </cell>
          <cell r="MB1920">
            <v>9.6544719773798295</v>
          </cell>
          <cell r="MC1920">
            <v>14.087427794132038</v>
          </cell>
        </row>
        <row r="1921">
          <cell r="A1921">
            <v>42215</v>
          </cell>
          <cell r="LJ1921">
            <v>20.216117838591039</v>
          </cell>
          <cell r="LK1921">
            <v>20.020152274152959</v>
          </cell>
          <cell r="LL1921">
            <v>17.982747259685677</v>
          </cell>
          <cell r="LM1921">
            <v>15.721193701553757</v>
          </cell>
          <cell r="LN1921">
            <v>20.244300817817596</v>
          </cell>
          <cell r="LY1921">
            <v>12.71107534119033</v>
          </cell>
          <cell r="LZ1921">
            <v>14.730476692982464</v>
          </cell>
          <cell r="MA1921">
            <v>11.870949885755934</v>
          </cell>
          <cell r="MB1921">
            <v>9.6544719773798295</v>
          </cell>
          <cell r="MC1921">
            <v>14.087427794132038</v>
          </cell>
        </row>
        <row r="1922">
          <cell r="A1922">
            <v>42216</v>
          </cell>
          <cell r="LJ1922">
            <v>20.151661578559825</v>
          </cell>
          <cell r="LK1922">
            <v>20.020152274152959</v>
          </cell>
          <cell r="LL1922">
            <v>17.982747259685677</v>
          </cell>
          <cell r="LM1922">
            <v>15.721193701553757</v>
          </cell>
          <cell r="LN1922">
            <v>20.244300817817596</v>
          </cell>
          <cell r="LY1922">
            <v>12.685095651738608</v>
          </cell>
          <cell r="LZ1922">
            <v>14.730476692982464</v>
          </cell>
          <cell r="MA1922">
            <v>11.870949885755934</v>
          </cell>
          <cell r="MB1922">
            <v>9.6544719773798295</v>
          </cell>
          <cell r="MC1922">
            <v>14.087427794132038</v>
          </cell>
        </row>
        <row r="1923">
          <cell r="A1923">
            <v>42219</v>
          </cell>
          <cell r="LJ1923">
            <v>19.926835735794512</v>
          </cell>
          <cell r="LK1923">
            <v>20.020152274152959</v>
          </cell>
          <cell r="LL1923">
            <v>17.982747259685677</v>
          </cell>
          <cell r="LM1923">
            <v>15.721193701553757</v>
          </cell>
          <cell r="LN1923">
            <v>20.244300817817596</v>
          </cell>
          <cell r="LY1923">
            <v>12.561832323667888</v>
          </cell>
          <cell r="LZ1923">
            <v>14.730476692982464</v>
          </cell>
          <cell r="MA1923">
            <v>11.870949885755934</v>
          </cell>
          <cell r="MB1923">
            <v>9.6544719773798295</v>
          </cell>
          <cell r="MC1923">
            <v>14.087427794132038</v>
          </cell>
        </row>
        <row r="1924">
          <cell r="A1924">
            <v>42220</v>
          </cell>
          <cell r="LJ1924">
            <v>20.020653754965711</v>
          </cell>
          <cell r="LK1924">
            <v>20.020152274152959</v>
          </cell>
          <cell r="LL1924">
            <v>17.982747259685677</v>
          </cell>
          <cell r="LM1924">
            <v>15.721193701553757</v>
          </cell>
          <cell r="LN1924">
            <v>20.244300817817596</v>
          </cell>
          <cell r="LY1924">
            <v>12.621077873743021</v>
          </cell>
          <cell r="LZ1924">
            <v>14.730476692982464</v>
          </cell>
          <cell r="MA1924">
            <v>11.870949885755934</v>
          </cell>
          <cell r="MB1924">
            <v>9.6544719773798295</v>
          </cell>
          <cell r="MC1924">
            <v>14.087427794132038</v>
          </cell>
        </row>
        <row r="1925">
          <cell r="A1925">
            <v>42221</v>
          </cell>
          <cell r="LJ1925">
            <v>20.124184577130912</v>
          </cell>
          <cell r="LK1925">
            <v>20.020152274152959</v>
          </cell>
          <cell r="LL1925">
            <v>17.982747259685677</v>
          </cell>
          <cell r="LM1925">
            <v>15.721193701553757</v>
          </cell>
          <cell r="LN1925">
            <v>20.244300817817596</v>
          </cell>
          <cell r="LY1925">
            <v>12.70343071507603</v>
          </cell>
          <cell r="LZ1925">
            <v>14.730476692982464</v>
          </cell>
          <cell r="MA1925">
            <v>11.870949885755934</v>
          </cell>
          <cell r="MB1925">
            <v>9.6544719773798295</v>
          </cell>
          <cell r="MC1925">
            <v>14.087427794132038</v>
          </cell>
        </row>
        <row r="1926">
          <cell r="A1926">
            <v>42222</v>
          </cell>
          <cell r="LJ1926">
            <v>19.973681363426849</v>
          </cell>
          <cell r="LK1926">
            <v>20.020152274152959</v>
          </cell>
          <cell r="LL1926">
            <v>17.982747259685677</v>
          </cell>
          <cell r="LM1926">
            <v>15.721193701553757</v>
          </cell>
          <cell r="LN1926">
            <v>20.244300817817596</v>
          </cell>
          <cell r="LY1926">
            <v>12.608261669241701</v>
          </cell>
          <cell r="LZ1926">
            <v>14.730476692982464</v>
          </cell>
          <cell r="MA1926">
            <v>11.870949885755934</v>
          </cell>
          <cell r="MB1926">
            <v>9.6544719773798295</v>
          </cell>
          <cell r="MC1926">
            <v>14.087427794132038</v>
          </cell>
        </row>
        <row r="1927">
          <cell r="A1927">
            <v>42223</v>
          </cell>
          <cell r="LJ1927">
            <v>19.862435580504545</v>
          </cell>
          <cell r="LK1927">
            <v>20.020152274152959</v>
          </cell>
          <cell r="LL1927">
            <v>17.982747259685677</v>
          </cell>
          <cell r="LM1927">
            <v>15.721193701553757</v>
          </cell>
          <cell r="LN1927">
            <v>20.244300817817596</v>
          </cell>
          <cell r="LY1927">
            <v>12.537916626413407</v>
          </cell>
          <cell r="LZ1927">
            <v>14.730476692982464</v>
          </cell>
          <cell r="MA1927">
            <v>11.870949885755934</v>
          </cell>
          <cell r="MB1927">
            <v>9.6544719773798295</v>
          </cell>
          <cell r="MC1927">
            <v>14.087427794132038</v>
          </cell>
        </row>
        <row r="1928">
          <cell r="A1928">
            <v>42226</v>
          </cell>
          <cell r="LJ1928">
            <v>20.056566353538535</v>
          </cell>
          <cell r="LK1928">
            <v>20.020152274152959</v>
          </cell>
          <cell r="LL1928">
            <v>17.982747259685677</v>
          </cell>
          <cell r="LM1928">
            <v>15.721193701553757</v>
          </cell>
          <cell r="LN1928">
            <v>20.244300817817596</v>
          </cell>
          <cell r="LY1928">
            <v>12.660673077800906</v>
          </cell>
          <cell r="LZ1928">
            <v>14.730476692982464</v>
          </cell>
          <cell r="MA1928">
            <v>11.870949885755934</v>
          </cell>
          <cell r="MB1928">
            <v>9.6544719773798295</v>
          </cell>
          <cell r="MC1928">
            <v>14.087427794132038</v>
          </cell>
        </row>
        <row r="1929">
          <cell r="A1929">
            <v>42227</v>
          </cell>
          <cell r="LJ1929">
            <v>19.862435580504545</v>
          </cell>
          <cell r="LK1929">
            <v>20.020152274152959</v>
          </cell>
          <cell r="LL1929">
            <v>17.982747259685677</v>
          </cell>
          <cell r="LM1929">
            <v>15.721193701553757</v>
          </cell>
          <cell r="LN1929">
            <v>20.244300817817596</v>
          </cell>
          <cell r="LY1929">
            <v>12.537916626413407</v>
          </cell>
          <cell r="LZ1929">
            <v>14.730476692982464</v>
          </cell>
          <cell r="MA1929">
            <v>11.870949885755934</v>
          </cell>
          <cell r="MB1929">
            <v>9.6544719773798295</v>
          </cell>
          <cell r="MC1929">
            <v>14.087427794132038</v>
          </cell>
        </row>
        <row r="1930">
          <cell r="A1930">
            <v>42228</v>
          </cell>
          <cell r="LJ1930">
            <v>19.694478681947061</v>
          </cell>
          <cell r="LK1930">
            <v>20.020152274152959</v>
          </cell>
          <cell r="LL1930">
            <v>17.982747259685677</v>
          </cell>
          <cell r="LM1930">
            <v>15.721193701553757</v>
          </cell>
          <cell r="LN1930">
            <v>20.244300817817596</v>
          </cell>
          <cell r="LY1930">
            <v>12.43171093562704</v>
          </cell>
          <cell r="LZ1930">
            <v>14.730476692982464</v>
          </cell>
          <cell r="MA1930">
            <v>11.870949885755934</v>
          </cell>
          <cell r="MB1930">
            <v>9.6544719773798295</v>
          </cell>
          <cell r="MC1930">
            <v>14.087427794132038</v>
          </cell>
        </row>
        <row r="1931">
          <cell r="A1931">
            <v>42229</v>
          </cell>
          <cell r="LJ1931">
            <v>19.72501592310574</v>
          </cell>
          <cell r="LK1931">
            <v>20.020152274152959</v>
          </cell>
          <cell r="LL1931">
            <v>17.982747259685677</v>
          </cell>
          <cell r="LM1931">
            <v>15.721193701553757</v>
          </cell>
          <cell r="LN1931">
            <v>20.244300817817596</v>
          </cell>
          <cell r="LY1931">
            <v>12.45102082298399</v>
          </cell>
          <cell r="LZ1931">
            <v>14.730476692982464</v>
          </cell>
          <cell r="MA1931">
            <v>11.870949885755934</v>
          </cell>
          <cell r="MB1931">
            <v>9.6544719773798295</v>
          </cell>
          <cell r="MC1931">
            <v>14.087427794132038</v>
          </cell>
        </row>
        <row r="1932">
          <cell r="A1932">
            <v>42230</v>
          </cell>
          <cell r="LJ1932">
            <v>19.831898339345866</v>
          </cell>
          <cell r="LK1932">
            <v>20.020152274152959</v>
          </cell>
          <cell r="LL1932">
            <v>17.982747259685677</v>
          </cell>
          <cell r="LM1932">
            <v>15.721193701553757</v>
          </cell>
          <cell r="LN1932">
            <v>20.244300817817596</v>
          </cell>
          <cell r="LY1932">
            <v>12.518606739056459</v>
          </cell>
          <cell r="LZ1932">
            <v>14.730476692982464</v>
          </cell>
          <cell r="MA1932">
            <v>11.870949885755934</v>
          </cell>
          <cell r="MB1932">
            <v>9.6544719773798295</v>
          </cell>
          <cell r="MC1932">
            <v>14.087427794132038</v>
          </cell>
        </row>
        <row r="1933">
          <cell r="A1933">
            <v>42233</v>
          </cell>
          <cell r="LJ1933">
            <v>19.991128286414288</v>
          </cell>
          <cell r="LK1933">
            <v>20.020152274152959</v>
          </cell>
          <cell r="LL1933">
            <v>17.982747259685677</v>
          </cell>
          <cell r="LM1933">
            <v>15.721193701553757</v>
          </cell>
          <cell r="LN1933">
            <v>20.244300817817596</v>
          </cell>
          <cell r="LY1933">
            <v>12.619294038402433</v>
          </cell>
          <cell r="LZ1933">
            <v>14.730476692982464</v>
          </cell>
          <cell r="MA1933">
            <v>11.870949885755934</v>
          </cell>
          <cell r="MB1933">
            <v>9.6544719773798295</v>
          </cell>
          <cell r="MC1933">
            <v>14.087427794132038</v>
          </cell>
        </row>
        <row r="1934">
          <cell r="A1934">
            <v>42234</v>
          </cell>
          <cell r="LJ1934">
            <v>19.960591045255605</v>
          </cell>
          <cell r="LK1934">
            <v>20.020152274152959</v>
          </cell>
          <cell r="LL1934">
            <v>17.982747259685677</v>
          </cell>
          <cell r="LM1934">
            <v>15.721193701553757</v>
          </cell>
          <cell r="LN1934">
            <v>20.244300817817596</v>
          </cell>
          <cell r="LY1934">
            <v>12.599984151045483</v>
          </cell>
          <cell r="LZ1934">
            <v>14.730476692982464</v>
          </cell>
          <cell r="MA1934">
            <v>11.870949885755934</v>
          </cell>
          <cell r="MB1934">
            <v>9.6544719773798295</v>
          </cell>
          <cell r="MC1934">
            <v>14.087427794132038</v>
          </cell>
        </row>
        <row r="1935">
          <cell r="A1935">
            <v>42235</v>
          </cell>
          <cell r="LJ1935">
            <v>19.768643482435667</v>
          </cell>
          <cell r="LK1935">
            <v>20.020152274152959</v>
          </cell>
          <cell r="LL1935">
            <v>17.982747259685677</v>
          </cell>
          <cell r="LM1935">
            <v>15.721193701553757</v>
          </cell>
          <cell r="LN1935">
            <v>20.244300817817596</v>
          </cell>
          <cell r="LY1935">
            <v>12.478608228537158</v>
          </cell>
          <cell r="LZ1935">
            <v>14.730476692982464</v>
          </cell>
          <cell r="MA1935">
            <v>11.870949885755934</v>
          </cell>
          <cell r="MB1935">
            <v>9.6544719773798295</v>
          </cell>
          <cell r="MC1935">
            <v>14.087427794132038</v>
          </cell>
        </row>
        <row r="1936">
          <cell r="A1936">
            <v>42236</v>
          </cell>
          <cell r="LJ1936">
            <v>19.360748095046144</v>
          </cell>
          <cell r="LK1936">
            <v>20.020152274152959</v>
          </cell>
          <cell r="LL1936">
            <v>17.982747259685677</v>
          </cell>
          <cell r="LM1936">
            <v>15.721193701553757</v>
          </cell>
          <cell r="LN1936">
            <v>20.244300817817596</v>
          </cell>
          <cell r="LY1936">
            <v>12.220680082933477</v>
          </cell>
          <cell r="LZ1936">
            <v>14.730476692982464</v>
          </cell>
          <cell r="MA1936">
            <v>11.870949885755934</v>
          </cell>
          <cell r="MB1936">
            <v>9.6544719773798295</v>
          </cell>
          <cell r="MC1936">
            <v>14.087427794132038</v>
          </cell>
        </row>
        <row r="1937">
          <cell r="A1937">
            <v>42237</v>
          </cell>
          <cell r="LJ1937">
            <v>18.965942807703154</v>
          </cell>
          <cell r="LK1937">
            <v>20.020152274152959</v>
          </cell>
          <cell r="LL1937">
            <v>17.982747259685677</v>
          </cell>
          <cell r="LM1937">
            <v>15.721193701553757</v>
          </cell>
          <cell r="LN1937">
            <v>20.244300817817596</v>
          </cell>
          <cell r="LY1937">
            <v>11.971029317597258</v>
          </cell>
          <cell r="LZ1937">
            <v>14.730476692982464</v>
          </cell>
          <cell r="MA1937">
            <v>11.870949885755934</v>
          </cell>
          <cell r="MB1937">
            <v>9.6544719773798295</v>
          </cell>
          <cell r="MC1937">
            <v>14.087427794132038</v>
          </cell>
        </row>
        <row r="1938">
          <cell r="A1938">
            <v>42240</v>
          </cell>
          <cell r="LJ1938">
            <v>18.333382677991597</v>
          </cell>
          <cell r="LK1938">
            <v>20.020152274152959</v>
          </cell>
          <cell r="LL1938">
            <v>17.982747259685677</v>
          </cell>
          <cell r="LM1938">
            <v>15.721193701553757</v>
          </cell>
          <cell r="LN1938">
            <v>20.244300817817596</v>
          </cell>
          <cell r="LY1938">
            <v>11.57103690218041</v>
          </cell>
          <cell r="LZ1938">
            <v>14.730476692982464</v>
          </cell>
          <cell r="MA1938">
            <v>11.870949885755934</v>
          </cell>
          <cell r="MB1938">
            <v>9.6544719773798295</v>
          </cell>
          <cell r="MC1938">
            <v>14.087427794132038</v>
          </cell>
        </row>
        <row r="1939">
          <cell r="A1939">
            <v>42241</v>
          </cell>
          <cell r="LJ1939">
            <v>18.154518671476922</v>
          </cell>
          <cell r="LK1939">
            <v>20.020152274152959</v>
          </cell>
          <cell r="LL1939">
            <v>17.982747259685677</v>
          </cell>
          <cell r="LM1939">
            <v>15.721193701553757</v>
          </cell>
          <cell r="LN1939">
            <v>20.244300817817596</v>
          </cell>
          <cell r="LY1939">
            <v>11.457934222076995</v>
          </cell>
          <cell r="LZ1939">
            <v>14.730476692982464</v>
          </cell>
          <cell r="MA1939">
            <v>11.870949885755934</v>
          </cell>
          <cell r="MB1939">
            <v>9.6544719773798295</v>
          </cell>
          <cell r="MC1939">
            <v>14.087427794132038</v>
          </cell>
        </row>
        <row r="1940">
          <cell r="A1940">
            <v>42242</v>
          </cell>
          <cell r="LJ1940">
            <v>18.904868325385792</v>
          </cell>
          <cell r="LK1940">
            <v>20.020152274152959</v>
          </cell>
          <cell r="LL1940">
            <v>17.982747259685677</v>
          </cell>
          <cell r="LM1940">
            <v>15.721193701553757</v>
          </cell>
          <cell r="LN1940">
            <v>20.244300817817596</v>
          </cell>
          <cell r="LY1940">
            <v>11.932409542883361</v>
          </cell>
          <cell r="LZ1940">
            <v>14.730476692982464</v>
          </cell>
          <cell r="MA1940">
            <v>11.870949885755934</v>
          </cell>
          <cell r="MB1940">
            <v>9.6544719773798295</v>
          </cell>
          <cell r="MC1940">
            <v>14.087427794132038</v>
          </cell>
        </row>
        <row r="1941">
          <cell r="A1941">
            <v>42243</v>
          </cell>
          <cell r="LJ1941">
            <v>19.314046531872506</v>
          </cell>
          <cell r="LK1941">
            <v>20.020152274152959</v>
          </cell>
          <cell r="LL1941">
            <v>17.982747259685677</v>
          </cell>
          <cell r="LM1941">
            <v>15.721193701553757</v>
          </cell>
          <cell r="LN1941">
            <v>20.244300817817596</v>
          </cell>
          <cell r="LY1941">
            <v>12.193131625722922</v>
          </cell>
          <cell r="LZ1941">
            <v>14.730476692982464</v>
          </cell>
          <cell r="MA1941">
            <v>11.870949885755934</v>
          </cell>
          <cell r="MB1941">
            <v>9.6544719773798295</v>
          </cell>
          <cell r="MC1941">
            <v>14.087427794132038</v>
          </cell>
        </row>
        <row r="1942">
          <cell r="A1942">
            <v>42244</v>
          </cell>
          <cell r="LJ1942">
            <v>19.226709974922336</v>
          </cell>
          <cell r="LK1942">
            <v>20.020152274152959</v>
          </cell>
          <cell r="LL1942">
            <v>17.982747259685677</v>
          </cell>
          <cell r="LM1942">
            <v>15.721193701553757</v>
          </cell>
          <cell r="LN1942">
            <v>20.244300817817596</v>
          </cell>
          <cell r="LY1942">
            <v>12.137896239816152</v>
          </cell>
          <cell r="LZ1942">
            <v>14.730476692982464</v>
          </cell>
          <cell r="MA1942">
            <v>11.870949885755934</v>
          </cell>
          <cell r="MB1942">
            <v>9.6544719773798295</v>
          </cell>
          <cell r="MC1942">
            <v>14.087427794132038</v>
          </cell>
        </row>
        <row r="1943">
          <cell r="A1943">
            <v>42247</v>
          </cell>
          <cell r="LJ1943">
            <v>19.101039194225795</v>
          </cell>
          <cell r="LK1943">
            <v>20.020152274152959</v>
          </cell>
          <cell r="LL1943">
            <v>17.982747259685677</v>
          </cell>
          <cell r="LM1943">
            <v>15.721193701553757</v>
          </cell>
          <cell r="LN1943">
            <v>20.244300817817596</v>
          </cell>
          <cell r="LY1943">
            <v>11.994288434253432</v>
          </cell>
          <cell r="LZ1943">
            <v>14.730476692982464</v>
          </cell>
          <cell r="MA1943">
            <v>11.870949885755934</v>
          </cell>
          <cell r="MB1943">
            <v>9.6544719773798295</v>
          </cell>
          <cell r="MC1943">
            <v>14.087427794132038</v>
          </cell>
        </row>
        <row r="1944">
          <cell r="A1944">
            <v>42248</v>
          </cell>
          <cell r="LJ1944">
            <v>18.209706725769294</v>
          </cell>
          <cell r="LK1944">
            <v>20.020152274152959</v>
          </cell>
          <cell r="LL1944">
            <v>17.982747259685677</v>
          </cell>
          <cell r="LM1944">
            <v>15.721193701553757</v>
          </cell>
          <cell r="LN1944">
            <v>20.244300817817596</v>
          </cell>
          <cell r="LY1944">
            <v>11.429836152429711</v>
          </cell>
          <cell r="LZ1944">
            <v>14.730476692982464</v>
          </cell>
          <cell r="MA1944">
            <v>11.870949885755934</v>
          </cell>
          <cell r="MB1944">
            <v>9.6544719773798295</v>
          </cell>
          <cell r="MC1944">
            <v>14.087427794132038</v>
          </cell>
        </row>
        <row r="1945">
          <cell r="A1945">
            <v>42249</v>
          </cell>
          <cell r="LJ1945">
            <v>18.454558803319813</v>
          </cell>
          <cell r="LK1945">
            <v>20.020152274152959</v>
          </cell>
          <cell r="LL1945">
            <v>17.982747259685677</v>
          </cell>
          <cell r="LM1945">
            <v>15.721193701553757</v>
          </cell>
          <cell r="LN1945">
            <v>20.244300817817596</v>
          </cell>
          <cell r="LY1945">
            <v>11.516626019701526</v>
          </cell>
          <cell r="LZ1945">
            <v>14.730476692982464</v>
          </cell>
          <cell r="MA1945">
            <v>11.870949885755934</v>
          </cell>
          <cell r="MB1945">
            <v>9.6544719773798295</v>
          </cell>
          <cell r="MC1945">
            <v>14.087427794132038</v>
          </cell>
        </row>
        <row r="1946">
          <cell r="A1946">
            <v>42250</v>
          </cell>
          <cell r="LJ1946">
            <v>18.516240338143014</v>
          </cell>
          <cell r="LK1946">
            <v>20.020152274152959</v>
          </cell>
          <cell r="LL1946">
            <v>17.982747259685677</v>
          </cell>
          <cell r="LM1946">
            <v>15.721193701553757</v>
          </cell>
          <cell r="LN1946">
            <v>20.244300817817596</v>
          </cell>
          <cell r="LY1946">
            <v>11.450480633258104</v>
          </cell>
          <cell r="LZ1946">
            <v>14.730476692982464</v>
          </cell>
          <cell r="MA1946">
            <v>11.870949885755934</v>
          </cell>
          <cell r="MB1946">
            <v>9.6544719773798295</v>
          </cell>
          <cell r="MC1946">
            <v>14.087427794132038</v>
          </cell>
        </row>
        <row r="1947">
          <cell r="A1947">
            <v>42251</v>
          </cell>
          <cell r="LJ1947">
            <v>18.188134680177608</v>
          </cell>
          <cell r="LK1947">
            <v>20.020152274152959</v>
          </cell>
          <cell r="LL1947">
            <v>17.982747259685677</v>
          </cell>
          <cell r="LM1947">
            <v>15.721193701553757</v>
          </cell>
          <cell r="LN1947">
            <v>20.244300817817596</v>
          </cell>
          <cell r="LY1947">
            <v>11.181463566197479</v>
          </cell>
          <cell r="LZ1947">
            <v>14.730476692982464</v>
          </cell>
          <cell r="MA1947">
            <v>11.870949885755934</v>
          </cell>
          <cell r="MB1947">
            <v>9.6544719773798295</v>
          </cell>
          <cell r="MC1947">
            <v>14.087427794132038</v>
          </cell>
        </row>
        <row r="1948">
          <cell r="A1948">
            <v>42254</v>
          </cell>
          <cell r="LJ1948">
            <v>18.188134680177608</v>
          </cell>
          <cell r="LK1948">
            <v>20.020152274152959</v>
          </cell>
          <cell r="LL1948">
            <v>17.982747259685677</v>
          </cell>
          <cell r="LM1948">
            <v>15.721193701553757</v>
          </cell>
          <cell r="LN1948">
            <v>20.244300817817596</v>
          </cell>
          <cell r="LY1948">
            <v>11.181463566197479</v>
          </cell>
          <cell r="LZ1948">
            <v>14.730476692982464</v>
          </cell>
          <cell r="MA1948">
            <v>11.870949885755934</v>
          </cell>
          <cell r="MB1948">
            <v>9.6544719773798295</v>
          </cell>
          <cell r="MC1948">
            <v>14.087427794132038</v>
          </cell>
        </row>
        <row r="1949">
          <cell r="A1949">
            <v>42255</v>
          </cell>
          <cell r="LJ1949">
            <v>18.600391005596268</v>
          </cell>
          <cell r="LK1949">
            <v>20.020152274152959</v>
          </cell>
          <cell r="LL1949">
            <v>17.982747259685677</v>
          </cell>
          <cell r="LM1949">
            <v>15.721193701553757</v>
          </cell>
          <cell r="LN1949">
            <v>20.244300817817596</v>
          </cell>
          <cell r="LY1949">
            <v>11.432086417708664</v>
          </cell>
          <cell r="LZ1949">
            <v>14.730476692982464</v>
          </cell>
          <cell r="MA1949">
            <v>11.870949885755934</v>
          </cell>
          <cell r="MB1949">
            <v>9.6544719773798295</v>
          </cell>
          <cell r="MC1949">
            <v>14.087427794132038</v>
          </cell>
        </row>
        <row r="1950">
          <cell r="A1950">
            <v>42256</v>
          </cell>
          <cell r="LJ1950">
            <v>18.293687450215547</v>
          </cell>
          <cell r="LK1950">
            <v>20.020152274152959</v>
          </cell>
          <cell r="LL1950">
            <v>17.982747259685677</v>
          </cell>
          <cell r="LM1950">
            <v>15.721193701553757</v>
          </cell>
          <cell r="LN1950">
            <v>20.244300817817596</v>
          </cell>
          <cell r="LY1950">
            <v>11.285540986167643</v>
          </cell>
          <cell r="LZ1950">
            <v>14.730476692982464</v>
          </cell>
          <cell r="MA1950">
            <v>11.870949885755934</v>
          </cell>
          <cell r="MB1950">
            <v>9.6544719773798295</v>
          </cell>
          <cell r="MC1950">
            <v>14.087427794132038</v>
          </cell>
        </row>
        <row r="1951">
          <cell r="A1951">
            <v>42257</v>
          </cell>
          <cell r="LJ1951">
            <v>18.167798028144777</v>
          </cell>
          <cell r="LK1951">
            <v>20.020152274152959</v>
          </cell>
          <cell r="LL1951">
            <v>17.982747259685677</v>
          </cell>
          <cell r="LM1951">
            <v>15.721193701553757</v>
          </cell>
          <cell r="LN1951">
            <v>20.244300817817596</v>
          </cell>
          <cell r="LY1951">
            <v>11.238436887171872</v>
          </cell>
          <cell r="LZ1951">
            <v>14.730476692982464</v>
          </cell>
          <cell r="MA1951">
            <v>11.870949885755934</v>
          </cell>
          <cell r="MB1951">
            <v>9.6544719773798295</v>
          </cell>
          <cell r="MC1951">
            <v>14.087427794132038</v>
          </cell>
        </row>
        <row r="1952">
          <cell r="A1952">
            <v>42258</v>
          </cell>
          <cell r="LJ1952">
            <v>18.269296892915072</v>
          </cell>
          <cell r="LK1952">
            <v>20.020152274152959</v>
          </cell>
          <cell r="LL1952">
            <v>17.982747259685677</v>
          </cell>
          <cell r="LM1952">
            <v>15.721193701553757</v>
          </cell>
          <cell r="LN1952">
            <v>20.244300817817596</v>
          </cell>
          <cell r="LY1952">
            <v>11.203424217423866</v>
          </cell>
          <cell r="LZ1952">
            <v>14.730476692982464</v>
          </cell>
          <cell r="MA1952">
            <v>11.870949885755934</v>
          </cell>
          <cell r="MB1952">
            <v>9.6544719773798295</v>
          </cell>
          <cell r="MC1952">
            <v>14.087427794132038</v>
          </cell>
        </row>
        <row r="1953">
          <cell r="A1953">
            <v>42261</v>
          </cell>
          <cell r="LJ1953">
            <v>18.254572057904667</v>
          </cell>
          <cell r="LK1953">
            <v>20.020152274152959</v>
          </cell>
          <cell r="LL1953">
            <v>17.982747259685677</v>
          </cell>
          <cell r="LM1953">
            <v>15.721193701553757</v>
          </cell>
          <cell r="LN1953">
            <v>20.244300817817596</v>
          </cell>
          <cell r="LY1953">
            <v>11.194377869774605</v>
          </cell>
          <cell r="LZ1953">
            <v>14.730476692982464</v>
          </cell>
          <cell r="MA1953">
            <v>11.870949885755934</v>
          </cell>
          <cell r="MB1953">
            <v>9.6544719773798295</v>
          </cell>
          <cell r="MC1953">
            <v>14.087427794132038</v>
          </cell>
        </row>
        <row r="1954">
          <cell r="A1954">
            <v>42262</v>
          </cell>
          <cell r="LJ1954">
            <v>18.521155602859469</v>
          </cell>
          <cell r="LK1954">
            <v>20.020152274152959</v>
          </cell>
          <cell r="LL1954">
            <v>17.982747259685677</v>
          </cell>
          <cell r="LM1954">
            <v>15.721193701553757</v>
          </cell>
          <cell r="LN1954">
            <v>20.244300817817596</v>
          </cell>
          <cell r="LY1954">
            <v>11.40505119184672</v>
          </cell>
          <cell r="LZ1954">
            <v>14.730476692982464</v>
          </cell>
          <cell r="MA1954">
            <v>11.870949885755934</v>
          </cell>
          <cell r="MB1954">
            <v>9.6544719773798295</v>
          </cell>
          <cell r="MC1954">
            <v>14.087427794132038</v>
          </cell>
        </row>
        <row r="1955">
          <cell r="A1955">
            <v>42263</v>
          </cell>
          <cell r="LJ1955">
            <v>18.703436261240501</v>
          </cell>
          <cell r="LK1955">
            <v>20.020152274152959</v>
          </cell>
          <cell r="LL1955">
            <v>17.982747259685677</v>
          </cell>
          <cell r="LM1955">
            <v>15.721193701553757</v>
          </cell>
          <cell r="LN1955">
            <v>20.244300817817596</v>
          </cell>
          <cell r="LY1955">
            <v>11.51749864247938</v>
          </cell>
          <cell r="LZ1955">
            <v>14.730476692982464</v>
          </cell>
          <cell r="MA1955">
            <v>11.870949885755934</v>
          </cell>
          <cell r="MB1955">
            <v>9.6544719773798295</v>
          </cell>
          <cell r="MC1955">
            <v>14.087427794132038</v>
          </cell>
        </row>
        <row r="1956">
          <cell r="A1956">
            <v>42264</v>
          </cell>
          <cell r="LJ1956">
            <v>18.462200202679877</v>
          </cell>
          <cell r="LK1956">
            <v>20.020152274152959</v>
          </cell>
          <cell r="LL1956">
            <v>17.982747259685677</v>
          </cell>
          <cell r="LM1956">
            <v>15.721193701553757</v>
          </cell>
          <cell r="LN1956">
            <v>20.244300817817596</v>
          </cell>
          <cell r="LY1956">
            <v>11.387037449299404</v>
          </cell>
          <cell r="LZ1956">
            <v>14.730476692982464</v>
          </cell>
          <cell r="MA1956">
            <v>11.870949885755934</v>
          </cell>
          <cell r="MB1956">
            <v>9.6544719773798295</v>
          </cell>
          <cell r="MC1956">
            <v>14.087427794132038</v>
          </cell>
        </row>
        <row r="1957">
          <cell r="A1957">
            <v>42265</v>
          </cell>
          <cell r="LJ1957">
            <v>18.059983188568228</v>
          </cell>
          <cell r="LK1957">
            <v>20.020152274152959</v>
          </cell>
          <cell r="LL1957">
            <v>17.982747259685677</v>
          </cell>
          <cell r="LM1957">
            <v>15.721193701553757</v>
          </cell>
          <cell r="LN1957">
            <v>20.244300817817596</v>
          </cell>
          <cell r="LY1957">
            <v>11.138512503114811</v>
          </cell>
          <cell r="LZ1957">
            <v>14.730476692982464</v>
          </cell>
          <cell r="MA1957">
            <v>11.870949885755934</v>
          </cell>
          <cell r="MB1957">
            <v>9.6544719773798295</v>
          </cell>
          <cell r="MC1957">
            <v>14.087427794132038</v>
          </cell>
        </row>
        <row r="1958">
          <cell r="A1958">
            <v>42268</v>
          </cell>
          <cell r="LJ1958">
            <v>18.103974044406272</v>
          </cell>
          <cell r="LK1958">
            <v>20.020152274152959</v>
          </cell>
          <cell r="LL1958">
            <v>17.982747259685677</v>
          </cell>
          <cell r="LM1958">
            <v>15.721193701553757</v>
          </cell>
          <cell r="LN1958">
            <v>20.244300817817596</v>
          </cell>
          <cell r="LY1958">
            <v>11.16569391189711</v>
          </cell>
          <cell r="LZ1958">
            <v>14.730476692982464</v>
          </cell>
          <cell r="MA1958">
            <v>11.870949885755934</v>
          </cell>
          <cell r="MB1958">
            <v>9.6544719773798295</v>
          </cell>
          <cell r="MC1958">
            <v>14.087427794132038</v>
          </cell>
        </row>
        <row r="1959">
          <cell r="A1959">
            <v>42269</v>
          </cell>
          <cell r="LJ1959">
            <v>17.925910920360426</v>
          </cell>
          <cell r="LK1959">
            <v>20.020152274152959</v>
          </cell>
          <cell r="LL1959">
            <v>17.982747259685677</v>
          </cell>
          <cell r="LM1959">
            <v>15.721193701553757</v>
          </cell>
          <cell r="LN1959">
            <v>20.244300817817596</v>
          </cell>
          <cell r="LY1959">
            <v>11.05567089753335</v>
          </cell>
          <cell r="LZ1959">
            <v>14.730476692982464</v>
          </cell>
          <cell r="MA1959">
            <v>11.870949885755934</v>
          </cell>
          <cell r="MB1959">
            <v>9.6544719773798295</v>
          </cell>
          <cell r="MC1959">
            <v>14.087427794132038</v>
          </cell>
        </row>
        <row r="1960">
          <cell r="A1960">
            <v>42270</v>
          </cell>
          <cell r="LJ1960">
            <v>17.946857859606215</v>
          </cell>
          <cell r="LK1960">
            <v>20.020152274152959</v>
          </cell>
          <cell r="LL1960">
            <v>17.982747259685677</v>
          </cell>
          <cell r="LM1960">
            <v>15.721193701553757</v>
          </cell>
          <cell r="LN1960">
            <v>20.244300817817596</v>
          </cell>
          <cell r="LY1960">
            <v>11.068613753668588</v>
          </cell>
          <cell r="LZ1960">
            <v>14.730476692982464</v>
          </cell>
          <cell r="MA1960">
            <v>11.870949885755934</v>
          </cell>
          <cell r="MB1960">
            <v>9.6544719773798295</v>
          </cell>
          <cell r="MC1960">
            <v>14.087427794132038</v>
          </cell>
        </row>
        <row r="1961">
          <cell r="A1961">
            <v>42271</v>
          </cell>
          <cell r="LJ1961">
            <v>17.810691756375643</v>
          </cell>
          <cell r="LK1961">
            <v>20.020152274152959</v>
          </cell>
          <cell r="LL1961">
            <v>17.982747259685677</v>
          </cell>
          <cell r="LM1961">
            <v>15.721193701553757</v>
          </cell>
          <cell r="LN1961">
            <v>20.244300817817596</v>
          </cell>
          <cell r="LY1961">
            <v>10.984478393178467</v>
          </cell>
          <cell r="LZ1961">
            <v>14.730476692982464</v>
          </cell>
          <cell r="MA1961">
            <v>11.870949885755934</v>
          </cell>
          <cell r="MB1961">
            <v>9.6544719773798295</v>
          </cell>
          <cell r="MC1961">
            <v>14.087427794132038</v>
          </cell>
        </row>
        <row r="1962">
          <cell r="A1962">
            <v>42272</v>
          </cell>
          <cell r="LJ1962">
            <v>17.867251278532954</v>
          </cell>
          <cell r="LK1962">
            <v>20.020152274152959</v>
          </cell>
          <cell r="LL1962">
            <v>17.982747259685677</v>
          </cell>
          <cell r="LM1962">
            <v>15.721193701553757</v>
          </cell>
          <cell r="LN1962">
            <v>20.244300817817596</v>
          </cell>
          <cell r="LY1962">
            <v>11.019425826298413</v>
          </cell>
          <cell r="LZ1962">
            <v>14.730476692982464</v>
          </cell>
          <cell r="MA1962">
            <v>11.870949885755934</v>
          </cell>
          <cell r="MB1962">
            <v>9.6544719773798295</v>
          </cell>
          <cell r="MC1962">
            <v>14.087427794132038</v>
          </cell>
        </row>
        <row r="1963">
          <cell r="A1963">
            <v>42275</v>
          </cell>
          <cell r="LJ1963">
            <v>17.261830246436737</v>
          </cell>
          <cell r="LK1963">
            <v>20.020152274152959</v>
          </cell>
          <cell r="LL1963">
            <v>17.982747259685677</v>
          </cell>
          <cell r="LM1963">
            <v>15.721193701553757</v>
          </cell>
          <cell r="LN1963">
            <v>20.244300817817596</v>
          </cell>
          <cell r="LY1963">
            <v>10.645343616591177</v>
          </cell>
          <cell r="LZ1963">
            <v>14.730476692982464</v>
          </cell>
          <cell r="MA1963">
            <v>11.870949885755934</v>
          </cell>
          <cell r="MB1963">
            <v>9.6544719773798295</v>
          </cell>
          <cell r="MC1963">
            <v>14.087427794132038</v>
          </cell>
        </row>
        <row r="1964">
          <cell r="A1964">
            <v>42276</v>
          </cell>
          <cell r="LJ1964">
            <v>17.350681302458259</v>
          </cell>
          <cell r="LK1964">
            <v>20.020152274152959</v>
          </cell>
          <cell r="LL1964">
            <v>17.982747259685677</v>
          </cell>
          <cell r="LM1964">
            <v>15.721193701553757</v>
          </cell>
          <cell r="LN1964">
            <v>20.244300817817596</v>
          </cell>
          <cell r="LY1964">
            <v>10.667062783557418</v>
          </cell>
          <cell r="LZ1964">
            <v>14.730476692982464</v>
          </cell>
          <cell r="MA1964">
            <v>11.870949885755934</v>
          </cell>
          <cell r="MB1964">
            <v>9.6544719773798295</v>
          </cell>
          <cell r="MC1964">
            <v>14.087427794132038</v>
          </cell>
        </row>
        <row r="1965">
          <cell r="A1965">
            <v>42277</v>
          </cell>
          <cell r="LJ1965">
            <v>17.744885174192344</v>
          </cell>
          <cell r="LK1965">
            <v>20.020152274152959</v>
          </cell>
          <cell r="LL1965">
            <v>17.982747259685677</v>
          </cell>
          <cell r="LM1965">
            <v>15.721193701553757</v>
          </cell>
          <cell r="LN1965">
            <v>20.244300817817596</v>
          </cell>
          <cell r="LY1965">
            <v>10.923392238916673</v>
          </cell>
          <cell r="LZ1965">
            <v>14.730476692982464</v>
          </cell>
          <cell r="MA1965">
            <v>11.870949885755934</v>
          </cell>
          <cell r="MB1965">
            <v>9.6544719773798295</v>
          </cell>
          <cell r="MC1965">
            <v>14.087427794132038</v>
          </cell>
        </row>
        <row r="1966">
          <cell r="A1966">
            <v>42278</v>
          </cell>
          <cell r="LJ1966">
            <v>17.498678558942853</v>
          </cell>
          <cell r="LK1966">
            <v>20.020152274152959</v>
          </cell>
          <cell r="LL1966">
            <v>17.982747259685677</v>
          </cell>
          <cell r="LM1966">
            <v>15.721193701553757</v>
          </cell>
          <cell r="LN1966">
            <v>20.244300817817596</v>
          </cell>
          <cell r="LY1966">
            <v>10.729651059025013</v>
          </cell>
          <cell r="LZ1966">
            <v>14.730476692982464</v>
          </cell>
          <cell r="MA1966">
            <v>11.870949885755934</v>
          </cell>
          <cell r="MB1966">
            <v>9.6544719773798295</v>
          </cell>
          <cell r="MC1966">
            <v>14.087427794132038</v>
          </cell>
        </row>
        <row r="1967">
          <cell r="A1967">
            <v>42279</v>
          </cell>
          <cell r="LJ1967">
            <v>17.771422927104844</v>
          </cell>
          <cell r="LK1967">
            <v>20.020152274152959</v>
          </cell>
          <cell r="LL1967">
            <v>17.982747259685677</v>
          </cell>
          <cell r="LM1967">
            <v>15.721193701553757</v>
          </cell>
          <cell r="LN1967">
            <v>20.244300817817596</v>
          </cell>
          <cell r="LY1967">
            <v>10.897200925991188</v>
          </cell>
          <cell r="LZ1967">
            <v>14.730476692982464</v>
          </cell>
          <cell r="MA1967">
            <v>11.870949885755934</v>
          </cell>
          <cell r="MB1967">
            <v>9.6544719773798295</v>
          </cell>
          <cell r="MC1967">
            <v>14.087427794132038</v>
          </cell>
        </row>
        <row r="1968">
          <cell r="A1968">
            <v>42282</v>
          </cell>
          <cell r="LJ1968">
            <v>18.053837269359608</v>
          </cell>
          <cell r="LK1968">
            <v>20.020152274152959</v>
          </cell>
          <cell r="LL1968">
            <v>17.982747259685677</v>
          </cell>
          <cell r="LM1968">
            <v>15.721193701553757</v>
          </cell>
          <cell r="LN1968">
            <v>20.244300817817596</v>
          </cell>
          <cell r="LY1968">
            <v>11.069788997283053</v>
          </cell>
          <cell r="LZ1968">
            <v>14.730476692982464</v>
          </cell>
          <cell r="MA1968">
            <v>11.870949885755934</v>
          </cell>
          <cell r="MB1968">
            <v>9.6544719773798295</v>
          </cell>
          <cell r="MC1968">
            <v>14.087427794132038</v>
          </cell>
        </row>
        <row r="1969">
          <cell r="A1969">
            <v>42283</v>
          </cell>
          <cell r="LJ1969">
            <v>17.864626958393302</v>
          </cell>
          <cell r="LK1969">
            <v>20.020152274152959</v>
          </cell>
          <cell r="LL1969">
            <v>17.982747259685677</v>
          </cell>
          <cell r="LM1969">
            <v>15.721193701553757</v>
          </cell>
          <cell r="LN1969">
            <v>20.244300817817596</v>
          </cell>
          <cell r="LY1969">
            <v>10.969006896036181</v>
          </cell>
          <cell r="LZ1969">
            <v>14.730476692982464</v>
          </cell>
          <cell r="MA1969">
            <v>11.870949885755934</v>
          </cell>
          <cell r="MB1969">
            <v>9.6544719773798295</v>
          </cell>
          <cell r="MC1969">
            <v>14.087427794132038</v>
          </cell>
        </row>
        <row r="1970">
          <cell r="A1970">
            <v>42284</v>
          </cell>
          <cell r="LJ1970">
            <v>18.131001400896888</v>
          </cell>
          <cell r="LK1970">
            <v>20.020152274152959</v>
          </cell>
          <cell r="LL1970">
            <v>17.982747259685677</v>
          </cell>
          <cell r="LM1970">
            <v>15.721193701553757</v>
          </cell>
          <cell r="LN1970">
            <v>20.244300817817596</v>
          </cell>
          <cell r="LY1970">
            <v>11.178118877852731</v>
          </cell>
          <cell r="LZ1970">
            <v>14.730476692982464</v>
          </cell>
          <cell r="MA1970">
            <v>11.870949885755934</v>
          </cell>
          <cell r="MB1970">
            <v>9.6544719773798295</v>
          </cell>
          <cell r="MC1970">
            <v>14.087427794132038</v>
          </cell>
        </row>
        <row r="1971">
          <cell r="A1971">
            <v>42285</v>
          </cell>
          <cell r="LJ1971">
            <v>18.223254860424692</v>
          </cell>
          <cell r="LK1971">
            <v>20.020152274152959</v>
          </cell>
          <cell r="LL1971">
            <v>17.982747259685677</v>
          </cell>
          <cell r="LM1971">
            <v>15.721193701553757</v>
          </cell>
          <cell r="LN1971">
            <v>20.244300817817596</v>
          </cell>
          <cell r="LY1971">
            <v>11.235097127970787</v>
          </cell>
          <cell r="LZ1971">
            <v>14.730476692982464</v>
          </cell>
          <cell r="MA1971">
            <v>11.870949885755934</v>
          </cell>
          <cell r="MB1971">
            <v>9.6544719773798295</v>
          </cell>
          <cell r="MC1971">
            <v>14.087427794132038</v>
          </cell>
        </row>
        <row r="1972">
          <cell r="A1972">
            <v>42286</v>
          </cell>
          <cell r="LJ1972">
            <v>18.160863484031506</v>
          </cell>
          <cell r="LK1972">
            <v>20.020152274152959</v>
          </cell>
          <cell r="LL1972">
            <v>17.982747259685677</v>
          </cell>
          <cell r="LM1972">
            <v>15.721193701553757</v>
          </cell>
          <cell r="LN1972">
            <v>20.244300817817596</v>
          </cell>
          <cell r="LY1972">
            <v>11.187222996974842</v>
          </cell>
          <cell r="LZ1972">
            <v>14.730476692982464</v>
          </cell>
          <cell r="MA1972">
            <v>11.870949885755934</v>
          </cell>
          <cell r="MB1972">
            <v>9.6544719773798295</v>
          </cell>
          <cell r="MC1972">
            <v>14.087427794132038</v>
          </cell>
        </row>
        <row r="1973">
          <cell r="A1973">
            <v>42289</v>
          </cell>
          <cell r="LJ1973">
            <v>18.382838027085647</v>
          </cell>
          <cell r="LK1973">
            <v>20.020152274152959</v>
          </cell>
          <cell r="LL1973">
            <v>17.982747259685677</v>
          </cell>
          <cell r="LM1973">
            <v>15.721193701553757</v>
          </cell>
          <cell r="LN1973">
            <v>20.244300817817596</v>
          </cell>
          <cell r="LY1973">
            <v>11.324448804684414</v>
          </cell>
          <cell r="LZ1973">
            <v>14.730476692982464</v>
          </cell>
          <cell r="MA1973">
            <v>11.870949885755934</v>
          </cell>
          <cell r="MB1973">
            <v>9.6544719773798295</v>
          </cell>
          <cell r="MC1973">
            <v>14.087427794132038</v>
          </cell>
        </row>
        <row r="1974">
          <cell r="A1974">
            <v>42290</v>
          </cell>
          <cell r="LJ1974">
            <v>18.187194738990268</v>
          </cell>
          <cell r="LK1974">
            <v>20.020152274152959</v>
          </cell>
          <cell r="LL1974">
            <v>17.982747259685677</v>
          </cell>
          <cell r="LM1974">
            <v>15.721193701553757</v>
          </cell>
          <cell r="LN1974">
            <v>20.244300817817596</v>
          </cell>
          <cell r="LY1974">
            <v>11.227314846494636</v>
          </cell>
          <cell r="LZ1974">
            <v>14.730476692982464</v>
          </cell>
          <cell r="MA1974">
            <v>11.870949885755934</v>
          </cell>
          <cell r="MB1974">
            <v>9.6544719773798295</v>
          </cell>
          <cell r="MC1974">
            <v>14.087427794132038</v>
          </cell>
        </row>
        <row r="1975">
          <cell r="A1975">
            <v>42291</v>
          </cell>
          <cell r="LJ1975">
            <v>17.963798794882742</v>
          </cell>
          <cell r="LK1975">
            <v>20.020152274152959</v>
          </cell>
          <cell r="LL1975">
            <v>17.982747259685677</v>
          </cell>
          <cell r="LM1975">
            <v>15.721193701553757</v>
          </cell>
          <cell r="LN1975">
            <v>20.244300817817596</v>
          </cell>
          <cell r="LY1975">
            <v>11.107515372903789</v>
          </cell>
          <cell r="LZ1975">
            <v>14.730476692982464</v>
          </cell>
          <cell r="MA1975">
            <v>11.870949885755934</v>
          </cell>
          <cell r="MB1975">
            <v>9.6544719773798295</v>
          </cell>
          <cell r="MC1975">
            <v>14.087427794132038</v>
          </cell>
        </row>
        <row r="1976">
          <cell r="A1976">
            <v>42292</v>
          </cell>
          <cell r="LJ1976">
            <v>18.12932318684879</v>
          </cell>
          <cell r="LK1976">
            <v>20.020152274152959</v>
          </cell>
          <cell r="LL1976">
            <v>17.982747259685677</v>
          </cell>
          <cell r="LM1976">
            <v>15.721193701553757</v>
          </cell>
          <cell r="LN1976">
            <v>20.244300817817596</v>
          </cell>
          <cell r="LY1976">
            <v>11.210920552024044</v>
          </cell>
          <cell r="LZ1976">
            <v>14.730476692982464</v>
          </cell>
          <cell r="MA1976">
            <v>11.870949885755934</v>
          </cell>
          <cell r="MB1976">
            <v>9.6544719773798295</v>
          </cell>
          <cell r="MC1976">
            <v>14.087427794132038</v>
          </cell>
        </row>
        <row r="1977">
          <cell r="A1977">
            <v>42293</v>
          </cell>
          <cell r="LJ1977">
            <v>18.104896640872383</v>
          </cell>
          <cell r="LK1977">
            <v>20.020152274152959</v>
          </cell>
          <cell r="LL1977">
            <v>17.982747259685677</v>
          </cell>
          <cell r="LM1977">
            <v>15.721193701553757</v>
          </cell>
          <cell r="LN1977">
            <v>20.244300817817596</v>
          </cell>
          <cell r="LY1977">
            <v>11.195788569677225</v>
          </cell>
          <cell r="LZ1977">
            <v>14.730476692982464</v>
          </cell>
          <cell r="MA1977">
            <v>11.870949885755934</v>
          </cell>
          <cell r="MB1977">
            <v>9.6544719773798295</v>
          </cell>
          <cell r="MC1977">
            <v>14.087427794132038</v>
          </cell>
        </row>
        <row r="1978">
          <cell r="A1978">
            <v>42296</v>
          </cell>
          <cell r="LJ1978">
            <v>18.147643045440343</v>
          </cell>
          <cell r="LK1978">
            <v>20.020152274152959</v>
          </cell>
          <cell r="LL1978">
            <v>17.982747259685677</v>
          </cell>
          <cell r="LM1978">
            <v>15.721193701553757</v>
          </cell>
          <cell r="LN1978">
            <v>20.244300817817596</v>
          </cell>
          <cell r="LY1978">
            <v>11.222269507257884</v>
          </cell>
          <cell r="LZ1978">
            <v>14.730476692982464</v>
          </cell>
          <cell r="MA1978">
            <v>11.870949885755934</v>
          </cell>
          <cell r="MB1978">
            <v>9.6544719773798295</v>
          </cell>
          <cell r="MC1978">
            <v>14.087427794132038</v>
          </cell>
        </row>
        <row r="1979">
          <cell r="A1979">
            <v>42297</v>
          </cell>
          <cell r="LJ1979">
            <v>18.204640490724298</v>
          </cell>
          <cell r="LK1979">
            <v>20.020152274152959</v>
          </cell>
          <cell r="LL1979">
            <v>17.982747259685677</v>
          </cell>
          <cell r="LM1979">
            <v>15.721193701553757</v>
          </cell>
          <cell r="LN1979">
            <v>20.244300817817596</v>
          </cell>
          <cell r="LY1979">
            <v>11.245171746156995</v>
          </cell>
          <cell r="LZ1979">
            <v>14.730476692982464</v>
          </cell>
          <cell r="MA1979">
            <v>11.870949885755934</v>
          </cell>
          <cell r="MB1979">
            <v>9.6544719773798295</v>
          </cell>
          <cell r="MC1979">
            <v>14.087427794132038</v>
          </cell>
        </row>
        <row r="1980">
          <cell r="A1980">
            <v>42298</v>
          </cell>
          <cell r="LJ1980">
            <v>18.141536561618512</v>
          </cell>
          <cell r="LK1980">
            <v>20.020152274152959</v>
          </cell>
          <cell r="LL1980">
            <v>17.982747259685677</v>
          </cell>
          <cell r="LM1980">
            <v>15.721193701553757</v>
          </cell>
          <cell r="LN1980">
            <v>20.244300817817596</v>
          </cell>
          <cell r="LY1980">
            <v>11.206122625041367</v>
          </cell>
          <cell r="LZ1980">
            <v>14.730476692982464</v>
          </cell>
          <cell r="MA1980">
            <v>11.870949885755934</v>
          </cell>
          <cell r="MB1980">
            <v>9.6544719773798295</v>
          </cell>
          <cell r="MC1980">
            <v>14.087427794132038</v>
          </cell>
        </row>
        <row r="1981">
          <cell r="A1981">
            <v>42299</v>
          </cell>
          <cell r="LJ1981">
            <v>19.15642087325848</v>
          </cell>
          <cell r="LK1981">
            <v>20.020152274152959</v>
          </cell>
          <cell r="LL1981">
            <v>17.982747259685677</v>
          </cell>
          <cell r="LM1981">
            <v>15.721193701553757</v>
          </cell>
          <cell r="LN1981">
            <v>20.244300817817596</v>
          </cell>
          <cell r="LY1981">
            <v>11.86584216009369</v>
          </cell>
          <cell r="LZ1981">
            <v>14.730476692982464</v>
          </cell>
          <cell r="MA1981">
            <v>11.870949885755934</v>
          </cell>
          <cell r="MB1981">
            <v>9.6544719773798295</v>
          </cell>
          <cell r="MC1981">
            <v>14.087427794132038</v>
          </cell>
        </row>
        <row r="1982">
          <cell r="A1982">
            <v>42300</v>
          </cell>
          <cell r="LJ1982">
            <v>19.030645720157128</v>
          </cell>
          <cell r="LK1982">
            <v>20.020152274152959</v>
          </cell>
          <cell r="LL1982">
            <v>17.982747259685677</v>
          </cell>
          <cell r="LM1982">
            <v>15.721193701553757</v>
          </cell>
          <cell r="LN1982">
            <v>20.244300817817596</v>
          </cell>
          <cell r="LY1982">
            <v>14.276660876231812</v>
          </cell>
          <cell r="LZ1982">
            <v>14.730476692982464</v>
          </cell>
          <cell r="MA1982">
            <v>11.870949885755934</v>
          </cell>
          <cell r="MB1982">
            <v>9.6544719773798295</v>
          </cell>
          <cell r="MC1982">
            <v>14.087427794132038</v>
          </cell>
        </row>
        <row r="1983">
          <cell r="A1983">
            <v>42303</v>
          </cell>
          <cell r="LJ1983">
            <v>18.933309855139473</v>
          </cell>
          <cell r="LK1983">
            <v>20.020152274152959</v>
          </cell>
          <cell r="LL1983">
            <v>17.982747259685677</v>
          </cell>
          <cell r="LM1983">
            <v>15.721193701553757</v>
          </cell>
          <cell r="LN1983">
            <v>20.244300817817596</v>
          </cell>
          <cell r="LY1983">
            <v>14.220650844438881</v>
          </cell>
          <cell r="LZ1983">
            <v>14.730476692982464</v>
          </cell>
          <cell r="MA1983">
            <v>11.870949885755934</v>
          </cell>
          <cell r="MB1983">
            <v>9.6544719773798295</v>
          </cell>
          <cell r="MC1983">
            <v>14.087427794132038</v>
          </cell>
        </row>
        <row r="1984">
          <cell r="A1984">
            <v>42304</v>
          </cell>
          <cell r="LJ1984">
            <v>18.796885368946491</v>
          </cell>
          <cell r="LK1984">
            <v>20.020152274152959</v>
          </cell>
          <cell r="LL1984">
            <v>17.982747259685677</v>
          </cell>
          <cell r="LM1984">
            <v>15.721193701553757</v>
          </cell>
          <cell r="LN1984">
            <v>20.244300817817596</v>
          </cell>
          <cell r="LY1984">
            <v>14.065296855696461</v>
          </cell>
          <cell r="LZ1984">
            <v>14.730476692982464</v>
          </cell>
          <cell r="MA1984">
            <v>11.870949885755934</v>
          </cell>
          <cell r="MB1984">
            <v>9.6544719773798295</v>
          </cell>
          <cell r="MC1984">
            <v>14.087427794132038</v>
          </cell>
        </row>
        <row r="1985">
          <cell r="A1985">
            <v>42305</v>
          </cell>
          <cell r="LJ1985">
            <v>18.988511268021373</v>
          </cell>
          <cell r="LK1985">
            <v>20.020152274152959</v>
          </cell>
          <cell r="LL1985">
            <v>17.982747259685677</v>
          </cell>
          <cell r="LM1985">
            <v>15.721193701553757</v>
          </cell>
          <cell r="LN1985">
            <v>20.244300817817596</v>
          </cell>
          <cell r="LY1985">
            <v>14.195785525387965</v>
          </cell>
          <cell r="LZ1985">
            <v>14.730476692982464</v>
          </cell>
          <cell r="MA1985">
            <v>11.870949885755934</v>
          </cell>
          <cell r="MB1985">
            <v>9.6544719773798295</v>
          </cell>
          <cell r="MC1985">
            <v>14.087427794132038</v>
          </cell>
        </row>
        <row r="1986">
          <cell r="A1986">
            <v>42306</v>
          </cell>
          <cell r="LJ1986">
            <v>19.080475904507786</v>
          </cell>
          <cell r="LK1986">
            <v>20.020152274152959</v>
          </cell>
          <cell r="LL1986">
            <v>17.982747259685677</v>
          </cell>
          <cell r="LM1986">
            <v>15.721193701553757</v>
          </cell>
          <cell r="LN1986">
            <v>20.244300817817596</v>
          </cell>
          <cell r="LY1986">
            <v>14.254359978842102</v>
          </cell>
          <cell r="LZ1986">
            <v>14.730476692982464</v>
          </cell>
          <cell r="MA1986">
            <v>11.870949885755934</v>
          </cell>
          <cell r="MB1986">
            <v>9.6544719773798295</v>
          </cell>
          <cell r="MC1986">
            <v>14.087427794132038</v>
          </cell>
        </row>
        <row r="1987">
          <cell r="A1987">
            <v>42307</v>
          </cell>
          <cell r="LJ1987">
            <v>19.135847842903665</v>
          </cell>
          <cell r="LK1987">
            <v>20.020152274152959</v>
          </cell>
          <cell r="LL1987">
            <v>17.982747259685677</v>
          </cell>
          <cell r="LM1987">
            <v>15.721193701553757</v>
          </cell>
          <cell r="LN1987">
            <v>20.244300817817596</v>
          </cell>
          <cell r="LY1987">
            <v>14.288609179759302</v>
          </cell>
          <cell r="LZ1987">
            <v>14.730476692982464</v>
          </cell>
          <cell r="MA1987">
            <v>11.870949885755934</v>
          </cell>
          <cell r="MB1987">
            <v>9.6544719773798295</v>
          </cell>
          <cell r="MC1987">
            <v>14.087427794132038</v>
          </cell>
        </row>
        <row r="1988">
          <cell r="A1988">
            <v>42310</v>
          </cell>
          <cell r="LJ1988">
            <v>19.367169305954189</v>
          </cell>
          <cell r="LK1988">
            <v>20.020152274152959</v>
          </cell>
          <cell r="LL1988">
            <v>17.982747259685677</v>
          </cell>
          <cell r="LM1988">
            <v>15.721193701553757</v>
          </cell>
          <cell r="LN1988">
            <v>20.244300817817596</v>
          </cell>
          <cell r="LY1988">
            <v>14.382056731336631</v>
          </cell>
          <cell r="LZ1988">
            <v>14.730476692982464</v>
          </cell>
          <cell r="MA1988">
            <v>11.870949885755934</v>
          </cell>
          <cell r="MB1988">
            <v>9.6544719773798295</v>
          </cell>
          <cell r="MC1988">
            <v>14.087427794132038</v>
          </cell>
        </row>
        <row r="1989">
          <cell r="A1989">
            <v>42311</v>
          </cell>
          <cell r="LJ1989">
            <v>19.401633663560574</v>
          </cell>
          <cell r="LK1989">
            <v>20.020152274152959</v>
          </cell>
          <cell r="LL1989">
            <v>17.982747259685677</v>
          </cell>
          <cell r="LM1989">
            <v>15.721193701553757</v>
          </cell>
          <cell r="LN1989">
            <v>20.244300817817596</v>
          </cell>
          <cell r="LY1989">
            <v>14.403342005725559</v>
          </cell>
          <cell r="LZ1989">
            <v>14.730476692982464</v>
          </cell>
          <cell r="MA1989">
            <v>11.870949885755934</v>
          </cell>
          <cell r="MB1989">
            <v>9.6544719773798295</v>
          </cell>
          <cell r="MC1989">
            <v>14.087427794132038</v>
          </cell>
        </row>
        <row r="1990">
          <cell r="A1990">
            <v>42312</v>
          </cell>
          <cell r="LJ1990">
            <v>19.423934595342477</v>
          </cell>
          <cell r="LK1990">
            <v>20.020152274152959</v>
          </cell>
          <cell r="LL1990">
            <v>17.982747259685677</v>
          </cell>
          <cell r="LM1990">
            <v>15.721193701553757</v>
          </cell>
          <cell r="LN1990">
            <v>20.244300817817596</v>
          </cell>
          <cell r="LY1990">
            <v>14.417115117574262</v>
          </cell>
          <cell r="LZ1990">
            <v>14.730476692982464</v>
          </cell>
          <cell r="MA1990">
            <v>11.870949885755934</v>
          </cell>
          <cell r="MB1990">
            <v>9.6544719773798295</v>
          </cell>
          <cell r="MC1990">
            <v>14.087427794132038</v>
          </cell>
        </row>
        <row r="1991">
          <cell r="A1991">
            <v>42313</v>
          </cell>
          <cell r="LJ1991">
            <v>19.389470237736091</v>
          </cell>
          <cell r="LK1991">
            <v>20.020152274152959</v>
          </cell>
          <cell r="LL1991">
            <v>17.982747259685677</v>
          </cell>
          <cell r="LM1991">
            <v>15.721193701553757</v>
          </cell>
          <cell r="LN1991">
            <v>20.244300817817596</v>
          </cell>
          <cell r="LY1991">
            <v>14.395829843185336</v>
          </cell>
          <cell r="LZ1991">
            <v>14.730476692982464</v>
          </cell>
          <cell r="MA1991">
            <v>11.870949885755934</v>
          </cell>
          <cell r="MB1991">
            <v>9.6544719773798295</v>
          </cell>
          <cell r="MC1991">
            <v>14.087427794132038</v>
          </cell>
        </row>
        <row r="1992">
          <cell r="A1992">
            <v>42314</v>
          </cell>
          <cell r="LJ1992">
            <v>19.428206715873735</v>
          </cell>
          <cell r="LK1992">
            <v>20.020152274152959</v>
          </cell>
          <cell r="LL1992">
            <v>17.982747259685677</v>
          </cell>
          <cell r="LM1992">
            <v>15.721193701553757</v>
          </cell>
          <cell r="LN1992">
            <v>20.244300817817596</v>
          </cell>
          <cell r="LY1992">
            <v>14.419619797799182</v>
          </cell>
          <cell r="LZ1992">
            <v>14.730476692982464</v>
          </cell>
          <cell r="MA1992">
            <v>11.870949885755934</v>
          </cell>
          <cell r="MB1992">
            <v>9.6544719773798295</v>
          </cell>
          <cell r="MC1992">
            <v>14.087427794132038</v>
          </cell>
        </row>
        <row r="1993">
          <cell r="A1993">
            <v>42317</v>
          </cell>
          <cell r="LJ1993">
            <v>19.33900239955328</v>
          </cell>
          <cell r="LK1993">
            <v>20.020152274152959</v>
          </cell>
          <cell r="LL1993">
            <v>17.982747259685677</v>
          </cell>
          <cell r="LM1993">
            <v>15.721193701553757</v>
          </cell>
          <cell r="LN1993">
            <v>20.244300817817596</v>
          </cell>
          <cell r="LY1993">
            <v>14.363961157087124</v>
          </cell>
          <cell r="LZ1993">
            <v>14.730476692982464</v>
          </cell>
          <cell r="MA1993">
            <v>11.870949885755934</v>
          </cell>
          <cell r="MB1993">
            <v>9.6544719773798295</v>
          </cell>
          <cell r="MC1993">
            <v>14.087427794132038</v>
          </cell>
        </row>
        <row r="1994">
          <cell r="A1994">
            <v>42318</v>
          </cell>
          <cell r="LJ1994">
            <v>19.29584515440666</v>
          </cell>
          <cell r="LK1994">
            <v>20.020152274152959</v>
          </cell>
          <cell r="LL1994">
            <v>17.982747259685677</v>
          </cell>
          <cell r="LM1994">
            <v>15.721193701553757</v>
          </cell>
          <cell r="LN1994">
            <v>20.244300817817596</v>
          </cell>
          <cell r="LY1994">
            <v>14.349268466104851</v>
          </cell>
          <cell r="LZ1994">
            <v>14.730476692982464</v>
          </cell>
          <cell r="MA1994">
            <v>11.870949885755934</v>
          </cell>
          <cell r="MB1994">
            <v>9.6544719773798295</v>
          </cell>
          <cell r="MC1994">
            <v>14.087427794132038</v>
          </cell>
        </row>
        <row r="1995">
          <cell r="A1995">
            <v>42319</v>
          </cell>
          <cell r="LJ1995">
            <v>19.299900933800991</v>
          </cell>
          <cell r="LK1995">
            <v>20.020152274152959</v>
          </cell>
          <cell r="LL1995">
            <v>17.982747259685677</v>
          </cell>
          <cell r="LM1995">
            <v>15.721193701553757</v>
          </cell>
          <cell r="LN1995">
            <v>20.244300817817596</v>
          </cell>
          <cell r="LY1995">
            <v>14.351774945237342</v>
          </cell>
          <cell r="LZ1995">
            <v>14.730476692982464</v>
          </cell>
          <cell r="MA1995">
            <v>11.870949885755934</v>
          </cell>
          <cell r="MB1995">
            <v>9.6544719773798295</v>
          </cell>
          <cell r="MC1995">
            <v>14.087427794132038</v>
          </cell>
        </row>
        <row r="1996">
          <cell r="A1996">
            <v>42320</v>
          </cell>
          <cell r="LJ1996">
            <v>19.090913554723365</v>
          </cell>
          <cell r="LK1996">
            <v>20.020152274152959</v>
          </cell>
          <cell r="LL1996">
            <v>17.982747259685677</v>
          </cell>
          <cell r="LM1996">
            <v>15.721193701553757</v>
          </cell>
          <cell r="LN1996">
            <v>20.244300817817596</v>
          </cell>
          <cell r="LY1996">
            <v>14.222620360216116</v>
          </cell>
          <cell r="LZ1996">
            <v>14.730476692982464</v>
          </cell>
          <cell r="MA1996">
            <v>11.870949885755934</v>
          </cell>
          <cell r="MB1996">
            <v>9.6544719773798295</v>
          </cell>
          <cell r="MC1996">
            <v>14.087427794132038</v>
          </cell>
        </row>
        <row r="1997">
          <cell r="A1997">
            <v>42321</v>
          </cell>
          <cell r="LJ1997">
            <v>18.979317635256617</v>
          </cell>
          <cell r="LK1997">
            <v>20.020152274152959</v>
          </cell>
          <cell r="LL1997">
            <v>17.982747259685677</v>
          </cell>
          <cell r="LM1997">
            <v>15.721193701553757</v>
          </cell>
          <cell r="LN1997">
            <v>20.244300817817596</v>
          </cell>
          <cell r="LY1997">
            <v>14.153653876534648</v>
          </cell>
          <cell r="LZ1997">
            <v>14.730476692982464</v>
          </cell>
          <cell r="MA1997">
            <v>11.870949885755934</v>
          </cell>
          <cell r="MB1997">
            <v>9.6544719773798295</v>
          </cell>
          <cell r="MC1997">
            <v>14.087427794132038</v>
          </cell>
        </row>
        <row r="1998">
          <cell r="A1998">
            <v>42324</v>
          </cell>
          <cell r="LJ1998">
            <v>19.282604127843946</v>
          </cell>
          <cell r="LK1998">
            <v>20.020152274152959</v>
          </cell>
          <cell r="LL1998">
            <v>17.982747259685677</v>
          </cell>
          <cell r="LM1998">
            <v>15.721193701553757</v>
          </cell>
          <cell r="LN1998">
            <v>20.244300817817596</v>
          </cell>
          <cell r="LY1998">
            <v>14.355536482133465</v>
          </cell>
          <cell r="LZ1998">
            <v>14.730476692982464</v>
          </cell>
          <cell r="MA1998">
            <v>11.870949885755934</v>
          </cell>
          <cell r="MB1998">
            <v>9.6544719773798295</v>
          </cell>
          <cell r="MC1998">
            <v>14.087427794132038</v>
          </cell>
        </row>
        <row r="1999">
          <cell r="A1999">
            <v>42325</v>
          </cell>
          <cell r="LJ1999">
            <v>19.32313772471861</v>
          </cell>
          <cell r="LK1999">
            <v>20.020152274152959</v>
          </cell>
          <cell r="LL1999">
            <v>17.982747259685677</v>
          </cell>
          <cell r="LM1999">
            <v>15.721193701553757</v>
          </cell>
          <cell r="LN1999">
            <v>20.244300817817596</v>
          </cell>
          <cell r="LY1999">
            <v>14.380616696787895</v>
          </cell>
          <cell r="LZ1999">
            <v>14.730476692982464</v>
          </cell>
          <cell r="MA1999">
            <v>11.870949885755934</v>
          </cell>
          <cell r="MB1999">
            <v>9.6544719773798295</v>
          </cell>
          <cell r="MC1999">
            <v>14.087427794132038</v>
          </cell>
        </row>
        <row r="2000">
          <cell r="A2000">
            <v>42326</v>
          </cell>
          <cell r="LJ2000">
            <v>19.663596187321819</v>
          </cell>
          <cell r="LK2000">
            <v>20.020152274152959</v>
          </cell>
          <cell r="LL2000">
            <v>17.982747259685677</v>
          </cell>
          <cell r="LM2000">
            <v>15.721193701553757</v>
          </cell>
          <cell r="LN2000">
            <v>20.244300817817596</v>
          </cell>
          <cell r="LY2000">
            <v>14.591275803834582</v>
          </cell>
          <cell r="LZ2000">
            <v>14.730476692982464</v>
          </cell>
          <cell r="MA2000">
            <v>11.870949885755934</v>
          </cell>
          <cell r="MB2000">
            <v>9.6544719773798295</v>
          </cell>
          <cell r="MC2000">
            <v>14.087427794132038</v>
          </cell>
        </row>
        <row r="2001">
          <cell r="A2001">
            <v>42327</v>
          </cell>
          <cell r="LJ2001">
            <v>19.647383397067351</v>
          </cell>
          <cell r="LK2001">
            <v>20.020152274152959</v>
          </cell>
          <cell r="LL2001">
            <v>17.982747259685677</v>
          </cell>
          <cell r="LM2001">
            <v>15.721193701553757</v>
          </cell>
          <cell r="LN2001">
            <v>20.244300817817596</v>
          </cell>
          <cell r="LY2001">
            <v>14.581244119230163</v>
          </cell>
          <cell r="LZ2001">
            <v>14.730476692982464</v>
          </cell>
          <cell r="MA2001">
            <v>11.870949885755934</v>
          </cell>
          <cell r="MB2001">
            <v>9.6544719773798295</v>
          </cell>
          <cell r="MC2001">
            <v>14.087427794132038</v>
          </cell>
        </row>
        <row r="2002">
          <cell r="A2002">
            <v>42328</v>
          </cell>
          <cell r="LJ2002">
            <v>19.728447348339685</v>
          </cell>
          <cell r="LK2002">
            <v>20.020152274152959</v>
          </cell>
          <cell r="LL2002">
            <v>17.982747259685677</v>
          </cell>
          <cell r="LM2002">
            <v>15.721193701553757</v>
          </cell>
          <cell r="LN2002">
            <v>20.244300817817596</v>
          </cell>
          <cell r="LY2002">
            <v>14.631402542252264</v>
          </cell>
          <cell r="LZ2002">
            <v>14.730476692982464</v>
          </cell>
          <cell r="MA2002">
            <v>11.870949885755934</v>
          </cell>
          <cell r="MB2002">
            <v>9.6544719773798295</v>
          </cell>
          <cell r="MC2002">
            <v>14.087427794132038</v>
          </cell>
        </row>
        <row r="2003">
          <cell r="A2003">
            <v>42331</v>
          </cell>
          <cell r="LJ2003">
            <v>19.700075674686211</v>
          </cell>
          <cell r="LK2003">
            <v>20.020152274152959</v>
          </cell>
          <cell r="LL2003">
            <v>17.982747259685677</v>
          </cell>
          <cell r="LM2003">
            <v>15.721193701553757</v>
          </cell>
          <cell r="LN2003">
            <v>20.244300817817596</v>
          </cell>
          <cell r="LY2003">
            <v>14.613847533069757</v>
          </cell>
          <cell r="LZ2003">
            <v>14.730476692982464</v>
          </cell>
          <cell r="MA2003">
            <v>11.870949885755934</v>
          </cell>
          <cell r="MB2003">
            <v>9.6544719773798295</v>
          </cell>
          <cell r="MC2003">
            <v>14.087427794132038</v>
          </cell>
        </row>
        <row r="2004">
          <cell r="A2004">
            <v>42332</v>
          </cell>
          <cell r="LJ2004">
            <v>19.561581182290862</v>
          </cell>
          <cell r="LK2004">
            <v>20.020152274152959</v>
          </cell>
          <cell r="LL2004">
            <v>17.982747259685677</v>
          </cell>
          <cell r="LM2004">
            <v>15.721193701553757</v>
          </cell>
          <cell r="LN2004">
            <v>20.244300817817596</v>
          </cell>
          <cell r="LY2004">
            <v>14.528603138495821</v>
          </cell>
          <cell r="LZ2004">
            <v>14.730476692982464</v>
          </cell>
          <cell r="MA2004">
            <v>11.870949885755934</v>
          </cell>
          <cell r="MB2004">
            <v>9.6544719773798295</v>
          </cell>
          <cell r="MC2004">
            <v>14.087427794132038</v>
          </cell>
        </row>
        <row r="2005">
          <cell r="A2005">
            <v>42333</v>
          </cell>
          <cell r="LJ2005">
            <v>19.626443302627738</v>
          </cell>
          <cell r="LK2005">
            <v>20.020152274152959</v>
          </cell>
          <cell r="LL2005">
            <v>17.982747259685677</v>
          </cell>
          <cell r="LM2005">
            <v>15.721193701553757</v>
          </cell>
          <cell r="LN2005">
            <v>20.244300817817596</v>
          </cell>
          <cell r="LY2005">
            <v>14.568736746312645</v>
          </cell>
          <cell r="LZ2005">
            <v>14.730476692982464</v>
          </cell>
          <cell r="MA2005">
            <v>11.870949885755934</v>
          </cell>
          <cell r="MB2005">
            <v>9.6544719773798295</v>
          </cell>
          <cell r="MC2005">
            <v>14.087427794132038</v>
          </cell>
        </row>
        <row r="2006">
          <cell r="A2006">
            <v>42334</v>
          </cell>
          <cell r="LJ2006">
            <v>19.626443302627738</v>
          </cell>
          <cell r="LK2006">
            <v>20.020152274152959</v>
          </cell>
          <cell r="LL2006">
            <v>17.982747259685677</v>
          </cell>
          <cell r="LM2006">
            <v>15.721193701553757</v>
          </cell>
          <cell r="LN2006">
            <v>20.244300817817596</v>
          </cell>
          <cell r="LY2006">
            <v>14.568736746312645</v>
          </cell>
          <cell r="LZ2006">
            <v>14.730476692982464</v>
          </cell>
          <cell r="MA2006">
            <v>11.870949885755934</v>
          </cell>
          <cell r="MB2006">
            <v>9.6544719773798295</v>
          </cell>
          <cell r="MC2006">
            <v>14.087427794132038</v>
          </cell>
        </row>
        <row r="2007">
          <cell r="A2007">
            <v>42335</v>
          </cell>
          <cell r="LJ2007">
            <v>19.630498109920516</v>
          </cell>
          <cell r="LK2007">
            <v>20.020152274152959</v>
          </cell>
          <cell r="LL2007">
            <v>17.982747259685677</v>
          </cell>
          <cell r="LM2007">
            <v>15.721193701553757</v>
          </cell>
          <cell r="LN2007">
            <v>20.244300817817596</v>
          </cell>
          <cell r="LY2007">
            <v>14.569705813068097</v>
          </cell>
          <cell r="LZ2007">
            <v>14.730476692982464</v>
          </cell>
          <cell r="MA2007">
            <v>11.870949885755934</v>
          </cell>
          <cell r="MB2007">
            <v>9.6544719773798295</v>
          </cell>
          <cell r="MC2007">
            <v>14.087427794132038</v>
          </cell>
        </row>
        <row r="2008">
          <cell r="A2008">
            <v>42338</v>
          </cell>
          <cell r="LJ2008">
            <v>19.545139712063055</v>
          </cell>
          <cell r="LK2008">
            <v>20.020152274152959</v>
          </cell>
          <cell r="LL2008">
            <v>17.982747259685677</v>
          </cell>
          <cell r="LM2008">
            <v>15.721193701553757</v>
          </cell>
          <cell r="LN2008">
            <v>20.244300817817596</v>
          </cell>
          <cell r="LY2008">
            <v>14.513261822245424</v>
          </cell>
          <cell r="LZ2008">
            <v>14.730476692982464</v>
          </cell>
          <cell r="MA2008">
            <v>11.870949885755934</v>
          </cell>
          <cell r="MB2008">
            <v>9.6544719773798295</v>
          </cell>
          <cell r="MC2008">
            <v>14.087427794132038</v>
          </cell>
        </row>
        <row r="2009">
          <cell r="A2009">
            <v>42339</v>
          </cell>
          <cell r="LJ2009">
            <v>19.376152795959978</v>
          </cell>
          <cell r="LK2009">
            <v>20.020152274152959</v>
          </cell>
          <cell r="LL2009">
            <v>17.982747259685677</v>
          </cell>
          <cell r="LM2009">
            <v>15.721193701553757</v>
          </cell>
          <cell r="LN2009">
            <v>20.244300817817596</v>
          </cell>
          <cell r="LY2009">
            <v>14.361757509118268</v>
          </cell>
          <cell r="LZ2009">
            <v>14.730476692982464</v>
          </cell>
          <cell r="MA2009">
            <v>11.870949885755934</v>
          </cell>
          <cell r="MB2009">
            <v>9.6544719773798295</v>
          </cell>
          <cell r="MC2009">
            <v>14.087427794132038</v>
          </cell>
        </row>
        <row r="2010">
          <cell r="A2010">
            <v>42340</v>
          </cell>
          <cell r="LJ2010">
            <v>19.241833246793863</v>
          </cell>
          <cell r="LK2010">
            <v>20.020152274152959</v>
          </cell>
          <cell r="LL2010">
            <v>17.982747259685677</v>
          </cell>
          <cell r="LM2010">
            <v>15.721193701553757</v>
          </cell>
          <cell r="LN2010">
            <v>20.244300817817596</v>
          </cell>
          <cell r="LY2010">
            <v>14.278795086155071</v>
          </cell>
          <cell r="LZ2010">
            <v>14.730476692982464</v>
          </cell>
          <cell r="MA2010">
            <v>11.870949885755934</v>
          </cell>
          <cell r="MB2010">
            <v>9.6544719773798295</v>
          </cell>
          <cell r="MC2010">
            <v>14.087427794132038</v>
          </cell>
        </row>
        <row r="2011">
          <cell r="A2011">
            <v>42341</v>
          </cell>
          <cell r="LJ2011">
            <v>19.09160010015265</v>
          </cell>
          <cell r="LK2011">
            <v>20.020152274152959</v>
          </cell>
          <cell r="LL2011">
            <v>17.982747259685677</v>
          </cell>
          <cell r="LM2011">
            <v>15.721193701553757</v>
          </cell>
          <cell r="LN2011">
            <v>20.244300817817596</v>
          </cell>
          <cell r="LY2011">
            <v>14.110318673704851</v>
          </cell>
          <cell r="LZ2011">
            <v>14.730476692982464</v>
          </cell>
          <cell r="MA2011">
            <v>11.870949885755934</v>
          </cell>
          <cell r="MB2011">
            <v>9.6544719773798295</v>
          </cell>
          <cell r="MC2011">
            <v>14.087427794132038</v>
          </cell>
        </row>
        <row r="2012">
          <cell r="A2012">
            <v>42342</v>
          </cell>
          <cell r="LJ2012">
            <v>19.491402015975964</v>
          </cell>
          <cell r="LK2012">
            <v>20.020152274152959</v>
          </cell>
          <cell r="LL2012">
            <v>17.982747259685677</v>
          </cell>
          <cell r="LM2012">
            <v>15.721193701553757</v>
          </cell>
          <cell r="LN2012">
            <v>20.244300817817596</v>
          </cell>
          <cell r="LY2012">
            <v>14.355640703590117</v>
          </cell>
          <cell r="LZ2012">
            <v>14.730476692982464</v>
          </cell>
          <cell r="MA2012">
            <v>11.870949885755934</v>
          </cell>
          <cell r="MB2012">
            <v>9.6544719773798295</v>
          </cell>
          <cell r="MC2012">
            <v>14.087427794132038</v>
          </cell>
        </row>
        <row r="2013">
          <cell r="A2013">
            <v>42345</v>
          </cell>
          <cell r="LJ2013">
            <v>19.551394787919147</v>
          </cell>
          <cell r="LK2013">
            <v>20.020152274152959</v>
          </cell>
          <cell r="LL2013">
            <v>17.982747259685677</v>
          </cell>
          <cell r="LM2013">
            <v>15.721193701553757</v>
          </cell>
          <cell r="LN2013">
            <v>20.244300817817596</v>
          </cell>
          <cell r="LY2013">
            <v>14.327144247657923</v>
          </cell>
          <cell r="LZ2013">
            <v>14.730476692982464</v>
          </cell>
          <cell r="MA2013">
            <v>11.870949885755934</v>
          </cell>
          <cell r="MB2013">
            <v>9.6544719773798295</v>
          </cell>
          <cell r="MC2013">
            <v>14.087427794132038</v>
          </cell>
        </row>
        <row r="2014">
          <cell r="A2014">
            <v>42346</v>
          </cell>
          <cell r="LJ2014">
            <v>19.443791265013765</v>
          </cell>
          <cell r="LK2014">
            <v>20.020152274152959</v>
          </cell>
          <cell r="LL2014">
            <v>17.982747259685677</v>
          </cell>
          <cell r="LM2014">
            <v>15.721193701553757</v>
          </cell>
          <cell r="LN2014">
            <v>20.244300817817596</v>
          </cell>
          <cell r="LY2014">
            <v>14.261889768174905</v>
          </cell>
          <cell r="LZ2014">
            <v>14.730476692982464</v>
          </cell>
          <cell r="MA2014">
            <v>11.870949885755934</v>
          </cell>
          <cell r="MB2014">
            <v>9.6544719773798295</v>
          </cell>
          <cell r="MC2014">
            <v>14.087427794132038</v>
          </cell>
        </row>
        <row r="2015">
          <cell r="A2015">
            <v>42347</v>
          </cell>
          <cell r="LJ2015">
            <v>19.179856988557457</v>
          </cell>
          <cell r="LK2015">
            <v>20.020152274152959</v>
          </cell>
          <cell r="LL2015">
            <v>17.982747259685677</v>
          </cell>
          <cell r="LM2015">
            <v>15.721193701553757</v>
          </cell>
          <cell r="LN2015">
            <v>20.244300817817596</v>
          </cell>
          <cell r="LY2015">
            <v>14.100814310489763</v>
          </cell>
          <cell r="LZ2015">
            <v>14.730476692982464</v>
          </cell>
          <cell r="MA2015">
            <v>11.870949885755934</v>
          </cell>
          <cell r="MB2015">
            <v>9.6544719773798295</v>
          </cell>
          <cell r="MC2015">
            <v>14.087427794132038</v>
          </cell>
        </row>
        <row r="2016">
          <cell r="A2016">
            <v>42348</v>
          </cell>
          <cell r="LJ2016">
            <v>19.258902334061098</v>
          </cell>
          <cell r="LK2016">
            <v>20.020152274152959</v>
          </cell>
          <cell r="LL2016">
            <v>17.982747259685677</v>
          </cell>
          <cell r="LM2016">
            <v>15.721193701553757</v>
          </cell>
          <cell r="LN2016">
            <v>20.244300817817596</v>
          </cell>
          <cell r="LY2016">
            <v>14.149492278789364</v>
          </cell>
          <cell r="LZ2016">
            <v>14.730476692982464</v>
          </cell>
          <cell r="MA2016">
            <v>11.870949885755934</v>
          </cell>
          <cell r="MB2016">
            <v>9.6544719773798295</v>
          </cell>
          <cell r="MC2016">
            <v>14.087427794132038</v>
          </cell>
        </row>
        <row r="2017">
          <cell r="A2017">
            <v>42349</v>
          </cell>
          <cell r="LJ2017">
            <v>18.9272404117519</v>
          </cell>
          <cell r="LK2017">
            <v>20.020152274152959</v>
          </cell>
          <cell r="LL2017">
            <v>17.982747259685677</v>
          </cell>
          <cell r="LM2017">
            <v>15.721193701553757</v>
          </cell>
          <cell r="LN2017">
            <v>20.244300817817596</v>
          </cell>
          <cell r="LY2017">
            <v>13.947153081535882</v>
          </cell>
          <cell r="LZ2017">
            <v>14.730476692982464</v>
          </cell>
          <cell r="MA2017">
            <v>11.870949885755934</v>
          </cell>
          <cell r="MB2017">
            <v>9.6544719773798295</v>
          </cell>
          <cell r="MC2017">
            <v>14.087427794132038</v>
          </cell>
        </row>
        <row r="2018">
          <cell r="A2018">
            <v>42352</v>
          </cell>
          <cell r="LJ2018">
            <v>19.020321208565559</v>
          </cell>
          <cell r="LK2018">
            <v>20.020152274152959</v>
          </cell>
          <cell r="LL2018">
            <v>17.982747259685677</v>
          </cell>
          <cell r="LM2018">
            <v>15.721193701553757</v>
          </cell>
          <cell r="LN2018">
            <v>20.244300817817596</v>
          </cell>
          <cell r="LY2018">
            <v>14.003079267246036</v>
          </cell>
          <cell r="LZ2018">
            <v>14.730476692982464</v>
          </cell>
          <cell r="MA2018">
            <v>11.870949885755934</v>
          </cell>
          <cell r="MB2018">
            <v>9.6544719773798295</v>
          </cell>
          <cell r="MC2018">
            <v>14.087427794132038</v>
          </cell>
        </row>
        <row r="2019">
          <cell r="A2019">
            <v>42353</v>
          </cell>
          <cell r="LJ2019">
            <v>18.855317215866496</v>
          </cell>
          <cell r="LK2019">
            <v>20.020152274152959</v>
          </cell>
          <cell r="LL2019">
            <v>17.982747259685677</v>
          </cell>
          <cell r="LM2019">
            <v>15.721193701553757</v>
          </cell>
          <cell r="LN2019">
            <v>20.244300817817596</v>
          </cell>
          <cell r="LY2019">
            <v>13.902440218333519</v>
          </cell>
          <cell r="LZ2019">
            <v>14.730476692982464</v>
          </cell>
          <cell r="MA2019">
            <v>11.870949885755934</v>
          </cell>
          <cell r="MB2019">
            <v>9.6544719773798295</v>
          </cell>
          <cell r="MC2019">
            <v>14.087427794132038</v>
          </cell>
        </row>
        <row r="2020">
          <cell r="A2020">
            <v>42354</v>
          </cell>
          <cell r="LJ2020">
            <v>19.171744235543795</v>
          </cell>
          <cell r="LK2020">
            <v>20.020152274152959</v>
          </cell>
          <cell r="LL2020">
            <v>17.982747259685677</v>
          </cell>
          <cell r="LM2020">
            <v>15.721193701553757</v>
          </cell>
          <cell r="LN2020">
            <v>20.244300817817596</v>
          </cell>
          <cell r="LY2020">
            <v>14.096203963123388</v>
          </cell>
          <cell r="LZ2020">
            <v>14.730476692982464</v>
          </cell>
          <cell r="MA2020">
            <v>11.870949885755934</v>
          </cell>
          <cell r="MB2020">
            <v>9.6544719773798295</v>
          </cell>
          <cell r="MC2020">
            <v>14.087427794132038</v>
          </cell>
        </row>
        <row r="2021">
          <cell r="A2021">
            <v>42355</v>
          </cell>
          <cell r="LJ2021">
            <v>18.939245604235929</v>
          </cell>
          <cell r="LK2021">
            <v>20.020152274152959</v>
          </cell>
          <cell r="LL2021">
            <v>17.982747259685677</v>
          </cell>
          <cell r="LM2021">
            <v>15.721193701553757</v>
          </cell>
          <cell r="LN2021">
            <v>20.244300817817596</v>
          </cell>
          <cell r="LY2021">
            <v>13.859526207691609</v>
          </cell>
          <cell r="LZ2021">
            <v>14.730476692982464</v>
          </cell>
          <cell r="MA2021">
            <v>11.870949885755934</v>
          </cell>
          <cell r="MB2021">
            <v>9.6544719773798295</v>
          </cell>
          <cell r="MC2021">
            <v>14.087427794132038</v>
          </cell>
        </row>
        <row r="2022">
          <cell r="A2022">
            <v>42356</v>
          </cell>
          <cell r="LJ2022">
            <v>18.706017584436463</v>
          </cell>
          <cell r="LK2022">
            <v>20.020152274152959</v>
          </cell>
          <cell r="LL2022">
            <v>17.982747259685677</v>
          </cell>
          <cell r="LM2022">
            <v>15.721193701553757</v>
          </cell>
          <cell r="LN2022">
            <v>20.244300817817596</v>
          </cell>
          <cell r="LY2022">
            <v>13.793737662027782</v>
          </cell>
          <cell r="LZ2022">
            <v>14.730476692982464</v>
          </cell>
          <cell r="MA2022">
            <v>11.870949885755934</v>
          </cell>
          <cell r="MB2022">
            <v>9.6544719773798295</v>
          </cell>
          <cell r="MC2022">
            <v>14.087427794132038</v>
          </cell>
        </row>
        <row r="2023">
          <cell r="A2023">
            <v>42359</v>
          </cell>
          <cell r="LJ2023">
            <v>18.884876578504567</v>
          </cell>
          <cell r="LK2023">
            <v>20.020152274152959</v>
          </cell>
          <cell r="LL2023">
            <v>17.982747259685677</v>
          </cell>
          <cell r="LM2023">
            <v>15.721193701553757</v>
          </cell>
          <cell r="LN2023">
            <v>20.244300817817596</v>
          </cell>
          <cell r="LY2023">
            <v>13.966669453007857</v>
          </cell>
          <cell r="LZ2023">
            <v>14.730476692982464</v>
          </cell>
          <cell r="MA2023">
            <v>11.870949885755934</v>
          </cell>
          <cell r="MB2023">
            <v>9.6544719773798295</v>
          </cell>
          <cell r="MC2023">
            <v>14.087427794132038</v>
          </cell>
        </row>
        <row r="2024">
          <cell r="A2024">
            <v>42360</v>
          </cell>
          <cell r="LJ2024">
            <v>18.937971917729893</v>
          </cell>
          <cell r="LK2024">
            <v>20.020152274152959</v>
          </cell>
          <cell r="LL2024">
            <v>17.982747259685677</v>
          </cell>
          <cell r="LM2024">
            <v>15.721193701553757</v>
          </cell>
          <cell r="LN2024">
            <v>20.244300817817596</v>
          </cell>
          <cell r="LY2024">
            <v>13.999147138289413</v>
          </cell>
          <cell r="LZ2024">
            <v>14.730476692982464</v>
          </cell>
          <cell r="MA2024">
            <v>11.870949885755934</v>
          </cell>
          <cell r="MB2024">
            <v>9.6544719773798295</v>
          </cell>
          <cell r="MC2024">
            <v>14.087427794132038</v>
          </cell>
        </row>
        <row r="2025">
          <cell r="A2025">
            <v>42361</v>
          </cell>
          <cell r="LJ2025">
            <v>19.138091990263508</v>
          </cell>
          <cell r="LK2025">
            <v>20.020152274152959</v>
          </cell>
          <cell r="LL2025">
            <v>17.982747259685677</v>
          </cell>
          <cell r="LM2025">
            <v>15.721193701553757</v>
          </cell>
          <cell r="LN2025">
            <v>20.244300817817596</v>
          </cell>
          <cell r="LY2025">
            <v>14.121454862506708</v>
          </cell>
          <cell r="LZ2025">
            <v>14.730476692982464</v>
          </cell>
          <cell r="MA2025">
            <v>11.870949885755934</v>
          </cell>
          <cell r="MB2025">
            <v>9.6544719773798295</v>
          </cell>
          <cell r="MC2025">
            <v>14.087427794132038</v>
          </cell>
        </row>
        <row r="2026">
          <cell r="A2026">
            <v>42362</v>
          </cell>
          <cell r="LJ2026">
            <v>19.072744760099983</v>
          </cell>
          <cell r="LK2026">
            <v>20.020152274152959</v>
          </cell>
          <cell r="LL2026">
            <v>17.982747259685677</v>
          </cell>
          <cell r="LM2026">
            <v>15.721193701553757</v>
          </cell>
          <cell r="LN2026">
            <v>20.244300817817596</v>
          </cell>
          <cell r="LY2026">
            <v>14.081483156278061</v>
          </cell>
          <cell r="LZ2026">
            <v>14.730476692982464</v>
          </cell>
          <cell r="MA2026">
            <v>11.870949885755934</v>
          </cell>
          <cell r="MB2026">
            <v>9.6544719773798295</v>
          </cell>
          <cell r="MC2026">
            <v>14.087427794132038</v>
          </cell>
        </row>
        <row r="2027">
          <cell r="A2027">
            <v>42363</v>
          </cell>
          <cell r="LJ2027">
            <v>19.072744760099983</v>
          </cell>
          <cell r="LK2027">
            <v>20.020152274152959</v>
          </cell>
          <cell r="LL2027">
            <v>17.982747259685677</v>
          </cell>
          <cell r="LM2027">
            <v>15.721193701553757</v>
          </cell>
          <cell r="LN2027">
            <v>20.244300817817596</v>
          </cell>
          <cell r="LY2027">
            <v>14.081483156278061</v>
          </cell>
          <cell r="LZ2027">
            <v>14.730476692982464</v>
          </cell>
          <cell r="MA2027">
            <v>11.870949885755934</v>
          </cell>
          <cell r="MB2027">
            <v>9.6544719773798295</v>
          </cell>
          <cell r="MC2027">
            <v>14.087427794132038</v>
          </cell>
        </row>
        <row r="2028">
          <cell r="A2028">
            <v>42366</v>
          </cell>
          <cell r="LJ2028">
            <v>19.074788852041234</v>
          </cell>
          <cell r="LK2028">
            <v>20.020152274152959</v>
          </cell>
          <cell r="LL2028">
            <v>17.982747259685677</v>
          </cell>
          <cell r="LM2028">
            <v>15.721193701553757</v>
          </cell>
          <cell r="LN2028">
            <v>20.244300817817596</v>
          </cell>
          <cell r="LY2028">
            <v>14.082733489955185</v>
          </cell>
          <cell r="LZ2028">
            <v>14.730476692982464</v>
          </cell>
          <cell r="MA2028">
            <v>11.870949885755934</v>
          </cell>
          <cell r="MB2028">
            <v>9.6544719773798295</v>
          </cell>
          <cell r="MC2028">
            <v>14.087427794132038</v>
          </cell>
        </row>
        <row r="2029">
          <cell r="A2029">
            <v>42367</v>
          </cell>
          <cell r="LJ2029">
            <v>19.229983622759875</v>
          </cell>
          <cell r="LK2029">
            <v>20.020152274152959</v>
          </cell>
          <cell r="LL2029">
            <v>17.982747259685677</v>
          </cell>
          <cell r="LM2029">
            <v>15.721193701553757</v>
          </cell>
          <cell r="LN2029">
            <v>20.244300817817596</v>
          </cell>
          <cell r="LY2029">
            <v>14.177663294445205</v>
          </cell>
          <cell r="LZ2029">
            <v>14.730476692982464</v>
          </cell>
          <cell r="MA2029">
            <v>11.870949885755934</v>
          </cell>
          <cell r="MB2029">
            <v>9.6544719773798295</v>
          </cell>
          <cell r="MC2029">
            <v>14.087427794132038</v>
          </cell>
        </row>
        <row r="2030">
          <cell r="A2030">
            <v>42368</v>
          </cell>
          <cell r="LJ2030">
            <v>19.062537165308026</v>
          </cell>
          <cell r="LK2030">
            <v>20.020152274152959</v>
          </cell>
          <cell r="LL2030">
            <v>17.982747259685677</v>
          </cell>
          <cell r="LM2030">
            <v>15.721193701553757</v>
          </cell>
          <cell r="LN2030">
            <v>20.244300817817596</v>
          </cell>
          <cell r="LY2030">
            <v>14.075239357125378</v>
          </cell>
          <cell r="LZ2030">
            <v>14.730476692982464</v>
          </cell>
          <cell r="MA2030">
            <v>11.870949885755934</v>
          </cell>
          <cell r="MB2030">
            <v>9.6544719773798295</v>
          </cell>
          <cell r="MC2030">
            <v>14.087427794132038</v>
          </cell>
        </row>
        <row r="2031">
          <cell r="A2031">
            <v>42369</v>
          </cell>
          <cell r="LJ2031">
            <v>18.966560412003986</v>
          </cell>
          <cell r="LK2031">
            <v>20.020152274152959</v>
          </cell>
          <cell r="LL2031">
            <v>17.982747259685677</v>
          </cell>
          <cell r="LM2031">
            <v>15.721193701553757</v>
          </cell>
          <cell r="LN2031">
            <v>20.244300817817596</v>
          </cell>
          <cell r="LY2031">
            <v>14.016532131459526</v>
          </cell>
          <cell r="LZ2031">
            <v>14.730476692982464</v>
          </cell>
          <cell r="MA2031">
            <v>11.870949885755934</v>
          </cell>
          <cell r="MB2031">
            <v>9.6544719773798295</v>
          </cell>
          <cell r="MC2031">
            <v>14.087427794132038</v>
          </cell>
        </row>
        <row r="2032">
          <cell r="A2032">
            <v>42370</v>
          </cell>
          <cell r="LJ2032">
            <v>18.82390874080011</v>
          </cell>
          <cell r="LK2032">
            <v>20.020152274152959</v>
          </cell>
          <cell r="LL2032">
            <v>17.982747259685677</v>
          </cell>
          <cell r="LM2032">
            <v>15.721193701553757</v>
          </cell>
          <cell r="LN2032">
            <v>20.244300817817596</v>
          </cell>
          <cell r="LY2032">
            <v>13.921311524485535</v>
          </cell>
          <cell r="LZ2032">
            <v>14.730476692982464</v>
          </cell>
          <cell r="MA2032">
            <v>11.870949885755934</v>
          </cell>
          <cell r="MB2032">
            <v>9.6544719773798295</v>
          </cell>
          <cell r="MC2032">
            <v>14.087427794132038</v>
          </cell>
        </row>
        <row r="2033">
          <cell r="A2033">
            <v>42373</v>
          </cell>
          <cell r="LJ2033">
            <v>18.595696803714144</v>
          </cell>
          <cell r="LK2033">
            <v>20.020152274152959</v>
          </cell>
          <cell r="LL2033">
            <v>17.982747259685677</v>
          </cell>
          <cell r="LM2033">
            <v>15.721193701553757</v>
          </cell>
          <cell r="LN2033">
            <v>20.244300817817596</v>
          </cell>
          <cell r="LY2033">
            <v>13.772438155875506</v>
          </cell>
          <cell r="LZ2033">
            <v>14.730476692982464</v>
          </cell>
          <cell r="MA2033">
            <v>11.870949885755934</v>
          </cell>
          <cell r="MB2033">
            <v>9.6544719773798295</v>
          </cell>
          <cell r="MC2033">
            <v>14.087427794132038</v>
          </cell>
        </row>
        <row r="2034">
          <cell r="A2034">
            <v>42374</v>
          </cell>
          <cell r="LJ2034">
            <v>18.630181195487459</v>
          </cell>
          <cell r="LK2034">
            <v>20.020152274152959</v>
          </cell>
          <cell r="LL2034">
            <v>17.982747259685677</v>
          </cell>
          <cell r="LM2034">
            <v>15.721193701553757</v>
          </cell>
          <cell r="LN2034">
            <v>20.244300817817596</v>
          </cell>
          <cell r="LY2034">
            <v>13.793530075698696</v>
          </cell>
          <cell r="LZ2034">
            <v>14.730476692982464</v>
          </cell>
          <cell r="MA2034">
            <v>11.870949885755934</v>
          </cell>
          <cell r="MB2034">
            <v>9.6544719773798295</v>
          </cell>
          <cell r="MC2034">
            <v>14.087427794132038</v>
          </cell>
        </row>
        <row r="2035">
          <cell r="A2035">
            <v>42375</v>
          </cell>
          <cell r="LJ2035">
            <v>18.413148627154381</v>
          </cell>
          <cell r="LK2035">
            <v>20.020152274152959</v>
          </cell>
          <cell r="LL2035">
            <v>17.982747259685677</v>
          </cell>
          <cell r="LM2035">
            <v>15.721193701553757</v>
          </cell>
          <cell r="LN2035">
            <v>20.244300817817596</v>
          </cell>
          <cell r="LY2035">
            <v>13.660784990316481</v>
          </cell>
          <cell r="LZ2035">
            <v>14.730476692982464</v>
          </cell>
          <cell r="MA2035">
            <v>11.870949885755934</v>
          </cell>
          <cell r="MB2035">
            <v>9.6544719773798295</v>
          </cell>
          <cell r="MC2035">
            <v>14.087427794132038</v>
          </cell>
        </row>
        <row r="2036">
          <cell r="A2036">
            <v>42376</v>
          </cell>
          <cell r="LJ2036">
            <v>17.94054812483925</v>
          </cell>
          <cell r="LK2036">
            <v>20.020152274152959</v>
          </cell>
          <cell r="LL2036">
            <v>17.982747259685677</v>
          </cell>
          <cell r="LM2036">
            <v>15.721193701553757</v>
          </cell>
          <cell r="LN2036">
            <v>20.244300817817596</v>
          </cell>
          <cell r="LY2036">
            <v>13.371725175407871</v>
          </cell>
          <cell r="LZ2036">
            <v>14.730476692982464</v>
          </cell>
          <cell r="MA2036">
            <v>11.870949885755934</v>
          </cell>
          <cell r="MB2036">
            <v>9.6544719773798295</v>
          </cell>
          <cell r="MC2036">
            <v>14.087427794132038</v>
          </cell>
        </row>
        <row r="2037">
          <cell r="A2037">
            <v>42377</v>
          </cell>
          <cell r="LJ2037">
            <v>17.941553110039983</v>
          </cell>
          <cell r="LK2037">
            <v>20.020152274152959</v>
          </cell>
          <cell r="LL2037">
            <v>17.982747259685677</v>
          </cell>
          <cell r="LM2037">
            <v>15.721193701553757</v>
          </cell>
          <cell r="LN2037">
            <v>20.244300817817596</v>
          </cell>
          <cell r="LY2037">
            <v>13.377928542583041</v>
          </cell>
          <cell r="LZ2037">
            <v>14.730476692982464</v>
          </cell>
          <cell r="MA2037">
            <v>11.870949885755934</v>
          </cell>
          <cell r="MB2037">
            <v>9.6544719773798295</v>
          </cell>
          <cell r="MC2037">
            <v>14.087427794132038</v>
          </cell>
        </row>
        <row r="2038">
          <cell r="A2038">
            <v>42380</v>
          </cell>
          <cell r="LJ2038">
            <v>17.941633804380547</v>
          </cell>
          <cell r="LK2038">
            <v>20.020152274152959</v>
          </cell>
          <cell r="LL2038">
            <v>17.982747259685677</v>
          </cell>
          <cell r="LM2038">
            <v>15.721193701553757</v>
          </cell>
          <cell r="LN2038">
            <v>20.244300817817596</v>
          </cell>
          <cell r="LY2038">
            <v>13.381671708012668</v>
          </cell>
          <cell r="LZ2038">
            <v>14.730476692982464</v>
          </cell>
          <cell r="MA2038">
            <v>11.870949885755934</v>
          </cell>
          <cell r="MB2038">
            <v>9.6544719773798295</v>
          </cell>
          <cell r="MC2038">
            <v>14.087427794132038</v>
          </cell>
        </row>
        <row r="2039">
          <cell r="A2039">
            <v>42381</v>
          </cell>
          <cell r="LJ2039">
            <v>17.986635250149106</v>
          </cell>
          <cell r="LK2039">
            <v>20.020152274152959</v>
          </cell>
          <cell r="LL2039">
            <v>17.982747259685677</v>
          </cell>
          <cell r="LM2039">
            <v>15.721193701553757</v>
          </cell>
          <cell r="LN2039">
            <v>20.244300817817596</v>
          </cell>
          <cell r="LY2039">
            <v>13.46068130992504</v>
          </cell>
          <cell r="LZ2039">
            <v>14.730476692982464</v>
          </cell>
          <cell r="MA2039">
            <v>11.870949885755934</v>
          </cell>
          <cell r="MB2039">
            <v>9.6544719773798295</v>
          </cell>
          <cell r="MC2039">
            <v>14.087427794132038</v>
          </cell>
        </row>
        <row r="2040">
          <cell r="A2040">
            <v>42382</v>
          </cell>
          <cell r="LJ2040">
            <v>17.574293636125379</v>
          </cell>
          <cell r="LK2040">
            <v>20.020152274152959</v>
          </cell>
          <cell r="LL2040">
            <v>17.982747259685677</v>
          </cell>
          <cell r="LM2040">
            <v>15.721193701553757</v>
          </cell>
          <cell r="LN2040">
            <v>20.244300817817596</v>
          </cell>
          <cell r="LY2040">
            <v>13.214922314946035</v>
          </cell>
          <cell r="LZ2040">
            <v>14.730476692982464</v>
          </cell>
          <cell r="MA2040">
            <v>11.870949885755934</v>
          </cell>
          <cell r="MB2040">
            <v>9.6544719773798295</v>
          </cell>
          <cell r="MC2040">
            <v>14.087427794132038</v>
          </cell>
        </row>
        <row r="2041">
          <cell r="A2041">
            <v>42383</v>
          </cell>
          <cell r="LJ2041">
            <v>17.734760212063318</v>
          </cell>
          <cell r="LK2041">
            <v>20.020152274152959</v>
          </cell>
          <cell r="LL2041">
            <v>17.982747259685677</v>
          </cell>
          <cell r="LM2041">
            <v>15.721193701553757</v>
          </cell>
          <cell r="LN2041">
            <v>20.244300817817596</v>
          </cell>
          <cell r="LY2041">
            <v>13.313434287459444</v>
          </cell>
          <cell r="LZ2041">
            <v>14.730476692982464</v>
          </cell>
          <cell r="MA2041">
            <v>11.870949885755934</v>
          </cell>
          <cell r="MB2041">
            <v>9.6544719773798295</v>
          </cell>
          <cell r="MC2041">
            <v>14.087427794132038</v>
          </cell>
        </row>
        <row r="2042">
          <cell r="A2042">
            <v>42384</v>
          </cell>
          <cell r="LJ2042">
            <v>17.198482506685377</v>
          </cell>
          <cell r="LK2042">
            <v>20.020152274152959</v>
          </cell>
          <cell r="LL2042">
            <v>17.982747259685677</v>
          </cell>
          <cell r="LM2042">
            <v>15.721193701553757</v>
          </cell>
          <cell r="LN2042">
            <v>20.244300817817596</v>
          </cell>
          <cell r="LY2042">
            <v>13.050867422973235</v>
          </cell>
          <cell r="LZ2042">
            <v>14.730476692982464</v>
          </cell>
          <cell r="MA2042">
            <v>11.870949885755934</v>
          </cell>
          <cell r="MB2042">
            <v>9.6544719773798295</v>
          </cell>
          <cell r="MC2042">
            <v>14.087427794132038</v>
          </cell>
        </row>
        <row r="2043">
          <cell r="A2043">
            <v>42387</v>
          </cell>
          <cell r="LJ2043">
            <v>17.198482506685377</v>
          </cell>
          <cell r="LK2043">
            <v>20.020152274152959</v>
          </cell>
          <cell r="LL2043">
            <v>17.982747259685677</v>
          </cell>
          <cell r="LM2043">
            <v>15.721193701553757</v>
          </cell>
          <cell r="LN2043">
            <v>20.244300817817596</v>
          </cell>
          <cell r="LY2043">
            <v>13.050867422973235</v>
          </cell>
          <cell r="LZ2043">
            <v>14.730476692982464</v>
          </cell>
          <cell r="MA2043">
            <v>11.870949885755934</v>
          </cell>
          <cell r="MB2043">
            <v>9.6544719773798295</v>
          </cell>
          <cell r="MC2043">
            <v>14.087427794132038</v>
          </cell>
        </row>
        <row r="2044">
          <cell r="A2044">
            <v>42388</v>
          </cell>
          <cell r="LJ2044">
            <v>17.289387404155079</v>
          </cell>
          <cell r="LK2044">
            <v>20.020152274152959</v>
          </cell>
          <cell r="LL2044">
            <v>17.982747259685677</v>
          </cell>
          <cell r="LM2044">
            <v>15.721193701553757</v>
          </cell>
          <cell r="LN2044">
            <v>20.244300817817596</v>
          </cell>
          <cell r="LY2044">
            <v>13.11363796302347</v>
          </cell>
          <cell r="LZ2044">
            <v>14.730476692982464</v>
          </cell>
          <cell r="MA2044">
            <v>11.870949885755934</v>
          </cell>
          <cell r="MB2044">
            <v>9.6544719773798295</v>
          </cell>
          <cell r="MC2044">
            <v>14.087427794132038</v>
          </cell>
        </row>
        <row r="2045">
          <cell r="A2045">
            <v>42389</v>
          </cell>
          <cell r="LJ2045">
            <v>17.191501869830407</v>
          </cell>
          <cell r="LK2045">
            <v>20.020152274152959</v>
          </cell>
          <cell r="LL2045">
            <v>17.982747259685677</v>
          </cell>
          <cell r="LM2045">
            <v>15.721193701553757</v>
          </cell>
          <cell r="LN2045">
            <v>20.244300817817596</v>
          </cell>
          <cell r="LY2045">
            <v>13.04080401955191</v>
          </cell>
          <cell r="LZ2045">
            <v>14.730476692982464</v>
          </cell>
          <cell r="MA2045">
            <v>11.870949885755934</v>
          </cell>
          <cell r="MB2045">
            <v>9.6544719773798295</v>
          </cell>
          <cell r="MC2045">
            <v>14.087427794132038</v>
          </cell>
        </row>
        <row r="2046">
          <cell r="A2046">
            <v>42390</v>
          </cell>
          <cell r="LJ2046">
            <v>17.076216265050213</v>
          </cell>
          <cell r="LK2046">
            <v>20.020152274152959</v>
          </cell>
          <cell r="LL2046">
            <v>17.982747259685677</v>
          </cell>
          <cell r="LM2046">
            <v>15.721193701553757</v>
          </cell>
          <cell r="LN2046">
            <v>20.244300817817596</v>
          </cell>
          <cell r="LY2046">
            <v>12.969558606072516</v>
          </cell>
          <cell r="LZ2046">
            <v>14.730476692982464</v>
          </cell>
          <cell r="MA2046">
            <v>11.870949885755934</v>
          </cell>
          <cell r="MB2046">
            <v>9.6544719773798295</v>
          </cell>
          <cell r="MC2046">
            <v>14.087427794132038</v>
          </cell>
        </row>
        <row r="2047">
          <cell r="A2047">
            <v>42391</v>
          </cell>
          <cell r="LJ2047">
            <v>17.286080284572282</v>
          </cell>
          <cell r="LK2047">
            <v>20.020152274152959</v>
          </cell>
          <cell r="LL2047">
            <v>17.982747259685677</v>
          </cell>
          <cell r="LM2047">
            <v>15.721193701553757</v>
          </cell>
          <cell r="LN2047">
            <v>20.244300817817596</v>
          </cell>
          <cell r="LY2047">
            <v>13.086341672060145</v>
          </cell>
          <cell r="LZ2047">
            <v>14.730476692982464</v>
          </cell>
          <cell r="MA2047">
            <v>11.870949885755934</v>
          </cell>
          <cell r="MB2047">
            <v>9.6544719773798295</v>
          </cell>
          <cell r="MC2047">
            <v>14.087427794132038</v>
          </cell>
        </row>
        <row r="2048">
          <cell r="A2048">
            <v>42394</v>
          </cell>
          <cell r="LJ2048">
            <v>17.082923606493246</v>
          </cell>
          <cell r="LK2048">
            <v>20.020152274152959</v>
          </cell>
          <cell r="LL2048">
            <v>17.982747259685677</v>
          </cell>
          <cell r="LM2048">
            <v>15.721193701553757</v>
          </cell>
          <cell r="LN2048">
            <v>20.244300817817596</v>
          </cell>
          <cell r="LY2048">
            <v>12.978069412962579</v>
          </cell>
          <cell r="LZ2048">
            <v>14.730476692982464</v>
          </cell>
          <cell r="MA2048">
            <v>11.870949885755934</v>
          </cell>
          <cell r="MB2048">
            <v>9.6544719773798295</v>
          </cell>
          <cell r="MC2048">
            <v>14.087427794132038</v>
          </cell>
        </row>
        <row r="2049">
          <cell r="A2049">
            <v>42395</v>
          </cell>
          <cell r="LJ2049">
            <v>17.161428261405508</v>
          </cell>
          <cell r="LK2049">
            <v>20.020152274152959</v>
          </cell>
          <cell r="LL2049">
            <v>17.982747259685677</v>
          </cell>
          <cell r="LM2049">
            <v>15.721193701553757</v>
          </cell>
          <cell r="LN2049">
            <v>20.244300817817596</v>
          </cell>
          <cell r="LY2049">
            <v>13.022684066096197</v>
          </cell>
          <cell r="LZ2049">
            <v>14.730476692982464</v>
          </cell>
          <cell r="MA2049">
            <v>11.870949885755934</v>
          </cell>
          <cell r="MB2049">
            <v>9.6544719773798295</v>
          </cell>
          <cell r="MC2049">
            <v>14.087427794132038</v>
          </cell>
        </row>
        <row r="2050">
          <cell r="A2050">
            <v>42396</v>
          </cell>
          <cell r="LJ2050">
            <v>17.108613806297722</v>
          </cell>
          <cell r="LK2050">
            <v>20.020152274152959</v>
          </cell>
          <cell r="LL2050">
            <v>17.982747259685677</v>
          </cell>
          <cell r="LM2050">
            <v>15.721193701553757</v>
          </cell>
          <cell r="LN2050">
            <v>20.244300817817596</v>
          </cell>
          <cell r="LY2050">
            <v>12.78590835452092</v>
          </cell>
          <cell r="LZ2050">
            <v>14.730476692982464</v>
          </cell>
          <cell r="MA2050">
            <v>11.870949885755934</v>
          </cell>
          <cell r="MB2050">
            <v>9.6544719773798295</v>
          </cell>
          <cell r="MC2050">
            <v>14.087427794132038</v>
          </cell>
        </row>
        <row r="2051">
          <cell r="A2051">
            <v>42397</v>
          </cell>
          <cell r="LJ2051">
            <v>17.252692503495656</v>
          </cell>
          <cell r="LK2051">
            <v>20.020152274152959</v>
          </cell>
          <cell r="LL2051">
            <v>17.982747259685677</v>
          </cell>
          <cell r="LM2051">
            <v>15.721193701553757</v>
          </cell>
          <cell r="LN2051">
            <v>20.244300817817596</v>
          </cell>
          <cell r="LY2051">
            <v>12.85590172207684</v>
          </cell>
          <cell r="LZ2051">
            <v>14.730476692982464</v>
          </cell>
          <cell r="MA2051">
            <v>11.870949885755934</v>
          </cell>
          <cell r="MB2051">
            <v>9.6544719773798295</v>
          </cell>
          <cell r="MC2051">
            <v>14.087427794132038</v>
          </cell>
        </row>
        <row r="2052">
          <cell r="A2052">
            <v>42398</v>
          </cell>
          <cell r="LJ2052">
            <v>17.697631703376008</v>
          </cell>
          <cell r="LK2052">
            <v>20.020152274152959</v>
          </cell>
          <cell r="LL2052">
            <v>17.982747259685677</v>
          </cell>
          <cell r="LM2052">
            <v>15.721193701553757</v>
          </cell>
          <cell r="LN2052">
            <v>20.244300817817596</v>
          </cell>
          <cell r="LY2052">
            <v>13.128099800624407</v>
          </cell>
          <cell r="LZ2052">
            <v>14.730476692982464</v>
          </cell>
          <cell r="MA2052">
            <v>11.870949885755934</v>
          </cell>
          <cell r="MB2052">
            <v>9.6544719773798295</v>
          </cell>
          <cell r="MC2052">
            <v>14.087427794132038</v>
          </cell>
        </row>
        <row r="2053">
          <cell r="A2053">
            <v>42401</v>
          </cell>
          <cell r="LJ2053">
            <v>17.42033554476556</v>
          </cell>
          <cell r="LK2053">
            <v>20.020152274152959</v>
          </cell>
          <cell r="LL2053">
            <v>17.982747259685677</v>
          </cell>
          <cell r="LM2053">
            <v>15.721193701553757</v>
          </cell>
          <cell r="LN2053">
            <v>20.244300817817596</v>
          </cell>
          <cell r="LY2053">
            <v>12.954505300292785</v>
          </cell>
          <cell r="LZ2053">
            <v>14.730476692982464</v>
          </cell>
          <cell r="MA2053">
            <v>11.870949885755934</v>
          </cell>
          <cell r="MB2053">
            <v>9.6544719773798295</v>
          </cell>
          <cell r="MC2053">
            <v>14.087427794132038</v>
          </cell>
        </row>
        <row r="2054">
          <cell r="A2054">
            <v>42402</v>
          </cell>
          <cell r="LJ2054">
            <v>17.11820176024619</v>
          </cell>
          <cell r="LK2054">
            <v>20.020152274152959</v>
          </cell>
          <cell r="LL2054">
            <v>17.982747259685677</v>
          </cell>
          <cell r="LM2054">
            <v>15.721193701553757</v>
          </cell>
          <cell r="LN2054">
            <v>20.244300817817596</v>
          </cell>
          <cell r="LY2054">
            <v>12.765815247062172</v>
          </cell>
          <cell r="LZ2054">
            <v>14.730476692982464</v>
          </cell>
          <cell r="MA2054">
            <v>11.870949885755934</v>
          </cell>
          <cell r="MB2054">
            <v>9.6544719773798295</v>
          </cell>
          <cell r="MC2054">
            <v>14.087427794132038</v>
          </cell>
        </row>
        <row r="2055">
          <cell r="A2055">
            <v>42403</v>
          </cell>
          <cell r="LJ2055">
            <v>17.243837010853557</v>
          </cell>
          <cell r="LK2055">
            <v>20.020152274152959</v>
          </cell>
          <cell r="LL2055">
            <v>17.982747259685677</v>
          </cell>
          <cell r="LM2055">
            <v>15.721193701553757</v>
          </cell>
          <cell r="LN2055">
            <v>20.244300817817596</v>
          </cell>
          <cell r="LY2055">
            <v>12.849582934016508</v>
          </cell>
          <cell r="LZ2055">
            <v>14.730476692982464</v>
          </cell>
          <cell r="MA2055">
            <v>11.870949885755934</v>
          </cell>
          <cell r="MB2055">
            <v>9.6544719773798295</v>
          </cell>
          <cell r="MC2055">
            <v>14.087427794132038</v>
          </cell>
        </row>
        <row r="2056">
          <cell r="A2056">
            <v>42404</v>
          </cell>
          <cell r="LJ2056">
            <v>17.529747919041235</v>
          </cell>
          <cell r="LK2056">
            <v>20.020152274152959</v>
          </cell>
          <cell r="LL2056">
            <v>17.982747259685677</v>
          </cell>
          <cell r="LM2056">
            <v>15.721193701553757</v>
          </cell>
          <cell r="LN2056">
            <v>20.244300817817596</v>
          </cell>
          <cell r="LY2056">
            <v>13.02587105712834</v>
          </cell>
          <cell r="LZ2056">
            <v>14.730476692982464</v>
          </cell>
          <cell r="MA2056">
            <v>11.870949885755934</v>
          </cell>
          <cell r="MB2056">
            <v>9.6544719773798295</v>
          </cell>
          <cell r="MC2056">
            <v>14.087427794132038</v>
          </cell>
        </row>
        <row r="2057">
          <cell r="A2057">
            <v>42405</v>
          </cell>
          <cell r="LJ2057">
            <v>17.224801636601136</v>
          </cell>
          <cell r="LK2057">
            <v>20.020152274152959</v>
          </cell>
          <cell r="LL2057">
            <v>17.982747259685677</v>
          </cell>
          <cell r="LM2057">
            <v>15.721193701553757</v>
          </cell>
          <cell r="LN2057">
            <v>20.244300817817596</v>
          </cell>
          <cell r="LY2057">
            <v>12.843373434489848</v>
          </cell>
          <cell r="LZ2057">
            <v>14.730476692982464</v>
          </cell>
          <cell r="MA2057">
            <v>11.870949885755934</v>
          </cell>
          <cell r="MB2057">
            <v>9.6544719773798295</v>
          </cell>
          <cell r="MC2057">
            <v>14.087427794132038</v>
          </cell>
        </row>
        <row r="2058">
          <cell r="A2058">
            <v>42408</v>
          </cell>
          <cell r="LJ2058">
            <v>16.975231844197097</v>
          </cell>
          <cell r="LK2058">
            <v>20.020152274152959</v>
          </cell>
          <cell r="LL2058">
            <v>17.982747259685677</v>
          </cell>
          <cell r="LM2058">
            <v>15.721193701553757</v>
          </cell>
          <cell r="LN2058">
            <v>20.244300817817596</v>
          </cell>
          <cell r="LY2058">
            <v>12.730904466530518</v>
          </cell>
          <cell r="LZ2058">
            <v>14.730476692982464</v>
          </cell>
          <cell r="MA2058">
            <v>11.870949885755934</v>
          </cell>
          <cell r="MB2058">
            <v>9.6544719773798295</v>
          </cell>
          <cell r="MC2058">
            <v>14.087427794132038</v>
          </cell>
        </row>
        <row r="2059">
          <cell r="A2059">
            <v>42409</v>
          </cell>
          <cell r="LJ2059">
            <v>17.192943405976447</v>
          </cell>
          <cell r="LK2059">
            <v>20.020152274152959</v>
          </cell>
          <cell r="LL2059">
            <v>17.982747259685677</v>
          </cell>
          <cell r="LM2059">
            <v>15.721193701553757</v>
          </cell>
          <cell r="LN2059">
            <v>20.244300817817596</v>
          </cell>
          <cell r="LY2059">
            <v>12.940962805569285</v>
          </cell>
          <cell r="LZ2059">
            <v>14.730476692982464</v>
          </cell>
          <cell r="MA2059">
            <v>11.870949885755934</v>
          </cell>
          <cell r="MB2059">
            <v>9.6544719773798295</v>
          </cell>
          <cell r="MC2059">
            <v>14.087427794132038</v>
          </cell>
        </row>
        <row r="2060">
          <cell r="A2060">
            <v>42410</v>
          </cell>
          <cell r="LJ2060">
            <v>17.196980589070488</v>
          </cell>
          <cell r="LK2060">
            <v>20.020152274152959</v>
          </cell>
          <cell r="LL2060">
            <v>17.982747259685677</v>
          </cell>
          <cell r="LM2060">
            <v>15.721193701553757</v>
          </cell>
          <cell r="LN2060">
            <v>20.244300817817596</v>
          </cell>
          <cell r="LY2060">
            <v>12.943477956143658</v>
          </cell>
          <cell r="LZ2060">
            <v>14.730476692982464</v>
          </cell>
          <cell r="MA2060">
            <v>11.870949885755934</v>
          </cell>
          <cell r="MB2060">
            <v>9.6544719773798295</v>
          </cell>
          <cell r="MC2060">
            <v>14.087427794132038</v>
          </cell>
        </row>
        <row r="2061">
          <cell r="A2061">
            <v>42411</v>
          </cell>
          <cell r="LJ2061">
            <v>16.870032129553284</v>
          </cell>
          <cell r="LK2061">
            <v>20.020152274152959</v>
          </cell>
          <cell r="LL2061">
            <v>17.982747259685677</v>
          </cell>
          <cell r="LM2061">
            <v>15.721193701553757</v>
          </cell>
          <cell r="LN2061">
            <v>20.244300817817596</v>
          </cell>
          <cell r="LY2061">
            <v>12.739790239587389</v>
          </cell>
          <cell r="LZ2061">
            <v>14.730476692982464</v>
          </cell>
          <cell r="MA2061">
            <v>11.870949885755934</v>
          </cell>
          <cell r="MB2061">
            <v>9.6544719773798295</v>
          </cell>
          <cell r="MC2061">
            <v>14.087427794132038</v>
          </cell>
        </row>
        <row r="2062">
          <cell r="A2062">
            <v>42412</v>
          </cell>
          <cell r="LJ2062">
            <v>17.138451525146401</v>
          </cell>
          <cell r="LK2062">
            <v>20.020152274152959</v>
          </cell>
          <cell r="LL2062">
            <v>17.982747259685677</v>
          </cell>
          <cell r="LM2062">
            <v>15.721193701553757</v>
          </cell>
          <cell r="LN2062">
            <v>20.244300817817596</v>
          </cell>
          <cell r="LY2062">
            <v>12.907014559434348</v>
          </cell>
          <cell r="LZ2062">
            <v>14.730476692982464</v>
          </cell>
          <cell r="MA2062">
            <v>11.870949885755934</v>
          </cell>
          <cell r="MB2062">
            <v>9.6544719773798295</v>
          </cell>
          <cell r="MC2062">
            <v>14.087427794132038</v>
          </cell>
        </row>
        <row r="2063">
          <cell r="A2063">
            <v>42415</v>
          </cell>
          <cell r="LJ2063">
            <v>17.138451525146401</v>
          </cell>
          <cell r="LK2063">
            <v>20.020152274152959</v>
          </cell>
          <cell r="LL2063">
            <v>17.982747259685677</v>
          </cell>
          <cell r="LM2063">
            <v>15.721193701553757</v>
          </cell>
          <cell r="LN2063">
            <v>20.244300817817596</v>
          </cell>
          <cell r="LY2063">
            <v>12.907014559434348</v>
          </cell>
          <cell r="LZ2063">
            <v>14.730476692982464</v>
          </cell>
          <cell r="MA2063">
            <v>11.870949885755934</v>
          </cell>
          <cell r="MB2063">
            <v>9.6544719773798295</v>
          </cell>
          <cell r="MC2063">
            <v>14.087427794132038</v>
          </cell>
        </row>
        <row r="2064">
          <cell r="A2064">
            <v>42416</v>
          </cell>
          <cell r="LJ2064">
            <v>17.455308439660026</v>
          </cell>
          <cell r="LK2064">
            <v>20.020152274152959</v>
          </cell>
          <cell r="LL2064">
            <v>17.982747259685677</v>
          </cell>
          <cell r="LM2064">
            <v>15.721193701553757</v>
          </cell>
          <cell r="LN2064">
            <v>20.244300817817596</v>
          </cell>
          <cell r="LY2064">
            <v>13.104415279681353</v>
          </cell>
          <cell r="LZ2064">
            <v>14.730476692982464</v>
          </cell>
          <cell r="MA2064">
            <v>11.870949885755934</v>
          </cell>
          <cell r="MB2064">
            <v>9.6544719773798295</v>
          </cell>
          <cell r="MC2064">
            <v>14.087427794132038</v>
          </cell>
        </row>
        <row r="2065">
          <cell r="A2065">
            <v>42417</v>
          </cell>
          <cell r="LJ2065">
            <v>17.572363742045134</v>
          </cell>
          <cell r="LK2065">
            <v>20.020152274152959</v>
          </cell>
          <cell r="LL2065">
            <v>17.982747259685677</v>
          </cell>
          <cell r="LM2065">
            <v>15.721193701553757</v>
          </cell>
          <cell r="LN2065">
            <v>20.244300817817596</v>
          </cell>
          <cell r="LY2065">
            <v>13.177340312846619</v>
          </cell>
          <cell r="LZ2065">
            <v>14.730476692982464</v>
          </cell>
          <cell r="MA2065">
            <v>11.870949885755934</v>
          </cell>
          <cell r="MB2065">
            <v>9.6544719773798295</v>
          </cell>
          <cell r="MC2065">
            <v>14.087427794132038</v>
          </cell>
        </row>
        <row r="2066">
          <cell r="A2066">
            <v>42418</v>
          </cell>
          <cell r="LJ2066">
            <v>17.491634409298413</v>
          </cell>
          <cell r="LK2066">
            <v>20.020152274152959</v>
          </cell>
          <cell r="LL2066">
            <v>17.982747259685677</v>
          </cell>
          <cell r="LM2066">
            <v>15.721193701553757</v>
          </cell>
          <cell r="LN2066">
            <v>20.244300817817596</v>
          </cell>
          <cell r="LY2066">
            <v>13.127046228358282</v>
          </cell>
          <cell r="LZ2066">
            <v>14.730476692982464</v>
          </cell>
          <cell r="MA2066">
            <v>11.870949885755934</v>
          </cell>
          <cell r="MB2066">
            <v>9.6544719773798295</v>
          </cell>
          <cell r="MC2066">
            <v>14.087427794132038</v>
          </cell>
        </row>
        <row r="2067">
          <cell r="A2067">
            <v>42419</v>
          </cell>
          <cell r="LJ2067">
            <v>17.487597024385579</v>
          </cell>
          <cell r="LK2067">
            <v>20.020152274152959</v>
          </cell>
          <cell r="LL2067">
            <v>17.982747259685677</v>
          </cell>
          <cell r="LM2067">
            <v>15.721193701553757</v>
          </cell>
          <cell r="LN2067">
            <v>20.244300817817596</v>
          </cell>
          <cell r="LY2067">
            <v>13.124530952051529</v>
          </cell>
          <cell r="LZ2067">
            <v>14.730476692982464</v>
          </cell>
          <cell r="MA2067">
            <v>11.870949885755934</v>
          </cell>
          <cell r="MB2067">
            <v>9.6544719773798295</v>
          </cell>
          <cell r="MC2067">
            <v>14.087427794132038</v>
          </cell>
        </row>
        <row r="2068">
          <cell r="A2068">
            <v>42422</v>
          </cell>
          <cell r="LJ2068">
            <v>17.709598905336733</v>
          </cell>
          <cell r="LK2068">
            <v>20.020152274152959</v>
          </cell>
          <cell r="LL2068">
            <v>17.982747259685677</v>
          </cell>
          <cell r="LM2068">
            <v>15.721193701553757</v>
          </cell>
          <cell r="LN2068">
            <v>20.244300817817596</v>
          </cell>
          <cell r="LY2068">
            <v>13.262837326912294</v>
          </cell>
          <cell r="LZ2068">
            <v>14.730476692982464</v>
          </cell>
          <cell r="MA2068">
            <v>11.870949885755934</v>
          </cell>
          <cell r="MB2068">
            <v>9.6544719773798295</v>
          </cell>
          <cell r="MC2068">
            <v>14.087427794132038</v>
          </cell>
        </row>
        <row r="2069">
          <cell r="A2069">
            <v>42423</v>
          </cell>
          <cell r="LJ2069">
            <v>17.622818439781138</v>
          </cell>
          <cell r="LK2069">
            <v>20.020152274152959</v>
          </cell>
          <cell r="LL2069">
            <v>17.982747259685677</v>
          </cell>
          <cell r="LM2069">
            <v>15.721193701553757</v>
          </cell>
          <cell r="LN2069">
            <v>20.244300817817596</v>
          </cell>
          <cell r="LY2069">
            <v>13.208773408407183</v>
          </cell>
          <cell r="LZ2069">
            <v>14.730476692982464</v>
          </cell>
          <cell r="MA2069">
            <v>11.870949885755934</v>
          </cell>
          <cell r="MB2069">
            <v>9.6544719773798295</v>
          </cell>
          <cell r="MC2069">
            <v>14.087427794132038</v>
          </cell>
        </row>
        <row r="2070">
          <cell r="A2070">
            <v>42424</v>
          </cell>
          <cell r="LJ2070">
            <v>17.598597964861156</v>
          </cell>
          <cell r="LK2070">
            <v>20.020152274152959</v>
          </cell>
          <cell r="LL2070">
            <v>17.982747259685677</v>
          </cell>
          <cell r="LM2070">
            <v>15.721193701553757</v>
          </cell>
          <cell r="LN2070">
            <v>20.244300817817596</v>
          </cell>
          <cell r="LY2070">
            <v>13.223590706993438</v>
          </cell>
          <cell r="LZ2070">
            <v>14.730476692982464</v>
          </cell>
          <cell r="MA2070">
            <v>11.870949885755934</v>
          </cell>
          <cell r="MB2070">
            <v>9.6544719773798295</v>
          </cell>
          <cell r="MC2070">
            <v>14.087427794132038</v>
          </cell>
        </row>
        <row r="2071">
          <cell r="A2071">
            <v>42425</v>
          </cell>
          <cell r="LJ2071">
            <v>17.812525479624224</v>
          </cell>
          <cell r="LK2071">
            <v>20.020152274152959</v>
          </cell>
          <cell r="LL2071">
            <v>17.982747259685677</v>
          </cell>
          <cell r="LM2071">
            <v>15.721193701553757</v>
          </cell>
          <cell r="LN2071">
            <v>20.244300817817596</v>
          </cell>
          <cell r="LY2071">
            <v>13.357230323169217</v>
          </cell>
          <cell r="LZ2071">
            <v>14.730476692982464</v>
          </cell>
          <cell r="MA2071">
            <v>11.870949885755934</v>
          </cell>
          <cell r="MB2071">
            <v>9.6544719773798295</v>
          </cell>
          <cell r="MC2071">
            <v>14.087427794132038</v>
          </cell>
        </row>
        <row r="2072">
          <cell r="A2072">
            <v>42426</v>
          </cell>
          <cell r="LJ2072">
            <v>17.976001323933151</v>
          </cell>
          <cell r="LK2072">
            <v>20.020152274152959</v>
          </cell>
          <cell r="LL2072">
            <v>17.982747259685677</v>
          </cell>
          <cell r="LM2072">
            <v>15.721193701553757</v>
          </cell>
          <cell r="LN2072">
            <v>20.244300817817596</v>
          </cell>
          <cell r="LY2072">
            <v>13.459352993605753</v>
          </cell>
          <cell r="LZ2072">
            <v>14.730476692982464</v>
          </cell>
          <cell r="MA2072">
            <v>11.870949885755934</v>
          </cell>
          <cell r="MB2072">
            <v>9.6544719773798295</v>
          </cell>
          <cell r="MC2072">
            <v>14.087427794132038</v>
          </cell>
        </row>
        <row r="2073">
          <cell r="A2073">
            <v>42429</v>
          </cell>
          <cell r="LJ2073">
            <v>18.016364476665579</v>
          </cell>
          <cell r="LK2073">
            <v>20.020152274152959</v>
          </cell>
          <cell r="LL2073">
            <v>17.982747259685677</v>
          </cell>
          <cell r="LM2073">
            <v>15.721193701553757</v>
          </cell>
          <cell r="LN2073">
            <v>20.244300817817596</v>
          </cell>
          <cell r="LY2073">
            <v>13.484567684875275</v>
          </cell>
          <cell r="LZ2073">
            <v>14.730476692982464</v>
          </cell>
          <cell r="MA2073">
            <v>11.870949885755934</v>
          </cell>
          <cell r="MB2073">
            <v>9.6544719773798295</v>
          </cell>
          <cell r="MC2073">
            <v>14.087427794132038</v>
          </cell>
        </row>
        <row r="2074">
          <cell r="A2074">
            <v>42430</v>
          </cell>
          <cell r="LJ2074">
            <v>18.143133895717042</v>
          </cell>
          <cell r="LK2074">
            <v>20.020152274152959</v>
          </cell>
          <cell r="LL2074">
            <v>17.982747259685677</v>
          </cell>
          <cell r="LM2074">
            <v>15.721193701553757</v>
          </cell>
          <cell r="LN2074">
            <v>20.244300817817596</v>
          </cell>
          <cell r="LY2074">
            <v>13.555490104724083</v>
          </cell>
          <cell r="LZ2074">
            <v>14.730476692982464</v>
          </cell>
          <cell r="MA2074">
            <v>11.870949885755934</v>
          </cell>
          <cell r="MB2074">
            <v>9.6544719773798295</v>
          </cell>
          <cell r="MC2074">
            <v>14.087427794132038</v>
          </cell>
        </row>
        <row r="2075">
          <cell r="A2075">
            <v>42431</v>
          </cell>
          <cell r="LJ2075">
            <v>18.121105609652307</v>
          </cell>
          <cell r="LK2075">
            <v>20.020152274152959</v>
          </cell>
          <cell r="LL2075">
            <v>17.982747259685677</v>
          </cell>
          <cell r="LM2075">
            <v>15.721193701553757</v>
          </cell>
          <cell r="LN2075">
            <v>20.244300817817596</v>
          </cell>
          <cell r="LY2075">
            <v>13.541719980512351</v>
          </cell>
          <cell r="LZ2075">
            <v>14.730476692982464</v>
          </cell>
          <cell r="MA2075">
            <v>11.870949885755934</v>
          </cell>
          <cell r="MB2075">
            <v>9.6544719773798295</v>
          </cell>
          <cell r="MC2075">
            <v>14.087427794132038</v>
          </cell>
        </row>
        <row r="2076">
          <cell r="A2076">
            <v>42432</v>
          </cell>
          <cell r="LJ2076">
            <v>18.189191619314627</v>
          </cell>
          <cell r="LK2076">
            <v>20.020152274152959</v>
          </cell>
          <cell r="LL2076">
            <v>17.982747259685677</v>
          </cell>
          <cell r="LM2076">
            <v>15.721193701553757</v>
          </cell>
          <cell r="LN2076">
            <v>20.244300817817596</v>
          </cell>
          <cell r="LY2076">
            <v>13.584281294968507</v>
          </cell>
          <cell r="LZ2076">
            <v>14.730476692982464</v>
          </cell>
          <cell r="MA2076">
            <v>11.870949885755934</v>
          </cell>
          <cell r="MB2076">
            <v>9.6544719773798295</v>
          </cell>
          <cell r="MC2076">
            <v>14.087427794132038</v>
          </cell>
        </row>
        <row r="2077">
          <cell r="A2077">
            <v>42433</v>
          </cell>
          <cell r="LJ2077">
            <v>18.165161981526449</v>
          </cell>
          <cell r="LK2077">
            <v>20.020152274152959</v>
          </cell>
          <cell r="LL2077">
            <v>17.982747259685677</v>
          </cell>
          <cell r="LM2077">
            <v>15.721193701553757</v>
          </cell>
          <cell r="LN2077">
            <v>20.244300817817596</v>
          </cell>
          <cell r="LY2077">
            <v>13.574124154004926</v>
          </cell>
          <cell r="LZ2077">
            <v>14.730476692982464</v>
          </cell>
          <cell r="MA2077">
            <v>11.870949885755934</v>
          </cell>
          <cell r="MB2077">
            <v>9.6544719773798295</v>
          </cell>
          <cell r="MC2077">
            <v>14.087427794132038</v>
          </cell>
        </row>
        <row r="2078">
          <cell r="A2078">
            <v>42436</v>
          </cell>
          <cell r="LJ2078">
            <v>18.07104177826729</v>
          </cell>
          <cell r="LK2078">
            <v>20.020152274152959</v>
          </cell>
          <cell r="LL2078">
            <v>17.982747259685677</v>
          </cell>
          <cell r="LM2078">
            <v>15.721193701553757</v>
          </cell>
          <cell r="LN2078">
            <v>20.244300817817596</v>
          </cell>
          <cell r="LY2078">
            <v>13.515288578422538</v>
          </cell>
          <cell r="LZ2078">
            <v>14.730476692982464</v>
          </cell>
          <cell r="MA2078">
            <v>11.870949885755934</v>
          </cell>
          <cell r="MB2078">
            <v>9.6544719773798295</v>
          </cell>
          <cell r="MC2078">
            <v>14.087427794132038</v>
          </cell>
        </row>
        <row r="2079">
          <cell r="A2079">
            <v>42437</v>
          </cell>
          <cell r="LJ2079">
            <v>17.81271060602268</v>
          </cell>
          <cell r="LK2079">
            <v>20.020152274152959</v>
          </cell>
          <cell r="LL2079">
            <v>17.982747259685677</v>
          </cell>
          <cell r="LM2079">
            <v>15.721193701553757</v>
          </cell>
          <cell r="LN2079">
            <v>20.244300817817596</v>
          </cell>
          <cell r="LY2079">
            <v>13.353802917708071</v>
          </cell>
          <cell r="LZ2079">
            <v>14.730476692982464</v>
          </cell>
          <cell r="MA2079">
            <v>11.870949885755934</v>
          </cell>
          <cell r="MB2079">
            <v>9.6544719773798295</v>
          </cell>
          <cell r="MC2079">
            <v>14.087427794132038</v>
          </cell>
        </row>
        <row r="2080">
          <cell r="A2080">
            <v>42438</v>
          </cell>
          <cell r="LJ2080">
            <v>17.716589051040074</v>
          </cell>
          <cell r="LK2080">
            <v>20.020152274152959</v>
          </cell>
          <cell r="LL2080">
            <v>17.982747259685677</v>
          </cell>
          <cell r="LM2080">
            <v>15.721193701553757</v>
          </cell>
          <cell r="LN2080">
            <v>20.244300817817596</v>
          </cell>
          <cell r="LY2080">
            <v>13.293716275122911</v>
          </cell>
          <cell r="LZ2080">
            <v>14.730476692982464</v>
          </cell>
          <cell r="MA2080">
            <v>11.870949885755934</v>
          </cell>
          <cell r="MB2080">
            <v>9.6544719773798295</v>
          </cell>
          <cell r="MC2080">
            <v>14.087427794132038</v>
          </cell>
        </row>
        <row r="2081">
          <cell r="A2081">
            <v>42439</v>
          </cell>
          <cell r="LJ2081">
            <v>17.864778993216351</v>
          </cell>
          <cell r="LK2081">
            <v>20.020152274152959</v>
          </cell>
          <cell r="LL2081">
            <v>17.982747259685677</v>
          </cell>
          <cell r="LM2081">
            <v>15.721193701553757</v>
          </cell>
          <cell r="LN2081">
            <v>20.244300817817596</v>
          </cell>
          <cell r="LY2081">
            <v>13.398342026147523</v>
          </cell>
          <cell r="LZ2081">
            <v>14.730476692982464</v>
          </cell>
          <cell r="MA2081">
            <v>11.870949885755934</v>
          </cell>
          <cell r="MB2081">
            <v>9.6544719773798295</v>
          </cell>
          <cell r="MC2081">
            <v>14.087427794132038</v>
          </cell>
        </row>
        <row r="2082">
          <cell r="A2082">
            <v>42440</v>
          </cell>
          <cell r="LJ2082">
            <v>18.145135247440486</v>
          </cell>
          <cell r="LK2082">
            <v>20.020152274152959</v>
          </cell>
          <cell r="LL2082">
            <v>17.982747259685677</v>
          </cell>
          <cell r="LM2082">
            <v>15.721193701553757</v>
          </cell>
          <cell r="LN2082">
            <v>20.244300817817596</v>
          </cell>
          <cell r="LY2082">
            <v>13.573752788622615</v>
          </cell>
          <cell r="LZ2082">
            <v>14.730476692982464</v>
          </cell>
          <cell r="MA2082">
            <v>11.870949885755934</v>
          </cell>
          <cell r="MB2082">
            <v>9.6544719773798295</v>
          </cell>
          <cell r="MC2082">
            <v>14.087427794132038</v>
          </cell>
        </row>
        <row r="2083">
          <cell r="A2083">
            <v>42443</v>
          </cell>
          <cell r="LJ2083">
            <v>18.319356379383716</v>
          </cell>
          <cell r="LK2083">
            <v>20.020152274152959</v>
          </cell>
          <cell r="LL2083">
            <v>17.982747259685677</v>
          </cell>
          <cell r="LM2083">
            <v>15.721193701553757</v>
          </cell>
          <cell r="LN2083">
            <v>20.244300817817596</v>
          </cell>
          <cell r="LY2083">
            <v>13.682757888858415</v>
          </cell>
          <cell r="LZ2083">
            <v>14.730476692982464</v>
          </cell>
          <cell r="MA2083">
            <v>11.870949885755934</v>
          </cell>
          <cell r="MB2083">
            <v>9.6544719773798295</v>
          </cell>
          <cell r="MC2083">
            <v>14.087427794132038</v>
          </cell>
        </row>
        <row r="2084">
          <cell r="A2084">
            <v>42444</v>
          </cell>
          <cell r="LJ2084">
            <v>18.371938473742965</v>
          </cell>
          <cell r="LK2084">
            <v>20.020152274152959</v>
          </cell>
          <cell r="LL2084">
            <v>17.982747259685677</v>
          </cell>
          <cell r="LM2084">
            <v>15.721193701553757</v>
          </cell>
          <cell r="LN2084">
            <v>20.244300817817596</v>
          </cell>
          <cell r="LY2084">
            <v>13.711576873002388</v>
          </cell>
          <cell r="LZ2084">
            <v>14.730476692982464</v>
          </cell>
          <cell r="MA2084">
            <v>11.870949885755934</v>
          </cell>
          <cell r="MB2084">
            <v>9.6544719773798295</v>
          </cell>
          <cell r="MC2084">
            <v>14.087427794132038</v>
          </cell>
        </row>
        <row r="2085">
          <cell r="A2085">
            <v>42445</v>
          </cell>
          <cell r="LJ2085">
            <v>18.287798768092603</v>
          </cell>
          <cell r="LK2085">
            <v>20.020152274152959</v>
          </cell>
          <cell r="LL2085">
            <v>17.982747259685677</v>
          </cell>
          <cell r="LM2085">
            <v>15.721193701553757</v>
          </cell>
          <cell r="LN2085">
            <v>20.244300817817596</v>
          </cell>
          <cell r="LY2085">
            <v>13.658951789909564</v>
          </cell>
          <cell r="LZ2085">
            <v>14.730476692982464</v>
          </cell>
          <cell r="MA2085">
            <v>11.870949885755934</v>
          </cell>
          <cell r="MB2085">
            <v>9.6544719773798295</v>
          </cell>
          <cell r="MC2085">
            <v>14.087427794132038</v>
          </cell>
        </row>
        <row r="2086">
          <cell r="A2086">
            <v>42446</v>
          </cell>
          <cell r="LJ2086">
            <v>18.740538507497966</v>
          </cell>
          <cell r="LK2086">
            <v>20.020152274152959</v>
          </cell>
          <cell r="LL2086">
            <v>17.982747259685677</v>
          </cell>
          <cell r="LM2086">
            <v>15.721193701553757</v>
          </cell>
          <cell r="LN2086">
            <v>20.244300817817596</v>
          </cell>
          <cell r="LY2086">
            <v>13.942117344405752</v>
          </cell>
          <cell r="LZ2086">
            <v>14.730476692982464</v>
          </cell>
          <cell r="MA2086">
            <v>11.870949885755934</v>
          </cell>
          <cell r="MB2086">
            <v>9.6544719773798295</v>
          </cell>
          <cell r="MC2086">
            <v>14.087427794132038</v>
          </cell>
        </row>
        <row r="2087">
          <cell r="A2087">
            <v>42447</v>
          </cell>
          <cell r="LJ2087">
            <v>19.089104495775864</v>
          </cell>
          <cell r="LK2087">
            <v>20.020152274152959</v>
          </cell>
          <cell r="LL2087">
            <v>17.982747259685677</v>
          </cell>
          <cell r="LM2087">
            <v>15.721193701553757</v>
          </cell>
          <cell r="LN2087">
            <v>20.244300817817596</v>
          </cell>
          <cell r="LY2087">
            <v>14.160127544877348</v>
          </cell>
          <cell r="LZ2087">
            <v>14.730476692982464</v>
          </cell>
          <cell r="MA2087">
            <v>11.870949885755934</v>
          </cell>
          <cell r="MB2087">
            <v>9.6544719773798295</v>
          </cell>
          <cell r="MC2087">
            <v>14.087427794132038</v>
          </cell>
        </row>
        <row r="2088">
          <cell r="A2088">
            <v>42450</v>
          </cell>
          <cell r="LJ2088">
            <v>19.002965532334937</v>
          </cell>
          <cell r="LK2088">
            <v>20.020152274152959</v>
          </cell>
          <cell r="LL2088">
            <v>17.982747259685677</v>
          </cell>
          <cell r="LM2088">
            <v>15.721193701553757</v>
          </cell>
          <cell r="LN2088">
            <v>20.244300817817596</v>
          </cell>
          <cell r="LY2088">
            <v>14.106252028275881</v>
          </cell>
          <cell r="LZ2088">
            <v>14.730476692982464</v>
          </cell>
          <cell r="MA2088">
            <v>11.870949885755934</v>
          </cell>
          <cell r="MB2088">
            <v>9.6544719773798295</v>
          </cell>
          <cell r="MC2088">
            <v>14.087427794132038</v>
          </cell>
        </row>
        <row r="2089">
          <cell r="A2089">
            <v>42451</v>
          </cell>
          <cell r="LJ2089">
            <v>19.016986779957939</v>
          </cell>
          <cell r="LK2089">
            <v>20.020152274152959</v>
          </cell>
          <cell r="LL2089">
            <v>17.982747259685677</v>
          </cell>
          <cell r="LM2089">
            <v>15.721193701553757</v>
          </cell>
          <cell r="LN2089">
            <v>20.244300817817596</v>
          </cell>
          <cell r="LY2089">
            <v>14.115021601636307</v>
          </cell>
          <cell r="LZ2089">
            <v>14.730476692982464</v>
          </cell>
          <cell r="MA2089">
            <v>11.870949885755934</v>
          </cell>
          <cell r="MB2089">
            <v>9.6544719773798295</v>
          </cell>
          <cell r="MC2089">
            <v>14.087427794132038</v>
          </cell>
        </row>
        <row r="2090">
          <cell r="A2090">
            <v>42452</v>
          </cell>
          <cell r="LJ2090">
            <v>18.991605966216007</v>
          </cell>
          <cell r="LK2090">
            <v>20.020152274152959</v>
          </cell>
          <cell r="LL2090">
            <v>17.982747259685677</v>
          </cell>
          <cell r="LM2090">
            <v>15.721193701553757</v>
          </cell>
          <cell r="LN2090">
            <v>20.244300817817596</v>
          </cell>
          <cell r="LY2090">
            <v>14.098405090195254</v>
          </cell>
          <cell r="LZ2090">
            <v>14.730476692982464</v>
          </cell>
          <cell r="MA2090">
            <v>11.870949885755934</v>
          </cell>
          <cell r="MB2090">
            <v>9.6544719773798295</v>
          </cell>
          <cell r="MC2090">
            <v>14.087427794132038</v>
          </cell>
        </row>
        <row r="2091">
          <cell r="A2091">
            <v>42453</v>
          </cell>
          <cell r="LJ2091">
            <v>18.979591432150162</v>
          </cell>
          <cell r="LK2091">
            <v>20.020152274152959</v>
          </cell>
          <cell r="LL2091">
            <v>17.982747259685677</v>
          </cell>
          <cell r="LM2091">
            <v>15.721193701553757</v>
          </cell>
          <cell r="LN2091">
            <v>20.244300817817596</v>
          </cell>
          <cell r="LY2091">
            <v>14.090890551009917</v>
          </cell>
          <cell r="LZ2091">
            <v>14.730476692982464</v>
          </cell>
          <cell r="MA2091">
            <v>11.870949885755934</v>
          </cell>
          <cell r="MB2091">
            <v>9.6544719773798295</v>
          </cell>
          <cell r="MC2091">
            <v>14.087427794132038</v>
          </cell>
        </row>
        <row r="2092">
          <cell r="A2092">
            <v>42454</v>
          </cell>
          <cell r="LJ2092">
            <v>18.979591432150162</v>
          </cell>
          <cell r="LK2092">
            <v>20.020152274152959</v>
          </cell>
          <cell r="LL2092">
            <v>17.982747259685677</v>
          </cell>
          <cell r="LM2092">
            <v>15.721193701553757</v>
          </cell>
          <cell r="LN2092">
            <v>20.244300817817596</v>
          </cell>
          <cell r="LY2092">
            <v>14.090890551009917</v>
          </cell>
          <cell r="LZ2092">
            <v>14.730476692982464</v>
          </cell>
          <cell r="MA2092">
            <v>11.870949885755934</v>
          </cell>
          <cell r="MB2092">
            <v>9.6544719773798295</v>
          </cell>
          <cell r="MC2092">
            <v>14.087427794132038</v>
          </cell>
        </row>
        <row r="2093">
          <cell r="A2093">
            <v>42457</v>
          </cell>
          <cell r="LJ2093">
            <v>19.019640613282309</v>
          </cell>
          <cell r="LK2093">
            <v>20.020152274152959</v>
          </cell>
          <cell r="LL2093">
            <v>17.982747259685677</v>
          </cell>
          <cell r="LM2093">
            <v>15.721193701553757</v>
          </cell>
          <cell r="LN2093">
            <v>20.244300817817596</v>
          </cell>
          <cell r="LY2093">
            <v>14.115939474198195</v>
          </cell>
          <cell r="LZ2093">
            <v>14.730476692982464</v>
          </cell>
          <cell r="MA2093">
            <v>11.870949885755934</v>
          </cell>
          <cell r="MB2093">
            <v>9.6544719773798295</v>
          </cell>
          <cell r="MC2093">
            <v>14.087427794132038</v>
          </cell>
        </row>
        <row r="2094">
          <cell r="A2094">
            <v>42458</v>
          </cell>
          <cell r="LJ2094">
            <v>19.075710107663827</v>
          </cell>
          <cell r="LK2094">
            <v>20.020152274152959</v>
          </cell>
          <cell r="LL2094">
            <v>17.982747259685677</v>
          </cell>
          <cell r="LM2094">
            <v>15.721193701553757</v>
          </cell>
          <cell r="LN2094">
            <v>20.244300817817596</v>
          </cell>
          <cell r="LY2094">
            <v>14.151008367450565</v>
          </cell>
          <cell r="LZ2094">
            <v>14.730476692982464</v>
          </cell>
          <cell r="MA2094">
            <v>11.870949885755934</v>
          </cell>
          <cell r="MB2094">
            <v>9.6544719773798295</v>
          </cell>
          <cell r="MC2094">
            <v>14.087427794132038</v>
          </cell>
        </row>
        <row r="2095">
          <cell r="A2095">
            <v>42459</v>
          </cell>
          <cell r="LJ2095">
            <v>19.029653659498759</v>
          </cell>
          <cell r="LK2095">
            <v>20.020152274152959</v>
          </cell>
          <cell r="LL2095">
            <v>17.982747259685677</v>
          </cell>
          <cell r="LM2095">
            <v>15.721193701553757</v>
          </cell>
          <cell r="LN2095">
            <v>20.244300817817596</v>
          </cell>
          <cell r="LY2095">
            <v>14.122202174669617</v>
          </cell>
          <cell r="LZ2095">
            <v>14.730476692982464</v>
          </cell>
          <cell r="MA2095">
            <v>11.870949885755934</v>
          </cell>
          <cell r="MB2095">
            <v>9.6544719773798295</v>
          </cell>
          <cell r="MC2095">
            <v>14.087427794132038</v>
          </cell>
        </row>
        <row r="2096">
          <cell r="A2096">
            <v>42460</v>
          </cell>
          <cell r="LJ2096">
            <v>18.995611745399533</v>
          </cell>
          <cell r="LK2096">
            <v>20.020152274152959</v>
          </cell>
          <cell r="LL2096">
            <v>17.982747259685677</v>
          </cell>
          <cell r="LM2096">
            <v>15.721193701553757</v>
          </cell>
          <cell r="LN2096">
            <v>20.244300817817596</v>
          </cell>
          <cell r="LY2096">
            <v>14.100910521074008</v>
          </cell>
          <cell r="LZ2096">
            <v>14.730476692982464</v>
          </cell>
          <cell r="MA2096">
            <v>11.870949885755934</v>
          </cell>
          <cell r="MB2096">
            <v>9.6544719773798295</v>
          </cell>
          <cell r="MC2096">
            <v>14.087427794132038</v>
          </cell>
        </row>
        <row r="2097">
          <cell r="A2097">
            <v>42461</v>
          </cell>
          <cell r="LJ2097">
            <v>19.004801048780156</v>
          </cell>
          <cell r="LK2097">
            <v>20.020152274152959</v>
          </cell>
          <cell r="LL2097">
            <v>17.982747259685677</v>
          </cell>
          <cell r="LM2097">
            <v>15.721193701553757</v>
          </cell>
          <cell r="LN2097">
            <v>20.244300817817596</v>
          </cell>
          <cell r="LY2097">
            <v>14.114178615703914</v>
          </cell>
          <cell r="LZ2097">
            <v>14.730476692982464</v>
          </cell>
          <cell r="MA2097">
            <v>11.870949885755934</v>
          </cell>
          <cell r="MB2097">
            <v>9.6544719773798295</v>
          </cell>
          <cell r="MC2097">
            <v>14.087427794132038</v>
          </cell>
        </row>
        <row r="2098">
          <cell r="A2098">
            <v>42464</v>
          </cell>
          <cell r="LJ2098">
            <v>18.631182737291915</v>
          </cell>
          <cell r="LK2098">
            <v>20.020152274152959</v>
          </cell>
          <cell r="LL2098">
            <v>17.982747259685677</v>
          </cell>
          <cell r="LM2098">
            <v>15.721193701553757</v>
          </cell>
          <cell r="LN2098">
            <v>20.244300817817596</v>
          </cell>
          <cell r="LY2098">
            <v>13.881702513568422</v>
          </cell>
          <cell r="LZ2098">
            <v>14.730476692982464</v>
          </cell>
          <cell r="MA2098">
            <v>11.870949885755934</v>
          </cell>
          <cell r="MB2098">
            <v>9.6544719773798295</v>
          </cell>
          <cell r="MC2098">
            <v>14.087427794132038</v>
          </cell>
        </row>
        <row r="2099">
          <cell r="A2099">
            <v>42465</v>
          </cell>
          <cell r="LJ2099">
            <v>18.530440025909105</v>
          </cell>
          <cell r="LK2099">
            <v>20.020152274152959</v>
          </cell>
          <cell r="LL2099">
            <v>17.982747259685677</v>
          </cell>
          <cell r="LM2099">
            <v>15.721193701553757</v>
          </cell>
          <cell r="LN2099">
            <v>20.244300817817596</v>
          </cell>
          <cell r="LY2099">
            <v>13.817665136271605</v>
          </cell>
          <cell r="LZ2099">
            <v>14.730476692982464</v>
          </cell>
          <cell r="MA2099">
            <v>11.870949885755934</v>
          </cell>
          <cell r="MB2099">
            <v>9.6544719773798295</v>
          </cell>
          <cell r="MC2099">
            <v>14.087427794132038</v>
          </cell>
        </row>
        <row r="2100">
          <cell r="A2100">
            <v>42466</v>
          </cell>
          <cell r="LJ2100">
            <v>18.643683319626607</v>
          </cell>
          <cell r="LK2100">
            <v>20.020152274152959</v>
          </cell>
          <cell r="LL2100">
            <v>17.982747259685677</v>
          </cell>
          <cell r="LM2100">
            <v>15.721193701553757</v>
          </cell>
          <cell r="LN2100">
            <v>20.244300817817596</v>
          </cell>
          <cell r="LY2100">
            <v>13.888638132458274</v>
          </cell>
          <cell r="LZ2100">
            <v>14.730476692982464</v>
          </cell>
          <cell r="MA2100">
            <v>11.870949885755934</v>
          </cell>
          <cell r="MB2100">
            <v>9.6544719773798295</v>
          </cell>
          <cell r="MC2100">
            <v>14.087427794132038</v>
          </cell>
        </row>
        <row r="2101">
          <cell r="A2101">
            <v>42467</v>
          </cell>
          <cell r="LJ2101">
            <v>18.530952929632708</v>
          </cell>
          <cell r="LK2101">
            <v>20.020152274152959</v>
          </cell>
          <cell r="LL2101">
            <v>17.982747259685677</v>
          </cell>
          <cell r="LM2101">
            <v>15.721193701553757</v>
          </cell>
          <cell r="LN2101">
            <v>20.244300817817596</v>
          </cell>
          <cell r="LY2101">
            <v>13.808473040117532</v>
          </cell>
          <cell r="LZ2101">
            <v>14.730476692982464</v>
          </cell>
          <cell r="MA2101">
            <v>11.870949885755934</v>
          </cell>
          <cell r="MB2101">
            <v>9.6544719773798295</v>
          </cell>
          <cell r="MC2101">
            <v>14.087427794132038</v>
          </cell>
        </row>
        <row r="2102">
          <cell r="A2102">
            <v>42468</v>
          </cell>
          <cell r="LJ2102">
            <v>18.513074374125267</v>
          </cell>
          <cell r="LK2102">
            <v>20.020152274152959</v>
          </cell>
          <cell r="LL2102">
            <v>17.982747259685677</v>
          </cell>
          <cell r="LM2102">
            <v>15.721193701553757</v>
          </cell>
          <cell r="LN2102">
            <v>20.244300817817596</v>
          </cell>
          <cell r="LY2102">
            <v>13.797275581432034</v>
          </cell>
          <cell r="LZ2102">
            <v>14.730476692982464</v>
          </cell>
          <cell r="MA2102">
            <v>11.870949885755934</v>
          </cell>
          <cell r="MB2102">
            <v>9.6544719773798295</v>
          </cell>
          <cell r="MC2102">
            <v>14.087427794132038</v>
          </cell>
        </row>
        <row r="2103">
          <cell r="A2103">
            <v>42471</v>
          </cell>
          <cell r="LJ2103">
            <v>18.406344310677444</v>
          </cell>
          <cell r="LK2103">
            <v>20.020152274152959</v>
          </cell>
          <cell r="LL2103">
            <v>17.982747259685677</v>
          </cell>
          <cell r="LM2103">
            <v>15.721193701553757</v>
          </cell>
          <cell r="LN2103">
            <v>20.244300817817596</v>
          </cell>
          <cell r="LY2103">
            <v>13.739599676731922</v>
          </cell>
          <cell r="LZ2103">
            <v>14.730476692982464</v>
          </cell>
          <cell r="MA2103">
            <v>11.870949885755934</v>
          </cell>
          <cell r="MB2103">
            <v>9.6544719773798295</v>
          </cell>
          <cell r="MC2103">
            <v>14.087427794132038</v>
          </cell>
        </row>
        <row r="2104">
          <cell r="A2104">
            <v>42472</v>
          </cell>
          <cell r="LJ2104">
            <v>18.565225749820137</v>
          </cell>
          <cell r="LK2104">
            <v>20.020152274152959</v>
          </cell>
          <cell r="LL2104">
            <v>17.982747259685677</v>
          </cell>
          <cell r="LM2104">
            <v>15.721193701553757</v>
          </cell>
          <cell r="LN2104">
            <v>20.244300817817596</v>
          </cell>
          <cell r="LY2104">
            <v>13.839179334412304</v>
          </cell>
          <cell r="LZ2104">
            <v>14.730476692982464</v>
          </cell>
          <cell r="MA2104">
            <v>11.870949885755934</v>
          </cell>
          <cell r="MB2104">
            <v>9.6544719773798295</v>
          </cell>
          <cell r="MC2104">
            <v>14.087427794132038</v>
          </cell>
        </row>
        <row r="2105">
          <cell r="A2105">
            <v>42473</v>
          </cell>
          <cell r="LJ2105">
            <v>18.716303207423522</v>
          </cell>
          <cell r="LK2105">
            <v>20.020152274152959</v>
          </cell>
          <cell r="LL2105">
            <v>17.982747259685677</v>
          </cell>
          <cell r="LM2105">
            <v>15.721193701553757</v>
          </cell>
          <cell r="LN2105">
            <v>20.244300817817596</v>
          </cell>
          <cell r="LY2105">
            <v>13.949947313109977</v>
          </cell>
          <cell r="LZ2105">
            <v>14.730476692982464</v>
          </cell>
          <cell r="MA2105">
            <v>11.870949885755934</v>
          </cell>
          <cell r="MB2105">
            <v>9.6544719773798295</v>
          </cell>
          <cell r="MC2105">
            <v>14.087427794132038</v>
          </cell>
        </row>
        <row r="2106">
          <cell r="A2106">
            <v>42474</v>
          </cell>
          <cell r="LJ2106">
            <v>18.676587708471036</v>
          </cell>
          <cell r="LK2106">
            <v>20.020152274152959</v>
          </cell>
          <cell r="LL2106">
            <v>17.982747259685677</v>
          </cell>
          <cell r="LM2106">
            <v>15.721193701553757</v>
          </cell>
          <cell r="LN2106">
            <v>20.244300817817596</v>
          </cell>
          <cell r="LY2106">
            <v>13.925026331680314</v>
          </cell>
          <cell r="LZ2106">
            <v>14.730476692982464</v>
          </cell>
          <cell r="MA2106">
            <v>11.870949885755934</v>
          </cell>
          <cell r="MB2106">
            <v>9.6544719773798295</v>
          </cell>
          <cell r="MC2106">
            <v>14.087427794132038</v>
          </cell>
        </row>
        <row r="2107">
          <cell r="A2107">
            <v>42475</v>
          </cell>
          <cell r="LJ2107">
            <v>18.690486822466728</v>
          </cell>
          <cell r="LK2107">
            <v>20.020152274152959</v>
          </cell>
          <cell r="LL2107">
            <v>17.982747259685677</v>
          </cell>
          <cell r="LM2107">
            <v>15.721193701553757</v>
          </cell>
          <cell r="LN2107">
            <v>20.244300817817596</v>
          </cell>
          <cell r="LY2107">
            <v>13.933747852771861</v>
          </cell>
          <cell r="LZ2107">
            <v>14.730476692982464</v>
          </cell>
          <cell r="MA2107">
            <v>11.870949885755934</v>
          </cell>
          <cell r="MB2107">
            <v>9.6544719773798295</v>
          </cell>
          <cell r="MC2107">
            <v>14.087427794132038</v>
          </cell>
        </row>
        <row r="2108">
          <cell r="A2108">
            <v>42478</v>
          </cell>
          <cell r="LJ2108">
            <v>18.739338178589591</v>
          </cell>
          <cell r="LK2108">
            <v>20.020152274152959</v>
          </cell>
          <cell r="LL2108">
            <v>17.982747259685677</v>
          </cell>
          <cell r="LM2108">
            <v>15.721193701553757</v>
          </cell>
          <cell r="LN2108">
            <v>20.244300817817596</v>
          </cell>
          <cell r="LY2108">
            <v>13.96520536320458</v>
          </cell>
          <cell r="LZ2108">
            <v>14.730476692982464</v>
          </cell>
          <cell r="MA2108">
            <v>11.870949885755934</v>
          </cell>
          <cell r="MB2108">
            <v>9.6544719773798295</v>
          </cell>
          <cell r="MC2108">
            <v>14.087427794132038</v>
          </cell>
        </row>
        <row r="2109">
          <cell r="A2109">
            <v>42479</v>
          </cell>
          <cell r="LJ2109">
            <v>18.832677597728377</v>
          </cell>
          <cell r="LK2109">
            <v>20.020152274152959</v>
          </cell>
          <cell r="LL2109">
            <v>17.982747259685677</v>
          </cell>
          <cell r="LM2109">
            <v>15.721193701553757</v>
          </cell>
          <cell r="LN2109">
            <v>20.244300817817596</v>
          </cell>
          <cell r="LY2109">
            <v>14.052553921975191</v>
          </cell>
          <cell r="LZ2109">
            <v>14.730476692982464</v>
          </cell>
          <cell r="MA2109">
            <v>11.870949885755934</v>
          </cell>
          <cell r="MB2109">
            <v>9.6544719773798295</v>
          </cell>
          <cell r="MC2109">
            <v>14.087427794132038</v>
          </cell>
        </row>
        <row r="2110">
          <cell r="A2110">
            <v>42480</v>
          </cell>
          <cell r="LJ2110">
            <v>18.850550469710001</v>
          </cell>
          <cell r="LK2110">
            <v>20.020152274152959</v>
          </cell>
          <cell r="LL2110">
            <v>17.982747259685677</v>
          </cell>
          <cell r="LM2110">
            <v>15.721193701553757</v>
          </cell>
          <cell r="LN2110">
            <v>20.244300817817596</v>
          </cell>
          <cell r="LY2110">
            <v>14.063792473807721</v>
          </cell>
          <cell r="LZ2110">
            <v>14.730476692982464</v>
          </cell>
          <cell r="MA2110">
            <v>11.870949885755934</v>
          </cell>
          <cell r="MB2110">
            <v>9.6544719773798295</v>
          </cell>
          <cell r="MC2110">
            <v>14.087427794132038</v>
          </cell>
        </row>
        <row r="2111">
          <cell r="A2111">
            <v>42481</v>
          </cell>
          <cell r="LJ2111">
            <v>19.033500995399013</v>
          </cell>
          <cell r="LK2111">
            <v>20.020152274152959</v>
          </cell>
          <cell r="LL2111">
            <v>17.982747259685677</v>
          </cell>
          <cell r="LM2111">
            <v>15.721193701553757</v>
          </cell>
          <cell r="LN2111">
            <v>20.244300817817596</v>
          </cell>
          <cell r="LY2111">
            <v>14.188377333726809</v>
          </cell>
          <cell r="LZ2111">
            <v>14.730476692982464</v>
          </cell>
          <cell r="MA2111">
            <v>11.870949885755934</v>
          </cell>
          <cell r="MB2111">
            <v>9.6544719773798295</v>
          </cell>
          <cell r="MC2111">
            <v>14.087427794132038</v>
          </cell>
        </row>
        <row r="2112">
          <cell r="A2112">
            <v>42482</v>
          </cell>
          <cell r="LJ2112">
            <v>19.059089833901997</v>
          </cell>
          <cell r="LK2112">
            <v>20.020152274152959</v>
          </cell>
          <cell r="LL2112">
            <v>17.982747259685677</v>
          </cell>
          <cell r="LM2112">
            <v>15.721193701553757</v>
          </cell>
          <cell r="LN2112">
            <v>20.244300817817596</v>
          </cell>
          <cell r="LY2112">
            <v>14.247411801671676</v>
          </cell>
          <cell r="LZ2112">
            <v>14.730476692982464</v>
          </cell>
          <cell r="MA2112">
            <v>11.870949885755934</v>
          </cell>
          <cell r="MB2112">
            <v>9.6544719773798295</v>
          </cell>
          <cell r="MC2112">
            <v>14.087427794132038</v>
          </cell>
        </row>
        <row r="2113">
          <cell r="A2113">
            <v>42485</v>
          </cell>
          <cell r="LJ2113">
            <v>19.052478501351743</v>
          </cell>
          <cell r="LK2113">
            <v>20.020152274152959</v>
          </cell>
          <cell r="LL2113">
            <v>17.982747259685677</v>
          </cell>
          <cell r="LM2113">
            <v>15.721193701553757</v>
          </cell>
          <cell r="LN2113">
            <v>20.244300817817596</v>
          </cell>
          <cell r="LY2113">
            <v>14.263874282410848</v>
          </cell>
          <cell r="LZ2113">
            <v>14.730476692982464</v>
          </cell>
          <cell r="MA2113">
            <v>11.870949885755934</v>
          </cell>
          <cell r="MB2113">
            <v>9.6544719773798295</v>
          </cell>
          <cell r="MC2113">
            <v>14.087427794132038</v>
          </cell>
        </row>
        <row r="2114">
          <cell r="A2114">
            <v>42486</v>
          </cell>
          <cell r="LJ2114">
            <v>19.034700928427529</v>
          </cell>
          <cell r="LK2114">
            <v>20.020152274152959</v>
          </cell>
          <cell r="LL2114">
            <v>17.982747259685677</v>
          </cell>
          <cell r="LM2114">
            <v>15.721193701553757</v>
          </cell>
          <cell r="LN2114">
            <v>20.244300817817596</v>
          </cell>
          <cell r="LY2114">
            <v>14.252572543695102</v>
          </cell>
          <cell r="LZ2114">
            <v>14.730476692982464</v>
          </cell>
          <cell r="MA2114">
            <v>11.870949885755934</v>
          </cell>
          <cell r="MB2114">
            <v>9.6544719773798295</v>
          </cell>
          <cell r="MC2114">
            <v>14.087427794132038</v>
          </cell>
        </row>
        <row r="2115">
          <cell r="A2115">
            <v>42487</v>
          </cell>
          <cell r="LJ2115">
            <v>19.190279676418946</v>
          </cell>
          <cell r="LK2115">
            <v>20.020152274152959</v>
          </cell>
          <cell r="LL2115">
            <v>17.982747259685677</v>
          </cell>
          <cell r="LM2115">
            <v>15.721193701553757</v>
          </cell>
          <cell r="LN2115">
            <v>20.244300817817596</v>
          </cell>
          <cell r="LY2115">
            <v>14.348641376379758</v>
          </cell>
          <cell r="LZ2115">
            <v>14.730476692982464</v>
          </cell>
          <cell r="MA2115">
            <v>11.870949885755934</v>
          </cell>
          <cell r="MB2115">
            <v>9.6544719773798295</v>
          </cell>
          <cell r="MC2115">
            <v>14.087427794132038</v>
          </cell>
        </row>
        <row r="2116">
          <cell r="A2116">
            <v>42488</v>
          </cell>
          <cell r="LJ2116">
            <v>19.017937654331419</v>
          </cell>
          <cell r="LK2116">
            <v>20.020152274152959</v>
          </cell>
          <cell r="LL2116">
            <v>17.982747259685677</v>
          </cell>
          <cell r="LM2116">
            <v>15.721193701553757</v>
          </cell>
          <cell r="LN2116">
            <v>20.244300817817596</v>
          </cell>
          <cell r="LY2116">
            <v>14.234031391582702</v>
          </cell>
          <cell r="LZ2116">
            <v>14.730476692982464</v>
          </cell>
          <cell r="MA2116">
            <v>11.870949885755934</v>
          </cell>
          <cell r="MB2116">
            <v>9.6544719773798295</v>
          </cell>
          <cell r="MC2116">
            <v>14.087427794132038</v>
          </cell>
        </row>
        <row r="2117">
          <cell r="A2117">
            <v>42489</v>
          </cell>
          <cell r="LJ2117">
            <v>19.096889822297207</v>
          </cell>
          <cell r="LK2117">
            <v>20.020152274152959</v>
          </cell>
          <cell r="LL2117">
            <v>17.982747259685677</v>
          </cell>
          <cell r="LM2117">
            <v>15.721193701553757</v>
          </cell>
          <cell r="LN2117">
            <v>20.244300817817596</v>
          </cell>
          <cell r="LY2117">
            <v>14.284201766971007</v>
          </cell>
          <cell r="LZ2117">
            <v>14.730476692982464</v>
          </cell>
          <cell r="MA2117">
            <v>11.870949885755934</v>
          </cell>
          <cell r="MB2117">
            <v>9.6544719773798295</v>
          </cell>
          <cell r="MC2117">
            <v>14.087427794132038</v>
          </cell>
        </row>
        <row r="2118">
          <cell r="A2118">
            <v>42492</v>
          </cell>
          <cell r="LJ2118">
            <v>19.084250561704479</v>
          </cell>
          <cell r="LK2118">
            <v>20.020152274152959</v>
          </cell>
          <cell r="LL2118">
            <v>17.982747259685677</v>
          </cell>
          <cell r="LM2118">
            <v>15.721193701553757</v>
          </cell>
          <cell r="LN2118">
            <v>20.244300817817596</v>
          </cell>
          <cell r="LY2118">
            <v>14.293706942729191</v>
          </cell>
          <cell r="LZ2118">
            <v>14.730476692982464</v>
          </cell>
          <cell r="MA2118">
            <v>11.870949885755934</v>
          </cell>
          <cell r="MB2118">
            <v>9.6544719773798295</v>
          </cell>
          <cell r="MC2118">
            <v>14.087427794132038</v>
          </cell>
        </row>
        <row r="2119">
          <cell r="A2119">
            <v>42493</v>
          </cell>
          <cell r="LJ2119">
            <v>18.984313480225715</v>
          </cell>
          <cell r="LK2119">
            <v>20.020152274152959</v>
          </cell>
          <cell r="LL2119">
            <v>17.982747259685677</v>
          </cell>
          <cell r="LM2119">
            <v>15.721193701553757</v>
          </cell>
          <cell r="LN2119">
            <v>20.244300817817596</v>
          </cell>
          <cell r="LY2119">
            <v>14.230054368754915</v>
          </cell>
          <cell r="LZ2119">
            <v>14.730476692982464</v>
          </cell>
          <cell r="MA2119">
            <v>11.870949885755934</v>
          </cell>
          <cell r="MB2119">
            <v>9.6544719773798295</v>
          </cell>
          <cell r="MC2119">
            <v>14.087427794132038</v>
          </cell>
        </row>
        <row r="2120">
          <cell r="A2120">
            <v>42494</v>
          </cell>
          <cell r="LJ2120">
            <v>18.791313728165296</v>
          </cell>
          <cell r="LK2120">
            <v>20.020152274152959</v>
          </cell>
          <cell r="LL2120">
            <v>17.982747259685677</v>
          </cell>
          <cell r="LM2120">
            <v>15.721193701553757</v>
          </cell>
          <cell r="LN2120">
            <v>20.244300817817596</v>
          </cell>
          <cell r="LY2120">
            <v>14.101136563355924</v>
          </cell>
          <cell r="LZ2120">
            <v>14.730476692982464</v>
          </cell>
          <cell r="MA2120">
            <v>11.870949885755934</v>
          </cell>
          <cell r="MB2120">
            <v>9.6544719773798295</v>
          </cell>
          <cell r="MC2120">
            <v>14.087427794132038</v>
          </cell>
        </row>
        <row r="2121">
          <cell r="A2121">
            <v>42495</v>
          </cell>
          <cell r="LJ2121">
            <v>18.830498445243315</v>
          </cell>
          <cell r="LK2121">
            <v>20.020152274152959</v>
          </cell>
          <cell r="LL2121">
            <v>17.982747259685677</v>
          </cell>
          <cell r="LM2121">
            <v>15.721193701553757</v>
          </cell>
          <cell r="LN2121">
            <v>20.244300817817596</v>
          </cell>
          <cell r="LY2121">
            <v>14.126084335949139</v>
          </cell>
          <cell r="LZ2121">
            <v>14.730476692982464</v>
          </cell>
          <cell r="MA2121">
            <v>11.870949885755934</v>
          </cell>
          <cell r="MB2121">
            <v>9.6544719773798295</v>
          </cell>
          <cell r="MC2121">
            <v>14.087427794132038</v>
          </cell>
        </row>
        <row r="2122">
          <cell r="A2122">
            <v>42496</v>
          </cell>
          <cell r="LJ2122">
            <v>19.026424969531284</v>
          </cell>
          <cell r="LK2122">
            <v>20.020152274152959</v>
          </cell>
          <cell r="LL2122">
            <v>17.982747259685677</v>
          </cell>
          <cell r="LM2122">
            <v>15.721193701553757</v>
          </cell>
          <cell r="LN2122">
            <v>20.244300817817596</v>
          </cell>
          <cell r="LY2122">
            <v>14.250825070026238</v>
          </cell>
          <cell r="LZ2122">
            <v>14.730476692982464</v>
          </cell>
          <cell r="MA2122">
            <v>11.870949885755934</v>
          </cell>
          <cell r="MB2122">
            <v>9.6544719773798295</v>
          </cell>
          <cell r="MC2122">
            <v>14.087427794132038</v>
          </cell>
        </row>
        <row r="2123">
          <cell r="A2123">
            <v>42499</v>
          </cell>
          <cell r="LJ2123">
            <v>19.016628055537314</v>
          </cell>
          <cell r="LK2123">
            <v>20.020152274152959</v>
          </cell>
          <cell r="LL2123">
            <v>17.982747259685677</v>
          </cell>
          <cell r="LM2123">
            <v>15.721193701553757</v>
          </cell>
          <cell r="LN2123">
            <v>20.244300817817596</v>
          </cell>
          <cell r="LY2123">
            <v>14.244587659100183</v>
          </cell>
          <cell r="LZ2123">
            <v>14.730476692982464</v>
          </cell>
          <cell r="MA2123">
            <v>11.870949885755934</v>
          </cell>
          <cell r="MB2123">
            <v>9.6544719773798295</v>
          </cell>
          <cell r="MC2123">
            <v>14.087427794132038</v>
          </cell>
        </row>
        <row r="2124">
          <cell r="A2124">
            <v>42500</v>
          </cell>
          <cell r="LJ2124">
            <v>19.260006905160513</v>
          </cell>
          <cell r="LK2124">
            <v>20.020152274152959</v>
          </cell>
          <cell r="LL2124">
            <v>17.982747259685677</v>
          </cell>
          <cell r="LM2124">
            <v>15.721193701553757</v>
          </cell>
          <cell r="LN2124">
            <v>20.244300817817596</v>
          </cell>
          <cell r="LY2124">
            <v>14.401762231444671</v>
          </cell>
          <cell r="LZ2124">
            <v>14.730476692982464</v>
          </cell>
          <cell r="MA2124">
            <v>11.870949885755934</v>
          </cell>
          <cell r="MB2124">
            <v>9.6544719773798295</v>
          </cell>
          <cell r="MC2124">
            <v>14.087427794132038</v>
          </cell>
        </row>
        <row r="2125">
          <cell r="A2125">
            <v>42501</v>
          </cell>
          <cell r="LJ2125">
            <v>19.1796908023471</v>
          </cell>
          <cell r="LK2125">
            <v>20.020152274152959</v>
          </cell>
          <cell r="LL2125">
            <v>17.982747259685677</v>
          </cell>
          <cell r="LM2125">
            <v>15.721193701553757</v>
          </cell>
          <cell r="LN2125">
            <v>20.244300817817596</v>
          </cell>
          <cell r="LY2125">
            <v>14.350618031510123</v>
          </cell>
          <cell r="LZ2125">
            <v>14.730476692982464</v>
          </cell>
          <cell r="MA2125">
            <v>11.870949885755934</v>
          </cell>
          <cell r="MB2125">
            <v>9.6544719773798295</v>
          </cell>
          <cell r="MC2125">
            <v>14.087427794132038</v>
          </cell>
        </row>
        <row r="2126">
          <cell r="A2126">
            <v>42502</v>
          </cell>
          <cell r="LJ2126">
            <v>19.220826349956379</v>
          </cell>
          <cell r="LK2126">
            <v>20.020152274152959</v>
          </cell>
          <cell r="LL2126">
            <v>17.982747259685677</v>
          </cell>
          <cell r="LM2126">
            <v>15.721193701553757</v>
          </cell>
          <cell r="LN2126">
            <v>20.244300817817596</v>
          </cell>
          <cell r="LY2126">
            <v>14.376812587740444</v>
          </cell>
          <cell r="LZ2126">
            <v>14.730476692982464</v>
          </cell>
          <cell r="MA2126">
            <v>11.870949885755934</v>
          </cell>
          <cell r="MB2126">
            <v>9.6544719773798295</v>
          </cell>
          <cell r="MC2126">
            <v>14.087427794132038</v>
          </cell>
        </row>
        <row r="2127">
          <cell r="A2127">
            <v>42503</v>
          </cell>
          <cell r="LJ2127">
            <v>19.073908083036887</v>
          </cell>
          <cell r="LK2127">
            <v>20.020152274152959</v>
          </cell>
          <cell r="LL2127">
            <v>17.982747259685677</v>
          </cell>
          <cell r="LM2127">
            <v>15.721193701553757</v>
          </cell>
          <cell r="LN2127">
            <v>20.244300817817596</v>
          </cell>
          <cell r="LY2127">
            <v>14.282194261160226</v>
          </cell>
          <cell r="LZ2127">
            <v>14.730476692982464</v>
          </cell>
          <cell r="MA2127">
            <v>11.870949885755934</v>
          </cell>
          <cell r="MB2127">
            <v>9.6544719773798295</v>
          </cell>
          <cell r="MC2127">
            <v>14.087427794132038</v>
          </cell>
        </row>
        <row r="2128">
          <cell r="A2128">
            <v>42506</v>
          </cell>
          <cell r="LJ2128">
            <v>19.324648200130774</v>
          </cell>
          <cell r="LK2128">
            <v>20.020152274152959</v>
          </cell>
          <cell r="LL2128">
            <v>17.982747259685677</v>
          </cell>
          <cell r="LM2128">
            <v>15.721193701553757</v>
          </cell>
          <cell r="LN2128">
            <v>20.244300817817596</v>
          </cell>
          <cell r="LY2128">
            <v>14.441850270869562</v>
          </cell>
          <cell r="LZ2128">
            <v>14.730476692982464</v>
          </cell>
          <cell r="MA2128">
            <v>11.870949885755934</v>
          </cell>
          <cell r="MB2128">
            <v>9.6544719773798295</v>
          </cell>
          <cell r="MC2128">
            <v>14.087427794132038</v>
          </cell>
        </row>
        <row r="2129">
          <cell r="A2129">
            <v>42507</v>
          </cell>
          <cell r="LJ2129">
            <v>19.283512848412517</v>
          </cell>
          <cell r="LK2129">
            <v>20.020152274152959</v>
          </cell>
          <cell r="LL2129">
            <v>17.982747259685677</v>
          </cell>
          <cell r="LM2129">
            <v>15.721193701553757</v>
          </cell>
          <cell r="LN2129">
            <v>20.244300817817596</v>
          </cell>
          <cell r="LY2129">
            <v>14.415657788432187</v>
          </cell>
          <cell r="LZ2129">
            <v>14.730476692982464</v>
          </cell>
          <cell r="MA2129">
            <v>11.870949885755934</v>
          </cell>
          <cell r="MB2129">
            <v>9.6544719773798295</v>
          </cell>
          <cell r="MC2129">
            <v>14.087427794132038</v>
          </cell>
        </row>
        <row r="2130">
          <cell r="A2130">
            <v>42508</v>
          </cell>
          <cell r="LJ2130">
            <v>19.26196464003997</v>
          </cell>
          <cell r="LK2130">
            <v>20.020152274152959</v>
          </cell>
          <cell r="LL2130">
            <v>17.982747259685677</v>
          </cell>
          <cell r="LM2130">
            <v>15.721193701553757</v>
          </cell>
          <cell r="LN2130">
            <v>20.244300817817596</v>
          </cell>
          <cell r="LY2130">
            <v>14.401937203928117</v>
          </cell>
          <cell r="LZ2130">
            <v>14.730476692982464</v>
          </cell>
          <cell r="MA2130">
            <v>11.870949885755934</v>
          </cell>
          <cell r="MB2130">
            <v>9.6544719773798295</v>
          </cell>
          <cell r="MC2130">
            <v>14.087427794132038</v>
          </cell>
        </row>
        <row r="2131">
          <cell r="A2131">
            <v>42509</v>
          </cell>
          <cell r="LJ2131">
            <v>19.195360745715355</v>
          </cell>
          <cell r="LK2131">
            <v>20.020152274152959</v>
          </cell>
          <cell r="LL2131">
            <v>17.982747259685677</v>
          </cell>
          <cell r="LM2131">
            <v>15.721193701553757</v>
          </cell>
          <cell r="LN2131">
            <v>20.244300817817596</v>
          </cell>
          <cell r="LY2131">
            <v>14.35572304605479</v>
          </cell>
          <cell r="LZ2131">
            <v>14.730476692982464</v>
          </cell>
          <cell r="MA2131">
            <v>11.870949885755934</v>
          </cell>
          <cell r="MB2131">
            <v>9.6544719773798295</v>
          </cell>
          <cell r="MC2131">
            <v>14.087427794132038</v>
          </cell>
        </row>
        <row r="2132">
          <cell r="A2132">
            <v>42510</v>
          </cell>
          <cell r="LJ2132">
            <v>19.348186536113285</v>
          </cell>
          <cell r="LK2132">
            <v>20.020152274152959</v>
          </cell>
          <cell r="LL2132">
            <v>17.982747259685677</v>
          </cell>
          <cell r="LM2132">
            <v>15.721193701553757</v>
          </cell>
          <cell r="LN2132">
            <v>20.244300817817596</v>
          </cell>
          <cell r="LY2132">
            <v>14.453004446666018</v>
          </cell>
          <cell r="LZ2132">
            <v>14.730476692982464</v>
          </cell>
          <cell r="MA2132">
            <v>11.870949885755934</v>
          </cell>
          <cell r="MB2132">
            <v>9.6544719773798295</v>
          </cell>
          <cell r="MC2132">
            <v>14.087427794132038</v>
          </cell>
        </row>
        <row r="2133">
          <cell r="A2133">
            <v>42513</v>
          </cell>
          <cell r="LJ2133">
            <v>19.365819738581038</v>
          </cell>
          <cell r="LK2133">
            <v>20.020152274152959</v>
          </cell>
          <cell r="LL2133">
            <v>17.982747259685677</v>
          </cell>
          <cell r="LM2133">
            <v>15.721193701553757</v>
          </cell>
          <cell r="LN2133">
            <v>20.244300817817596</v>
          </cell>
          <cell r="LY2133">
            <v>14.464228878280984</v>
          </cell>
          <cell r="LZ2133">
            <v>14.730476692982464</v>
          </cell>
          <cell r="MA2133">
            <v>11.870949885755934</v>
          </cell>
          <cell r="MB2133">
            <v>9.6544719773798295</v>
          </cell>
          <cell r="MC2133">
            <v>14.087427794132038</v>
          </cell>
        </row>
        <row r="2134">
          <cell r="A2134">
            <v>42514</v>
          </cell>
          <cell r="LJ2134">
            <v>19.587222751510055</v>
          </cell>
          <cell r="LK2134">
            <v>20.020152274152959</v>
          </cell>
          <cell r="LL2134">
            <v>17.982747259685677</v>
          </cell>
          <cell r="LM2134">
            <v>15.721193701553757</v>
          </cell>
          <cell r="LN2134">
            <v>20.244300817817596</v>
          </cell>
          <cell r="LY2134">
            <v>14.605163174391604</v>
          </cell>
          <cell r="LZ2134">
            <v>14.730476692982464</v>
          </cell>
          <cell r="MA2134">
            <v>11.870949885755934</v>
          </cell>
          <cell r="MB2134">
            <v>9.6544719773798295</v>
          </cell>
          <cell r="MC2134">
            <v>14.087427794132038</v>
          </cell>
        </row>
        <row r="2135">
          <cell r="A2135">
            <v>42515</v>
          </cell>
          <cell r="LJ2135">
            <v>19.526484532473884</v>
          </cell>
          <cell r="LK2135">
            <v>20.020152274152959</v>
          </cell>
          <cell r="LL2135">
            <v>17.982747259685677</v>
          </cell>
          <cell r="LM2135">
            <v>15.721193701553757</v>
          </cell>
          <cell r="LN2135">
            <v>20.244300817817596</v>
          </cell>
          <cell r="LY2135">
            <v>14.566500203939528</v>
          </cell>
          <cell r="LZ2135">
            <v>14.730476692982464</v>
          </cell>
          <cell r="MA2135">
            <v>11.870949885755934</v>
          </cell>
          <cell r="MB2135">
            <v>9.6544719773798295</v>
          </cell>
          <cell r="MC2135">
            <v>14.087427794132038</v>
          </cell>
        </row>
        <row r="2136">
          <cell r="A2136">
            <v>42516</v>
          </cell>
          <cell r="LJ2136">
            <v>19.436354899624082</v>
          </cell>
          <cell r="LK2136">
            <v>20.020152274152959</v>
          </cell>
          <cell r="LL2136">
            <v>17.982747259685677</v>
          </cell>
          <cell r="LM2136">
            <v>15.721193701553757</v>
          </cell>
          <cell r="LN2136">
            <v>20.244300817817596</v>
          </cell>
          <cell r="LY2136">
            <v>14.509128101381608</v>
          </cell>
          <cell r="LZ2136">
            <v>14.730476692982464</v>
          </cell>
          <cell r="MA2136">
            <v>11.870949885755934</v>
          </cell>
          <cell r="MB2136">
            <v>9.6544719773798295</v>
          </cell>
          <cell r="MC2136">
            <v>14.087427794132038</v>
          </cell>
        </row>
        <row r="2137">
          <cell r="A2137">
            <v>42517</v>
          </cell>
          <cell r="LJ2137">
            <v>19.379536280300872</v>
          </cell>
          <cell r="LK2137">
            <v>20.020152274152959</v>
          </cell>
          <cell r="LL2137">
            <v>17.982747259685677</v>
          </cell>
          <cell r="LM2137">
            <v>15.721193701553757</v>
          </cell>
          <cell r="LN2137">
            <v>20.244300817817596</v>
          </cell>
          <cell r="LY2137">
            <v>14.472960155813221</v>
          </cell>
          <cell r="LZ2137">
            <v>14.730476692982464</v>
          </cell>
          <cell r="MA2137">
            <v>11.870949885755934</v>
          </cell>
          <cell r="MB2137">
            <v>9.6544719773798295</v>
          </cell>
          <cell r="MC2137">
            <v>14.087427794132038</v>
          </cell>
        </row>
        <row r="2138">
          <cell r="A2138">
            <v>42520</v>
          </cell>
          <cell r="LJ2138">
            <v>19.479743362123628</v>
          </cell>
          <cell r="LK2138">
            <v>20.020152274152959</v>
          </cell>
          <cell r="LL2138">
            <v>17.982747259685677</v>
          </cell>
          <cell r="LM2138">
            <v>15.721193701553757</v>
          </cell>
          <cell r="LN2138">
            <v>20.244300817817596</v>
          </cell>
          <cell r="LY2138">
            <v>14.481545079014033</v>
          </cell>
          <cell r="LZ2138">
            <v>14.730476692982464</v>
          </cell>
          <cell r="MA2138">
            <v>11.870949885755934</v>
          </cell>
          <cell r="MB2138">
            <v>9.6544719773798295</v>
          </cell>
          <cell r="MC2138">
            <v>14.087427794132038</v>
          </cell>
        </row>
        <row r="2139">
          <cell r="A2139">
            <v>42521</v>
          </cell>
          <cell r="LJ2139">
            <v>19.371423507153263</v>
          </cell>
          <cell r="LK2139">
            <v>20.020152274152959</v>
          </cell>
          <cell r="LL2139">
            <v>17.982747259685677</v>
          </cell>
          <cell r="LM2139">
            <v>15.721193701553757</v>
          </cell>
          <cell r="LN2139">
            <v>20.244300817817596</v>
          </cell>
          <cell r="LY2139">
            <v>14.412907980241224</v>
          </cell>
          <cell r="LZ2139">
            <v>14.730476692982464</v>
          </cell>
          <cell r="MA2139">
            <v>11.870949885755934</v>
          </cell>
          <cell r="MB2139">
            <v>9.6544719773798295</v>
          </cell>
          <cell r="MC2139">
            <v>14.087427794132038</v>
          </cell>
        </row>
        <row r="2140">
          <cell r="A2140">
            <v>42522</v>
          </cell>
          <cell r="LJ2140">
            <v>19.24870719094546</v>
          </cell>
          <cell r="LK2140">
            <v>20.020152274152959</v>
          </cell>
          <cell r="LL2140">
            <v>17.982747259685677</v>
          </cell>
          <cell r="LM2140">
            <v>15.721193701553757</v>
          </cell>
          <cell r="LN2140">
            <v>20.244300817817596</v>
          </cell>
          <cell r="LY2140">
            <v>14.35736030732674</v>
          </cell>
          <cell r="LZ2140">
            <v>14.730476692982464</v>
          </cell>
          <cell r="MA2140">
            <v>11.870949885755934</v>
          </cell>
          <cell r="MB2140">
            <v>9.6544719773798295</v>
          </cell>
          <cell r="MC2140">
            <v>14.087427794132038</v>
          </cell>
        </row>
        <row r="2141">
          <cell r="A2141">
            <v>42523</v>
          </cell>
          <cell r="LJ2141">
            <v>19.24870719094546</v>
          </cell>
          <cell r="LK2141">
            <v>20.020152274152959</v>
          </cell>
          <cell r="LL2141">
            <v>17.982747259685677</v>
          </cell>
          <cell r="LM2141">
            <v>15.721193701553757</v>
          </cell>
          <cell r="LN2141">
            <v>20.244300817817596</v>
          </cell>
          <cell r="LY2141">
            <v>14.35736030732674</v>
          </cell>
          <cell r="LZ2141">
            <v>14.730476692982464</v>
          </cell>
          <cell r="MA2141">
            <v>11.870949885755934</v>
          </cell>
          <cell r="MB2141">
            <v>9.6544719773798295</v>
          </cell>
          <cell r="MC2141">
            <v>14.087427794132038</v>
          </cell>
        </row>
        <row r="2142">
          <cell r="A2142">
            <v>42524</v>
          </cell>
          <cell r="LJ2142">
            <v>19.180406673821839</v>
          </cell>
          <cell r="LK2142">
            <v>20.020152274152959</v>
          </cell>
          <cell r="LL2142">
            <v>17.982747259685677</v>
          </cell>
          <cell r="LM2142">
            <v>15.721193701553757</v>
          </cell>
          <cell r="LN2142">
            <v>20.244300817817596</v>
          </cell>
          <cell r="LY2142">
            <v>14.313955211569453</v>
          </cell>
          <cell r="LZ2142">
            <v>14.730476692982464</v>
          </cell>
          <cell r="MA2142">
            <v>11.870949885755934</v>
          </cell>
          <cell r="MB2142">
            <v>9.6544719773798295</v>
          </cell>
          <cell r="MC2142">
            <v>14.087427794132038</v>
          </cell>
        </row>
        <row r="2143">
          <cell r="A2143">
            <v>42527</v>
          </cell>
          <cell r="LJ2143">
            <v>19.324811981656751</v>
          </cell>
          <cell r="LK2143">
            <v>20.020152274152959</v>
          </cell>
          <cell r="LL2143">
            <v>17.982747259685677</v>
          </cell>
          <cell r="LM2143">
            <v>15.721193701553757</v>
          </cell>
          <cell r="LN2143">
            <v>20.244300817817596</v>
          </cell>
          <cell r="LY2143">
            <v>14.405725032332159</v>
          </cell>
          <cell r="LZ2143">
            <v>14.730476692982464</v>
          </cell>
          <cell r="MA2143">
            <v>11.870949885755934</v>
          </cell>
          <cell r="MB2143">
            <v>9.6544719773798295</v>
          </cell>
          <cell r="MC2143">
            <v>14.087427794132038</v>
          </cell>
        </row>
        <row r="2144">
          <cell r="A2144">
            <v>42528</v>
          </cell>
          <cell r="LJ2144">
            <v>19.406770806907993</v>
          </cell>
          <cell r="LK2144">
            <v>20.020152274152959</v>
          </cell>
          <cell r="LL2144">
            <v>17.982747259685677</v>
          </cell>
          <cell r="LM2144">
            <v>15.721193701553757</v>
          </cell>
          <cell r="LN2144">
            <v>20.244300817817596</v>
          </cell>
          <cell r="LY2144">
            <v>14.457810006326515</v>
          </cell>
          <cell r="LZ2144">
            <v>14.730476692982464</v>
          </cell>
          <cell r="MA2144">
            <v>11.870949885755934</v>
          </cell>
          <cell r="MB2144">
            <v>9.6544719773798295</v>
          </cell>
          <cell r="MC2144">
            <v>14.087427794132038</v>
          </cell>
        </row>
        <row r="2145">
          <cell r="A2145">
            <v>42529</v>
          </cell>
          <cell r="LJ2145">
            <v>19.545323446189876</v>
          </cell>
          <cell r="LK2145">
            <v>20.020152274152959</v>
          </cell>
          <cell r="LL2145">
            <v>17.982747259685677</v>
          </cell>
          <cell r="LM2145">
            <v>15.721193701553757</v>
          </cell>
          <cell r="LN2145">
            <v>20.244300817817596</v>
          </cell>
          <cell r="LY2145">
            <v>14.545860446187318</v>
          </cell>
          <cell r="LZ2145">
            <v>14.730476692982464</v>
          </cell>
          <cell r="MA2145">
            <v>11.870949885755934</v>
          </cell>
          <cell r="MB2145">
            <v>9.6544719773798295</v>
          </cell>
          <cell r="MC2145">
            <v>14.087427794132038</v>
          </cell>
        </row>
        <row r="2146">
          <cell r="A2146">
            <v>42530</v>
          </cell>
          <cell r="LJ2146">
            <v>19.590203922333888</v>
          </cell>
          <cell r="LK2146">
            <v>20.020152274152959</v>
          </cell>
          <cell r="LL2146">
            <v>17.982747259685677</v>
          </cell>
          <cell r="LM2146">
            <v>15.721193701553757</v>
          </cell>
          <cell r="LN2146">
            <v>20.244300817817596</v>
          </cell>
          <cell r="LY2146">
            <v>14.574382065740176</v>
          </cell>
          <cell r="LZ2146">
            <v>14.730476692982464</v>
          </cell>
          <cell r="MA2146">
            <v>11.870949885755934</v>
          </cell>
          <cell r="MB2146">
            <v>9.6544719773798295</v>
          </cell>
          <cell r="MC2146">
            <v>14.087427794132038</v>
          </cell>
        </row>
        <row r="2147">
          <cell r="A2147">
            <v>42531</v>
          </cell>
          <cell r="LJ2147">
            <v>19.379451263537906</v>
          </cell>
          <cell r="LK2147">
            <v>20.020152274152959</v>
          </cell>
          <cell r="LL2147">
            <v>17.982747259685677</v>
          </cell>
          <cell r="LM2147">
            <v>15.721193701553757</v>
          </cell>
          <cell r="LN2147">
            <v>20.244300817817596</v>
          </cell>
          <cell r="LY2147">
            <v>14.440448389665875</v>
          </cell>
          <cell r="LZ2147">
            <v>14.730476692982464</v>
          </cell>
          <cell r="MA2147">
            <v>11.870949885755934</v>
          </cell>
          <cell r="MB2147">
            <v>9.6544719773798295</v>
          </cell>
          <cell r="MC2147">
            <v>14.087427794132038</v>
          </cell>
        </row>
        <row r="2148">
          <cell r="A2148">
            <v>42534</v>
          </cell>
          <cell r="LJ2148">
            <v>19.324270488573678</v>
          </cell>
          <cell r="LK2148">
            <v>20.020152274152959</v>
          </cell>
          <cell r="LL2148">
            <v>17.982747259685677</v>
          </cell>
          <cell r="LM2148">
            <v>15.721193701553757</v>
          </cell>
          <cell r="LN2148">
            <v>20.244300817817596</v>
          </cell>
          <cell r="LY2148">
            <v>14.678569709594921</v>
          </cell>
          <cell r="LZ2148">
            <v>14.730476692982464</v>
          </cell>
          <cell r="MA2148">
            <v>11.870949885755934</v>
          </cell>
          <cell r="MB2148">
            <v>9.6544719773798295</v>
          </cell>
          <cell r="MC2148">
            <v>14.087427794132038</v>
          </cell>
        </row>
        <row r="2149">
          <cell r="A2149">
            <v>42535</v>
          </cell>
          <cell r="LJ2149">
            <v>19.436565011820328</v>
          </cell>
          <cell r="LK2149">
            <v>20.020152274152959</v>
          </cell>
          <cell r="LL2149">
            <v>17.982747259685677</v>
          </cell>
          <cell r="LM2149">
            <v>15.721193701553757</v>
          </cell>
          <cell r="LN2149">
            <v>20.244300817817596</v>
          </cell>
          <cell r="LY2149">
            <v>14.751184095466366</v>
          </cell>
          <cell r="LZ2149">
            <v>14.730476692982464</v>
          </cell>
          <cell r="MA2149">
            <v>11.870949885755934</v>
          </cell>
          <cell r="MB2149">
            <v>9.6544719773798295</v>
          </cell>
          <cell r="MC2149">
            <v>14.087427794132038</v>
          </cell>
        </row>
        <row r="2150">
          <cell r="A2150">
            <v>42536</v>
          </cell>
          <cell r="LJ2150">
            <v>19.347913120567373</v>
          </cell>
          <cell r="LK2150">
            <v>20.020152274152959</v>
          </cell>
          <cell r="LL2150">
            <v>17.982747259685677</v>
          </cell>
          <cell r="LM2150">
            <v>15.721193701553757</v>
          </cell>
          <cell r="LN2150">
            <v>20.244300817817596</v>
          </cell>
          <cell r="LY2150">
            <v>14.693858034910983</v>
          </cell>
          <cell r="LZ2150">
            <v>14.730476692982464</v>
          </cell>
          <cell r="MA2150">
            <v>11.870949885755934</v>
          </cell>
          <cell r="MB2150">
            <v>9.6544719773798295</v>
          </cell>
          <cell r="MC2150">
            <v>14.087427794132038</v>
          </cell>
        </row>
        <row r="2151">
          <cell r="A2151">
            <v>42537</v>
          </cell>
          <cell r="LJ2151">
            <v>19.517338061465718</v>
          </cell>
          <cell r="LK2151">
            <v>20.020152274152959</v>
          </cell>
          <cell r="LL2151">
            <v>17.982747259685677</v>
          </cell>
          <cell r="LM2151">
            <v>15.721193701553757</v>
          </cell>
          <cell r="LN2151">
            <v>20.244300817817596</v>
          </cell>
          <cell r="LY2151">
            <v>14.803415363968044</v>
          </cell>
          <cell r="LZ2151">
            <v>14.730476692982464</v>
          </cell>
          <cell r="MA2151">
            <v>11.870949885755934</v>
          </cell>
          <cell r="MB2151">
            <v>9.6544719773798295</v>
          </cell>
          <cell r="MC2151">
            <v>14.087427794132038</v>
          </cell>
        </row>
        <row r="2152">
          <cell r="A2152">
            <v>42538</v>
          </cell>
          <cell r="LJ2152">
            <v>19.259258274231676</v>
          </cell>
          <cell r="LK2152">
            <v>20.020152274152959</v>
          </cell>
          <cell r="LL2152">
            <v>17.982747259685677</v>
          </cell>
          <cell r="LM2152">
            <v>15.721193701553757</v>
          </cell>
          <cell r="LN2152">
            <v>20.244300817817596</v>
          </cell>
          <cell r="LY2152">
            <v>14.63653006347417</v>
          </cell>
          <cell r="LZ2152">
            <v>14.730476692982464</v>
          </cell>
          <cell r="MA2152">
            <v>11.870949885755934</v>
          </cell>
          <cell r="MB2152">
            <v>9.6544719773798295</v>
          </cell>
          <cell r="MC2152">
            <v>14.087427794132038</v>
          </cell>
        </row>
        <row r="2153">
          <cell r="A2153">
            <v>42541</v>
          </cell>
          <cell r="LJ2153">
            <v>19.450639818455453</v>
          </cell>
          <cell r="LK2153">
            <v>20.020152274152959</v>
          </cell>
          <cell r="LL2153">
            <v>17.982747259685677</v>
          </cell>
          <cell r="LM2153">
            <v>15.721193701553757</v>
          </cell>
          <cell r="LN2153">
            <v>20.244300817817596</v>
          </cell>
          <cell r="LY2153">
            <v>14.761382544100082</v>
          </cell>
          <cell r="LZ2153">
            <v>14.730476692982464</v>
          </cell>
          <cell r="MA2153">
            <v>11.870949885755934</v>
          </cell>
          <cell r="MB2153">
            <v>9.6544719773798295</v>
          </cell>
          <cell r="MC2153">
            <v>14.087427794132038</v>
          </cell>
        </row>
        <row r="2154">
          <cell r="A2154">
            <v>42542</v>
          </cell>
          <cell r="LJ2154">
            <v>19.507765087344676</v>
          </cell>
          <cell r="LK2154">
            <v>20.020152274152959</v>
          </cell>
          <cell r="LL2154">
            <v>17.982747259685677</v>
          </cell>
          <cell r="LM2154">
            <v>15.721193701553757</v>
          </cell>
          <cell r="LN2154">
            <v>20.244300817817596</v>
          </cell>
          <cell r="LY2154">
            <v>14.798325376977445</v>
          </cell>
          <cell r="LZ2154">
            <v>14.730476692982464</v>
          </cell>
          <cell r="MA2154">
            <v>11.870949885755934</v>
          </cell>
          <cell r="MB2154">
            <v>9.6544719773798295</v>
          </cell>
          <cell r="MC2154">
            <v>14.087427794132038</v>
          </cell>
        </row>
        <row r="2155">
          <cell r="A2155">
            <v>42543</v>
          </cell>
          <cell r="LJ2155">
            <v>19.509733986809653</v>
          </cell>
          <cell r="LK2155">
            <v>20.020152274152959</v>
          </cell>
          <cell r="LL2155">
            <v>17.982747259685677</v>
          </cell>
          <cell r="LM2155">
            <v>15.721193701553757</v>
          </cell>
          <cell r="LN2155">
            <v>20.244300817817596</v>
          </cell>
          <cell r="LY2155">
            <v>14.799598661555381</v>
          </cell>
          <cell r="LZ2155">
            <v>14.730476692982464</v>
          </cell>
          <cell r="MA2155">
            <v>11.870949885755934</v>
          </cell>
          <cell r="MB2155">
            <v>9.6544719773798295</v>
          </cell>
          <cell r="MC2155">
            <v>14.087427794132038</v>
          </cell>
        </row>
        <row r="2156">
          <cell r="A2156">
            <v>42544</v>
          </cell>
          <cell r="LJ2156">
            <v>19.785520955630325</v>
          </cell>
          <cell r="LK2156">
            <v>20.020152274152959</v>
          </cell>
          <cell r="LL2156">
            <v>17.982747259685677</v>
          </cell>
          <cell r="LM2156">
            <v>15.721193701553757</v>
          </cell>
          <cell r="LN2156">
            <v>20.244300817817596</v>
          </cell>
          <cell r="LY2156">
            <v>14.977949715248521</v>
          </cell>
          <cell r="LZ2156">
            <v>14.730476692982464</v>
          </cell>
          <cell r="MA2156">
            <v>11.870949885755934</v>
          </cell>
          <cell r="MB2156">
            <v>9.6544719773798295</v>
          </cell>
          <cell r="MC2156">
            <v>14.087427794132038</v>
          </cell>
        </row>
        <row r="2157">
          <cell r="A2157">
            <v>42545</v>
          </cell>
          <cell r="LJ2157">
            <v>19.155452896430663</v>
          </cell>
          <cell r="LK2157">
            <v>20.020152274152959</v>
          </cell>
          <cell r="LL2157">
            <v>17.982747259685677</v>
          </cell>
          <cell r="LM2157">
            <v>15.721193701553757</v>
          </cell>
          <cell r="LN2157">
            <v>20.244300817817596</v>
          </cell>
          <cell r="LY2157">
            <v>14.57092080425222</v>
          </cell>
          <cell r="LZ2157">
            <v>14.730476692982464</v>
          </cell>
          <cell r="MA2157">
            <v>11.870949885755934</v>
          </cell>
          <cell r="MB2157">
            <v>9.6544719773798295</v>
          </cell>
          <cell r="MC2157">
            <v>14.087427794132038</v>
          </cell>
        </row>
        <row r="2158">
          <cell r="A2158">
            <v>42548</v>
          </cell>
          <cell r="LJ2158">
            <v>18.98041849752018</v>
          </cell>
          <cell r="LK2158">
            <v>20.020152274152959</v>
          </cell>
          <cell r="LL2158">
            <v>17.982747259685677</v>
          </cell>
          <cell r="LM2158">
            <v>15.721193701553757</v>
          </cell>
          <cell r="LN2158">
            <v>20.244300817817596</v>
          </cell>
          <cell r="LY2158">
            <v>14.45848978758316</v>
          </cell>
          <cell r="LZ2158">
            <v>14.730476692982464</v>
          </cell>
          <cell r="MA2158">
            <v>11.870949885755934</v>
          </cell>
          <cell r="MB2158">
            <v>9.6544719773798295</v>
          </cell>
          <cell r="MC2158">
            <v>14.087427794132038</v>
          </cell>
        </row>
        <row r="2159">
          <cell r="A2159">
            <v>42549</v>
          </cell>
          <cell r="LJ2159">
            <v>19.151250579446369</v>
          </cell>
          <cell r="LK2159">
            <v>20.020152274152959</v>
          </cell>
          <cell r="LL2159">
            <v>17.982747259685677</v>
          </cell>
          <cell r="LM2159">
            <v>15.721193701553757</v>
          </cell>
          <cell r="LN2159">
            <v>20.244300817817596</v>
          </cell>
          <cell r="LY2159">
            <v>14.573449830060031</v>
          </cell>
          <cell r="LZ2159">
            <v>14.730476692982464</v>
          </cell>
          <cell r="MA2159">
            <v>11.870949885755934</v>
          </cell>
          <cell r="MB2159">
            <v>9.6544719773798295</v>
          </cell>
          <cell r="MC2159">
            <v>14.087427794132038</v>
          </cell>
        </row>
        <row r="2160">
          <cell r="A2160">
            <v>42550</v>
          </cell>
          <cell r="LJ2160">
            <v>19.539665360574229</v>
          </cell>
          <cell r="LK2160">
            <v>20.020152274152959</v>
          </cell>
          <cell r="LL2160">
            <v>17.982747259685677</v>
          </cell>
          <cell r="LM2160">
            <v>15.721193701553757</v>
          </cell>
          <cell r="LN2160">
            <v>20.244300817817596</v>
          </cell>
          <cell r="LY2160">
            <v>14.825080854665659</v>
          </cell>
          <cell r="LZ2160">
            <v>14.730476692982464</v>
          </cell>
          <cell r="MA2160">
            <v>11.870949885755934</v>
          </cell>
          <cell r="MB2160">
            <v>9.6544719773798295</v>
          </cell>
          <cell r="MC2160">
            <v>14.087427794132038</v>
          </cell>
        </row>
        <row r="2161">
          <cell r="A2161">
            <v>42551</v>
          </cell>
          <cell r="LJ2161">
            <v>19.71337532997946</v>
          </cell>
          <cell r="LK2161">
            <v>20.020152274152959</v>
          </cell>
          <cell r="LL2161">
            <v>17.982747259685677</v>
          </cell>
          <cell r="LM2161">
            <v>15.721193701553757</v>
          </cell>
          <cell r="LN2161">
            <v>20.244300817817596</v>
          </cell>
          <cell r="LY2161">
            <v>14.684266438527999</v>
          </cell>
          <cell r="LZ2161">
            <v>14.730476692982464</v>
          </cell>
          <cell r="MA2161">
            <v>11.870949885755934</v>
          </cell>
          <cell r="MB2161">
            <v>9.6544719773798295</v>
          </cell>
          <cell r="MC2161">
            <v>14.087427794132038</v>
          </cell>
        </row>
        <row r="2162">
          <cell r="A2162">
            <v>42552</v>
          </cell>
          <cell r="LJ2162">
            <v>19.933116659633768</v>
          </cell>
          <cell r="LK2162">
            <v>20.020152274152959</v>
          </cell>
          <cell r="LL2162">
            <v>17.982747259685677</v>
          </cell>
          <cell r="LM2162">
            <v>15.721193701553757</v>
          </cell>
          <cell r="LN2162">
            <v>20.244300817817596</v>
          </cell>
          <cell r="LY2162">
            <v>14.74303141741458</v>
          </cell>
          <cell r="LZ2162">
            <v>14.730476692982464</v>
          </cell>
          <cell r="MA2162">
            <v>11.870949885755934</v>
          </cell>
          <cell r="MB2162">
            <v>9.6544719773798295</v>
          </cell>
          <cell r="MC2162">
            <v>14.087427794132038</v>
          </cell>
        </row>
        <row r="2163">
          <cell r="A2163">
            <v>42555</v>
          </cell>
          <cell r="LJ2163">
            <v>15.044140090373846</v>
          </cell>
          <cell r="LK2163">
            <v>20.020152274152959</v>
          </cell>
          <cell r="LL2163">
            <v>17.982747259685677</v>
          </cell>
          <cell r="LM2163">
            <v>15.721193701553757</v>
          </cell>
          <cell r="LN2163">
            <v>20.244300817817596</v>
          </cell>
          <cell r="LY2163">
            <v>14.743025826228289</v>
          </cell>
          <cell r="LZ2163">
            <v>14.730476692982464</v>
          </cell>
          <cell r="MA2163">
            <v>11.870949885755934</v>
          </cell>
          <cell r="MB2163">
            <v>9.6544719773798295</v>
          </cell>
          <cell r="MC2163">
            <v>14.087427794132038</v>
          </cell>
        </row>
        <row r="2164">
          <cell r="A2164">
            <v>42556</v>
          </cell>
          <cell r="LJ2164">
            <v>16.339270341785031</v>
          </cell>
          <cell r="LK2164">
            <v>20.020152274152959</v>
          </cell>
          <cell r="LL2164">
            <v>17.982747259685677</v>
          </cell>
          <cell r="LM2164">
            <v>15.721193701553757</v>
          </cell>
          <cell r="LN2164">
            <v>20.244300817817596</v>
          </cell>
          <cell r="LY2164">
            <v>12.336595699115842</v>
          </cell>
          <cell r="LZ2164">
            <v>14.730476692982464</v>
          </cell>
          <cell r="MA2164">
            <v>11.870949885755934</v>
          </cell>
          <cell r="MB2164">
            <v>9.6544719773798295</v>
          </cell>
          <cell r="MC2164">
            <v>14.087427794132038</v>
          </cell>
        </row>
        <row r="2165">
          <cell r="A2165">
            <v>42557</v>
          </cell>
          <cell r="LJ2165">
            <v>16.602126611301561</v>
          </cell>
          <cell r="LK2165">
            <v>20.020152274152959</v>
          </cell>
          <cell r="LL2165">
            <v>17.982747259685677</v>
          </cell>
          <cell r="LM2165">
            <v>15.721193701553757</v>
          </cell>
          <cell r="LN2165">
            <v>20.244300817817596</v>
          </cell>
          <cell r="LY2165">
            <v>12.633332291140164</v>
          </cell>
          <cell r="LZ2165">
            <v>14.730476692982464</v>
          </cell>
          <cell r="MA2165">
            <v>11.870949885755934</v>
          </cell>
          <cell r="MB2165">
            <v>9.6544719773798295</v>
          </cell>
          <cell r="MC2165">
            <v>14.087427794132038</v>
          </cell>
        </row>
        <row r="2166">
          <cell r="A2166">
            <v>42558</v>
          </cell>
          <cell r="LJ2166">
            <v>19.356772352037744</v>
          </cell>
          <cell r="LK2166">
            <v>20.020152274152959</v>
          </cell>
          <cell r="LL2166">
            <v>17.982747259685677</v>
          </cell>
          <cell r="LM2166">
            <v>15.721193701553757</v>
          </cell>
          <cell r="LN2166">
            <v>20.244300817817596</v>
          </cell>
          <cell r="LY2166">
            <v>15.865901766378032</v>
          </cell>
          <cell r="LZ2166">
            <v>14.730476692982464</v>
          </cell>
          <cell r="MA2166">
            <v>11.870949885755934</v>
          </cell>
          <cell r="MB2166">
            <v>9.6544719773798295</v>
          </cell>
          <cell r="MC2166">
            <v>14.087427794132038</v>
          </cell>
        </row>
        <row r="2167">
          <cell r="A2167">
            <v>42559</v>
          </cell>
          <cell r="LJ2167">
            <v>19.713673323358456</v>
          </cell>
          <cell r="LK2167">
            <v>20.020152274152959</v>
          </cell>
          <cell r="LL2167">
            <v>17.982747259685677</v>
          </cell>
          <cell r="LM2167">
            <v>15.721193701553757</v>
          </cell>
          <cell r="LN2167">
            <v>20.244300817817596</v>
          </cell>
          <cell r="LY2167">
            <v>15.88135077997765</v>
          </cell>
          <cell r="LZ2167">
            <v>14.730476692982464</v>
          </cell>
          <cell r="MA2167">
            <v>11.870949885755934</v>
          </cell>
          <cell r="MB2167">
            <v>9.6544719773798295</v>
          </cell>
          <cell r="MC2167">
            <v>14.087427794132038</v>
          </cell>
        </row>
        <row r="2168">
          <cell r="A2168">
            <v>42562</v>
          </cell>
          <cell r="LJ2168">
            <v>19.645708818450483</v>
          </cell>
          <cell r="LK2168">
            <v>20.020152274152959</v>
          </cell>
          <cell r="LL2168">
            <v>17.982747259685677</v>
          </cell>
          <cell r="LM2168">
            <v>15.721193701553757</v>
          </cell>
          <cell r="LN2168">
            <v>20.244300817817596</v>
          </cell>
          <cell r="LY2168">
            <v>15.623099091253225</v>
          </cell>
          <cell r="LZ2168">
            <v>14.730476692982464</v>
          </cell>
          <cell r="MA2168">
            <v>11.870949885755934</v>
          </cell>
          <cell r="MB2168">
            <v>9.6544719773798295</v>
          </cell>
          <cell r="MC2168">
            <v>14.087427794132038</v>
          </cell>
        </row>
        <row r="2169">
          <cell r="A2169">
            <v>42563</v>
          </cell>
          <cell r="LJ2169">
            <v>19.789208304375844</v>
          </cell>
          <cell r="LK2169">
            <v>20.020152274152959</v>
          </cell>
          <cell r="LL2169">
            <v>17.982747259685677</v>
          </cell>
          <cell r="LM2169">
            <v>15.721193701553757</v>
          </cell>
          <cell r="LN2169">
            <v>20.244300817817596</v>
          </cell>
          <cell r="LY2169">
            <v>15.484825481800824</v>
          </cell>
          <cell r="LZ2169">
            <v>14.730476692982464</v>
          </cell>
          <cell r="MA2169">
            <v>11.870949885755934</v>
          </cell>
          <cell r="MB2169">
            <v>9.6544719773798295</v>
          </cell>
          <cell r="MC2169">
            <v>14.087427794132038</v>
          </cell>
        </row>
        <row r="2170">
          <cell r="A2170">
            <v>42564</v>
          </cell>
          <cell r="LJ2170">
            <v>19.973052315075478</v>
          </cell>
          <cell r="LK2170">
            <v>20.020152274152959</v>
          </cell>
          <cell r="LL2170">
            <v>17.982747259685677</v>
          </cell>
          <cell r="LM2170">
            <v>15.721193701553757</v>
          </cell>
          <cell r="LN2170">
            <v>20.244300817817596</v>
          </cell>
          <cell r="LY2170">
            <v>15.627883525074759</v>
          </cell>
          <cell r="LZ2170">
            <v>14.730476692982464</v>
          </cell>
          <cell r="MA2170">
            <v>11.870949885755934</v>
          </cell>
          <cell r="MB2170">
            <v>9.6544719773798295</v>
          </cell>
          <cell r="MC2170">
            <v>14.087427794132038</v>
          </cell>
        </row>
        <row r="2171">
          <cell r="A2171">
            <v>42565</v>
          </cell>
          <cell r="LJ2171">
            <v>20.137772014277097</v>
          </cell>
          <cell r="LK2171">
            <v>20.020152274152959</v>
          </cell>
          <cell r="LL2171">
            <v>17.982747259685677</v>
          </cell>
          <cell r="LM2171">
            <v>15.721193701553757</v>
          </cell>
          <cell r="LN2171">
            <v>20.244300817817596</v>
          </cell>
          <cell r="LY2171">
            <v>15.583889027977133</v>
          </cell>
          <cell r="LZ2171">
            <v>14.730476692982464</v>
          </cell>
          <cell r="MA2171">
            <v>11.870949885755934</v>
          </cell>
          <cell r="MB2171">
            <v>9.6544719773798295</v>
          </cell>
          <cell r="MC2171">
            <v>14.087427794132038</v>
          </cell>
        </row>
        <row r="2172">
          <cell r="A2172">
            <v>42566</v>
          </cell>
          <cell r="LJ2172">
            <v>20.1477298531019</v>
          </cell>
          <cell r="LK2172">
            <v>20.020152274152959</v>
          </cell>
          <cell r="LL2172">
            <v>17.982747259685677</v>
          </cell>
          <cell r="LM2172">
            <v>15.721193701553757</v>
          </cell>
          <cell r="LN2172">
            <v>20.244300817817596</v>
          </cell>
          <cell r="LY2172">
            <v>15.585478205744367</v>
          </cell>
          <cell r="LZ2172">
            <v>14.730476692982464</v>
          </cell>
          <cell r="MA2172">
            <v>11.870949885755934</v>
          </cell>
          <cell r="MB2172">
            <v>9.6544719773798295</v>
          </cell>
          <cell r="MC2172">
            <v>14.087427794132038</v>
          </cell>
        </row>
        <row r="2173">
          <cell r="A2173">
            <v>42569</v>
          </cell>
          <cell r="LJ2173">
            <v>20.154307939588943</v>
          </cell>
          <cell r="LK2173">
            <v>20.020152274152959</v>
          </cell>
          <cell r="LL2173">
            <v>17.982747259685677</v>
          </cell>
          <cell r="LM2173">
            <v>15.721193701553757</v>
          </cell>
          <cell r="LN2173">
            <v>20.244300817817596</v>
          </cell>
          <cell r="LY2173">
            <v>15.593425246492499</v>
          </cell>
          <cell r="LZ2173">
            <v>14.730476692982464</v>
          </cell>
          <cell r="MA2173">
            <v>11.870949885755934</v>
          </cell>
          <cell r="MB2173">
            <v>9.6544719773798295</v>
          </cell>
          <cell r="MC2173">
            <v>14.087427794132038</v>
          </cell>
        </row>
        <row r="2174">
          <cell r="A2174">
            <v>42570</v>
          </cell>
          <cell r="LJ2174">
            <v>20.139368254353698</v>
          </cell>
          <cell r="LK2174">
            <v>20.020152274152959</v>
          </cell>
          <cell r="LL2174">
            <v>17.982747259685677</v>
          </cell>
          <cell r="LM2174">
            <v>15.721193701553757</v>
          </cell>
          <cell r="LN2174">
            <v>20.244300817817596</v>
          </cell>
          <cell r="LY2174">
            <v>15.583885729984209</v>
          </cell>
          <cell r="LZ2174">
            <v>14.730476692982464</v>
          </cell>
          <cell r="MA2174">
            <v>11.870949885755934</v>
          </cell>
          <cell r="MB2174">
            <v>9.6544719773798295</v>
          </cell>
          <cell r="MC2174">
            <v>14.087427794132038</v>
          </cell>
        </row>
        <row r="2175">
          <cell r="A2175">
            <v>42571</v>
          </cell>
          <cell r="LJ2175">
            <v>20.150162739572544</v>
          </cell>
          <cell r="LK2175">
            <v>20.020152274152959</v>
          </cell>
          <cell r="LL2175">
            <v>17.982747259685677</v>
          </cell>
          <cell r="LM2175">
            <v>15.721193701553757</v>
          </cell>
          <cell r="LN2175">
            <v>20.244300817817596</v>
          </cell>
          <cell r="LY2175">
            <v>15.664973528271576</v>
          </cell>
          <cell r="LZ2175">
            <v>14.730476692982464</v>
          </cell>
          <cell r="MA2175">
            <v>11.870949885755934</v>
          </cell>
          <cell r="MB2175">
            <v>9.6544719773798295</v>
          </cell>
          <cell r="MC2175">
            <v>14.087427794132038</v>
          </cell>
        </row>
        <row r="2176">
          <cell r="A2176">
            <v>42572</v>
          </cell>
          <cell r="LJ2176">
            <v>20.125403712973036</v>
          </cell>
          <cell r="LK2176">
            <v>20.020152274152959</v>
          </cell>
          <cell r="LL2176">
            <v>17.982747259685677</v>
          </cell>
          <cell r="LM2176">
            <v>15.721193701553757</v>
          </cell>
          <cell r="LN2176">
            <v>20.244300817817596</v>
          </cell>
          <cell r="LY2176">
            <v>15.649072850116834</v>
          </cell>
          <cell r="LZ2176">
            <v>14.730476692982464</v>
          </cell>
          <cell r="MA2176">
            <v>11.870949885755934</v>
          </cell>
          <cell r="MB2176">
            <v>9.6544719773798295</v>
          </cell>
          <cell r="MC2176">
            <v>14.087427794132038</v>
          </cell>
        </row>
        <row r="2177">
          <cell r="A2177">
            <v>42573</v>
          </cell>
          <cell r="LJ2177">
            <v>20.113027913304457</v>
          </cell>
          <cell r="LK2177">
            <v>20.020152274152959</v>
          </cell>
          <cell r="LL2177">
            <v>17.982747259685677</v>
          </cell>
          <cell r="LM2177">
            <v>15.721193701553757</v>
          </cell>
          <cell r="LN2177">
            <v>20.244300817817596</v>
          </cell>
          <cell r="LY2177">
            <v>15.641124895998091</v>
          </cell>
          <cell r="LZ2177">
            <v>14.730476692982464</v>
          </cell>
          <cell r="MA2177">
            <v>11.870949885755934</v>
          </cell>
          <cell r="MB2177">
            <v>9.6544719773798295</v>
          </cell>
          <cell r="MC2177">
            <v>14.087427794132038</v>
          </cell>
        </row>
        <row r="2178">
          <cell r="A2178">
            <v>42576</v>
          </cell>
          <cell r="LJ2178">
            <v>20.140886448488857</v>
          </cell>
          <cell r="LK2178">
            <v>20.020152274152959</v>
          </cell>
          <cell r="LL2178">
            <v>17.982747259685677</v>
          </cell>
          <cell r="LM2178">
            <v>15.721193701553757</v>
          </cell>
          <cell r="LN2178">
            <v>20.244300817817596</v>
          </cell>
          <cell r="LY2178">
            <v>15.7977270667766</v>
          </cell>
          <cell r="LZ2178">
            <v>14.730476692982464</v>
          </cell>
          <cell r="MA2178">
            <v>11.870949885755934</v>
          </cell>
          <cell r="MB2178">
            <v>9.6544719773798295</v>
          </cell>
          <cell r="MC2178">
            <v>14.087427794132038</v>
          </cell>
        </row>
        <row r="2179">
          <cell r="A2179">
            <v>42577</v>
          </cell>
          <cell r="LJ2179">
            <v>21.795279480411814</v>
          </cell>
          <cell r="LK2179">
            <v>20.020152274152959</v>
          </cell>
          <cell r="LL2179">
            <v>17.982747259685677</v>
          </cell>
          <cell r="LM2179">
            <v>15.721193701553757</v>
          </cell>
          <cell r="LN2179">
            <v>20.244300817817596</v>
          </cell>
          <cell r="LY2179">
            <v>15.774704325115088</v>
          </cell>
          <cell r="LZ2179">
            <v>14.730476692982464</v>
          </cell>
          <cell r="MA2179">
            <v>11.870949885755934</v>
          </cell>
          <cell r="MB2179">
            <v>9.6544719773798295</v>
          </cell>
          <cell r="MC2179">
            <v>14.087427794132038</v>
          </cell>
        </row>
        <row r="2180">
          <cell r="A2180">
            <v>42578</v>
          </cell>
          <cell r="LJ2180">
            <v>21.748488769336358</v>
          </cell>
          <cell r="LK2180">
            <v>20.020152274152959</v>
          </cell>
          <cell r="LL2180">
            <v>17.982747259685677</v>
          </cell>
          <cell r="LM2180">
            <v>15.721193701553757</v>
          </cell>
          <cell r="LN2180">
            <v>20.244300817817596</v>
          </cell>
          <cell r="LY2180">
            <v>16.219703370296973</v>
          </cell>
          <cell r="LZ2180">
            <v>14.730476692982464</v>
          </cell>
          <cell r="MA2180">
            <v>11.870949885755934</v>
          </cell>
          <cell r="MB2180">
            <v>9.6544719773798295</v>
          </cell>
          <cell r="MC2180">
            <v>14.087427794132038</v>
          </cell>
        </row>
        <row r="2181">
          <cell r="A2181">
            <v>42579</v>
          </cell>
          <cell r="LJ2181">
            <v>21.837254337594601</v>
          </cell>
          <cell r="LK2181">
            <v>20.020152274152959</v>
          </cell>
          <cell r="LL2181">
            <v>17.982747259685677</v>
          </cell>
          <cell r="LM2181">
            <v>15.721193701553757</v>
          </cell>
          <cell r="LN2181">
            <v>20.244300817817596</v>
          </cell>
          <cell r="LY2181">
            <v>16.275315176574047</v>
          </cell>
          <cell r="LZ2181">
            <v>14.730476692982464</v>
          </cell>
          <cell r="MA2181">
            <v>11.870949885755934</v>
          </cell>
          <cell r="MB2181">
            <v>9.6544719773798295</v>
          </cell>
          <cell r="MC2181">
            <v>14.087427794132038</v>
          </cell>
        </row>
        <row r="2182">
          <cell r="A2182">
            <v>42580</v>
          </cell>
          <cell r="LJ2182">
            <v>21.90719650302837</v>
          </cell>
          <cell r="LK2182">
            <v>20.020152274152959</v>
          </cell>
          <cell r="LL2182">
            <v>17.982747259685677</v>
          </cell>
          <cell r="LM2182">
            <v>15.721193701553757</v>
          </cell>
          <cell r="LN2182">
            <v>20.244300817817596</v>
          </cell>
          <cell r="LY2182">
            <v>16.315762853679548</v>
          </cell>
          <cell r="LZ2182">
            <v>14.730476692982464</v>
          </cell>
          <cell r="MA2182">
            <v>11.870949885755934</v>
          </cell>
          <cell r="MB2182">
            <v>9.6544719773798295</v>
          </cell>
          <cell r="MC2182">
            <v>14.087427794132038</v>
          </cell>
        </row>
        <row r="2183">
          <cell r="A2183">
            <v>42583</v>
          </cell>
          <cell r="LJ2183">
            <v>21.699732503095159</v>
          </cell>
          <cell r="LK2183">
            <v>20.020152274152959</v>
          </cell>
          <cell r="LL2183">
            <v>17.982747259685677</v>
          </cell>
          <cell r="LM2183">
            <v>15.721193701553757</v>
          </cell>
          <cell r="LN2183">
            <v>20.244300817817596</v>
          </cell>
          <cell r="LY2183">
            <v>16.261758375300573</v>
          </cell>
          <cell r="LZ2183">
            <v>14.730476692982464</v>
          </cell>
          <cell r="MA2183">
            <v>11.870949885755934</v>
          </cell>
          <cell r="MB2183">
            <v>9.6544719773798295</v>
          </cell>
          <cell r="MC2183">
            <v>14.087427794132038</v>
          </cell>
        </row>
        <row r="2184">
          <cell r="A2184">
            <v>42584</v>
          </cell>
          <cell r="LJ2184">
            <v>21.55008862706816</v>
          </cell>
          <cell r="LK2184">
            <v>20.020152274152959</v>
          </cell>
          <cell r="LL2184">
            <v>17.982747259685677</v>
          </cell>
          <cell r="LM2184">
            <v>15.721193701553757</v>
          </cell>
          <cell r="LN2184">
            <v>20.244300817817596</v>
          </cell>
          <cell r="LY2184">
            <v>16.257253973886485</v>
          </cell>
          <cell r="LZ2184">
            <v>14.730476692982464</v>
          </cell>
          <cell r="MA2184">
            <v>11.870949885755934</v>
          </cell>
          <cell r="MB2184">
            <v>9.6544719773798295</v>
          </cell>
          <cell r="MC2184">
            <v>14.087427794132038</v>
          </cell>
        </row>
        <row r="2185">
          <cell r="A2185">
            <v>42585</v>
          </cell>
          <cell r="LJ2185">
            <v>21.376285467664502</v>
          </cell>
          <cell r="LK2185">
            <v>20.020152274152959</v>
          </cell>
          <cell r="LL2185">
            <v>17.982747259685677</v>
          </cell>
          <cell r="LM2185">
            <v>15.721193701553757</v>
          </cell>
          <cell r="LN2185">
            <v>20.244300817817596</v>
          </cell>
          <cell r="LY2185">
            <v>16.230253634556984</v>
          </cell>
          <cell r="LZ2185">
            <v>14.730476692982464</v>
          </cell>
          <cell r="MA2185">
            <v>11.870949885755934</v>
          </cell>
          <cell r="MB2185">
            <v>9.6544719773798295</v>
          </cell>
          <cell r="MC2185">
            <v>14.087427794132038</v>
          </cell>
        </row>
        <row r="2186">
          <cell r="A2186">
            <v>42586</v>
          </cell>
          <cell r="LJ2186">
            <v>21.413241260617035</v>
          </cell>
          <cell r="LK2186">
            <v>20.020152274152959</v>
          </cell>
          <cell r="LL2186">
            <v>17.982747259685677</v>
          </cell>
          <cell r="LM2186">
            <v>15.721193701553757</v>
          </cell>
          <cell r="LN2186">
            <v>20.244300817817596</v>
          </cell>
          <cell r="LY2186">
            <v>16.230253634556984</v>
          </cell>
          <cell r="LZ2186">
            <v>14.730476692982464</v>
          </cell>
          <cell r="MA2186">
            <v>11.870949885755934</v>
          </cell>
          <cell r="MB2186">
            <v>9.6544719773798295</v>
          </cell>
          <cell r="MC2186">
            <v>14.087427794132038</v>
          </cell>
        </row>
        <row r="2187">
          <cell r="A2187">
            <v>42587</v>
          </cell>
          <cell r="LJ2187">
            <v>21.513418389795376</v>
          </cell>
          <cell r="LK2187">
            <v>20.020152274152959</v>
          </cell>
          <cell r="LL2187">
            <v>17.982747259685677</v>
          </cell>
          <cell r="LM2187">
            <v>15.721193701553757</v>
          </cell>
          <cell r="LN2187">
            <v>20.244300817817596</v>
          </cell>
          <cell r="LY2187">
            <v>16.304484296848038</v>
          </cell>
          <cell r="LZ2187">
            <v>14.730476692982464</v>
          </cell>
          <cell r="MA2187">
            <v>11.870949885755934</v>
          </cell>
          <cell r="MB2187">
            <v>9.6544719773798295</v>
          </cell>
          <cell r="MC2187">
            <v>14.087427794132038</v>
          </cell>
        </row>
        <row r="2188">
          <cell r="A2188">
            <v>42590</v>
          </cell>
          <cell r="LJ2188">
            <v>21.455345094590797</v>
          </cell>
          <cell r="LK2188">
            <v>20.020152274152959</v>
          </cell>
          <cell r="LL2188">
            <v>17.982747259685677</v>
          </cell>
          <cell r="LM2188">
            <v>15.721193701553757</v>
          </cell>
          <cell r="LN2188">
            <v>20.244300817817596</v>
          </cell>
          <cell r="LY2188">
            <v>16.267469524177375</v>
          </cell>
          <cell r="LZ2188">
            <v>14.730476692982464</v>
          </cell>
          <cell r="MA2188">
            <v>11.870949885755934</v>
          </cell>
          <cell r="MB2188">
            <v>9.6544719773798295</v>
          </cell>
          <cell r="MC2188">
            <v>14.087427794132038</v>
          </cell>
        </row>
        <row r="2189">
          <cell r="A2189">
            <v>42591</v>
          </cell>
          <cell r="LJ2189">
            <v>21.434227100750054</v>
          </cell>
          <cell r="LK2189">
            <v>20.020152274152959</v>
          </cell>
          <cell r="LL2189">
            <v>17.982747259685677</v>
          </cell>
          <cell r="LM2189">
            <v>15.721193701553757</v>
          </cell>
          <cell r="LN2189">
            <v>20.244300817817596</v>
          </cell>
          <cell r="LY2189">
            <v>16.254007405126142</v>
          </cell>
          <cell r="LZ2189">
            <v>14.730476692982464</v>
          </cell>
          <cell r="MA2189">
            <v>11.870949885755934</v>
          </cell>
          <cell r="MB2189">
            <v>9.6544719773798295</v>
          </cell>
          <cell r="MC2189">
            <v>14.087427794132038</v>
          </cell>
        </row>
        <row r="2190">
          <cell r="A2190">
            <v>42592</v>
          </cell>
          <cell r="LJ2190">
            <v>21.439507787067697</v>
          </cell>
          <cell r="LK2190">
            <v>20.020152274152959</v>
          </cell>
          <cell r="LL2190">
            <v>17.982747259685677</v>
          </cell>
          <cell r="LM2190">
            <v>15.721193701553757</v>
          </cell>
          <cell r="LN2190">
            <v>20.244300817817596</v>
          </cell>
          <cell r="LY2190">
            <v>16.257373692114218</v>
          </cell>
          <cell r="LZ2190">
            <v>14.730476692982464</v>
          </cell>
          <cell r="MA2190">
            <v>11.870949885755934</v>
          </cell>
          <cell r="MB2190">
            <v>9.6544719773798295</v>
          </cell>
          <cell r="MC2190">
            <v>14.087427794132038</v>
          </cell>
        </row>
        <row r="2191">
          <cell r="A2191">
            <v>42593</v>
          </cell>
          <cell r="LJ2191">
            <v>21.523975538937478</v>
          </cell>
          <cell r="LK2191">
            <v>20.020152274152959</v>
          </cell>
          <cell r="LL2191">
            <v>17.982747259685677</v>
          </cell>
          <cell r="LM2191">
            <v>15.721193701553757</v>
          </cell>
          <cell r="LN2191">
            <v>20.244300817817596</v>
          </cell>
          <cell r="LY2191">
            <v>16.127998835938438</v>
          </cell>
          <cell r="LZ2191">
            <v>14.730476692982464</v>
          </cell>
          <cell r="MA2191">
            <v>11.870949885755934</v>
          </cell>
          <cell r="MB2191">
            <v>9.6544719773798295</v>
          </cell>
          <cell r="MC2191">
            <v>14.087427794132038</v>
          </cell>
        </row>
        <row r="2192">
          <cell r="A2192">
            <v>42594</v>
          </cell>
          <cell r="LJ2192">
            <v>21.484381874177249</v>
          </cell>
          <cell r="LK2192">
            <v>20.020152274152959</v>
          </cell>
          <cell r="LL2192">
            <v>17.982747259685677</v>
          </cell>
          <cell r="LM2192">
            <v>15.721193701553757</v>
          </cell>
          <cell r="LN2192">
            <v>20.244300817817596</v>
          </cell>
          <cell r="LY2192">
            <v>16.104705340157516</v>
          </cell>
          <cell r="LZ2192">
            <v>14.730476692982464</v>
          </cell>
          <cell r="MA2192">
            <v>11.870949885755934</v>
          </cell>
          <cell r="MB2192">
            <v>9.6544719773798295</v>
          </cell>
          <cell r="MC2192">
            <v>14.087427794132038</v>
          </cell>
        </row>
        <row r="2193">
          <cell r="A2193">
            <v>42597</v>
          </cell>
          <cell r="LJ2193">
            <v>21.442145886495766</v>
          </cell>
          <cell r="LK2193">
            <v>20.020152274152959</v>
          </cell>
          <cell r="LL2193">
            <v>17.982747259685677</v>
          </cell>
          <cell r="LM2193">
            <v>15.721193701553757</v>
          </cell>
          <cell r="LN2193">
            <v>20.244300817817596</v>
          </cell>
          <cell r="LY2193">
            <v>16.076419422578937</v>
          </cell>
          <cell r="LZ2193">
            <v>14.730476692982464</v>
          </cell>
          <cell r="MA2193">
            <v>11.870949885755934</v>
          </cell>
          <cell r="MB2193">
            <v>9.6544719773798295</v>
          </cell>
          <cell r="MC2193">
            <v>14.087427794132038</v>
          </cell>
        </row>
        <row r="2194">
          <cell r="A2194">
            <v>42598</v>
          </cell>
          <cell r="LJ2194">
            <v>21.302242938849467</v>
          </cell>
          <cell r="LK2194">
            <v>20.020152274152959</v>
          </cell>
          <cell r="LL2194">
            <v>17.982747259685677</v>
          </cell>
          <cell r="LM2194">
            <v>15.721193701553757</v>
          </cell>
          <cell r="LN2194">
            <v>20.244300817817596</v>
          </cell>
          <cell r="LY2194">
            <v>15.988237076301349</v>
          </cell>
          <cell r="LZ2194">
            <v>14.730476692982464</v>
          </cell>
          <cell r="MA2194">
            <v>11.870949885755934</v>
          </cell>
          <cell r="MB2194">
            <v>9.6544719773798295</v>
          </cell>
          <cell r="MC2194">
            <v>14.087427794132038</v>
          </cell>
        </row>
        <row r="2195">
          <cell r="A2195">
            <v>42599</v>
          </cell>
          <cell r="LJ2195">
            <v>21.386714914212433</v>
          </cell>
          <cell r="LK2195">
            <v>20.020152274152959</v>
          </cell>
          <cell r="LL2195">
            <v>17.982747259685677</v>
          </cell>
          <cell r="LM2195">
            <v>15.721193701553757</v>
          </cell>
          <cell r="LN2195">
            <v>20.244300817817596</v>
          </cell>
          <cell r="LY2195">
            <v>16.04148067915267</v>
          </cell>
          <cell r="LZ2195">
            <v>14.730476692982464</v>
          </cell>
          <cell r="MA2195">
            <v>11.870949885755934</v>
          </cell>
          <cell r="MB2195">
            <v>9.6544719773798295</v>
          </cell>
          <cell r="MC2195">
            <v>14.087427794132038</v>
          </cell>
        </row>
        <row r="2196">
          <cell r="A2196">
            <v>42600</v>
          </cell>
          <cell r="LJ2196">
            <v>21.265287637485628</v>
          </cell>
          <cell r="LK2196">
            <v>20.020152274152959</v>
          </cell>
          <cell r="LL2196">
            <v>17.982747259685677</v>
          </cell>
          <cell r="LM2196">
            <v>15.721193701553757</v>
          </cell>
          <cell r="LN2196">
            <v>20.244300817817596</v>
          </cell>
          <cell r="LY2196">
            <v>15.96494374877334</v>
          </cell>
          <cell r="LZ2196">
            <v>14.730476692982464</v>
          </cell>
          <cell r="MA2196">
            <v>11.870949885755934</v>
          </cell>
          <cell r="MB2196">
            <v>9.6544719773798295</v>
          </cell>
          <cell r="MC2196">
            <v>14.087427794132038</v>
          </cell>
        </row>
        <row r="2197">
          <cell r="A2197">
            <v>42601</v>
          </cell>
          <cell r="LJ2197">
            <v>21.31280404751643</v>
          </cell>
          <cell r="LK2197">
            <v>20.020152274152959</v>
          </cell>
          <cell r="LL2197">
            <v>17.982747259685677</v>
          </cell>
          <cell r="LM2197">
            <v>15.721193701553757</v>
          </cell>
          <cell r="LN2197">
            <v>20.244300817817596</v>
          </cell>
          <cell r="LY2197">
            <v>16.000732147433986</v>
          </cell>
          <cell r="LZ2197">
            <v>14.730476692982464</v>
          </cell>
          <cell r="MA2197">
            <v>11.870949885755934</v>
          </cell>
          <cell r="MB2197">
            <v>9.6544719773798295</v>
          </cell>
          <cell r="MC2197">
            <v>14.087427794132038</v>
          </cell>
        </row>
        <row r="2198">
          <cell r="A2198">
            <v>42604</v>
          </cell>
          <cell r="LJ2198">
            <v>21.362954597450443</v>
          </cell>
          <cell r="LK2198">
            <v>20.020152274152959</v>
          </cell>
          <cell r="LL2198">
            <v>17.982747259685677</v>
          </cell>
          <cell r="LM2198">
            <v>15.721193701553757</v>
          </cell>
          <cell r="LN2198">
            <v>20.244300817817596</v>
          </cell>
          <cell r="LY2198">
            <v>16.032356623034001</v>
          </cell>
          <cell r="LZ2198">
            <v>14.730476692982464</v>
          </cell>
          <cell r="MA2198">
            <v>11.870949885755934</v>
          </cell>
          <cell r="MB2198">
            <v>9.6544719773798295</v>
          </cell>
          <cell r="MC2198">
            <v>14.087427794132038</v>
          </cell>
        </row>
        <row r="2199">
          <cell r="A2199">
            <v>42605</v>
          </cell>
          <cell r="LJ2199">
            <v>21.389353013640505</v>
          </cell>
          <cell r="LK2199">
            <v>20.020152274152959</v>
          </cell>
          <cell r="LL2199">
            <v>17.982747259685677</v>
          </cell>
          <cell r="LM2199">
            <v>15.721193701553757</v>
          </cell>
          <cell r="LN2199">
            <v>20.244300817817596</v>
          </cell>
          <cell r="LY2199">
            <v>16.049001907330251</v>
          </cell>
          <cell r="LZ2199">
            <v>14.730476692982464</v>
          </cell>
          <cell r="MA2199">
            <v>11.870949885755934</v>
          </cell>
          <cell r="MB2199">
            <v>9.6544719773798295</v>
          </cell>
          <cell r="MC2199">
            <v>14.087427794132038</v>
          </cell>
        </row>
        <row r="2200">
          <cell r="A2200">
            <v>42606</v>
          </cell>
          <cell r="LJ2200">
            <v>21.278486845580659</v>
          </cell>
          <cell r="LK2200">
            <v>20.020152274152959</v>
          </cell>
          <cell r="LL2200">
            <v>17.982747259685677</v>
          </cell>
          <cell r="LM2200">
            <v>15.721193701553757</v>
          </cell>
          <cell r="LN2200">
            <v>20.244300817817596</v>
          </cell>
          <cell r="LY2200">
            <v>15.979096240531707</v>
          </cell>
          <cell r="LZ2200">
            <v>14.730476692982464</v>
          </cell>
          <cell r="MA2200">
            <v>11.870949885755934</v>
          </cell>
          <cell r="MB2200">
            <v>9.6544719773798295</v>
          </cell>
          <cell r="MC2200">
            <v>14.087427794132038</v>
          </cell>
        </row>
        <row r="2201">
          <cell r="A2201">
            <v>42607</v>
          </cell>
          <cell r="LJ2201">
            <v>21.25473075231185</v>
          </cell>
          <cell r="LK2201">
            <v>20.020152274152959</v>
          </cell>
          <cell r="LL2201">
            <v>17.982747259685677</v>
          </cell>
          <cell r="LM2201">
            <v>15.721193701553757</v>
          </cell>
          <cell r="LN2201">
            <v>20.244300817817596</v>
          </cell>
          <cell r="LY2201">
            <v>15.964117049227937</v>
          </cell>
          <cell r="LZ2201">
            <v>14.730476692982464</v>
          </cell>
          <cell r="MA2201">
            <v>11.870949885755934</v>
          </cell>
          <cell r="MB2201">
            <v>9.6544719773798295</v>
          </cell>
          <cell r="MC2201">
            <v>14.087427794132038</v>
          </cell>
        </row>
        <row r="2202">
          <cell r="A2202">
            <v>42608</v>
          </cell>
          <cell r="LJ2202">
            <v>21.434227100750054</v>
          </cell>
          <cell r="LK2202">
            <v>20.020152274152959</v>
          </cell>
          <cell r="LL2202">
            <v>17.982747259685677</v>
          </cell>
          <cell r="LM2202">
            <v>15.721193701553757</v>
          </cell>
          <cell r="LN2202">
            <v>20.244300817817596</v>
          </cell>
          <cell r="LY2202">
            <v>16.077296860031019</v>
          </cell>
          <cell r="LZ2202">
            <v>14.730476692982464</v>
          </cell>
          <cell r="MA2202">
            <v>11.870949885755934</v>
          </cell>
          <cell r="MB2202">
            <v>9.6544719773798295</v>
          </cell>
          <cell r="MC2202">
            <v>14.087427794132038</v>
          </cell>
        </row>
        <row r="2203">
          <cell r="A2203">
            <v>42611</v>
          </cell>
          <cell r="LJ2203">
            <v>21.603166827982804</v>
          </cell>
          <cell r="LK2203">
            <v>20.020152274152959</v>
          </cell>
          <cell r="LL2203">
            <v>17.982747259685677</v>
          </cell>
          <cell r="LM2203">
            <v>15.721193701553757</v>
          </cell>
          <cell r="LN2203">
            <v>20.244300817817596</v>
          </cell>
          <cell r="LY2203">
            <v>16.183826789527455</v>
          </cell>
          <cell r="LZ2203">
            <v>14.730476692982464</v>
          </cell>
          <cell r="MA2203">
            <v>11.870949885755934</v>
          </cell>
          <cell r="MB2203">
            <v>9.6544719773798295</v>
          </cell>
          <cell r="MC2203">
            <v>14.087427794132038</v>
          </cell>
        </row>
        <row r="2204">
          <cell r="A2204">
            <v>42612</v>
          </cell>
          <cell r="LJ2204">
            <v>21.434227100750054</v>
          </cell>
          <cell r="LK2204">
            <v>20.020152274152959</v>
          </cell>
          <cell r="LL2204">
            <v>17.982747259685677</v>
          </cell>
          <cell r="LM2204">
            <v>15.721193701553757</v>
          </cell>
          <cell r="LN2204">
            <v>20.244300817817596</v>
          </cell>
          <cell r="LY2204">
            <v>16.077303318644297</v>
          </cell>
          <cell r="LZ2204">
            <v>14.730476692982464</v>
          </cell>
          <cell r="MA2204">
            <v>11.870949885755934</v>
          </cell>
          <cell r="MB2204">
            <v>9.6544719773798295</v>
          </cell>
          <cell r="MC2204">
            <v>14.087427794132038</v>
          </cell>
        </row>
        <row r="2205">
          <cell r="A2205">
            <v>42613</v>
          </cell>
          <cell r="LJ2205">
            <v>21.489662296526568</v>
          </cell>
          <cell r="LK2205">
            <v>20.020152274152959</v>
          </cell>
          <cell r="LL2205">
            <v>17.982747259685677</v>
          </cell>
          <cell r="LM2205">
            <v>15.721193701553757</v>
          </cell>
          <cell r="LN2205">
            <v>20.244300817817596</v>
          </cell>
          <cell r="LY2205">
            <v>16.112251024973137</v>
          </cell>
          <cell r="LZ2205">
            <v>14.730476692982464</v>
          </cell>
          <cell r="MA2205">
            <v>11.870949885755934</v>
          </cell>
          <cell r="MB2205">
            <v>9.6544719773798295</v>
          </cell>
          <cell r="MC2205">
            <v>14.087427794132038</v>
          </cell>
        </row>
        <row r="2206">
          <cell r="A2206">
            <v>42614</v>
          </cell>
          <cell r="LJ2206">
            <v>21.334731285611369</v>
          </cell>
          <cell r="LK2206">
            <v>20.020152274152959</v>
          </cell>
          <cell r="LL2206">
            <v>17.982747259685677</v>
          </cell>
          <cell r="LM2206">
            <v>15.721193701553757</v>
          </cell>
          <cell r="LN2206">
            <v>20.244300817817596</v>
          </cell>
          <cell r="LY2206">
            <v>16.030113344567152</v>
          </cell>
          <cell r="LZ2206">
            <v>14.730476692982464</v>
          </cell>
          <cell r="MA2206">
            <v>11.870949885755934</v>
          </cell>
          <cell r="MB2206">
            <v>9.6544719773798295</v>
          </cell>
          <cell r="MC2206">
            <v>14.087427794132038</v>
          </cell>
        </row>
        <row r="2207">
          <cell r="A2207">
            <v>42615</v>
          </cell>
          <cell r="LJ2207">
            <v>21.269239111926126</v>
          </cell>
          <cell r="LK2207">
            <v>20.020152274152959</v>
          </cell>
          <cell r="LL2207">
            <v>17.982747259685677</v>
          </cell>
          <cell r="LM2207">
            <v>15.721193701553757</v>
          </cell>
          <cell r="LN2207">
            <v>20.244300817817596</v>
          </cell>
          <cell r="LY2207">
            <v>15.988725097368414</v>
          </cell>
          <cell r="LZ2207">
            <v>14.730476692982464</v>
          </cell>
          <cell r="MA2207">
            <v>11.870949885755934</v>
          </cell>
          <cell r="MB2207">
            <v>9.6544719773798295</v>
          </cell>
          <cell r="MC2207">
            <v>14.087427794132038</v>
          </cell>
        </row>
        <row r="2208">
          <cell r="A2208">
            <v>42618</v>
          </cell>
          <cell r="LJ2208">
            <v>21.271300905451575</v>
          </cell>
          <cell r="LK2208">
            <v>20.020152274152959</v>
          </cell>
          <cell r="LL2208">
            <v>17.982747259685677</v>
          </cell>
          <cell r="LM2208">
            <v>15.721193701553757</v>
          </cell>
          <cell r="LN2208">
            <v>20.244300817817596</v>
          </cell>
          <cell r="LY2208">
            <v>15.988736204733527</v>
          </cell>
          <cell r="LZ2208">
            <v>14.730476692982464</v>
          </cell>
          <cell r="MA2208">
            <v>11.870949885755934</v>
          </cell>
          <cell r="MB2208">
            <v>9.6544719773798295</v>
          </cell>
          <cell r="MC2208">
            <v>14.087427794132038</v>
          </cell>
        </row>
        <row r="2209">
          <cell r="A2209">
            <v>42619</v>
          </cell>
          <cell r="LJ2209">
            <v>20.827629750238732</v>
          </cell>
          <cell r="LK2209">
            <v>20.020152274152959</v>
          </cell>
          <cell r="LL2209">
            <v>17.982747259685677</v>
          </cell>
          <cell r="LM2209">
            <v>15.721193701553757</v>
          </cell>
          <cell r="LN2209">
            <v>20.244300817817596</v>
          </cell>
          <cell r="LY2209">
            <v>15.689475132780601</v>
          </cell>
          <cell r="LZ2209">
            <v>14.730476692982464</v>
          </cell>
          <cell r="MA2209">
            <v>11.870949885755934</v>
          </cell>
          <cell r="MB2209">
            <v>9.6544719773798295</v>
          </cell>
          <cell r="MC2209">
            <v>14.087427794132038</v>
          </cell>
        </row>
        <row r="2210">
          <cell r="A2210">
            <v>42620</v>
          </cell>
          <cell r="LJ2210">
            <v>20.78857925072046</v>
          </cell>
          <cell r="LK2210">
            <v>20.020152274152959</v>
          </cell>
          <cell r="LL2210">
            <v>17.982747259685677</v>
          </cell>
          <cell r="LM2210">
            <v>15.721193701553757</v>
          </cell>
          <cell r="LN2210">
            <v>20.244300817817596</v>
          </cell>
          <cell r="LY2210">
            <v>15.683658098064488</v>
          </cell>
          <cell r="LZ2210">
            <v>14.730476692982464</v>
          </cell>
          <cell r="MA2210">
            <v>11.870949885755934</v>
          </cell>
          <cell r="MB2210">
            <v>9.6544719773798295</v>
          </cell>
          <cell r="MC2210">
            <v>14.087427794132038</v>
          </cell>
        </row>
        <row r="2211">
          <cell r="A2211">
            <v>42621</v>
          </cell>
          <cell r="LJ2211">
            <v>20.696882368352107</v>
          </cell>
          <cell r="LK2211">
            <v>20.020152274152959</v>
          </cell>
          <cell r="LL2211">
            <v>17.982747259685677</v>
          </cell>
          <cell r="LM2211">
            <v>15.721193701553757</v>
          </cell>
          <cell r="LN2211">
            <v>20.244300817817596</v>
          </cell>
          <cell r="LY2211">
            <v>15.503730371286538</v>
          </cell>
          <cell r="LZ2211">
            <v>14.730476692982464</v>
          </cell>
          <cell r="MA2211">
            <v>11.870949885755934</v>
          </cell>
          <cell r="MB2211">
            <v>9.6544719773798295</v>
          </cell>
          <cell r="MC2211">
            <v>14.087427794132038</v>
          </cell>
        </row>
        <row r="2212">
          <cell r="A2212">
            <v>42622</v>
          </cell>
          <cell r="LJ2212">
            <v>20.207268791814247</v>
          </cell>
          <cell r="LK2212">
            <v>20.020152274152959</v>
          </cell>
          <cell r="LL2212">
            <v>17.982747259685677</v>
          </cell>
          <cell r="LM2212">
            <v>15.721193701553757</v>
          </cell>
          <cell r="LN2212">
            <v>20.244300817817596</v>
          </cell>
          <cell r="LY2212">
            <v>15.169921778819507</v>
          </cell>
          <cell r="LZ2212">
            <v>14.730476692982464</v>
          </cell>
          <cell r="MA2212">
            <v>11.870949885755934</v>
          </cell>
          <cell r="MB2212">
            <v>9.6544719773798295</v>
          </cell>
          <cell r="MC2212">
            <v>14.087427794132038</v>
          </cell>
        </row>
        <row r="2213">
          <cell r="A2213">
            <v>42625</v>
          </cell>
          <cell r="LJ2213">
            <v>20.519482356027815</v>
          </cell>
          <cell r="LK2213">
            <v>20.020152274152959</v>
          </cell>
          <cell r="LL2213">
            <v>17.982747259685677</v>
          </cell>
          <cell r="LM2213">
            <v>15.721193701553757</v>
          </cell>
          <cell r="LN2213">
            <v>20.244300817817596</v>
          </cell>
          <cell r="LY2213">
            <v>15.365263769860739</v>
          </cell>
          <cell r="LZ2213">
            <v>14.730476692982464</v>
          </cell>
          <cell r="MA2213">
            <v>11.870949885755934</v>
          </cell>
          <cell r="MB2213">
            <v>9.6544719773798295</v>
          </cell>
          <cell r="MC2213">
            <v>14.087427794132038</v>
          </cell>
        </row>
        <row r="2214">
          <cell r="A2214">
            <v>42626</v>
          </cell>
          <cell r="LJ2214">
            <v>20.165289518562247</v>
          </cell>
          <cell r="LK2214">
            <v>20.020152274152959</v>
          </cell>
          <cell r="LL2214">
            <v>17.982747259685677</v>
          </cell>
          <cell r="LM2214">
            <v>15.721193701553757</v>
          </cell>
          <cell r="LN2214">
            <v>20.244300817817596</v>
          </cell>
          <cell r="LY2214">
            <v>15.143656696967069</v>
          </cell>
          <cell r="LZ2214">
            <v>14.730476692982464</v>
          </cell>
          <cell r="MA2214">
            <v>11.870949885755934</v>
          </cell>
          <cell r="MB2214">
            <v>9.6544719773798295</v>
          </cell>
          <cell r="MC2214">
            <v>14.087427794132038</v>
          </cell>
        </row>
        <row r="2215">
          <cell r="A2215">
            <v>42627</v>
          </cell>
          <cell r="LJ2215">
            <v>20.057719270628361</v>
          </cell>
          <cell r="LK2215">
            <v>20.020152274152959</v>
          </cell>
          <cell r="LL2215">
            <v>17.982747259685677</v>
          </cell>
          <cell r="LM2215">
            <v>15.721193701553757</v>
          </cell>
          <cell r="LN2215">
            <v>20.244300817817596</v>
          </cell>
          <cell r="LY2215">
            <v>15.076353450674315</v>
          </cell>
          <cell r="LZ2215">
            <v>14.730476692982464</v>
          </cell>
          <cell r="MA2215">
            <v>11.870949885755934</v>
          </cell>
          <cell r="MB2215">
            <v>9.6544719773798295</v>
          </cell>
          <cell r="MC2215">
            <v>14.087427794132038</v>
          </cell>
        </row>
        <row r="2216">
          <cell r="A2216">
            <v>42628</v>
          </cell>
          <cell r="LJ2216">
            <v>20.149548471730292</v>
          </cell>
          <cell r="LK2216">
            <v>20.020152274152959</v>
          </cell>
          <cell r="LL2216">
            <v>17.982747259685677</v>
          </cell>
          <cell r="LM2216">
            <v>15.721193701553757</v>
          </cell>
          <cell r="LN2216">
            <v>20.244300817817596</v>
          </cell>
          <cell r="LY2216">
            <v>15.133808029959367</v>
          </cell>
          <cell r="LZ2216">
            <v>14.730476692982464</v>
          </cell>
          <cell r="MA2216">
            <v>11.870949885755934</v>
          </cell>
          <cell r="MB2216">
            <v>9.6544719773798295</v>
          </cell>
          <cell r="MC2216">
            <v>14.087427794132038</v>
          </cell>
        </row>
        <row r="2217">
          <cell r="A2217">
            <v>42629</v>
          </cell>
          <cell r="LJ2217">
            <v>20.089205824478555</v>
          </cell>
          <cell r="LK2217">
            <v>20.020152274152959</v>
          </cell>
          <cell r="LL2217">
            <v>17.982747259685677</v>
          </cell>
          <cell r="LM2217">
            <v>15.721193701553757</v>
          </cell>
          <cell r="LN2217">
            <v>20.244300817817596</v>
          </cell>
          <cell r="LY2217">
            <v>15.096053575284904</v>
          </cell>
          <cell r="LZ2217">
            <v>14.730476692982464</v>
          </cell>
          <cell r="MA2217">
            <v>11.870949885755934</v>
          </cell>
          <cell r="MB2217">
            <v>9.6544719773798295</v>
          </cell>
          <cell r="MC2217">
            <v>14.087427794132038</v>
          </cell>
        </row>
        <row r="2218">
          <cell r="A2218">
            <v>42632</v>
          </cell>
          <cell r="LJ2218">
            <v>20.152170536534172</v>
          </cell>
          <cell r="LK2218">
            <v>20.020152274152959</v>
          </cell>
          <cell r="LL2218">
            <v>17.982747259685677</v>
          </cell>
          <cell r="LM2218">
            <v>15.721193701553757</v>
          </cell>
          <cell r="LN2218">
            <v>20.244300817817596</v>
          </cell>
          <cell r="LY2218">
            <v>15.135448571621032</v>
          </cell>
          <cell r="LZ2218">
            <v>14.730476692982464</v>
          </cell>
          <cell r="MA2218">
            <v>11.870949885755934</v>
          </cell>
          <cell r="MB2218">
            <v>9.6544719773798295</v>
          </cell>
          <cell r="MC2218">
            <v>14.087427794132038</v>
          </cell>
        </row>
        <row r="2219">
          <cell r="A2219">
            <v>42633</v>
          </cell>
          <cell r="LJ2219">
            <v>20.12855883510429</v>
          </cell>
          <cell r="LK2219">
            <v>20.020152274152959</v>
          </cell>
          <cell r="LL2219">
            <v>17.982747259685677</v>
          </cell>
          <cell r="LM2219">
            <v>15.721193701553757</v>
          </cell>
          <cell r="LN2219">
            <v>20.244300817817596</v>
          </cell>
          <cell r="LY2219">
            <v>15.120675489033149</v>
          </cell>
          <cell r="LZ2219">
            <v>14.730476692982464</v>
          </cell>
          <cell r="MA2219">
            <v>11.870949885755934</v>
          </cell>
          <cell r="MB2219">
            <v>9.6544719773798295</v>
          </cell>
          <cell r="MC2219">
            <v>14.087427794132038</v>
          </cell>
        </row>
        <row r="2220">
          <cell r="A2220">
            <v>42634</v>
          </cell>
          <cell r="LJ2220">
            <v>20.320083169355897</v>
          </cell>
          <cell r="LK2220">
            <v>20.020152274152959</v>
          </cell>
          <cell r="LL2220">
            <v>17.982747259685677</v>
          </cell>
          <cell r="LM2220">
            <v>15.721193701553757</v>
          </cell>
          <cell r="LN2220">
            <v>20.244300817817596</v>
          </cell>
          <cell r="LY2220">
            <v>15.240506108435591</v>
          </cell>
          <cell r="LZ2220">
            <v>14.730476692982464</v>
          </cell>
          <cell r="MA2220">
            <v>11.870949885755934</v>
          </cell>
          <cell r="MB2220">
            <v>9.6544719773798295</v>
          </cell>
          <cell r="MC2220">
            <v>14.087427794132038</v>
          </cell>
        </row>
        <row r="2221">
          <cell r="A2221">
            <v>42635</v>
          </cell>
          <cell r="LJ2221">
            <v>20.377803751803754</v>
          </cell>
          <cell r="LK2221">
            <v>20.020152274152959</v>
          </cell>
          <cell r="LL2221">
            <v>17.982747259685677</v>
          </cell>
          <cell r="LM2221">
            <v>15.721193701553757</v>
          </cell>
          <cell r="LN2221">
            <v>20.244300817817596</v>
          </cell>
          <cell r="LY2221">
            <v>15.276620021448387</v>
          </cell>
          <cell r="LZ2221">
            <v>14.730476692982464</v>
          </cell>
          <cell r="MA2221">
            <v>11.870949885755934</v>
          </cell>
          <cell r="MB2221">
            <v>9.6544719773798295</v>
          </cell>
          <cell r="MC2221">
            <v>14.087427794132038</v>
          </cell>
        </row>
        <row r="2222">
          <cell r="A2222">
            <v>42636</v>
          </cell>
          <cell r="LJ2222">
            <v>20.356814115177752</v>
          </cell>
          <cell r="LK2222">
            <v>20.020152274152959</v>
          </cell>
          <cell r="LL2222">
            <v>17.982747259685677</v>
          </cell>
          <cell r="LM2222">
            <v>15.721193701553757</v>
          </cell>
          <cell r="LN2222">
            <v>20.244300817817596</v>
          </cell>
          <cell r="LY2222">
            <v>15.263487480522169</v>
          </cell>
          <cell r="LZ2222">
            <v>14.730476692982464</v>
          </cell>
          <cell r="MA2222">
            <v>11.870949885755934</v>
          </cell>
          <cell r="MB2222">
            <v>9.6544719773798295</v>
          </cell>
          <cell r="MC2222">
            <v>14.087427794132038</v>
          </cell>
        </row>
        <row r="2223">
          <cell r="A2223">
            <v>42639</v>
          </cell>
          <cell r="LJ2223">
            <v>20.097076479076481</v>
          </cell>
          <cell r="LK2223">
            <v>20.020152274152959</v>
          </cell>
          <cell r="LL2223">
            <v>17.982747259685677</v>
          </cell>
          <cell r="LM2223">
            <v>15.721193701553757</v>
          </cell>
          <cell r="LN2223">
            <v>20.244300817817596</v>
          </cell>
          <cell r="LY2223">
            <v>15.100977990865086</v>
          </cell>
          <cell r="LZ2223">
            <v>14.730476692982464</v>
          </cell>
          <cell r="MA2223">
            <v>11.870949885755934</v>
          </cell>
          <cell r="MB2223">
            <v>9.6544719773798295</v>
          </cell>
          <cell r="MC2223">
            <v>14.087427794132038</v>
          </cell>
        </row>
        <row r="2224">
          <cell r="A2224">
            <v>42640</v>
          </cell>
          <cell r="LJ2224">
            <v>20.367310770038042</v>
          </cell>
          <cell r="LK2224">
            <v>20.020152274152959</v>
          </cell>
          <cell r="LL2224">
            <v>17.982747259685677</v>
          </cell>
          <cell r="LM2224">
            <v>15.721193701553757</v>
          </cell>
          <cell r="LN2224">
            <v>20.244300817817596</v>
          </cell>
          <cell r="LY2224">
            <v>15.270054900053884</v>
          </cell>
          <cell r="LZ2224">
            <v>14.730476692982464</v>
          </cell>
          <cell r="MA2224">
            <v>11.870949885755934</v>
          </cell>
          <cell r="MB2224">
            <v>9.6544719773798295</v>
          </cell>
          <cell r="MC2224">
            <v>14.087427794132038</v>
          </cell>
        </row>
        <row r="2225">
          <cell r="A2225">
            <v>42641</v>
          </cell>
          <cell r="LJ2225">
            <v>20.364684769775682</v>
          </cell>
          <cell r="LK2225">
            <v>20.020152274152959</v>
          </cell>
          <cell r="LL2225">
            <v>17.982747259685677</v>
          </cell>
          <cell r="LM2225">
            <v>15.721193701553757</v>
          </cell>
          <cell r="LN2225">
            <v>20.244300817817596</v>
          </cell>
          <cell r="LY2225">
            <v>15.26841189610235</v>
          </cell>
          <cell r="LZ2225">
            <v>14.730476692982464</v>
          </cell>
          <cell r="MA2225">
            <v>11.870949885755934</v>
          </cell>
          <cell r="MB2225">
            <v>9.6544719773798295</v>
          </cell>
          <cell r="MC2225">
            <v>14.087427794132038</v>
          </cell>
        </row>
        <row r="2226">
          <cell r="A2226">
            <v>42642</v>
          </cell>
          <cell r="LJ2226">
            <v>20.236128820674278</v>
          </cell>
          <cell r="LK2226">
            <v>20.020152274152959</v>
          </cell>
          <cell r="LL2226">
            <v>17.982747259685677</v>
          </cell>
          <cell r="LM2226">
            <v>15.721193701553757</v>
          </cell>
          <cell r="LN2226">
            <v>20.244300817817596</v>
          </cell>
          <cell r="LY2226">
            <v>15.187978571173247</v>
          </cell>
          <cell r="LZ2226">
            <v>14.730476692982464</v>
          </cell>
          <cell r="MA2226">
            <v>11.870949885755934</v>
          </cell>
          <cell r="MB2226">
            <v>9.6544719773798295</v>
          </cell>
          <cell r="MC2226">
            <v>14.087427794132038</v>
          </cell>
        </row>
        <row r="2227">
          <cell r="A2227">
            <v>42643</v>
          </cell>
          <cell r="LJ2227">
            <v>20.566706021251477</v>
          </cell>
          <cell r="LK2227">
            <v>20.020152274152959</v>
          </cell>
          <cell r="LL2227">
            <v>17.982747259685677</v>
          </cell>
          <cell r="LM2227">
            <v>15.721193701553757</v>
          </cell>
          <cell r="LN2227">
            <v>20.244300817817596</v>
          </cell>
          <cell r="LY2227">
            <v>15.394810099189163</v>
          </cell>
          <cell r="LZ2227">
            <v>14.730476692982464</v>
          </cell>
          <cell r="MA2227">
            <v>11.870949885755934</v>
          </cell>
          <cell r="MB2227">
            <v>9.6544719773798295</v>
          </cell>
          <cell r="MC2227">
            <v>14.087427794132038</v>
          </cell>
        </row>
        <row r="2228">
          <cell r="A2228">
            <v>42646</v>
          </cell>
          <cell r="LJ2228">
            <v>20.311660560814513</v>
          </cell>
          <cell r="LK2228">
            <v>20.020152274152959</v>
          </cell>
          <cell r="LL2228">
            <v>17.982747259685677</v>
          </cell>
          <cell r="LM2228">
            <v>15.721193701553757</v>
          </cell>
          <cell r="LN2228">
            <v>20.244300817817596</v>
          </cell>
          <cell r="LY2228">
            <v>15.286038304226379</v>
          </cell>
          <cell r="LZ2228">
            <v>14.730476692982464</v>
          </cell>
          <cell r="MA2228">
            <v>11.870949885755934</v>
          </cell>
          <cell r="MB2228">
            <v>9.6544719773798295</v>
          </cell>
          <cell r="MC2228">
            <v>14.087427794132038</v>
          </cell>
        </row>
        <row r="2229">
          <cell r="A2229">
            <v>42647</v>
          </cell>
          <cell r="LJ2229">
            <v>20.225715079435915</v>
          </cell>
          <cell r="LK2229">
            <v>20.020152274152959</v>
          </cell>
          <cell r="LL2229">
            <v>17.982747259685677</v>
          </cell>
          <cell r="LM2229">
            <v>15.721193701553757</v>
          </cell>
          <cell r="LN2229">
            <v>20.244300817817596</v>
          </cell>
          <cell r="LY2229">
            <v>15.232019948605526</v>
          </cell>
          <cell r="LZ2229">
            <v>14.730476692982464</v>
          </cell>
          <cell r="MA2229">
            <v>11.870949885755934</v>
          </cell>
          <cell r="MB2229">
            <v>9.6544719773798295</v>
          </cell>
          <cell r="MC2229">
            <v>14.087427794132038</v>
          </cell>
        </row>
        <row r="2230">
          <cell r="A2230">
            <v>42648</v>
          </cell>
          <cell r="LJ2230">
            <v>20.258593297927156</v>
          </cell>
          <cell r="LK2230">
            <v>20.020152274152959</v>
          </cell>
          <cell r="LL2230">
            <v>17.982747259685677</v>
          </cell>
          <cell r="LM2230">
            <v>15.721193701553757</v>
          </cell>
          <cell r="LN2230">
            <v>20.244300817817596</v>
          </cell>
          <cell r="LY2230">
            <v>15.251650600810768</v>
          </cell>
          <cell r="LZ2230">
            <v>14.730476692982464</v>
          </cell>
          <cell r="MA2230">
            <v>11.870949885755934</v>
          </cell>
          <cell r="MB2230">
            <v>9.6544719773798295</v>
          </cell>
          <cell r="MC2230">
            <v>14.087427794132038</v>
          </cell>
        </row>
        <row r="2231">
          <cell r="A2231">
            <v>42649</v>
          </cell>
          <cell r="LJ2231">
            <v>20.397606042193114</v>
          </cell>
          <cell r="LK2231">
            <v>20.020152274152959</v>
          </cell>
          <cell r="LL2231">
            <v>17.982747259685677</v>
          </cell>
          <cell r="LM2231">
            <v>15.721193701553757</v>
          </cell>
          <cell r="LN2231">
            <v>20.244300817817596</v>
          </cell>
          <cell r="LY2231">
            <v>15.327675242873452</v>
          </cell>
          <cell r="LZ2231">
            <v>14.730476692982464</v>
          </cell>
          <cell r="MA2231">
            <v>11.870949885755934</v>
          </cell>
          <cell r="MB2231">
            <v>9.6544719773798295</v>
          </cell>
          <cell r="MC2231">
            <v>14.087427794132038</v>
          </cell>
        </row>
        <row r="2232">
          <cell r="A2232">
            <v>42650</v>
          </cell>
          <cell r="LJ2232">
            <v>20.378028708933385</v>
          </cell>
          <cell r="LK2232">
            <v>20.020152274152959</v>
          </cell>
          <cell r="LL2232">
            <v>17.982747259685677</v>
          </cell>
          <cell r="LM2232">
            <v>15.721193701553757</v>
          </cell>
          <cell r="LN2232">
            <v>20.244300817817596</v>
          </cell>
          <cell r="LY2232">
            <v>15.316216953034758</v>
          </cell>
          <cell r="LZ2232">
            <v>14.730476692982464</v>
          </cell>
          <cell r="MA2232">
            <v>11.870949885755934</v>
          </cell>
          <cell r="MB2232">
            <v>9.6544719773798295</v>
          </cell>
          <cell r="MC2232">
            <v>14.087427794132038</v>
          </cell>
        </row>
        <row r="2233">
          <cell r="A2233">
            <v>42653</v>
          </cell>
          <cell r="LJ2233">
            <v>20.354755818403454</v>
          </cell>
          <cell r="LK2233">
            <v>20.020152274152959</v>
          </cell>
          <cell r="LL2233">
            <v>17.982747259685677</v>
          </cell>
          <cell r="LM2233">
            <v>15.721193701553757</v>
          </cell>
          <cell r="LN2233">
            <v>20.244300817817596</v>
          </cell>
          <cell r="LY2233">
            <v>15.284520708401352</v>
          </cell>
          <cell r="LZ2233">
            <v>14.730476692982464</v>
          </cell>
          <cell r="MA2233">
            <v>11.870949885755934</v>
          </cell>
          <cell r="MB2233">
            <v>9.6544719773798295</v>
          </cell>
          <cell r="MC2233">
            <v>14.087427794132038</v>
          </cell>
        </row>
        <row r="2234">
          <cell r="A2234">
            <v>42654</v>
          </cell>
          <cell r="LJ2234">
            <v>19.865532579667441</v>
          </cell>
          <cell r="LK2234">
            <v>20.020152274152959</v>
          </cell>
          <cell r="LL2234">
            <v>17.982747259685677</v>
          </cell>
          <cell r="LM2234">
            <v>15.721193701553757</v>
          </cell>
          <cell r="LN2234">
            <v>20.244300817817596</v>
          </cell>
          <cell r="LY2234">
            <v>14.977567373551393</v>
          </cell>
          <cell r="LZ2234">
            <v>14.730476692982464</v>
          </cell>
          <cell r="MA2234">
            <v>11.870949885755934</v>
          </cell>
          <cell r="MB2234">
            <v>9.6544719773798295</v>
          </cell>
          <cell r="MC2234">
            <v>14.087427794132038</v>
          </cell>
        </row>
        <row r="2235">
          <cell r="A2235">
            <v>42655</v>
          </cell>
          <cell r="LJ2235">
            <v>19.991320690854195</v>
          </cell>
          <cell r="LK2235">
            <v>20.020152274152959</v>
          </cell>
          <cell r="LL2235">
            <v>17.982747259685677</v>
          </cell>
          <cell r="LM2235">
            <v>15.721193701553757</v>
          </cell>
          <cell r="LN2235">
            <v>20.244300817817596</v>
          </cell>
          <cell r="LY2235">
            <v>15.049609292030766</v>
          </cell>
          <cell r="LZ2235">
            <v>14.730476692982464</v>
          </cell>
          <cell r="MA2235">
            <v>11.870949885755934</v>
          </cell>
          <cell r="MB2235">
            <v>9.6544719773798295</v>
          </cell>
          <cell r="MC2235">
            <v>14.087427794132038</v>
          </cell>
        </row>
        <row r="2236">
          <cell r="A2236">
            <v>42656</v>
          </cell>
          <cell r="LJ2236">
            <v>19.842911039751943</v>
          </cell>
          <cell r="LK2236">
            <v>20.020152274152959</v>
          </cell>
          <cell r="LL2236">
            <v>17.982747259685677</v>
          </cell>
          <cell r="LM2236">
            <v>15.721193701553757</v>
          </cell>
          <cell r="LN2236">
            <v>20.244300817817596</v>
          </cell>
          <cell r="LY2236">
            <v>15.049609292030766</v>
          </cell>
          <cell r="LZ2236">
            <v>14.730476692982464</v>
          </cell>
          <cell r="MA2236">
            <v>11.870949885755934</v>
          </cell>
          <cell r="MB2236">
            <v>9.6544719773798295</v>
          </cell>
          <cell r="MC2236">
            <v>14.087427794132038</v>
          </cell>
        </row>
        <row r="2237">
          <cell r="A2237">
            <v>42657</v>
          </cell>
          <cell r="LJ2237">
            <v>19.831544027277214</v>
          </cell>
          <cell r="LK2237">
            <v>20.020152274152959</v>
          </cell>
          <cell r="LL2237">
            <v>17.982747259685677</v>
          </cell>
          <cell r="LM2237">
            <v>15.721193701553757</v>
          </cell>
          <cell r="LN2237">
            <v>20.244300817817596</v>
          </cell>
          <cell r="LY2237">
            <v>14.948379730024735</v>
          </cell>
          <cell r="LZ2237">
            <v>14.730476692982464</v>
          </cell>
          <cell r="MA2237">
            <v>11.870949885755934</v>
          </cell>
          <cell r="MB2237">
            <v>9.6544719773798295</v>
          </cell>
          <cell r="MC2237">
            <v>14.087427794132038</v>
          </cell>
        </row>
        <row r="2238">
          <cell r="A2238">
            <v>42660</v>
          </cell>
          <cell r="LJ2238">
            <v>19.753425298412449</v>
          </cell>
          <cell r="LK2238">
            <v>20.020152274152959</v>
          </cell>
          <cell r="LL2238">
            <v>17.982747259685677</v>
          </cell>
          <cell r="LM2238">
            <v>15.721193701553757</v>
          </cell>
          <cell r="LN2238">
            <v>20.244300817817596</v>
          </cell>
          <cell r="LY2238">
            <v>14.899396799048686</v>
          </cell>
          <cell r="LZ2238">
            <v>14.730476692982464</v>
          </cell>
          <cell r="MA2238">
            <v>11.870949885755934</v>
          </cell>
          <cell r="MB2238">
            <v>9.6544719773798295</v>
          </cell>
          <cell r="MC2238">
            <v>14.087427794132038</v>
          </cell>
        </row>
        <row r="2239">
          <cell r="A2239">
            <v>42661</v>
          </cell>
          <cell r="LJ2239">
            <v>19.901847315869219</v>
          </cell>
          <cell r="LK2239">
            <v>20.020152274152959</v>
          </cell>
          <cell r="LL2239">
            <v>17.982747259685677</v>
          </cell>
          <cell r="LM2239">
            <v>15.721193701553757</v>
          </cell>
          <cell r="LN2239">
            <v>20.244300817817596</v>
          </cell>
          <cell r="LY2239">
            <v>14.998975764018731</v>
          </cell>
          <cell r="LZ2239">
            <v>14.730476692982464</v>
          </cell>
          <cell r="MA2239">
            <v>11.870949885755934</v>
          </cell>
          <cell r="MB2239">
            <v>9.6544719773798295</v>
          </cell>
          <cell r="MC2239">
            <v>14.087427794132038</v>
          </cell>
        </row>
        <row r="2240">
          <cell r="A2240">
            <v>42662</v>
          </cell>
          <cell r="LJ2240">
            <v>20.091937186228165</v>
          </cell>
          <cell r="LK2240">
            <v>20.020152274152959</v>
          </cell>
          <cell r="LL2240">
            <v>17.982747259685677</v>
          </cell>
          <cell r="LM2240">
            <v>15.721193701553757</v>
          </cell>
          <cell r="LN2240">
            <v>20.244300817817596</v>
          </cell>
          <cell r="LY2240">
            <v>15.118219951237894</v>
          </cell>
          <cell r="LZ2240">
            <v>14.730476692982464</v>
          </cell>
          <cell r="MA2240">
            <v>11.870949885755934</v>
          </cell>
          <cell r="MB2240">
            <v>9.6544719773798295</v>
          </cell>
          <cell r="MC2240">
            <v>14.087427794132038</v>
          </cell>
        </row>
        <row r="2241">
          <cell r="A2241">
            <v>42663</v>
          </cell>
          <cell r="LJ2241">
            <v>20.991065575489227</v>
          </cell>
          <cell r="LK2241">
            <v>20.020152274152959</v>
          </cell>
          <cell r="LL2241">
            <v>17.982747259685677</v>
          </cell>
          <cell r="LM2241">
            <v>15.721193701553757</v>
          </cell>
          <cell r="LN2241">
            <v>20.244300817817596</v>
          </cell>
          <cell r="LY2241">
            <v>15.116676386641403</v>
          </cell>
          <cell r="LZ2241">
            <v>14.730476692982464</v>
          </cell>
          <cell r="MA2241">
            <v>11.870949885755934</v>
          </cell>
          <cell r="MB2241">
            <v>9.6544719773798295</v>
          </cell>
          <cell r="MC2241">
            <v>14.087427794132038</v>
          </cell>
        </row>
        <row r="2242">
          <cell r="A2242">
            <v>42664</v>
          </cell>
          <cell r="LJ2242">
            <v>20.958344472893245</v>
          </cell>
          <cell r="LK2242">
            <v>20.020152274152959</v>
          </cell>
          <cell r="LL2242">
            <v>17.982747259685677</v>
          </cell>
          <cell r="LM2242">
            <v>15.721193701553757</v>
          </cell>
          <cell r="LN2242">
            <v>20.244300817817596</v>
          </cell>
          <cell r="LY2242">
            <v>14.786403577935085</v>
          </cell>
          <cell r="LZ2242">
            <v>14.730476692982464</v>
          </cell>
          <cell r="MA2242">
            <v>11.870949885755934</v>
          </cell>
          <cell r="MB2242">
            <v>9.6544719773798295</v>
          </cell>
          <cell r="MC2242">
            <v>14.087427794132038</v>
          </cell>
        </row>
        <row r="2243">
          <cell r="A2243">
            <v>42667</v>
          </cell>
          <cell r="LJ2243">
            <v>20.987025631063553</v>
          </cell>
          <cell r="LK2243">
            <v>20.020152274152959</v>
          </cell>
          <cell r="LL2243">
            <v>17.982747259685677</v>
          </cell>
          <cell r="LM2243">
            <v>15.721193701553757</v>
          </cell>
          <cell r="LN2243">
            <v>20.244300817817596</v>
          </cell>
          <cell r="LY2243">
            <v>14.805925365668211</v>
          </cell>
          <cell r="LZ2243">
            <v>14.730476692982464</v>
          </cell>
          <cell r="MA2243">
            <v>11.870949885755934</v>
          </cell>
          <cell r="MB2243">
            <v>9.6544719773798295</v>
          </cell>
          <cell r="MC2243">
            <v>14.087427794132038</v>
          </cell>
        </row>
        <row r="2244">
          <cell r="A2244">
            <v>42668</v>
          </cell>
          <cell r="LJ2244">
            <v>20.589715250122005</v>
          </cell>
          <cell r="LK2244">
            <v>20.020152274152959</v>
          </cell>
          <cell r="LL2244">
            <v>17.982747259685677</v>
          </cell>
          <cell r="LM2244">
            <v>15.721193701553757</v>
          </cell>
          <cell r="LN2244">
            <v>20.244300817817596</v>
          </cell>
          <cell r="LY2244">
            <v>14.558640873691989</v>
          </cell>
          <cell r="LZ2244">
            <v>14.730476692982464</v>
          </cell>
          <cell r="MA2244">
            <v>11.870949885755934</v>
          </cell>
          <cell r="MB2244">
            <v>9.6544719773798295</v>
          </cell>
          <cell r="MC2244">
            <v>14.087427794132038</v>
          </cell>
        </row>
        <row r="2245">
          <cell r="A2245">
            <v>42669</v>
          </cell>
          <cell r="LJ2245">
            <v>20.321643262914176</v>
          </cell>
          <cell r="LK2245">
            <v>20.020152274152959</v>
          </cell>
          <cell r="LL2245">
            <v>17.982747259685677</v>
          </cell>
          <cell r="LM2245">
            <v>15.721193701553757</v>
          </cell>
          <cell r="LN2245">
            <v>20.244300817817596</v>
          </cell>
          <cell r="LY2245">
            <v>14.391072042962936</v>
          </cell>
          <cell r="LZ2245">
            <v>14.730476692982464</v>
          </cell>
          <cell r="MA2245">
            <v>11.870949885755934</v>
          </cell>
          <cell r="MB2245">
            <v>9.6544719773798295</v>
          </cell>
          <cell r="MC2245">
            <v>14.087427794132038</v>
          </cell>
        </row>
        <row r="2246">
          <cell r="A2246">
            <v>42670</v>
          </cell>
          <cell r="LJ2246">
            <v>20.474863291802965</v>
          </cell>
          <cell r="LK2246">
            <v>20.020152274152959</v>
          </cell>
          <cell r="LL2246">
            <v>17.982747259685677</v>
          </cell>
          <cell r="LM2246">
            <v>15.721193701553757</v>
          </cell>
          <cell r="LN2246">
            <v>20.244300817817596</v>
          </cell>
          <cell r="LY2246">
            <v>14.540522451021742</v>
          </cell>
          <cell r="LZ2246">
            <v>14.730476692982464</v>
          </cell>
          <cell r="MA2246">
            <v>11.870949885755934</v>
          </cell>
          <cell r="MB2246">
            <v>9.6544719773798295</v>
          </cell>
          <cell r="MC2246">
            <v>14.087427794132038</v>
          </cell>
        </row>
        <row r="2247">
          <cell r="A2247">
            <v>42671</v>
          </cell>
          <cell r="LJ2247">
            <v>20.398278968652775</v>
          </cell>
          <cell r="LK2247">
            <v>20.020152274152959</v>
          </cell>
          <cell r="LL2247">
            <v>17.982747259685677</v>
          </cell>
          <cell r="LM2247">
            <v>15.721193701553757</v>
          </cell>
          <cell r="LN2247">
            <v>20.244300817817596</v>
          </cell>
          <cell r="LY2247">
            <v>14.528587041018662</v>
          </cell>
          <cell r="LZ2247">
            <v>14.730476692982464</v>
          </cell>
          <cell r="MA2247">
            <v>11.870949885755934</v>
          </cell>
          <cell r="MB2247">
            <v>9.6544719773798295</v>
          </cell>
          <cell r="MC2247">
            <v>14.087427794132038</v>
          </cell>
        </row>
        <row r="2248">
          <cell r="A2248">
            <v>42674</v>
          </cell>
          <cell r="LJ2248">
            <v>20.492196356365291</v>
          </cell>
          <cell r="LK2248">
            <v>20.020152274152959</v>
          </cell>
          <cell r="LL2248">
            <v>17.982747259685677</v>
          </cell>
          <cell r="LM2248">
            <v>15.721193701553757</v>
          </cell>
          <cell r="LN2248">
            <v>20.244300817817596</v>
          </cell>
          <cell r="LY2248">
            <v>14.587415390436325</v>
          </cell>
          <cell r="LZ2248">
            <v>14.730476692982464</v>
          </cell>
          <cell r="MA2248">
            <v>11.870949885755934</v>
          </cell>
          <cell r="MB2248">
            <v>9.6544719773798295</v>
          </cell>
          <cell r="MC2248">
            <v>14.087427794132038</v>
          </cell>
        </row>
        <row r="2249">
          <cell r="A2249">
            <v>42675</v>
          </cell>
          <cell r="LJ2249">
            <v>19.968460132641134</v>
          </cell>
          <cell r="LK2249">
            <v>20.020152274152959</v>
          </cell>
          <cell r="LL2249">
            <v>17.982747259685677</v>
          </cell>
          <cell r="LM2249">
            <v>15.721193701553757</v>
          </cell>
          <cell r="LN2249">
            <v>20.244300817817596</v>
          </cell>
          <cell r="LY2249">
            <v>14.280445820359878</v>
          </cell>
          <cell r="LZ2249">
            <v>14.730476692982464</v>
          </cell>
          <cell r="MA2249">
            <v>11.870949885755934</v>
          </cell>
          <cell r="MB2249">
            <v>9.6544719773798295</v>
          </cell>
          <cell r="MC2249">
            <v>14.087427794132038</v>
          </cell>
        </row>
        <row r="2250">
          <cell r="A2250">
            <v>42676</v>
          </cell>
          <cell r="LJ2250">
            <v>19.893285347045651</v>
          </cell>
          <cell r="LK2250">
            <v>20.020152274152959</v>
          </cell>
          <cell r="LL2250">
            <v>17.982747259685677</v>
          </cell>
          <cell r="LM2250">
            <v>15.721193701553757</v>
          </cell>
          <cell r="LN2250">
            <v>20.244300817817596</v>
          </cell>
          <cell r="LY2250">
            <v>14.233251200013276</v>
          </cell>
          <cell r="LZ2250">
            <v>14.730476692982464</v>
          </cell>
          <cell r="MA2250">
            <v>11.870949885755934</v>
          </cell>
          <cell r="MB2250">
            <v>9.6544719773798295</v>
          </cell>
          <cell r="MC2250">
            <v>14.087427794132038</v>
          </cell>
        </row>
        <row r="2251">
          <cell r="A2251">
            <v>42677</v>
          </cell>
          <cell r="LJ2251">
            <v>19.841436305115248</v>
          </cell>
          <cell r="LK2251">
            <v>20.020152274152959</v>
          </cell>
          <cell r="LL2251">
            <v>17.982747259685677</v>
          </cell>
          <cell r="LM2251">
            <v>15.721193701553757</v>
          </cell>
          <cell r="LN2251">
            <v>20.244300817817596</v>
          </cell>
          <cell r="LY2251">
            <v>14.233251200013276</v>
          </cell>
          <cell r="LZ2251">
            <v>14.730476692982464</v>
          </cell>
          <cell r="MA2251">
            <v>11.870949885755934</v>
          </cell>
          <cell r="MB2251">
            <v>9.6544719773798295</v>
          </cell>
          <cell r="MC2251">
            <v>14.087427794132038</v>
          </cell>
        </row>
        <row r="2252">
          <cell r="A2252">
            <v>42678</v>
          </cell>
          <cell r="LJ2252">
            <v>19.946332683853846</v>
          </cell>
          <cell r="LK2252">
            <v>20.020152274152959</v>
          </cell>
          <cell r="LL2252">
            <v>17.982747259685677</v>
          </cell>
          <cell r="LM2252">
            <v>15.721193701553757</v>
          </cell>
          <cell r="LN2252">
            <v>20.244300817817596</v>
          </cell>
          <cell r="LY2252">
            <v>14.265799511474103</v>
          </cell>
          <cell r="LZ2252">
            <v>14.730476692982464</v>
          </cell>
          <cell r="MA2252">
            <v>11.870949885755934</v>
          </cell>
          <cell r="MB2252">
            <v>9.6544719773798295</v>
          </cell>
          <cell r="MC2252">
            <v>14.087427794132038</v>
          </cell>
        </row>
        <row r="2253">
          <cell r="A2253">
            <v>42681</v>
          </cell>
          <cell r="LJ2253">
            <v>20.272980182212532</v>
          </cell>
          <cell r="LK2253">
            <v>20.020152274152959</v>
          </cell>
          <cell r="LL2253">
            <v>17.982747259685677</v>
          </cell>
          <cell r="LM2253">
            <v>15.721193701553757</v>
          </cell>
          <cell r="LN2253">
            <v>20.244300817817596</v>
          </cell>
          <cell r="LY2253">
            <v>14.470855973074883</v>
          </cell>
          <cell r="LZ2253">
            <v>14.730476692982464</v>
          </cell>
          <cell r="MA2253">
            <v>11.870949885755934</v>
          </cell>
          <cell r="MB2253">
            <v>9.6544719773798295</v>
          </cell>
          <cell r="MC2253">
            <v>14.087427794132038</v>
          </cell>
        </row>
        <row r="2254">
          <cell r="A2254">
            <v>42682</v>
          </cell>
          <cell r="LJ2254">
            <v>20.441485627121612</v>
          </cell>
          <cell r="LK2254">
            <v>20.020152274152959</v>
          </cell>
          <cell r="LL2254">
            <v>17.982747259685677</v>
          </cell>
          <cell r="LM2254">
            <v>15.721193701553757</v>
          </cell>
          <cell r="LN2254">
            <v>20.244300817817596</v>
          </cell>
          <cell r="LY2254">
            <v>14.562020749933934</v>
          </cell>
          <cell r="LZ2254">
            <v>14.730476692982464</v>
          </cell>
          <cell r="MA2254">
            <v>11.870949885755934</v>
          </cell>
          <cell r="MB2254">
            <v>9.6544719773798295</v>
          </cell>
          <cell r="MC2254">
            <v>14.087427794132038</v>
          </cell>
        </row>
        <row r="2255">
          <cell r="A2255">
            <v>42683</v>
          </cell>
          <cell r="LJ2255">
            <v>20.778163632904725</v>
          </cell>
          <cell r="LK2255">
            <v>20.020152274152959</v>
          </cell>
          <cell r="LL2255">
            <v>17.982747259685677</v>
          </cell>
          <cell r="LM2255">
            <v>15.721193701553757</v>
          </cell>
          <cell r="LN2255">
            <v>20.244300817817596</v>
          </cell>
          <cell r="LY2255">
            <v>14.773187656235271</v>
          </cell>
          <cell r="LZ2255">
            <v>14.730476692982464</v>
          </cell>
          <cell r="MA2255">
            <v>11.870949885755934</v>
          </cell>
          <cell r="MB2255">
            <v>9.6544719773798295</v>
          </cell>
          <cell r="MC2255">
            <v>14.087427794132038</v>
          </cell>
        </row>
        <row r="2256">
          <cell r="A2256">
            <v>42684</v>
          </cell>
          <cell r="LJ2256">
            <v>20.780756047566758</v>
          </cell>
          <cell r="LK2256">
            <v>20.020152274152959</v>
          </cell>
          <cell r="LL2256">
            <v>17.982747259685677</v>
          </cell>
          <cell r="LM2256">
            <v>15.721193701553757</v>
          </cell>
          <cell r="LN2256">
            <v>20.244300817817596</v>
          </cell>
          <cell r="LY2256">
            <v>14.773187656235271</v>
          </cell>
          <cell r="LZ2256">
            <v>14.730476692982464</v>
          </cell>
          <cell r="MA2256">
            <v>11.870949885755934</v>
          </cell>
          <cell r="MB2256">
            <v>9.6544719773798295</v>
          </cell>
          <cell r="MC2256">
            <v>14.087427794132038</v>
          </cell>
        </row>
        <row r="2257">
          <cell r="A2257">
            <v>42685</v>
          </cell>
          <cell r="LJ2257">
            <v>20.950919870631296</v>
          </cell>
          <cell r="LK2257">
            <v>20.020152274152959</v>
          </cell>
          <cell r="LL2257">
            <v>17.982747259685677</v>
          </cell>
          <cell r="LM2257">
            <v>15.721193701553757</v>
          </cell>
          <cell r="LN2257">
            <v>20.244300817817596</v>
          </cell>
          <cell r="LY2257">
            <v>14.871906927736013</v>
          </cell>
          <cell r="LZ2257">
            <v>14.730476692982464</v>
          </cell>
          <cell r="MA2257">
            <v>11.870949885755934</v>
          </cell>
          <cell r="MB2257">
            <v>9.6544719773798295</v>
          </cell>
          <cell r="MC2257">
            <v>14.087427794132038</v>
          </cell>
        </row>
        <row r="2258">
          <cell r="A2258">
            <v>42688</v>
          </cell>
          <cell r="LJ2258">
            <v>20.214300615503099</v>
          </cell>
          <cell r="LK2258">
            <v>20.020152274152959</v>
          </cell>
          <cell r="LL2258">
            <v>17.982747259685677</v>
          </cell>
          <cell r="LM2258">
            <v>15.721193701553757</v>
          </cell>
          <cell r="LN2258">
            <v>20.244300817817596</v>
          </cell>
          <cell r="LY2258">
            <v>14.517606676088361</v>
          </cell>
          <cell r="LZ2258">
            <v>14.730476692982464</v>
          </cell>
          <cell r="MA2258">
            <v>11.870949885755934</v>
          </cell>
          <cell r="MB2258">
            <v>9.6544719773798295</v>
          </cell>
          <cell r="MC2258">
            <v>14.087427794132038</v>
          </cell>
        </row>
        <row r="2259">
          <cell r="A2259">
            <v>42689</v>
          </cell>
          <cell r="LJ2259">
            <v>20.339547130294619</v>
          </cell>
          <cell r="LK2259">
            <v>20.020152274152959</v>
          </cell>
          <cell r="LL2259">
            <v>17.982747259685677</v>
          </cell>
          <cell r="LM2259">
            <v>15.721193701553757</v>
          </cell>
          <cell r="LN2259">
            <v>20.244300817817596</v>
          </cell>
          <cell r="LY2259">
            <v>14.584113884346845</v>
          </cell>
          <cell r="LZ2259">
            <v>14.730476692982464</v>
          </cell>
          <cell r="MA2259">
            <v>11.870949885755934</v>
          </cell>
          <cell r="MB2259">
            <v>9.6544719773798295</v>
          </cell>
          <cell r="MC2259">
            <v>14.087427794132038</v>
          </cell>
        </row>
        <row r="2260">
          <cell r="A2260">
            <v>42690</v>
          </cell>
          <cell r="LJ2260">
            <v>20.475665503746043</v>
          </cell>
          <cell r="LK2260">
            <v>20.020152274152959</v>
          </cell>
          <cell r="LL2260">
            <v>17.982747259685677</v>
          </cell>
          <cell r="LM2260">
            <v>15.721193701553757</v>
          </cell>
          <cell r="LN2260">
            <v>20.244300817817596</v>
          </cell>
          <cell r="LY2260">
            <v>14.677738790640428</v>
          </cell>
          <cell r="LZ2260">
            <v>14.730476692982464</v>
          </cell>
          <cell r="MA2260">
            <v>11.870949885755934</v>
          </cell>
          <cell r="MB2260">
            <v>9.6544719773798295</v>
          </cell>
          <cell r="MC2260">
            <v>14.087427794132038</v>
          </cell>
        </row>
        <row r="2261">
          <cell r="A2261">
            <v>42691</v>
          </cell>
          <cell r="LJ2261">
            <v>20.414398059906688</v>
          </cell>
          <cell r="LK2261">
            <v>20.020152274152959</v>
          </cell>
          <cell r="LL2261">
            <v>17.982747259685677</v>
          </cell>
          <cell r="LM2261">
            <v>15.721193701553757</v>
          </cell>
          <cell r="LN2261">
            <v>20.244300817817596</v>
          </cell>
          <cell r="LY2261">
            <v>14.677738790640428</v>
          </cell>
          <cell r="LZ2261">
            <v>14.730476692982464</v>
          </cell>
          <cell r="MA2261">
            <v>11.870949885755934</v>
          </cell>
          <cell r="MB2261">
            <v>9.6544719773798295</v>
          </cell>
          <cell r="MC2261">
            <v>14.087427794132038</v>
          </cell>
        </row>
        <row r="2262">
          <cell r="A2262">
            <v>42692</v>
          </cell>
          <cell r="LJ2262">
            <v>20.164915245585551</v>
          </cell>
          <cell r="LK2262">
            <v>20.020152274152959</v>
          </cell>
          <cell r="LL2262">
            <v>17.982747259685677</v>
          </cell>
          <cell r="LM2262">
            <v>15.721193701553757</v>
          </cell>
          <cell r="LN2262">
            <v>20.244300817817596</v>
          </cell>
          <cell r="LY2262">
            <v>14.480803034125907</v>
          </cell>
          <cell r="LZ2262">
            <v>14.730476692982464</v>
          </cell>
          <cell r="MA2262">
            <v>11.870949885755934</v>
          </cell>
          <cell r="MB2262">
            <v>9.6544719773798295</v>
          </cell>
          <cell r="MC2262">
            <v>14.087427794132038</v>
          </cell>
        </row>
        <row r="2263">
          <cell r="A2263">
            <v>42695</v>
          </cell>
          <cell r="LJ2263">
            <v>20.223629633413598</v>
          </cell>
          <cell r="LK2263">
            <v>20.020152274152959</v>
          </cell>
          <cell r="LL2263">
            <v>17.982747259685677</v>
          </cell>
          <cell r="LM2263">
            <v>15.721193701553757</v>
          </cell>
          <cell r="LN2263">
            <v>20.244300817817596</v>
          </cell>
          <cell r="LY2263">
            <v>14.517929375539948</v>
          </cell>
          <cell r="LZ2263">
            <v>14.730476692982464</v>
          </cell>
          <cell r="MA2263">
            <v>11.870949885755934</v>
          </cell>
          <cell r="MB2263">
            <v>9.6544719773798295</v>
          </cell>
          <cell r="MC2263">
            <v>14.087427794132038</v>
          </cell>
        </row>
        <row r="2264">
          <cell r="A2264">
            <v>42696</v>
          </cell>
          <cell r="LJ2264">
            <v>20.019401358114898</v>
          </cell>
          <cell r="LK2264">
            <v>20.020152274152959</v>
          </cell>
          <cell r="LL2264">
            <v>17.982747259685677</v>
          </cell>
          <cell r="LM2264">
            <v>15.721193701553757</v>
          </cell>
          <cell r="LN2264">
            <v>20.244300817817596</v>
          </cell>
          <cell r="LY2264">
            <v>14.388791544837426</v>
          </cell>
          <cell r="LZ2264">
            <v>14.730476692982464</v>
          </cell>
          <cell r="MA2264">
            <v>11.870949885755934</v>
          </cell>
          <cell r="MB2264">
            <v>9.6544719773798295</v>
          </cell>
          <cell r="MC2264">
            <v>14.087427794132038</v>
          </cell>
        </row>
        <row r="2265">
          <cell r="A2265">
            <v>42697</v>
          </cell>
          <cell r="LJ2265">
            <v>20.240805916099124</v>
          </cell>
          <cell r="LK2265">
            <v>20.020152274152959</v>
          </cell>
          <cell r="LL2265">
            <v>17.982747259685677</v>
          </cell>
          <cell r="LM2265">
            <v>15.721193701553757</v>
          </cell>
          <cell r="LN2265">
            <v>20.244300817817596</v>
          </cell>
          <cell r="LY2265">
            <v>14.508245525991379</v>
          </cell>
          <cell r="LZ2265">
            <v>14.730476692982464</v>
          </cell>
          <cell r="MA2265">
            <v>11.870949885755934</v>
          </cell>
          <cell r="MB2265">
            <v>9.6544719773798295</v>
          </cell>
          <cell r="MC2265">
            <v>14.087427794132038</v>
          </cell>
        </row>
        <row r="2266">
          <cell r="A2266">
            <v>42698</v>
          </cell>
          <cell r="LJ2266">
            <v>20.240780038782315</v>
          </cell>
          <cell r="LK2266">
            <v>20.020152274152959</v>
          </cell>
          <cell r="LL2266">
            <v>17.982747259685677</v>
          </cell>
          <cell r="LM2266">
            <v>15.721193701553757</v>
          </cell>
          <cell r="LN2266">
            <v>20.244300817817596</v>
          </cell>
          <cell r="LY2266">
            <v>14.508245525991379</v>
          </cell>
          <cell r="LZ2266">
            <v>14.730476692982464</v>
          </cell>
          <cell r="MA2266">
            <v>11.870949885755934</v>
          </cell>
          <cell r="MB2266">
            <v>9.6544719773798295</v>
          </cell>
          <cell r="MC2266">
            <v>14.087427794132038</v>
          </cell>
        </row>
        <row r="2267">
          <cell r="A2267">
            <v>42699</v>
          </cell>
          <cell r="LJ2267">
            <v>20.34081553735836</v>
          </cell>
          <cell r="LK2267">
            <v>20.020152274152959</v>
          </cell>
          <cell r="LL2267">
            <v>17.982747259685677</v>
          </cell>
          <cell r="LM2267">
            <v>15.721193701553757</v>
          </cell>
          <cell r="LN2267">
            <v>20.244300817817596</v>
          </cell>
          <cell r="LY2267">
            <v>14.572824571848066</v>
          </cell>
          <cell r="LZ2267">
            <v>14.730476692982464</v>
          </cell>
          <cell r="MA2267">
            <v>11.870949885755934</v>
          </cell>
          <cell r="MB2267">
            <v>9.6544719773798295</v>
          </cell>
          <cell r="MC2267">
            <v>14.087427794132038</v>
          </cell>
        </row>
        <row r="2268">
          <cell r="A2268">
            <v>42702</v>
          </cell>
          <cell r="LJ2268">
            <v>20.205312619246367</v>
          </cell>
          <cell r="LK2268">
            <v>20.020152274152959</v>
          </cell>
          <cell r="LL2268">
            <v>17.982747259685677</v>
          </cell>
          <cell r="LM2268">
            <v>15.721193701553757</v>
          </cell>
          <cell r="LN2268">
            <v>20.244300817817596</v>
          </cell>
          <cell r="LY2268">
            <v>14.487271168048091</v>
          </cell>
          <cell r="LZ2268">
            <v>14.730476692982464</v>
          </cell>
          <cell r="MA2268">
            <v>11.870949885755934</v>
          </cell>
          <cell r="MB2268">
            <v>9.6544719773798295</v>
          </cell>
          <cell r="MC2268">
            <v>14.087427794132038</v>
          </cell>
        </row>
        <row r="2269">
          <cell r="A2269">
            <v>42703</v>
          </cell>
          <cell r="LJ2269">
            <v>20.229777414090513</v>
          </cell>
          <cell r="LK2269">
            <v>20.020152274152959</v>
          </cell>
          <cell r="LL2269">
            <v>17.982747259685677</v>
          </cell>
          <cell r="LM2269">
            <v>15.721193701553757</v>
          </cell>
          <cell r="LN2269">
            <v>20.244300817817596</v>
          </cell>
          <cell r="LY2269">
            <v>14.502398995365784</v>
          </cell>
          <cell r="LZ2269">
            <v>14.730476692982464</v>
          </cell>
          <cell r="MA2269">
            <v>11.870949885755934</v>
          </cell>
          <cell r="MB2269">
            <v>9.6544719773798295</v>
          </cell>
          <cell r="MC2269">
            <v>14.087427794132038</v>
          </cell>
        </row>
        <row r="2270">
          <cell r="A2270">
            <v>42704</v>
          </cell>
          <cell r="LJ2270">
            <v>19.984349555262611</v>
          </cell>
          <cell r="LK2270">
            <v>20.020152274152959</v>
          </cell>
          <cell r="LL2270">
            <v>17.982747259685677</v>
          </cell>
          <cell r="LM2270">
            <v>15.721193701553757</v>
          </cell>
          <cell r="LN2270">
            <v>20.244300817817596</v>
          </cell>
          <cell r="LY2270">
            <v>14.347443927023795</v>
          </cell>
          <cell r="LZ2270">
            <v>14.730476692982464</v>
          </cell>
          <cell r="MA2270">
            <v>11.870949885755934</v>
          </cell>
          <cell r="MB2270">
            <v>9.6544719773798295</v>
          </cell>
          <cell r="MC2270">
            <v>14.087427794132038</v>
          </cell>
        </row>
        <row r="2271">
          <cell r="A2271">
            <v>42705</v>
          </cell>
          <cell r="LJ2271">
            <v>19.546091416419021</v>
          </cell>
          <cell r="LK2271">
            <v>20.020152274152959</v>
          </cell>
          <cell r="LL2271">
            <v>17.982747259685677</v>
          </cell>
          <cell r="LM2271">
            <v>15.721193701553757</v>
          </cell>
          <cell r="LN2271">
            <v>20.244300817817596</v>
          </cell>
          <cell r="LY2271">
            <v>14.284770639264824</v>
          </cell>
          <cell r="LZ2271">
            <v>14.730476692982464</v>
          </cell>
          <cell r="MA2271">
            <v>11.870949885755934</v>
          </cell>
          <cell r="MB2271">
            <v>9.6544719773798295</v>
          </cell>
          <cell r="MC2271">
            <v>14.087427794132038</v>
          </cell>
        </row>
        <row r="2272">
          <cell r="A2272">
            <v>42706</v>
          </cell>
          <cell r="LJ2272">
            <v>19.619039499425284</v>
          </cell>
          <cell r="LK2272">
            <v>20.020152274152959</v>
          </cell>
          <cell r="LL2272">
            <v>17.982747259685677</v>
          </cell>
          <cell r="LM2272">
            <v>15.721193701553757</v>
          </cell>
          <cell r="LN2272">
            <v>20.244300817817596</v>
          </cell>
          <cell r="LY2272">
            <v>14.153022586597752</v>
          </cell>
          <cell r="LZ2272">
            <v>14.730476692982464</v>
          </cell>
          <cell r="MA2272">
            <v>11.870949885755934</v>
          </cell>
          <cell r="MB2272">
            <v>9.6544719773798295</v>
          </cell>
          <cell r="MC2272">
            <v>14.087427794132038</v>
          </cell>
        </row>
        <row r="2273">
          <cell r="A2273">
            <v>42709</v>
          </cell>
          <cell r="LJ2273">
            <v>19.565752701677464</v>
          </cell>
          <cell r="LK2273">
            <v>20.020152274152959</v>
          </cell>
          <cell r="LL2273">
            <v>17.982747259685677</v>
          </cell>
          <cell r="LM2273">
            <v>15.721193701553757</v>
          </cell>
          <cell r="LN2273">
            <v>20.244300817817596</v>
          </cell>
          <cell r="LY2273">
            <v>14.119261750023977</v>
          </cell>
          <cell r="LZ2273">
            <v>14.730476692982464</v>
          </cell>
          <cell r="MA2273">
            <v>11.870949885755934</v>
          </cell>
          <cell r="MB2273">
            <v>9.6544719773798295</v>
          </cell>
          <cell r="MC2273">
            <v>14.087427794132038</v>
          </cell>
        </row>
        <row r="2274">
          <cell r="A2274">
            <v>42710</v>
          </cell>
          <cell r="LJ2274">
            <v>19.634611773661508</v>
          </cell>
          <cell r="LK2274">
            <v>20.020152274152959</v>
          </cell>
          <cell r="LL2274">
            <v>17.982747259685677</v>
          </cell>
          <cell r="LM2274">
            <v>15.721193701553757</v>
          </cell>
          <cell r="LN2274">
            <v>20.244300817817596</v>
          </cell>
          <cell r="LY2274">
            <v>14.162667736101898</v>
          </cell>
          <cell r="LZ2274">
            <v>14.730476692982464</v>
          </cell>
          <cell r="MA2274">
            <v>11.870949885755934</v>
          </cell>
          <cell r="MB2274">
            <v>9.6544719773798295</v>
          </cell>
          <cell r="MC2274">
            <v>14.087427794132038</v>
          </cell>
        </row>
        <row r="2275">
          <cell r="A2275">
            <v>42711</v>
          </cell>
          <cell r="LJ2275">
            <v>19.530576503425525</v>
          </cell>
          <cell r="LK2275">
            <v>20.020152274152959</v>
          </cell>
          <cell r="LL2275">
            <v>17.982747259685677</v>
          </cell>
          <cell r="LM2275">
            <v>15.721193701553757</v>
          </cell>
          <cell r="LN2275">
            <v>20.244300817817596</v>
          </cell>
          <cell r="LY2275">
            <v>14.096755436617793</v>
          </cell>
          <cell r="LZ2275">
            <v>14.730476692982464</v>
          </cell>
          <cell r="MA2275">
            <v>11.870949885755934</v>
          </cell>
          <cell r="MB2275">
            <v>9.6544719773798295</v>
          </cell>
          <cell r="MC2275">
            <v>14.087427794132038</v>
          </cell>
        </row>
        <row r="2276">
          <cell r="A2276">
            <v>42712</v>
          </cell>
          <cell r="LJ2276">
            <v>19.725959401167216</v>
          </cell>
          <cell r="LK2276">
            <v>20.020152274152959</v>
          </cell>
          <cell r="LL2276">
            <v>17.982747259685677</v>
          </cell>
          <cell r="LM2276">
            <v>15.721193701553757</v>
          </cell>
          <cell r="LN2276">
            <v>20.244300817817596</v>
          </cell>
          <cell r="LY2276">
            <v>14.096755436617793</v>
          </cell>
          <cell r="LZ2276">
            <v>14.730476692982464</v>
          </cell>
          <cell r="MA2276">
            <v>11.870949885755934</v>
          </cell>
          <cell r="MB2276">
            <v>9.6544719773798295</v>
          </cell>
          <cell r="MC2276">
            <v>14.087427794132038</v>
          </cell>
        </row>
        <row r="2277">
          <cell r="A2277">
            <v>42713</v>
          </cell>
          <cell r="LJ2277">
            <v>19.816955040128697</v>
          </cell>
          <cell r="LK2277">
            <v>20.020152274152959</v>
          </cell>
          <cell r="LL2277">
            <v>17.982747259685677</v>
          </cell>
          <cell r="LM2277">
            <v>15.721193701553757</v>
          </cell>
          <cell r="LN2277">
            <v>20.244300817817596</v>
          </cell>
          <cell r="LY2277">
            <v>14.278399046622798</v>
          </cell>
          <cell r="LZ2277">
            <v>14.730476692982464</v>
          </cell>
          <cell r="MA2277">
            <v>11.870949885755934</v>
          </cell>
          <cell r="MB2277">
            <v>9.6544719773798295</v>
          </cell>
          <cell r="MC2277">
            <v>14.087427794132038</v>
          </cell>
        </row>
        <row r="2278">
          <cell r="A2278">
            <v>42716</v>
          </cell>
          <cell r="LJ2278">
            <v>19.741782163149349</v>
          </cell>
          <cell r="LK2278">
            <v>20.020152274152959</v>
          </cell>
          <cell r="LL2278">
            <v>17.982747259685677</v>
          </cell>
          <cell r="LM2278">
            <v>15.721193701553757</v>
          </cell>
          <cell r="LN2278">
            <v>20.244300817817596</v>
          </cell>
          <cell r="LY2278">
            <v>14.280729093640073</v>
          </cell>
          <cell r="LZ2278">
            <v>14.730476692982464</v>
          </cell>
          <cell r="MA2278">
            <v>11.870949885755934</v>
          </cell>
          <cell r="MB2278">
            <v>9.6544719773798295</v>
          </cell>
          <cell r="MC2278">
            <v>14.087427794132038</v>
          </cell>
        </row>
        <row r="2279">
          <cell r="A2279">
            <v>42717</v>
          </cell>
          <cell r="LJ2279">
            <v>20.058577420685847</v>
          </cell>
          <cell r="LK2279">
            <v>20.020152274152959</v>
          </cell>
          <cell r="LL2279">
            <v>17.982747259685677</v>
          </cell>
          <cell r="LM2279">
            <v>15.721193701553757</v>
          </cell>
          <cell r="LN2279">
            <v>20.244300817817596</v>
          </cell>
          <cell r="LY2279">
            <v>14.503801531170302</v>
          </cell>
          <cell r="LZ2279">
            <v>14.730476692982464</v>
          </cell>
          <cell r="MA2279">
            <v>11.870949885755934</v>
          </cell>
          <cell r="MB2279">
            <v>9.6544719773798295</v>
          </cell>
          <cell r="MC2279">
            <v>14.087427794132038</v>
          </cell>
        </row>
        <row r="2280">
          <cell r="A2280">
            <v>42718</v>
          </cell>
          <cell r="LJ2280">
            <v>19.936678571428573</v>
          </cell>
          <cell r="LK2280">
            <v>20.020152274152959</v>
          </cell>
          <cell r="LL2280">
            <v>17.982747259685677</v>
          </cell>
          <cell r="LM2280">
            <v>15.721193701553757</v>
          </cell>
          <cell r="LN2280">
            <v>20.244300817817596</v>
          </cell>
          <cell r="LY2280">
            <v>14.407157703618552</v>
          </cell>
          <cell r="LZ2280">
            <v>14.730476692982464</v>
          </cell>
          <cell r="MA2280">
            <v>11.870949885755934</v>
          </cell>
          <cell r="MB2280">
            <v>9.6544719773798295</v>
          </cell>
          <cell r="MC2280">
            <v>14.087427794132038</v>
          </cell>
        </row>
        <row r="2281">
          <cell r="A2281">
            <v>42719</v>
          </cell>
          <cell r="LJ2281">
            <v>20.195034447821683</v>
          </cell>
          <cell r="LK2281">
            <v>20.020152274152959</v>
          </cell>
          <cell r="LL2281">
            <v>17.982747259685677</v>
          </cell>
          <cell r="LM2281">
            <v>15.721193701553757</v>
          </cell>
          <cell r="LN2281">
            <v>20.244300817817596</v>
          </cell>
          <cell r="LY2281">
            <v>14.407157703618552</v>
          </cell>
          <cell r="LZ2281">
            <v>14.730476692982464</v>
          </cell>
          <cell r="MA2281">
            <v>11.870949885755934</v>
          </cell>
          <cell r="MB2281">
            <v>9.6544719773798295</v>
          </cell>
          <cell r="MC2281">
            <v>14.087427794132038</v>
          </cell>
        </row>
        <row r="2282">
          <cell r="A2282">
            <v>42720</v>
          </cell>
          <cell r="LJ2282">
            <v>20.156376533927691</v>
          </cell>
          <cell r="LK2282">
            <v>20.020152274152959</v>
          </cell>
          <cell r="LL2282">
            <v>17.982747259685677</v>
          </cell>
          <cell r="LM2282">
            <v>15.721193701553757</v>
          </cell>
          <cell r="LN2282">
            <v>20.244300817817596</v>
          </cell>
          <cell r="LY2282">
            <v>14.536798103938272</v>
          </cell>
          <cell r="LZ2282">
            <v>14.730476692982464</v>
          </cell>
          <cell r="MA2282">
            <v>11.870949885755934</v>
          </cell>
          <cell r="MB2282">
            <v>9.6544719773798295</v>
          </cell>
          <cell r="MC2282">
            <v>14.087427794132038</v>
          </cell>
        </row>
        <row r="2283">
          <cell r="A2283">
            <v>42723</v>
          </cell>
          <cell r="LJ2283">
            <v>19.998372095389765</v>
          </cell>
          <cell r="LK2283">
            <v>20.020152274152959</v>
          </cell>
          <cell r="LL2283">
            <v>17.982747259685677</v>
          </cell>
          <cell r="LM2283">
            <v>15.721193701553757</v>
          </cell>
          <cell r="LN2283">
            <v>20.244300817817596</v>
          </cell>
          <cell r="LY2283">
            <v>14.465921059841714</v>
          </cell>
          <cell r="LZ2283">
            <v>14.730476692982464</v>
          </cell>
          <cell r="MA2283">
            <v>11.870949885755934</v>
          </cell>
          <cell r="MB2283">
            <v>9.6544719773798295</v>
          </cell>
          <cell r="MC2283">
            <v>14.087427794132038</v>
          </cell>
        </row>
        <row r="2284">
          <cell r="A2284">
            <v>42724</v>
          </cell>
          <cell r="LJ2284">
            <v>20.03303023373984</v>
          </cell>
          <cell r="LK2284">
            <v>20.020152274152959</v>
          </cell>
          <cell r="LL2284">
            <v>17.982747259685677</v>
          </cell>
          <cell r="LM2284">
            <v>15.721193701553757</v>
          </cell>
          <cell r="LN2284">
            <v>20.244300817817596</v>
          </cell>
          <cell r="LY2284">
            <v>14.463246815251548</v>
          </cell>
          <cell r="LZ2284">
            <v>14.730476692982464</v>
          </cell>
          <cell r="MA2284">
            <v>11.870949885755934</v>
          </cell>
          <cell r="MB2284">
            <v>9.6544719773798295</v>
          </cell>
          <cell r="MC2284">
            <v>14.087427794132038</v>
          </cell>
        </row>
        <row r="2285">
          <cell r="A2285">
            <v>42725</v>
          </cell>
          <cell r="LJ2285">
            <v>19.908536839430894</v>
          </cell>
          <cell r="LK2285">
            <v>20.020152274152959</v>
          </cell>
          <cell r="LL2285">
            <v>17.982747259685677</v>
          </cell>
          <cell r="LM2285">
            <v>15.721193701553757</v>
          </cell>
          <cell r="LN2285">
            <v>20.244300817817596</v>
          </cell>
          <cell r="LY2285">
            <v>14.384121634791816</v>
          </cell>
          <cell r="LZ2285">
            <v>14.730476692982464</v>
          </cell>
          <cell r="MA2285">
            <v>11.870949885755934</v>
          </cell>
          <cell r="MB2285">
            <v>9.6544719773798295</v>
          </cell>
          <cell r="MC2285">
            <v>14.087427794132038</v>
          </cell>
        </row>
        <row r="2286">
          <cell r="A2286">
            <v>42726</v>
          </cell>
          <cell r="LJ2286">
            <v>19.900915142276421</v>
          </cell>
          <cell r="LK2286">
            <v>20.020152274152959</v>
          </cell>
          <cell r="LL2286">
            <v>17.982747259685677</v>
          </cell>
          <cell r="LM2286">
            <v>15.721193701553757</v>
          </cell>
          <cell r="LN2286">
            <v>20.244300817817596</v>
          </cell>
          <cell r="LY2286">
            <v>14.384121634791816</v>
          </cell>
          <cell r="LZ2286">
            <v>14.730476692982464</v>
          </cell>
          <cell r="MA2286">
            <v>11.870949885755934</v>
          </cell>
          <cell r="MB2286">
            <v>9.6544719773798295</v>
          </cell>
          <cell r="MC2286">
            <v>14.087427794132038</v>
          </cell>
        </row>
        <row r="2287">
          <cell r="A2287">
            <v>42727</v>
          </cell>
          <cell r="LJ2287">
            <v>20.058434197154472</v>
          </cell>
          <cell r="LK2287">
            <v>20.020152274152959</v>
          </cell>
          <cell r="LL2287">
            <v>17.982747259685677</v>
          </cell>
          <cell r="LM2287">
            <v>15.721193701553757</v>
          </cell>
          <cell r="LN2287">
            <v>20.244300817817596</v>
          </cell>
          <cell r="LY2287">
            <v>14.479149627161533</v>
          </cell>
          <cell r="LZ2287">
            <v>14.730476692982464</v>
          </cell>
          <cell r="MA2287">
            <v>11.870949885755934</v>
          </cell>
          <cell r="MB2287">
            <v>9.6544719773798295</v>
          </cell>
          <cell r="MC2287">
            <v>14.087427794132038</v>
          </cell>
        </row>
        <row r="2288">
          <cell r="A2288">
            <v>42730</v>
          </cell>
          <cell r="LJ2288">
            <v>20.058434197154472</v>
          </cell>
          <cell r="LK2288">
            <v>20.020152274152959</v>
          </cell>
          <cell r="LL2288">
            <v>17.982747259685677</v>
          </cell>
          <cell r="LM2288">
            <v>15.721193701553757</v>
          </cell>
          <cell r="LN2288">
            <v>20.244300817817596</v>
          </cell>
          <cell r="LY2288">
            <v>14.479149627161533</v>
          </cell>
          <cell r="LZ2288">
            <v>14.730476692982464</v>
          </cell>
          <cell r="MA2288">
            <v>11.870949885755934</v>
          </cell>
          <cell r="MB2288">
            <v>9.6544719773798295</v>
          </cell>
          <cell r="MC2288">
            <v>14.087427794132038</v>
          </cell>
        </row>
        <row r="2289">
          <cell r="A2289">
            <v>42731</v>
          </cell>
          <cell r="LJ2289">
            <v>20.025408536585367</v>
          </cell>
          <cell r="LK2289">
            <v>20.020152274152959</v>
          </cell>
          <cell r="LL2289">
            <v>17.982747259685677</v>
          </cell>
          <cell r="LM2289">
            <v>15.721193701553757</v>
          </cell>
          <cell r="LN2289">
            <v>20.244300817817596</v>
          </cell>
          <cell r="LY2289">
            <v>14.458456642528295</v>
          </cell>
          <cell r="LZ2289">
            <v>14.730476692982464</v>
          </cell>
          <cell r="MA2289">
            <v>11.870949885755934</v>
          </cell>
          <cell r="MB2289">
            <v>9.6544719773798295</v>
          </cell>
          <cell r="MC2289">
            <v>14.087427794132038</v>
          </cell>
        </row>
        <row r="2290">
          <cell r="A2290">
            <v>42732</v>
          </cell>
          <cell r="LJ2290">
            <v>19.850102896341461</v>
          </cell>
          <cell r="LK2290">
            <v>20.020152274152959</v>
          </cell>
          <cell r="LL2290">
            <v>17.982747259685677</v>
          </cell>
          <cell r="LM2290">
            <v>15.721193701553757</v>
          </cell>
          <cell r="LN2290">
            <v>20.244300817817596</v>
          </cell>
          <cell r="LY2290">
            <v>14.34703593375535</v>
          </cell>
          <cell r="LZ2290">
            <v>14.730476692982464</v>
          </cell>
          <cell r="MA2290">
            <v>11.870949885755934</v>
          </cell>
          <cell r="MB2290">
            <v>9.6544719773798295</v>
          </cell>
          <cell r="MC2290">
            <v>14.087427794132038</v>
          </cell>
        </row>
        <row r="2291">
          <cell r="A2291">
            <v>42733</v>
          </cell>
          <cell r="LJ2291">
            <v>19.872967987804877</v>
          </cell>
          <cell r="LK2291">
            <v>20.020152274152959</v>
          </cell>
          <cell r="LL2291">
            <v>17.982747259685677</v>
          </cell>
          <cell r="LM2291">
            <v>15.721193701553757</v>
          </cell>
          <cell r="LN2291">
            <v>20.244300817817596</v>
          </cell>
          <cell r="LY2291">
            <v>14.361568522059224</v>
          </cell>
          <cell r="LZ2291">
            <v>14.730476692982464</v>
          </cell>
          <cell r="MA2291">
            <v>11.870949885755934</v>
          </cell>
          <cell r="MB2291">
            <v>9.6544719773798295</v>
          </cell>
          <cell r="MC2291">
            <v>14.087427794132038</v>
          </cell>
        </row>
        <row r="2292">
          <cell r="A2292">
            <v>42734</v>
          </cell>
          <cell r="LJ2292">
            <v>19.776422002032518</v>
          </cell>
          <cell r="LK2292">
            <v>20.020152274152959</v>
          </cell>
          <cell r="LL2292">
            <v>17.982747259685677</v>
          </cell>
          <cell r="LM2292">
            <v>15.721193701553757</v>
          </cell>
          <cell r="LN2292">
            <v>20.244300817817596</v>
          </cell>
          <cell r="LY2292">
            <v>14.361568522059224</v>
          </cell>
          <cell r="LZ2292">
            <v>14.730476692982464</v>
          </cell>
          <cell r="MA2292">
            <v>11.870949885755934</v>
          </cell>
          <cell r="MB2292">
            <v>9.6544719773798295</v>
          </cell>
          <cell r="MC2292">
            <v>14.087427794132038</v>
          </cell>
        </row>
        <row r="2293">
          <cell r="A2293">
            <v>42737</v>
          </cell>
          <cell r="LJ2293">
            <v>19.641135530529056</v>
          </cell>
          <cell r="LK2293">
            <v>20.020152274152959</v>
          </cell>
          <cell r="LL2293">
            <v>17.982747259685677</v>
          </cell>
          <cell r="LM2293">
            <v>15.721193701553757</v>
          </cell>
          <cell r="LN2293">
            <v>20.244300817817596</v>
          </cell>
          <cell r="LY2293">
            <v>14.203539397593966</v>
          </cell>
          <cell r="LZ2293">
            <v>14.730476692982464</v>
          </cell>
          <cell r="MA2293">
            <v>11.870949885755934</v>
          </cell>
          <cell r="MB2293">
            <v>9.6544719773798295</v>
          </cell>
          <cell r="MC2293">
            <v>14.087427794132038</v>
          </cell>
        </row>
        <row r="2294">
          <cell r="A2294">
            <v>42738</v>
          </cell>
          <cell r="LJ2294">
            <v>19.878323446671555</v>
          </cell>
          <cell r="LK2294">
            <v>20.020152274152959</v>
          </cell>
          <cell r="LL2294">
            <v>17.982747259685677</v>
          </cell>
          <cell r="LM2294">
            <v>15.721193701553757</v>
          </cell>
          <cell r="LN2294">
            <v>20.244300817817596</v>
          </cell>
          <cell r="LY2294">
            <v>14.354303520853941</v>
          </cell>
          <cell r="LZ2294">
            <v>14.730476692982464</v>
          </cell>
          <cell r="MA2294">
            <v>11.870949885755934</v>
          </cell>
          <cell r="MB2294">
            <v>9.6544719773798295</v>
          </cell>
          <cell r="MC2294">
            <v>14.087427794132038</v>
          </cell>
        </row>
        <row r="2295">
          <cell r="A2295">
            <v>42739</v>
          </cell>
          <cell r="LJ2295">
            <v>20.016692949238848</v>
          </cell>
          <cell r="LK2295">
            <v>20.020152274152959</v>
          </cell>
          <cell r="LL2295">
            <v>17.982747259685677</v>
          </cell>
          <cell r="LM2295">
            <v>15.721193701553757</v>
          </cell>
          <cell r="LN2295">
            <v>20.244300817817596</v>
          </cell>
          <cell r="LY2295">
            <v>14.444475108931968</v>
          </cell>
          <cell r="LZ2295">
            <v>14.730476692982464</v>
          </cell>
          <cell r="MA2295">
            <v>11.870949885755934</v>
          </cell>
          <cell r="MB2295">
            <v>9.6544719773798295</v>
          </cell>
          <cell r="MC2295">
            <v>14.087427794132038</v>
          </cell>
        </row>
        <row r="2296">
          <cell r="A2296">
            <v>42740</v>
          </cell>
          <cell r="LJ2296">
            <v>20.180762148984748</v>
          </cell>
          <cell r="LK2296">
            <v>20.020152274152959</v>
          </cell>
          <cell r="LL2296">
            <v>17.982747259685677</v>
          </cell>
          <cell r="LM2296">
            <v>15.721193701553757</v>
          </cell>
          <cell r="LN2296">
            <v>20.244300817817596</v>
          </cell>
          <cell r="LY2296">
            <v>14.444475108931968</v>
          </cell>
          <cell r="LZ2296">
            <v>14.730476692982464</v>
          </cell>
          <cell r="MA2296">
            <v>11.870949885755934</v>
          </cell>
          <cell r="MB2296">
            <v>9.6544719773798295</v>
          </cell>
          <cell r="MC2296">
            <v>14.087427794132038</v>
          </cell>
        </row>
        <row r="2297">
          <cell r="A2297">
            <v>42741</v>
          </cell>
          <cell r="LJ2297">
            <v>20.300637670943512</v>
          </cell>
          <cell r="LK2297">
            <v>20.020152274152959</v>
          </cell>
          <cell r="LL2297">
            <v>17.982747259685677</v>
          </cell>
          <cell r="LM2297">
            <v>15.721193701553757</v>
          </cell>
          <cell r="LN2297">
            <v>20.244300817817596</v>
          </cell>
          <cell r="LY2297">
            <v>14.687154416230669</v>
          </cell>
          <cell r="LZ2297">
            <v>14.730476692982464</v>
          </cell>
          <cell r="MA2297">
            <v>11.870949885755934</v>
          </cell>
          <cell r="MB2297">
            <v>9.6544719773798295</v>
          </cell>
          <cell r="MC2297">
            <v>14.087427794132038</v>
          </cell>
        </row>
        <row r="2298">
          <cell r="A2298">
            <v>42744</v>
          </cell>
          <cell r="LJ2298">
            <v>20.340308423600781</v>
          </cell>
          <cell r="LK2298">
            <v>20.020152274152959</v>
          </cell>
          <cell r="LL2298">
            <v>17.982747259685677</v>
          </cell>
          <cell r="LM2298">
            <v>15.721193701553757</v>
          </cell>
          <cell r="LN2298">
            <v>20.244300817817596</v>
          </cell>
          <cell r="LY2298">
            <v>14.712774208853521</v>
          </cell>
          <cell r="LZ2298">
            <v>14.730476692982464</v>
          </cell>
          <cell r="MA2298">
            <v>11.870949885755934</v>
          </cell>
          <cell r="MB2298">
            <v>9.6544719773798295</v>
          </cell>
          <cell r="MC2298">
            <v>14.087427794132038</v>
          </cell>
        </row>
        <row r="2299">
          <cell r="A2299">
            <v>42745</v>
          </cell>
          <cell r="LJ2299">
            <v>20.469031107374061</v>
          </cell>
          <cell r="LK2299">
            <v>20.020152274152959</v>
          </cell>
          <cell r="LL2299">
            <v>17.982747259685677</v>
          </cell>
          <cell r="LM2299">
            <v>15.721193701553757</v>
          </cell>
          <cell r="LN2299">
            <v>20.244300817817596</v>
          </cell>
          <cell r="LY2299">
            <v>14.794953968450734</v>
          </cell>
          <cell r="LZ2299">
            <v>14.730476692982464</v>
          </cell>
          <cell r="MA2299">
            <v>11.870949885755934</v>
          </cell>
          <cell r="MB2299">
            <v>9.6544719773798295</v>
          </cell>
          <cell r="MC2299">
            <v>14.087427794132038</v>
          </cell>
        </row>
        <row r="2300">
          <cell r="A2300">
            <v>42746</v>
          </cell>
          <cell r="LJ2300">
            <v>20.532129224946896</v>
          </cell>
          <cell r="LK2300">
            <v>20.020152274152959</v>
          </cell>
          <cell r="LL2300">
            <v>17.982747259685677</v>
          </cell>
          <cell r="LM2300">
            <v>15.721193701553757</v>
          </cell>
          <cell r="LN2300">
            <v>20.244300817817596</v>
          </cell>
          <cell r="LY2300">
            <v>14.835237374461016</v>
          </cell>
          <cell r="LZ2300">
            <v>14.730476692982464</v>
          </cell>
          <cell r="MA2300">
            <v>11.870949885755934</v>
          </cell>
          <cell r="MB2300">
            <v>9.6544719773798295</v>
          </cell>
          <cell r="MC2300">
            <v>14.087427794132038</v>
          </cell>
        </row>
        <row r="2301">
          <cell r="A2301">
            <v>42747</v>
          </cell>
          <cell r="LJ2301">
            <v>20.516982395627299</v>
          </cell>
          <cell r="LK2301">
            <v>20.020152274152959</v>
          </cell>
          <cell r="LL2301">
            <v>17.982747259685677</v>
          </cell>
          <cell r="LM2301">
            <v>15.721193701553757</v>
          </cell>
          <cell r="LN2301">
            <v>20.244300817817596</v>
          </cell>
          <cell r="LY2301">
            <v>14.835237374461016</v>
          </cell>
          <cell r="LZ2301">
            <v>14.730476692982464</v>
          </cell>
          <cell r="MA2301">
            <v>11.870949885755934</v>
          </cell>
          <cell r="MB2301">
            <v>9.6544719773798295</v>
          </cell>
          <cell r="MC2301">
            <v>14.087427794132038</v>
          </cell>
        </row>
        <row r="2302">
          <cell r="A2302">
            <v>42748</v>
          </cell>
          <cell r="LJ2302">
            <v>20.534651635294985</v>
          </cell>
          <cell r="LK2302">
            <v>20.020152274152959</v>
          </cell>
          <cell r="LL2302">
            <v>17.982747259685677</v>
          </cell>
          <cell r="LM2302">
            <v>15.721193701553757</v>
          </cell>
          <cell r="LN2302">
            <v>20.244300817817596</v>
          </cell>
          <cell r="LY2302">
            <v>14.825567262281435</v>
          </cell>
          <cell r="LZ2302">
            <v>14.730476692982464</v>
          </cell>
          <cell r="MA2302">
            <v>11.870949885755934</v>
          </cell>
          <cell r="MB2302">
            <v>9.6544719773798295</v>
          </cell>
          <cell r="MC2302">
            <v>14.087427794132038</v>
          </cell>
        </row>
        <row r="2303">
          <cell r="A2303">
            <v>42751</v>
          </cell>
          <cell r="LJ2303">
            <v>20.533796510316741</v>
          </cell>
          <cell r="LK2303">
            <v>20.020152274152959</v>
          </cell>
          <cell r="LL2303">
            <v>17.982747259685677</v>
          </cell>
          <cell r="LM2303">
            <v>15.721193701553757</v>
          </cell>
          <cell r="LN2303">
            <v>20.244300817817596</v>
          </cell>
          <cell r="LY2303">
            <v>14.836841695413323</v>
          </cell>
          <cell r="LZ2303">
            <v>14.730476692982464</v>
          </cell>
          <cell r="MA2303">
            <v>11.870949885755934</v>
          </cell>
          <cell r="MB2303">
            <v>9.6544719773798295</v>
          </cell>
          <cell r="MC2303">
            <v>14.087427794132038</v>
          </cell>
        </row>
        <row r="2304">
          <cell r="A2304">
            <v>42752</v>
          </cell>
          <cell r="LJ2304">
            <v>20.423305183594536</v>
          </cell>
          <cell r="LK2304">
            <v>20.020152274152959</v>
          </cell>
          <cell r="LL2304">
            <v>17.982747259685677</v>
          </cell>
          <cell r="LM2304">
            <v>15.721193701553757</v>
          </cell>
          <cell r="LN2304">
            <v>20.244300817817596</v>
          </cell>
          <cell r="LY2304">
            <v>14.76433207755545</v>
          </cell>
          <cell r="LZ2304">
            <v>14.730476692982464</v>
          </cell>
          <cell r="MA2304">
            <v>11.870949885755934</v>
          </cell>
          <cell r="MB2304">
            <v>9.6544719773798295</v>
          </cell>
          <cell r="MC2304">
            <v>14.087427794132038</v>
          </cell>
        </row>
        <row r="2305">
          <cell r="A2305">
            <v>42753</v>
          </cell>
          <cell r="LJ2305">
            <v>20.497453407997089</v>
          </cell>
          <cell r="LK2305">
            <v>20.020152274152959</v>
          </cell>
          <cell r="LL2305">
            <v>17.982747259685677</v>
          </cell>
          <cell r="LM2305">
            <v>15.721193701553757</v>
          </cell>
          <cell r="LN2305">
            <v>20.244300817817596</v>
          </cell>
          <cell r="LY2305">
            <v>14.896402630612883</v>
          </cell>
          <cell r="LZ2305">
            <v>14.730476692982464</v>
          </cell>
          <cell r="MA2305">
            <v>11.870949885755934</v>
          </cell>
          <cell r="MB2305">
            <v>9.6544719773798295</v>
          </cell>
          <cell r="MC2305">
            <v>14.087427794132038</v>
          </cell>
        </row>
        <row r="2306">
          <cell r="A2306">
            <v>42754</v>
          </cell>
          <cell r="LJ2306">
            <v>20.348826744652943</v>
          </cell>
          <cell r="LK2306">
            <v>20.020152274152959</v>
          </cell>
          <cell r="LL2306">
            <v>17.982747259685677</v>
          </cell>
          <cell r="LM2306">
            <v>15.721193701553757</v>
          </cell>
          <cell r="LN2306">
            <v>20.244300817817596</v>
          </cell>
          <cell r="LY2306">
            <v>14.897419315774734</v>
          </cell>
          <cell r="LZ2306">
            <v>14.730476692982464</v>
          </cell>
          <cell r="MA2306">
            <v>11.870949885755934</v>
          </cell>
          <cell r="MB2306">
            <v>9.6544719773798295</v>
          </cell>
          <cell r="MC2306">
            <v>14.087427794132038</v>
          </cell>
        </row>
        <row r="2307">
          <cell r="A2307">
            <v>42755</v>
          </cell>
          <cell r="LJ2307">
            <v>20.33038641325491</v>
          </cell>
          <cell r="LK2307">
            <v>20.020152274152959</v>
          </cell>
          <cell r="LL2307">
            <v>17.982747259685677</v>
          </cell>
          <cell r="LM2307">
            <v>15.721193701553757</v>
          </cell>
          <cell r="LN2307">
            <v>20.244300817817596</v>
          </cell>
          <cell r="LY2307">
            <v>14.790859053799313</v>
          </cell>
          <cell r="LZ2307">
            <v>14.730476692982464</v>
          </cell>
          <cell r="MA2307">
            <v>11.870949885755934</v>
          </cell>
          <cell r="MB2307">
            <v>9.6544719773798295</v>
          </cell>
          <cell r="MC2307">
            <v>14.087427794132038</v>
          </cell>
        </row>
        <row r="2308">
          <cell r="A2308">
            <v>42758</v>
          </cell>
          <cell r="LJ2308">
            <v>20.203597545180784</v>
          </cell>
          <cell r="LK2308">
            <v>20.020152274152959</v>
          </cell>
          <cell r="LL2308">
            <v>17.982747259685677</v>
          </cell>
          <cell r="LM2308">
            <v>15.721193701553757</v>
          </cell>
          <cell r="LN2308">
            <v>20.244300817817596</v>
          </cell>
          <cell r="LY2308">
            <v>14.70924596358689</v>
          </cell>
          <cell r="LZ2308">
            <v>14.730476692982464</v>
          </cell>
          <cell r="MA2308">
            <v>11.870949885755934</v>
          </cell>
          <cell r="MB2308">
            <v>9.6544719773798295</v>
          </cell>
          <cell r="MC2308">
            <v>14.087427794132038</v>
          </cell>
        </row>
        <row r="2309">
          <cell r="A2309">
            <v>42759</v>
          </cell>
          <cell r="LJ2309">
            <v>20.211173641715259</v>
          </cell>
          <cell r="LK2309">
            <v>20.020152274152959</v>
          </cell>
          <cell r="LL2309">
            <v>17.982747259685677</v>
          </cell>
          <cell r="LM2309">
            <v>15.721193701553757</v>
          </cell>
          <cell r="LN2309">
            <v>20.244300817817596</v>
          </cell>
          <cell r="LY2309">
            <v>14.714110082062557</v>
          </cell>
          <cell r="LZ2309">
            <v>14.730476692982464</v>
          </cell>
          <cell r="MA2309">
            <v>11.870949885755934</v>
          </cell>
          <cell r="MB2309">
            <v>9.6544719773798295</v>
          </cell>
          <cell r="MC2309">
            <v>14.087427794132038</v>
          </cell>
        </row>
        <row r="2310">
          <cell r="A2310">
            <v>42760</v>
          </cell>
          <cell r="LJ2310">
            <v>20.463718611030018</v>
          </cell>
          <cell r="LK2310">
            <v>20.020152274152959</v>
          </cell>
          <cell r="LL2310">
            <v>17.982747259685677</v>
          </cell>
          <cell r="LM2310">
            <v>15.721193701553757</v>
          </cell>
          <cell r="LN2310">
            <v>20.244300817817596</v>
          </cell>
          <cell r="LY2310">
            <v>14.876252769341018</v>
          </cell>
          <cell r="LZ2310">
            <v>14.730476692982464</v>
          </cell>
          <cell r="MA2310">
            <v>11.870949885755934</v>
          </cell>
          <cell r="MB2310">
            <v>9.6544719773798295</v>
          </cell>
          <cell r="MC2310">
            <v>14.087427794132038</v>
          </cell>
        </row>
        <row r="2311">
          <cell r="A2311">
            <v>42761</v>
          </cell>
          <cell r="LJ2311">
            <v>20.411822637697895</v>
          </cell>
          <cell r="LK2311">
            <v>20.020152274152959</v>
          </cell>
          <cell r="LL2311">
            <v>17.982747259685677</v>
          </cell>
          <cell r="LM2311">
            <v>15.721193701553757</v>
          </cell>
          <cell r="LN2311">
            <v>20.244300817817596</v>
          </cell>
          <cell r="LY2311">
            <v>14.883905500000493</v>
          </cell>
          <cell r="LZ2311">
            <v>14.730476692982464</v>
          </cell>
          <cell r="MA2311">
            <v>11.870949885755934</v>
          </cell>
          <cell r="MB2311">
            <v>9.6544719773798295</v>
          </cell>
          <cell r="MC2311">
            <v>14.087427794132038</v>
          </cell>
        </row>
        <row r="2312">
          <cell r="A2312">
            <v>42762</v>
          </cell>
          <cell r="LJ2312">
            <v>20.453907004967775</v>
          </cell>
          <cell r="LK2312">
            <v>20.020152274152959</v>
          </cell>
          <cell r="LL2312">
            <v>17.982747259685677</v>
          </cell>
          <cell r="LM2312">
            <v>15.721193701553757</v>
          </cell>
          <cell r="LN2312">
            <v>20.244300817817596</v>
          </cell>
          <cell r="LY2312">
            <v>14.872547773559575</v>
          </cell>
          <cell r="LZ2312">
            <v>14.730476692982464</v>
          </cell>
          <cell r="MA2312">
            <v>11.870949885755934</v>
          </cell>
          <cell r="MB2312">
            <v>9.6544719773798295</v>
          </cell>
          <cell r="MC2312">
            <v>14.087427794132038</v>
          </cell>
        </row>
        <row r="2313">
          <cell r="A2313">
            <v>42765</v>
          </cell>
          <cell r="LJ2313">
            <v>20.302320223034531</v>
          </cell>
          <cell r="LK2313">
            <v>20.020152274152959</v>
          </cell>
          <cell r="LL2313">
            <v>17.982747259685677</v>
          </cell>
          <cell r="LM2313">
            <v>15.721193701553757</v>
          </cell>
          <cell r="LN2313">
            <v>20.244300817817596</v>
          </cell>
          <cell r="LY2313">
            <v>14.775211162517216</v>
          </cell>
          <cell r="LZ2313">
            <v>14.730476692982464</v>
          </cell>
          <cell r="MA2313">
            <v>11.870949885755934</v>
          </cell>
          <cell r="MB2313">
            <v>9.6544719773798295</v>
          </cell>
          <cell r="MC2313">
            <v>14.087427794132038</v>
          </cell>
        </row>
        <row r="2314">
          <cell r="A2314">
            <v>42766</v>
          </cell>
          <cell r="LJ2314">
            <v>21.218473287173637</v>
          </cell>
          <cell r="LK2314">
            <v>20.020152274152959</v>
          </cell>
          <cell r="LL2314">
            <v>17.982747259685677</v>
          </cell>
          <cell r="LM2314">
            <v>15.721193701553757</v>
          </cell>
          <cell r="LN2314">
            <v>20.244300817817596</v>
          </cell>
          <cell r="LY2314">
            <v>15.390009165348932</v>
          </cell>
          <cell r="LZ2314">
            <v>14.730476692982464</v>
          </cell>
          <cell r="MA2314">
            <v>11.870949885755934</v>
          </cell>
          <cell r="MB2314">
            <v>9.6544719773798295</v>
          </cell>
          <cell r="MC2314">
            <v>14.087427794132038</v>
          </cell>
        </row>
        <row r="2315">
          <cell r="A2315">
            <v>42767</v>
          </cell>
          <cell r="LJ2315">
            <v>20.898112065323168</v>
          </cell>
          <cell r="LK2315">
            <v>20.020152274152959</v>
          </cell>
          <cell r="LL2315">
            <v>17.982747259685677</v>
          </cell>
          <cell r="LM2315">
            <v>15.721193701553757</v>
          </cell>
          <cell r="LN2315">
            <v>20.244300817817596</v>
          </cell>
          <cell r="LY2315">
            <v>15.261273727037652</v>
          </cell>
          <cell r="LZ2315">
            <v>14.730476692982464</v>
          </cell>
          <cell r="MA2315">
            <v>11.870949885755934</v>
          </cell>
          <cell r="MB2315">
            <v>9.6544719773798295</v>
          </cell>
          <cell r="MC2315">
            <v>14.087427794132038</v>
          </cell>
        </row>
        <row r="2316">
          <cell r="A2316">
            <v>42768</v>
          </cell>
          <cell r="LJ2316">
            <v>20.935466983493928</v>
          </cell>
          <cell r="LK2316">
            <v>20.020152274152959</v>
          </cell>
          <cell r="LL2316">
            <v>17.982747259685677</v>
          </cell>
          <cell r="LM2316">
            <v>15.721193701553757</v>
          </cell>
          <cell r="LN2316">
            <v>20.244300817817596</v>
          </cell>
          <cell r="LY2316">
            <v>15.220971468471339</v>
          </cell>
          <cell r="LZ2316">
            <v>14.730476692982464</v>
          </cell>
          <cell r="MA2316">
            <v>11.870949885755934</v>
          </cell>
          <cell r="MB2316">
            <v>9.6544719773798295</v>
          </cell>
          <cell r="MC2316">
            <v>14.087427794132038</v>
          </cell>
        </row>
        <row r="2317">
          <cell r="A2317">
            <v>42769</v>
          </cell>
          <cell r="LJ2317">
            <v>20.933185396715089</v>
          </cell>
          <cell r="LK2317">
            <v>20.020152274152959</v>
          </cell>
          <cell r="LL2317">
            <v>17.982747259685677</v>
          </cell>
          <cell r="LM2317">
            <v>15.721193701553757</v>
          </cell>
          <cell r="LN2317">
            <v>20.244300817817596</v>
          </cell>
          <cell r="LY2317">
            <v>16.171016058041214</v>
          </cell>
          <cell r="LZ2317">
            <v>14.730476692982464</v>
          </cell>
          <cell r="MA2317">
            <v>11.870949885755934</v>
          </cell>
          <cell r="MB2317">
            <v>9.6544719773798295</v>
          </cell>
          <cell r="MC2317">
            <v>14.087427794132038</v>
          </cell>
        </row>
        <row r="2318">
          <cell r="A2318">
            <v>42772</v>
          </cell>
          <cell r="LJ2318">
            <v>20.758096778566223</v>
          </cell>
          <cell r="LK2318">
            <v>20.020152274152959</v>
          </cell>
          <cell r="LL2318">
            <v>17.982747259685677</v>
          </cell>
          <cell r="LM2318">
            <v>15.721193701553757</v>
          </cell>
          <cell r="LN2318">
            <v>20.244300817817596</v>
          </cell>
          <cell r="LY2318">
            <v>16.057978998971549</v>
          </cell>
          <cell r="LZ2318">
            <v>14.730476692982464</v>
          </cell>
          <cell r="MA2318">
            <v>11.870949885755934</v>
          </cell>
          <cell r="MB2318">
            <v>9.6544719773798295</v>
          </cell>
          <cell r="MC2318">
            <v>14.087427794132038</v>
          </cell>
        </row>
        <row r="2319">
          <cell r="A2319">
            <v>42773</v>
          </cell>
          <cell r="LJ2319">
            <v>20.771731477625298</v>
          </cell>
          <cell r="LK2319">
            <v>20.020152274152959</v>
          </cell>
          <cell r="LL2319">
            <v>17.982747259685677</v>
          </cell>
          <cell r="LM2319">
            <v>15.721193701553757</v>
          </cell>
          <cell r="LN2319">
            <v>20.244300817817596</v>
          </cell>
          <cell r="LY2319">
            <v>16.072508624637166</v>
          </cell>
          <cell r="LZ2319">
            <v>14.730476692982464</v>
          </cell>
          <cell r="MA2319">
            <v>11.870949885755934</v>
          </cell>
          <cell r="MB2319">
            <v>9.6544719773798295</v>
          </cell>
          <cell r="MC2319">
            <v>14.087427794132038</v>
          </cell>
        </row>
        <row r="2320">
          <cell r="A2320">
            <v>42774</v>
          </cell>
          <cell r="LJ2320">
            <v>20.746727893993327</v>
          </cell>
          <cell r="LK2320">
            <v>20.020152274152959</v>
          </cell>
          <cell r="LL2320">
            <v>17.982747259685677</v>
          </cell>
          <cell r="LM2320">
            <v>15.721193701553757</v>
          </cell>
          <cell r="LN2320">
            <v>20.244300817817596</v>
          </cell>
          <cell r="LY2320">
            <v>16.056359438383385</v>
          </cell>
          <cell r="LZ2320">
            <v>14.730476692982464</v>
          </cell>
          <cell r="MA2320">
            <v>11.870949885755934</v>
          </cell>
          <cell r="MB2320">
            <v>9.6544719773798295</v>
          </cell>
          <cell r="MC2320">
            <v>14.087427794132038</v>
          </cell>
        </row>
        <row r="2321">
          <cell r="A2321">
            <v>42775</v>
          </cell>
          <cell r="LJ2321">
            <v>20.941743895326795</v>
          </cell>
          <cell r="LK2321">
            <v>20.020152274152959</v>
          </cell>
          <cell r="LL2321">
            <v>17.982747259685677</v>
          </cell>
          <cell r="LM2321">
            <v>15.721193701553757</v>
          </cell>
          <cell r="LN2321">
            <v>20.244300817817596</v>
          </cell>
          <cell r="LY2321">
            <v>16.056359438383385</v>
          </cell>
          <cell r="LZ2321">
            <v>14.730476692982464</v>
          </cell>
          <cell r="MA2321">
            <v>11.870949885755934</v>
          </cell>
          <cell r="MB2321">
            <v>9.6544719773798295</v>
          </cell>
          <cell r="MC2321">
            <v>14.087427794132038</v>
          </cell>
        </row>
        <row r="2322">
          <cell r="A2322">
            <v>42776</v>
          </cell>
          <cell r="LJ2322">
            <v>20.996748729062944</v>
          </cell>
          <cell r="LK2322">
            <v>20.020152274152959</v>
          </cell>
          <cell r="LL2322">
            <v>17.982747259685677</v>
          </cell>
          <cell r="LM2322">
            <v>15.721193701553757</v>
          </cell>
          <cell r="LN2322">
            <v>20.244300817817596</v>
          </cell>
          <cell r="LY2322">
            <v>16.217841611990771</v>
          </cell>
          <cell r="LZ2322">
            <v>14.730476692982464</v>
          </cell>
          <cell r="MA2322">
            <v>11.870949885755934</v>
          </cell>
          <cell r="MB2322">
            <v>9.6544719773798295</v>
          </cell>
          <cell r="MC2322">
            <v>14.087427794132038</v>
          </cell>
        </row>
        <row r="2323">
          <cell r="A2323">
            <v>42779</v>
          </cell>
          <cell r="LJ2323">
            <v>21.049254854573409</v>
          </cell>
          <cell r="LK2323">
            <v>20.020152274152959</v>
          </cell>
          <cell r="LL2323">
            <v>17.982747259685677</v>
          </cell>
          <cell r="LM2323">
            <v>15.721193701553757</v>
          </cell>
          <cell r="LN2323">
            <v>20.244300817817596</v>
          </cell>
          <cell r="LY2323">
            <v>16.251753998823535</v>
          </cell>
          <cell r="LZ2323">
            <v>14.730476692982464</v>
          </cell>
          <cell r="MA2323">
            <v>11.870949885755934</v>
          </cell>
          <cell r="MB2323">
            <v>9.6544719773798295</v>
          </cell>
          <cell r="MC2323">
            <v>14.087427794132038</v>
          </cell>
        </row>
        <row r="2324">
          <cell r="A2324">
            <v>42780</v>
          </cell>
          <cell r="LJ2324">
            <v>21.026753979500484</v>
          </cell>
          <cell r="LK2324">
            <v>20.020152274152959</v>
          </cell>
          <cell r="LL2324">
            <v>17.982747259685677</v>
          </cell>
          <cell r="LM2324">
            <v>15.721193701553757</v>
          </cell>
          <cell r="LN2324">
            <v>20.244300817817596</v>
          </cell>
          <cell r="LY2324">
            <v>16.237221249127568</v>
          </cell>
          <cell r="LZ2324">
            <v>14.730476692982464</v>
          </cell>
          <cell r="MA2324">
            <v>11.870949885755934</v>
          </cell>
          <cell r="MB2324">
            <v>9.6544719773798295</v>
          </cell>
          <cell r="MC2324">
            <v>14.087427794132038</v>
          </cell>
        </row>
        <row r="2325">
          <cell r="A2325">
            <v>42781</v>
          </cell>
          <cell r="LJ2325">
            <v>21.154263105260977</v>
          </cell>
          <cell r="LK2325">
            <v>20.020152274152959</v>
          </cell>
          <cell r="LL2325">
            <v>17.982747259685677</v>
          </cell>
          <cell r="LM2325">
            <v>15.721193701553757</v>
          </cell>
          <cell r="LN2325">
            <v>20.244300817817596</v>
          </cell>
          <cell r="LY2325">
            <v>16.319576188774288</v>
          </cell>
          <cell r="LZ2325">
            <v>14.730476692982464</v>
          </cell>
          <cell r="MA2325">
            <v>11.870949885755934</v>
          </cell>
          <cell r="MB2325">
            <v>9.6544719773798295</v>
          </cell>
          <cell r="MC2325">
            <v>14.087427794132038</v>
          </cell>
        </row>
        <row r="2326">
          <cell r="A2326">
            <v>42782</v>
          </cell>
          <cell r="LJ2326">
            <v>21.064255354615081</v>
          </cell>
          <cell r="LK2326">
            <v>20.020152274152959</v>
          </cell>
          <cell r="LL2326">
            <v>17.982747259685677</v>
          </cell>
          <cell r="LM2326">
            <v>15.721193701553757</v>
          </cell>
          <cell r="LN2326">
            <v>20.244300817817596</v>
          </cell>
          <cell r="LY2326">
            <v>16.319576188774288</v>
          </cell>
          <cell r="LZ2326">
            <v>14.730476692982464</v>
          </cell>
          <cell r="MA2326">
            <v>11.870949885755934</v>
          </cell>
          <cell r="MB2326">
            <v>9.6544719773798295</v>
          </cell>
          <cell r="MC2326">
            <v>14.087427794132038</v>
          </cell>
        </row>
        <row r="2327">
          <cell r="A2327">
            <v>42783</v>
          </cell>
          <cell r="LJ2327">
            <v>21.014252187684498</v>
          </cell>
          <cell r="LK2327">
            <v>20.020152274152959</v>
          </cell>
          <cell r="LL2327">
            <v>17.982747259685677</v>
          </cell>
          <cell r="LM2327">
            <v>15.721193701553757</v>
          </cell>
          <cell r="LN2327">
            <v>20.244300817817596</v>
          </cell>
          <cell r="LY2327">
            <v>16.229146656000676</v>
          </cell>
          <cell r="LZ2327">
            <v>14.730476692982464</v>
          </cell>
          <cell r="MA2327">
            <v>11.870949885755934</v>
          </cell>
          <cell r="MB2327">
            <v>9.6544719773798295</v>
          </cell>
          <cell r="MC2327">
            <v>14.087427794132038</v>
          </cell>
        </row>
        <row r="2328">
          <cell r="A2328">
            <v>42786</v>
          </cell>
          <cell r="LJ2328">
            <v>21.014252187684498</v>
          </cell>
          <cell r="LK2328">
            <v>20.020152274152959</v>
          </cell>
          <cell r="LL2328">
            <v>17.982747259685677</v>
          </cell>
          <cell r="LM2328">
            <v>15.721193701553757</v>
          </cell>
          <cell r="LN2328">
            <v>20.244300817817596</v>
          </cell>
          <cell r="LY2328">
            <v>16.229146656000676</v>
          </cell>
          <cell r="LZ2328">
            <v>14.730476692982464</v>
          </cell>
          <cell r="MA2328">
            <v>11.870949885755934</v>
          </cell>
          <cell r="MB2328">
            <v>9.6544719773798295</v>
          </cell>
          <cell r="MC2328">
            <v>14.087427794132038</v>
          </cell>
        </row>
        <row r="2329">
          <cell r="A2329">
            <v>42787</v>
          </cell>
          <cell r="LJ2329">
            <v>21.189265772149888</v>
          </cell>
          <cell r="LK2329">
            <v>20.020152274152959</v>
          </cell>
          <cell r="LL2329">
            <v>17.982747259685677</v>
          </cell>
          <cell r="LM2329">
            <v>15.721193701553757</v>
          </cell>
          <cell r="LN2329">
            <v>20.244300817817596</v>
          </cell>
          <cell r="LY2329">
            <v>16.342183531597147</v>
          </cell>
          <cell r="LZ2329">
            <v>14.730476692982464</v>
          </cell>
          <cell r="MA2329">
            <v>11.870949885755934</v>
          </cell>
          <cell r="MB2329">
            <v>9.6544719773798295</v>
          </cell>
          <cell r="MC2329">
            <v>14.087427794132038</v>
          </cell>
        </row>
        <row r="2330">
          <cell r="A2330">
            <v>42788</v>
          </cell>
          <cell r="LJ2330">
            <v>21.201767813986709</v>
          </cell>
          <cell r="LK2330">
            <v>20.020152274152959</v>
          </cell>
          <cell r="LL2330">
            <v>17.982747259685677</v>
          </cell>
          <cell r="LM2330">
            <v>15.721193701553757</v>
          </cell>
          <cell r="LN2330">
            <v>20.244300817817596</v>
          </cell>
          <cell r="LY2330">
            <v>16.381502854208271</v>
          </cell>
          <cell r="LZ2330">
            <v>14.730476692982464</v>
          </cell>
          <cell r="MA2330">
            <v>11.870949885755934</v>
          </cell>
          <cell r="MB2330">
            <v>9.6544719773798295</v>
          </cell>
          <cell r="MC2330">
            <v>14.087427794132038</v>
          </cell>
        </row>
        <row r="2331">
          <cell r="A2331">
            <v>42789</v>
          </cell>
          <cell r="LJ2331">
            <v>21.284274939580516</v>
          </cell>
          <cell r="LK2331">
            <v>20.020152274152959</v>
          </cell>
          <cell r="LL2331">
            <v>17.982747259685677</v>
          </cell>
          <cell r="LM2331">
            <v>15.721193701553757</v>
          </cell>
          <cell r="LN2331">
            <v>20.244300817817596</v>
          </cell>
          <cell r="LY2331">
            <v>16.381502854208271</v>
          </cell>
          <cell r="LZ2331">
            <v>14.730476692982464</v>
          </cell>
          <cell r="MA2331">
            <v>11.870949885755934</v>
          </cell>
          <cell r="MB2331">
            <v>9.6544719773798295</v>
          </cell>
          <cell r="MC2331">
            <v>14.087427794132038</v>
          </cell>
        </row>
        <row r="2332">
          <cell r="A2332">
            <v>42790</v>
          </cell>
          <cell r="LJ2332">
            <v>21.509245877063712</v>
          </cell>
          <cell r="LK2332">
            <v>20.020152274152959</v>
          </cell>
          <cell r="LL2332">
            <v>17.982747259685677</v>
          </cell>
          <cell r="LM2332">
            <v>15.721193701553757</v>
          </cell>
          <cell r="LN2332">
            <v>20.244300817817596</v>
          </cell>
          <cell r="LY2332">
            <v>16.588671328823018</v>
          </cell>
          <cell r="LZ2332">
            <v>14.730476692982464</v>
          </cell>
          <cell r="MA2332">
            <v>11.870949885755934</v>
          </cell>
          <cell r="MB2332">
            <v>9.6544719773798295</v>
          </cell>
          <cell r="MC2332">
            <v>14.087427794132038</v>
          </cell>
        </row>
        <row r="2333">
          <cell r="A2333">
            <v>42793</v>
          </cell>
          <cell r="LJ2333">
            <v>21.521740379812339</v>
          </cell>
          <cell r="LK2333">
            <v>20.020152274152959</v>
          </cell>
          <cell r="LL2333">
            <v>17.982747259685677</v>
          </cell>
          <cell r="LM2333">
            <v>15.721193701553757</v>
          </cell>
          <cell r="LN2333">
            <v>20.244300817817596</v>
          </cell>
          <cell r="LY2333">
            <v>16.596764345559112</v>
          </cell>
          <cell r="LZ2333">
            <v>14.730476692982464</v>
          </cell>
          <cell r="MA2333">
            <v>11.870949885755934</v>
          </cell>
          <cell r="MB2333">
            <v>9.6544719773798295</v>
          </cell>
          <cell r="MC2333">
            <v>14.087427794132038</v>
          </cell>
        </row>
        <row r="2334">
          <cell r="A2334">
            <v>42794</v>
          </cell>
          <cell r="LJ2334">
            <v>21.376812593705381</v>
          </cell>
          <cell r="LK2334">
            <v>20.020152274152959</v>
          </cell>
          <cell r="LL2334">
            <v>17.982747259685677</v>
          </cell>
          <cell r="LM2334">
            <v>15.721193701553757</v>
          </cell>
          <cell r="LN2334">
            <v>20.244300817817596</v>
          </cell>
          <cell r="LY2334">
            <v>16.502890821971551</v>
          </cell>
          <cell r="LZ2334">
            <v>14.730476692982464</v>
          </cell>
          <cell r="MA2334">
            <v>11.870949885755934</v>
          </cell>
          <cell r="MB2334">
            <v>9.6544719773798295</v>
          </cell>
          <cell r="MC2334">
            <v>14.087427794132038</v>
          </cell>
        </row>
        <row r="2335">
          <cell r="A2335">
            <v>42795</v>
          </cell>
          <cell r="LJ2335">
            <v>21.649918124302197</v>
          </cell>
          <cell r="LK2335">
            <v>20.020152274152959</v>
          </cell>
          <cell r="LL2335">
            <v>17.982747259685677</v>
          </cell>
          <cell r="LM2335">
            <v>15.721193701553757</v>
          </cell>
          <cell r="LN2335">
            <v>20.244300817817596</v>
          </cell>
          <cell r="LY2335">
            <v>16.66599286792113</v>
          </cell>
          <cell r="LZ2335">
            <v>14.730476692982464</v>
          </cell>
          <cell r="MA2335">
            <v>11.870949885755934</v>
          </cell>
          <cell r="MB2335">
            <v>9.6544719773798295</v>
          </cell>
          <cell r="MC2335">
            <v>14.087427794132038</v>
          </cell>
        </row>
        <row r="2336">
          <cell r="A2336">
            <v>42796</v>
          </cell>
          <cell r="LJ2336">
            <v>21.491129140305173</v>
          </cell>
          <cell r="LK2336">
            <v>20.020152274152959</v>
          </cell>
          <cell r="LL2336">
            <v>17.982747259685677</v>
          </cell>
          <cell r="LM2336">
            <v>15.721193701553757</v>
          </cell>
          <cell r="LN2336">
            <v>20.244300817817596</v>
          </cell>
          <cell r="LY2336">
            <v>16.66599286792113</v>
          </cell>
          <cell r="LZ2336">
            <v>14.730476692982464</v>
          </cell>
          <cell r="MA2336">
            <v>11.870949885755934</v>
          </cell>
          <cell r="MB2336">
            <v>9.6544719773798295</v>
          </cell>
          <cell r="MC2336">
            <v>14.087427794132038</v>
          </cell>
        </row>
        <row r="2337">
          <cell r="A2337">
            <v>42797</v>
          </cell>
          <cell r="LJ2337">
            <v>21.536554101816822</v>
          </cell>
          <cell r="LK2337">
            <v>20.020152274152959</v>
          </cell>
          <cell r="LL2337">
            <v>17.982747259685677</v>
          </cell>
          <cell r="LM2337">
            <v>15.721193701553757</v>
          </cell>
          <cell r="LN2337">
            <v>20.244300817817596</v>
          </cell>
          <cell r="LY2337">
            <v>16.60748068928757</v>
          </cell>
          <cell r="LZ2337">
            <v>14.730476692982464</v>
          </cell>
          <cell r="MA2337">
            <v>11.870949885755934</v>
          </cell>
          <cell r="MB2337">
            <v>9.6544719773798295</v>
          </cell>
          <cell r="MC2337">
            <v>14.087427794132038</v>
          </cell>
        </row>
        <row r="2338">
          <cell r="A2338">
            <v>42800</v>
          </cell>
          <cell r="LJ2338">
            <v>21.353009735226635</v>
          </cell>
          <cell r="LK2338">
            <v>20.020152274152959</v>
          </cell>
          <cell r="LL2338">
            <v>17.982747259685677</v>
          </cell>
          <cell r="LM2338">
            <v>15.721193701553757</v>
          </cell>
          <cell r="LN2338">
            <v>20.244300817817596</v>
          </cell>
          <cell r="LY2338">
            <v>16.488445656328199</v>
          </cell>
          <cell r="LZ2338">
            <v>14.730476692982464</v>
          </cell>
          <cell r="MA2338">
            <v>11.870949885755934</v>
          </cell>
          <cell r="MB2338">
            <v>9.6544719773798295</v>
          </cell>
          <cell r="MC2338">
            <v>14.087427794132038</v>
          </cell>
        </row>
        <row r="2339">
          <cell r="A2339">
            <v>42801</v>
          </cell>
          <cell r="LJ2339">
            <v>21.348051838531653</v>
          </cell>
          <cell r="LK2339">
            <v>20.020152274152959</v>
          </cell>
          <cell r="LL2339">
            <v>17.982747259685677</v>
          </cell>
          <cell r="LM2339">
            <v>15.721193701553757</v>
          </cell>
          <cell r="LN2339">
            <v>20.244300817817596</v>
          </cell>
          <cell r="LY2339">
            <v>16.485230284440412</v>
          </cell>
          <cell r="LZ2339">
            <v>14.730476692982464</v>
          </cell>
          <cell r="MA2339">
            <v>11.870949885755934</v>
          </cell>
          <cell r="MB2339">
            <v>9.6544719773798295</v>
          </cell>
          <cell r="MC2339">
            <v>14.087427794132038</v>
          </cell>
        </row>
        <row r="2340">
          <cell r="A2340">
            <v>42802</v>
          </cell>
          <cell r="LJ2340">
            <v>21.484466050722389</v>
          </cell>
          <cell r="LK2340">
            <v>20.020152274152959</v>
          </cell>
          <cell r="LL2340">
            <v>17.982747259685677</v>
          </cell>
          <cell r="LM2340">
            <v>15.721193701553757</v>
          </cell>
          <cell r="LN2340">
            <v>20.244300817817596</v>
          </cell>
          <cell r="LY2340">
            <v>16.573699740332273</v>
          </cell>
          <cell r="LZ2340">
            <v>14.730476692982464</v>
          </cell>
          <cell r="MA2340">
            <v>11.870949885755934</v>
          </cell>
          <cell r="MB2340">
            <v>9.6544719773798295</v>
          </cell>
          <cell r="MC2340">
            <v>14.087427794132038</v>
          </cell>
        </row>
        <row r="2341">
          <cell r="A2341">
            <v>42803</v>
          </cell>
          <cell r="LJ2341">
            <v>21.655608110621934</v>
          </cell>
          <cell r="LK2341">
            <v>20.020152274152959</v>
          </cell>
          <cell r="LL2341">
            <v>17.982747259685677</v>
          </cell>
          <cell r="LM2341">
            <v>15.721193701553757</v>
          </cell>
          <cell r="LN2341">
            <v>20.244300817817596</v>
          </cell>
          <cell r="LY2341">
            <v>16.573708392672369</v>
          </cell>
          <cell r="LZ2341">
            <v>14.730476692982464</v>
          </cell>
          <cell r="MA2341">
            <v>11.870949885755934</v>
          </cell>
          <cell r="MB2341">
            <v>9.6544719773798295</v>
          </cell>
          <cell r="MC2341">
            <v>14.087427794132038</v>
          </cell>
        </row>
        <row r="2342">
          <cell r="A2342">
            <v>42804</v>
          </cell>
          <cell r="LJ2342">
            <v>21.766317143145908</v>
          </cell>
          <cell r="LK2342">
            <v>20.020152274152959</v>
          </cell>
          <cell r="LL2342">
            <v>17.982747259685677</v>
          </cell>
          <cell r="LM2342">
            <v>15.721193701553757</v>
          </cell>
          <cell r="LN2342">
            <v>20.244300817817596</v>
          </cell>
          <cell r="LY2342">
            <v>16.747660259708152</v>
          </cell>
          <cell r="LZ2342">
            <v>14.730476692982464</v>
          </cell>
          <cell r="MA2342">
            <v>11.870949885755934</v>
          </cell>
          <cell r="MB2342">
            <v>9.6544719773798295</v>
          </cell>
          <cell r="MC2342">
            <v>14.087427794132038</v>
          </cell>
        </row>
        <row r="2343">
          <cell r="A2343">
            <v>42807</v>
          </cell>
          <cell r="LJ2343">
            <v>21.70183293680984</v>
          </cell>
          <cell r="LK2343">
            <v>20.020152274152959</v>
          </cell>
          <cell r="LL2343">
            <v>17.982747259685677</v>
          </cell>
          <cell r="LM2343">
            <v>15.721193701553757</v>
          </cell>
          <cell r="LN2343">
            <v>20.244300817817596</v>
          </cell>
          <cell r="LY2343">
            <v>16.705861728123089</v>
          </cell>
          <cell r="LZ2343">
            <v>14.730476692982464</v>
          </cell>
          <cell r="MA2343">
            <v>11.870949885755934</v>
          </cell>
          <cell r="MB2343">
            <v>9.6544719773798295</v>
          </cell>
          <cell r="MC2343">
            <v>14.087427794132038</v>
          </cell>
        </row>
        <row r="2344">
          <cell r="A2344">
            <v>42808</v>
          </cell>
          <cell r="LJ2344">
            <v>21.543099778207264</v>
          </cell>
          <cell r="LK2344">
            <v>20.020152274152959</v>
          </cell>
          <cell r="LL2344">
            <v>17.982747259685677</v>
          </cell>
          <cell r="LM2344">
            <v>15.721193701553757</v>
          </cell>
          <cell r="LN2344">
            <v>20.244300817817596</v>
          </cell>
          <cell r="LY2344">
            <v>16.602971217090538</v>
          </cell>
          <cell r="LZ2344">
            <v>14.730476692982464</v>
          </cell>
          <cell r="MA2344">
            <v>11.870949885755934</v>
          </cell>
          <cell r="MB2344">
            <v>9.6544719773798295</v>
          </cell>
          <cell r="MC2344">
            <v>14.087427794132038</v>
          </cell>
        </row>
        <row r="2345">
          <cell r="A2345">
            <v>42809</v>
          </cell>
          <cell r="LJ2345">
            <v>21.702022577843938</v>
          </cell>
          <cell r="LK2345">
            <v>20.020152274152959</v>
          </cell>
          <cell r="LL2345">
            <v>17.982747259685677</v>
          </cell>
          <cell r="LM2345">
            <v>15.721193701553757</v>
          </cell>
          <cell r="LN2345">
            <v>20.244300817817596</v>
          </cell>
          <cell r="LY2345">
            <v>16.6903626203821</v>
          </cell>
          <cell r="LZ2345">
            <v>14.730476692982464</v>
          </cell>
          <cell r="MA2345">
            <v>11.870949885755934</v>
          </cell>
          <cell r="MB2345">
            <v>9.6544719773798295</v>
          </cell>
          <cell r="MC2345">
            <v>14.087427794132038</v>
          </cell>
        </row>
        <row r="2346">
          <cell r="A2346">
            <v>42810</v>
          </cell>
          <cell r="LJ2346">
            <v>21.436544845552664</v>
          </cell>
          <cell r="LK2346">
            <v>20.020152274152959</v>
          </cell>
          <cell r="LL2346">
            <v>17.982747259685677</v>
          </cell>
          <cell r="LM2346">
            <v>15.721193701553757</v>
          </cell>
          <cell r="LN2346">
            <v>20.244300817817596</v>
          </cell>
          <cell r="LY2346">
            <v>16.6903626203821</v>
          </cell>
          <cell r="LZ2346">
            <v>14.730476692982464</v>
          </cell>
          <cell r="MA2346">
            <v>11.870949885755934</v>
          </cell>
          <cell r="MB2346">
            <v>9.6544719773798295</v>
          </cell>
          <cell r="MC2346">
            <v>14.087427794132038</v>
          </cell>
        </row>
        <row r="2347">
          <cell r="A2347">
            <v>42811</v>
          </cell>
          <cell r="LJ2347">
            <v>21.50353529338792</v>
          </cell>
          <cell r="LK2347">
            <v>20.020152274152959</v>
          </cell>
          <cell r="LL2347">
            <v>17.982747259685677</v>
          </cell>
          <cell r="LM2347">
            <v>15.721193701553757</v>
          </cell>
          <cell r="LN2347">
            <v>20.244300817817596</v>
          </cell>
          <cell r="LY2347">
            <v>16.561831016950691</v>
          </cell>
          <cell r="LZ2347">
            <v>14.730476692982464</v>
          </cell>
          <cell r="MA2347">
            <v>11.870949885755934</v>
          </cell>
          <cell r="MB2347">
            <v>9.6544719773798295</v>
          </cell>
          <cell r="MC2347">
            <v>14.087427794132038</v>
          </cell>
        </row>
        <row r="2348">
          <cell r="A2348">
            <v>42814</v>
          </cell>
          <cell r="LJ2348">
            <v>21.453914402679565</v>
          </cell>
          <cell r="LK2348">
            <v>20.020152274152959</v>
          </cell>
          <cell r="LL2348">
            <v>17.982747259685677</v>
          </cell>
          <cell r="LM2348">
            <v>15.721193701553757</v>
          </cell>
          <cell r="LN2348">
            <v>20.244300817817596</v>
          </cell>
          <cell r="LY2348">
            <v>16.529698718582466</v>
          </cell>
          <cell r="LZ2348">
            <v>14.730476692982464</v>
          </cell>
          <cell r="MA2348">
            <v>11.870949885755934</v>
          </cell>
          <cell r="MB2348">
            <v>9.6544719773798295</v>
          </cell>
          <cell r="MC2348">
            <v>14.087427794132038</v>
          </cell>
        </row>
        <row r="2349">
          <cell r="A2349">
            <v>42815</v>
          </cell>
          <cell r="LJ2349">
            <v>21.406773105073814</v>
          </cell>
          <cell r="LK2349">
            <v>20.020152274152959</v>
          </cell>
          <cell r="LL2349">
            <v>17.982747259685677</v>
          </cell>
          <cell r="LM2349">
            <v>15.721193701553757</v>
          </cell>
          <cell r="LN2349">
            <v>20.244300817817596</v>
          </cell>
          <cell r="LY2349">
            <v>16.499172095248831</v>
          </cell>
          <cell r="LZ2349">
            <v>14.730476692982464</v>
          </cell>
          <cell r="MA2349">
            <v>11.870949885755934</v>
          </cell>
          <cell r="MB2349">
            <v>9.6544719773798295</v>
          </cell>
          <cell r="MC2349">
            <v>14.087427794132038</v>
          </cell>
        </row>
        <row r="2350">
          <cell r="A2350">
            <v>42816</v>
          </cell>
          <cell r="LJ2350">
            <v>21.416699665053965</v>
          </cell>
          <cell r="LK2350">
            <v>20.020152274152959</v>
          </cell>
          <cell r="LL2350">
            <v>17.982747259685677</v>
          </cell>
          <cell r="LM2350">
            <v>15.721193701553757</v>
          </cell>
          <cell r="LN2350">
            <v>20.244300817817596</v>
          </cell>
          <cell r="LY2350">
            <v>16.505600097295936</v>
          </cell>
          <cell r="LZ2350">
            <v>14.730476692982464</v>
          </cell>
          <cell r="MA2350">
            <v>11.870949885755934</v>
          </cell>
          <cell r="MB2350">
            <v>9.6544719773798295</v>
          </cell>
          <cell r="MC2350">
            <v>14.087427794132038</v>
          </cell>
        </row>
        <row r="2351">
          <cell r="A2351">
            <v>42817</v>
          </cell>
          <cell r="LJ2351">
            <v>21.411736509117976</v>
          </cell>
          <cell r="LK2351">
            <v>20.020152274152959</v>
          </cell>
          <cell r="LL2351">
            <v>17.982747259685677</v>
          </cell>
          <cell r="LM2351">
            <v>15.721193701553757</v>
          </cell>
          <cell r="LN2351">
            <v>20.244300817817596</v>
          </cell>
          <cell r="LY2351">
            <v>16.505600097295936</v>
          </cell>
          <cell r="LZ2351">
            <v>14.730476692982464</v>
          </cell>
          <cell r="MA2351">
            <v>11.870949885755934</v>
          </cell>
          <cell r="MB2351">
            <v>9.6544719773798295</v>
          </cell>
          <cell r="MC2351">
            <v>14.087427794132038</v>
          </cell>
        </row>
        <row r="2352">
          <cell r="A2352">
            <v>42818</v>
          </cell>
          <cell r="LJ2352">
            <v>21.335812713178296</v>
          </cell>
          <cell r="LK2352">
            <v>20.020152274152959</v>
          </cell>
          <cell r="LL2352">
            <v>17.982747259685677</v>
          </cell>
          <cell r="LM2352">
            <v>15.721193701553757</v>
          </cell>
          <cell r="LN2352">
            <v>20.244300817817596</v>
          </cell>
          <cell r="LY2352">
            <v>16.449911915301502</v>
          </cell>
          <cell r="LZ2352">
            <v>14.730476692982464</v>
          </cell>
          <cell r="MA2352">
            <v>11.870949885755934</v>
          </cell>
          <cell r="MB2352">
            <v>9.6544719773798295</v>
          </cell>
          <cell r="MC2352">
            <v>14.087427794132038</v>
          </cell>
        </row>
        <row r="2353">
          <cell r="A2353">
            <v>42821</v>
          </cell>
          <cell r="LJ2353">
            <v>21.343254325581395</v>
          </cell>
          <cell r="LK2353">
            <v>20.020152274152959</v>
          </cell>
          <cell r="LL2353">
            <v>17.982747259685677</v>
          </cell>
          <cell r="LM2353">
            <v>15.721193701553757</v>
          </cell>
          <cell r="LN2353">
            <v>20.244300817817596</v>
          </cell>
          <cell r="LY2353">
            <v>16.454729949408325</v>
          </cell>
          <cell r="LZ2353">
            <v>14.730476692982464</v>
          </cell>
          <cell r="MA2353">
            <v>11.870949885755934</v>
          </cell>
          <cell r="MB2353">
            <v>9.6544719773798295</v>
          </cell>
          <cell r="MC2353">
            <v>14.087427794132038</v>
          </cell>
        </row>
        <row r="2354">
          <cell r="A2354">
            <v>42822</v>
          </cell>
          <cell r="LJ2354">
            <v>21.306046511627908</v>
          </cell>
          <cell r="LK2354">
            <v>20.020152274152959</v>
          </cell>
          <cell r="LL2354">
            <v>17.982747259685677</v>
          </cell>
          <cell r="LM2354">
            <v>15.721193701553757</v>
          </cell>
          <cell r="LN2354">
            <v>20.244300817817596</v>
          </cell>
          <cell r="LY2354">
            <v>16.430639939480685</v>
          </cell>
          <cell r="LZ2354">
            <v>14.730476692982464</v>
          </cell>
          <cell r="MA2354">
            <v>11.870949885755934</v>
          </cell>
          <cell r="MB2354">
            <v>9.6544719773798295</v>
          </cell>
          <cell r="MC2354">
            <v>14.087427794132038</v>
          </cell>
        </row>
        <row r="2355">
          <cell r="A2355">
            <v>42823</v>
          </cell>
          <cell r="LJ2355">
            <v>21.2390687751938</v>
          </cell>
          <cell r="LK2355">
            <v>20.020152274152959</v>
          </cell>
          <cell r="LL2355">
            <v>17.982747259685677</v>
          </cell>
          <cell r="LM2355">
            <v>15.721193701553757</v>
          </cell>
          <cell r="LN2355">
            <v>20.244300817817596</v>
          </cell>
          <cell r="LY2355">
            <v>16.387275544634871</v>
          </cell>
          <cell r="LZ2355">
            <v>14.730476692982464</v>
          </cell>
          <cell r="MA2355">
            <v>11.870949885755934</v>
          </cell>
          <cell r="MB2355">
            <v>9.6544719773798295</v>
          </cell>
          <cell r="MC2355">
            <v>14.087427794132038</v>
          </cell>
        </row>
        <row r="2356">
          <cell r="A2356">
            <v>42824</v>
          </cell>
          <cell r="LJ2356">
            <v>21.263876465116276</v>
          </cell>
          <cell r="LK2356">
            <v>20.020152274152959</v>
          </cell>
          <cell r="LL2356">
            <v>17.982747259685677</v>
          </cell>
          <cell r="LM2356">
            <v>15.721193701553757</v>
          </cell>
          <cell r="LN2356">
            <v>20.244300817817596</v>
          </cell>
          <cell r="LY2356">
            <v>16.403337157318205</v>
          </cell>
          <cell r="LZ2356">
            <v>14.730476692982464</v>
          </cell>
          <cell r="MA2356">
            <v>11.870949885755934</v>
          </cell>
          <cell r="MB2356">
            <v>9.6544719773798295</v>
          </cell>
          <cell r="MC2356">
            <v>14.087427794132038</v>
          </cell>
        </row>
        <row r="2357">
          <cell r="A2357">
            <v>42825</v>
          </cell>
          <cell r="LJ2357">
            <v>21.218046627358831</v>
          </cell>
          <cell r="LK2357">
            <v>20.020152274152959</v>
          </cell>
          <cell r="LL2357">
            <v>17.982747259685677</v>
          </cell>
          <cell r="LM2357">
            <v>15.721193701553757</v>
          </cell>
          <cell r="LN2357">
            <v>20.244300817817596</v>
          </cell>
          <cell r="LY2357">
            <v>16.387414724133365</v>
          </cell>
          <cell r="LZ2357">
            <v>14.730476692982464</v>
          </cell>
          <cell r="MA2357">
            <v>11.870949885755934</v>
          </cell>
          <cell r="MB2357">
            <v>9.6544719773798295</v>
          </cell>
          <cell r="MC2357">
            <v>14.087427794132038</v>
          </cell>
        </row>
        <row r="2358">
          <cell r="A2358">
            <v>42828</v>
          </cell>
          <cell r="LJ2358">
            <v>21.053563934073019</v>
          </cell>
          <cell r="LK2358">
            <v>20.020152274152959</v>
          </cell>
          <cell r="LL2358">
            <v>17.982747259685677</v>
          </cell>
          <cell r="LM2358">
            <v>15.721193701553757</v>
          </cell>
          <cell r="LN2358">
            <v>20.244300817817596</v>
          </cell>
          <cell r="LY2358">
            <v>16.267549424586484</v>
          </cell>
          <cell r="LZ2358">
            <v>14.730476692982464</v>
          </cell>
          <cell r="MA2358">
            <v>11.870949885755934</v>
          </cell>
          <cell r="MB2358">
            <v>9.6544719773798295</v>
          </cell>
          <cell r="MC2358">
            <v>14.087427794132038</v>
          </cell>
        </row>
        <row r="2359">
          <cell r="A2359">
            <v>42829</v>
          </cell>
          <cell r="LJ2359">
            <v>20.959255180823899</v>
          </cell>
          <cell r="LK2359">
            <v>20.020152274152959</v>
          </cell>
          <cell r="LL2359">
            <v>17.982747259685677</v>
          </cell>
          <cell r="LM2359">
            <v>15.721193701553757</v>
          </cell>
          <cell r="LN2359">
            <v>20.244300817817596</v>
          </cell>
          <cell r="LY2359">
            <v>16.234018175394283</v>
          </cell>
          <cell r="LZ2359">
            <v>14.730476692982464</v>
          </cell>
          <cell r="MA2359">
            <v>11.870949885755934</v>
          </cell>
          <cell r="MB2359">
            <v>9.6544719773798295</v>
          </cell>
          <cell r="MC2359">
            <v>14.087427794132038</v>
          </cell>
        </row>
        <row r="2360">
          <cell r="A2360">
            <v>42830</v>
          </cell>
          <cell r="LJ2360">
            <v>21.073987456021186</v>
          </cell>
          <cell r="LK2360">
            <v>20.020152274152959</v>
          </cell>
          <cell r="LL2360">
            <v>17.982747259685677</v>
          </cell>
          <cell r="LM2360">
            <v>15.721193701553757</v>
          </cell>
          <cell r="LN2360">
            <v>20.244300817817596</v>
          </cell>
          <cell r="LY2360">
            <v>16.338229407440355</v>
          </cell>
          <cell r="LZ2360">
            <v>14.730476692982464</v>
          </cell>
          <cell r="MA2360">
            <v>11.870949885755934</v>
          </cell>
          <cell r="MB2360">
            <v>9.6544719773798295</v>
          </cell>
          <cell r="MC2360">
            <v>14.087427794132038</v>
          </cell>
        </row>
        <row r="2361">
          <cell r="A2361">
            <v>42831</v>
          </cell>
          <cell r="LJ2361">
            <v>21.1624407035658</v>
          </cell>
          <cell r="LK2361">
            <v>20.020152274152959</v>
          </cell>
          <cell r="LL2361">
            <v>17.982747259685677</v>
          </cell>
          <cell r="LM2361">
            <v>15.721193701553757</v>
          </cell>
          <cell r="LN2361">
            <v>20.244300817817596</v>
          </cell>
          <cell r="LY2361">
            <v>16.39579988960211</v>
          </cell>
          <cell r="LZ2361">
            <v>14.730476692982464</v>
          </cell>
          <cell r="MA2361">
            <v>11.870949885755934</v>
          </cell>
          <cell r="MB2361">
            <v>9.6544719773798295</v>
          </cell>
          <cell r="MC2361">
            <v>14.087427794132038</v>
          </cell>
        </row>
        <row r="2362">
          <cell r="A2362">
            <v>42832</v>
          </cell>
          <cell r="LJ2362">
            <v>21.147699232752093</v>
          </cell>
          <cell r="LK2362">
            <v>20.020152274152959</v>
          </cell>
          <cell r="LL2362">
            <v>17.982747259685677</v>
          </cell>
          <cell r="LM2362">
            <v>15.721193701553757</v>
          </cell>
          <cell r="LN2362">
            <v>20.244300817817596</v>
          </cell>
          <cell r="LY2362">
            <v>16.386205288995832</v>
          </cell>
          <cell r="LZ2362">
            <v>14.730476692982464</v>
          </cell>
          <cell r="MA2362">
            <v>11.870949885755934</v>
          </cell>
          <cell r="MB2362">
            <v>9.6544719773798295</v>
          </cell>
          <cell r="MC2362">
            <v>14.087427794132038</v>
          </cell>
        </row>
        <row r="2363">
          <cell r="A2363">
            <v>42835</v>
          </cell>
          <cell r="LJ2363">
            <v>21.150319551336651</v>
          </cell>
          <cell r="LK2363">
            <v>20.020152274152959</v>
          </cell>
          <cell r="LL2363">
            <v>17.982747259685677</v>
          </cell>
          <cell r="LM2363">
            <v>15.721193701553757</v>
          </cell>
          <cell r="LN2363">
            <v>20.244300817817596</v>
          </cell>
          <cell r="LY2363">
            <v>16.392613480636108</v>
          </cell>
          <cell r="LZ2363">
            <v>14.730476692982464</v>
          </cell>
          <cell r="MA2363">
            <v>11.870949885755934</v>
          </cell>
          <cell r="MB2363">
            <v>9.6544719773798295</v>
          </cell>
          <cell r="MC2363">
            <v>14.087427794132038</v>
          </cell>
        </row>
        <row r="2364">
          <cell r="A2364">
            <v>42836</v>
          </cell>
          <cell r="LJ2364">
            <v>21.174883003113305</v>
          </cell>
          <cell r="LK2364">
            <v>20.020152274152959</v>
          </cell>
          <cell r="LL2364">
            <v>17.982747259685677</v>
          </cell>
          <cell r="LM2364">
            <v>15.721193701553757</v>
          </cell>
          <cell r="LN2364">
            <v>20.244300817817596</v>
          </cell>
          <cell r="LY2364">
            <v>16.392613480636108</v>
          </cell>
          <cell r="LZ2364">
            <v>14.730476692982464</v>
          </cell>
          <cell r="MA2364">
            <v>11.870949885755934</v>
          </cell>
          <cell r="MB2364">
            <v>9.6544719773798295</v>
          </cell>
          <cell r="MC2364">
            <v>14.087427794132038</v>
          </cell>
        </row>
        <row r="2365">
          <cell r="A2365">
            <v>42837</v>
          </cell>
          <cell r="LJ2365">
            <v>21.061413362066837</v>
          </cell>
          <cell r="LK2365">
            <v>20.020152274152959</v>
          </cell>
          <cell r="LL2365">
            <v>17.982747259685677</v>
          </cell>
          <cell r="LM2365">
            <v>15.721193701553757</v>
          </cell>
          <cell r="LN2365">
            <v>20.244300817817596</v>
          </cell>
          <cell r="LY2365">
            <v>16.335030247730231</v>
          </cell>
          <cell r="LZ2365">
            <v>14.730476692982464</v>
          </cell>
          <cell r="MA2365">
            <v>11.870949885755934</v>
          </cell>
          <cell r="MB2365">
            <v>9.6544719773798295</v>
          </cell>
          <cell r="MC2365">
            <v>14.087427794132038</v>
          </cell>
        </row>
        <row r="2366">
          <cell r="A2366">
            <v>42838</v>
          </cell>
          <cell r="LJ2366">
            <v>21.059195292248159</v>
          </cell>
          <cell r="LK2366">
            <v>20.020152274152959</v>
          </cell>
          <cell r="LL2366">
            <v>17.982747259685677</v>
          </cell>
          <cell r="LM2366">
            <v>15.721193701553757</v>
          </cell>
          <cell r="LN2366">
            <v>20.244300817817596</v>
          </cell>
          <cell r="LY2366">
            <v>16.351972771673278</v>
          </cell>
          <cell r="LZ2366">
            <v>14.730476692982464</v>
          </cell>
          <cell r="MA2366">
            <v>11.870949885755934</v>
          </cell>
          <cell r="MB2366">
            <v>9.6544719773798295</v>
          </cell>
          <cell r="MC2366">
            <v>14.087427794132038</v>
          </cell>
        </row>
        <row r="2367">
          <cell r="A2367">
            <v>42839</v>
          </cell>
          <cell r="LJ2367">
            <v>21.059195292248159</v>
          </cell>
          <cell r="LK2367">
            <v>20.020152274152959</v>
          </cell>
          <cell r="LL2367">
            <v>17.982747259685677</v>
          </cell>
          <cell r="LM2367">
            <v>15.721193701553757</v>
          </cell>
          <cell r="LN2367">
            <v>20.244300817817596</v>
          </cell>
          <cell r="LY2367">
            <v>16.351972771673278</v>
          </cell>
          <cell r="LZ2367">
            <v>14.730476692982464</v>
          </cell>
          <cell r="MA2367">
            <v>11.870949885755934</v>
          </cell>
          <cell r="MB2367">
            <v>9.6544719773798295</v>
          </cell>
          <cell r="MC2367">
            <v>14.087427794132038</v>
          </cell>
        </row>
        <row r="2368">
          <cell r="A2368">
            <v>42842</v>
          </cell>
          <cell r="LJ2368">
            <v>21.282165937080226</v>
          </cell>
          <cell r="LK2368">
            <v>20.020152274152959</v>
          </cell>
          <cell r="LL2368">
            <v>17.982747259685677</v>
          </cell>
          <cell r="LM2368">
            <v>15.721193701553757</v>
          </cell>
          <cell r="LN2368">
            <v>20.244300817817596</v>
          </cell>
          <cell r="LY2368">
            <v>16.515912938391004</v>
          </cell>
          <cell r="LZ2368">
            <v>14.730476692982464</v>
          </cell>
          <cell r="MA2368">
            <v>11.870949885755934</v>
          </cell>
          <cell r="MB2368">
            <v>9.6544719773798295</v>
          </cell>
          <cell r="MC2368">
            <v>14.087427794132038</v>
          </cell>
        </row>
        <row r="2369">
          <cell r="A2369">
            <v>42843</v>
          </cell>
          <cell r="LJ2369">
            <v>21.242890152602047</v>
          </cell>
          <cell r="LK2369">
            <v>20.020152274152959</v>
          </cell>
          <cell r="LL2369">
            <v>17.982747259685677</v>
          </cell>
          <cell r="LM2369">
            <v>15.721193701553757</v>
          </cell>
          <cell r="LN2369">
            <v>20.244300817817596</v>
          </cell>
          <cell r="LY2369">
            <v>16.490280630786376</v>
          </cell>
          <cell r="LZ2369">
            <v>14.730476692982464</v>
          </cell>
          <cell r="MA2369">
            <v>11.870949885755934</v>
          </cell>
          <cell r="MB2369">
            <v>9.6544719773798295</v>
          </cell>
          <cell r="MC2369">
            <v>14.087427794132038</v>
          </cell>
        </row>
        <row r="2370">
          <cell r="A2370">
            <v>42844</v>
          </cell>
          <cell r="LJ2370">
            <v>21.218345456779112</v>
          </cell>
          <cell r="LK2370">
            <v>20.020152274152959</v>
          </cell>
          <cell r="LL2370">
            <v>17.982747259685677</v>
          </cell>
          <cell r="LM2370">
            <v>15.721193701553757</v>
          </cell>
          <cell r="LN2370">
            <v>20.244300817817596</v>
          </cell>
          <cell r="LY2370">
            <v>16.474262180696734</v>
          </cell>
          <cell r="LZ2370">
            <v>14.730476692982464</v>
          </cell>
          <cell r="MA2370">
            <v>11.870949885755934</v>
          </cell>
          <cell r="MB2370">
            <v>9.6544719773798295</v>
          </cell>
          <cell r="MC2370">
            <v>14.087427794132038</v>
          </cell>
        </row>
        <row r="2371">
          <cell r="A2371">
            <v>42845</v>
          </cell>
          <cell r="LJ2371">
            <v>20.454881961012163</v>
          </cell>
          <cell r="LK2371">
            <v>20.020152274152959</v>
          </cell>
          <cell r="LL2371">
            <v>17.982747259685677</v>
          </cell>
          <cell r="LM2371">
            <v>15.721193701553757</v>
          </cell>
          <cell r="LN2371">
            <v>20.244300817817596</v>
          </cell>
          <cell r="LY2371">
            <v>15.918500605241459</v>
          </cell>
          <cell r="LZ2371">
            <v>14.730476692982464</v>
          </cell>
          <cell r="MA2371">
            <v>11.870949885755934</v>
          </cell>
          <cell r="MB2371">
            <v>9.6544719773798295</v>
          </cell>
          <cell r="MC2371">
            <v>14.087427794132038</v>
          </cell>
        </row>
        <row r="2372">
          <cell r="A2372">
            <v>42846</v>
          </cell>
          <cell r="LJ2372">
            <v>20.204517453292979</v>
          </cell>
          <cell r="LK2372">
            <v>20.020152274152959</v>
          </cell>
          <cell r="LL2372">
            <v>17.982747259685677</v>
          </cell>
          <cell r="LM2372">
            <v>15.721193701553757</v>
          </cell>
          <cell r="LN2372">
            <v>20.244300817817596</v>
          </cell>
          <cell r="LY2372">
            <v>15.747520495740941</v>
          </cell>
          <cell r="LZ2372">
            <v>14.730476692982464</v>
          </cell>
          <cell r="MA2372">
            <v>11.870949885755934</v>
          </cell>
          <cell r="MB2372">
            <v>9.6544719773798295</v>
          </cell>
          <cell r="MC2372">
            <v>14.087427794132038</v>
          </cell>
        </row>
        <row r="2373">
          <cell r="A2373">
            <v>42849</v>
          </cell>
          <cell r="LJ2373">
            <v>20.389023407238501</v>
          </cell>
          <cell r="LK2373">
            <v>20.020152274152959</v>
          </cell>
          <cell r="LL2373">
            <v>17.982747259685677</v>
          </cell>
          <cell r="LM2373">
            <v>15.721193701553757</v>
          </cell>
          <cell r="LN2373">
            <v>20.244300817817596</v>
          </cell>
          <cell r="LY2373">
            <v>15.856863056710962</v>
          </cell>
          <cell r="LZ2373">
            <v>14.730476692982464</v>
          </cell>
          <cell r="MA2373">
            <v>11.870949885755934</v>
          </cell>
          <cell r="MB2373">
            <v>9.6544719773798295</v>
          </cell>
          <cell r="MC2373">
            <v>14.087427794132038</v>
          </cell>
        </row>
        <row r="2374">
          <cell r="A2374">
            <v>42850</v>
          </cell>
          <cell r="LJ2374">
            <v>20.596720679141594</v>
          </cell>
          <cell r="LK2374">
            <v>20.020152274152959</v>
          </cell>
          <cell r="LL2374">
            <v>17.982747259685677</v>
          </cell>
          <cell r="LM2374">
            <v>15.721193701553757</v>
          </cell>
          <cell r="LN2374">
            <v>20.244300817817596</v>
          </cell>
          <cell r="LY2374">
            <v>15.99205298798041</v>
          </cell>
          <cell r="LZ2374">
            <v>14.730476692982464</v>
          </cell>
          <cell r="MA2374">
            <v>11.870949885755934</v>
          </cell>
          <cell r="MB2374">
            <v>9.6544719773798295</v>
          </cell>
          <cell r="MC2374">
            <v>14.087427794132038</v>
          </cell>
        </row>
        <row r="2375">
          <cell r="A2375">
            <v>42851</v>
          </cell>
          <cell r="LJ2375">
            <v>20.517595648234146</v>
          </cell>
          <cell r="LK2375">
            <v>20.020152274152959</v>
          </cell>
          <cell r="LL2375">
            <v>17.982747259685677</v>
          </cell>
          <cell r="LM2375">
            <v>15.721193701553757</v>
          </cell>
          <cell r="LN2375">
            <v>20.244300817817596</v>
          </cell>
          <cell r="LY2375">
            <v>15.940550590322234</v>
          </cell>
          <cell r="LZ2375">
            <v>14.730476692982464</v>
          </cell>
          <cell r="MA2375">
            <v>11.870949885755934</v>
          </cell>
          <cell r="MB2375">
            <v>9.6544719773798295</v>
          </cell>
          <cell r="MC2375">
            <v>14.087427794132038</v>
          </cell>
        </row>
        <row r="2376">
          <cell r="A2376">
            <v>42852</v>
          </cell>
          <cell r="LJ2376">
            <v>20.500289458503655</v>
          </cell>
          <cell r="LK2376">
            <v>20.020152274152959</v>
          </cell>
          <cell r="LL2376">
            <v>17.982747259685677</v>
          </cell>
          <cell r="LM2376">
            <v>15.721193701553757</v>
          </cell>
          <cell r="LN2376">
            <v>20.244300817817596</v>
          </cell>
          <cell r="LY2376">
            <v>15.929288472286887</v>
          </cell>
          <cell r="LZ2376">
            <v>14.730476692982464</v>
          </cell>
          <cell r="MA2376">
            <v>11.870949885755934</v>
          </cell>
          <cell r="MB2376">
            <v>9.6544719773798295</v>
          </cell>
          <cell r="MC2376">
            <v>14.087427794132038</v>
          </cell>
        </row>
        <row r="2377">
          <cell r="A2377">
            <v>42853</v>
          </cell>
          <cell r="LJ2377">
            <v>20.60413797082543</v>
          </cell>
          <cell r="LK2377">
            <v>20.020152274152959</v>
          </cell>
          <cell r="LL2377">
            <v>17.982747259685677</v>
          </cell>
          <cell r="LM2377">
            <v>15.721193701553757</v>
          </cell>
          <cell r="LN2377">
            <v>20.244300817817596</v>
          </cell>
          <cell r="LY2377">
            <v>15.996648462300636</v>
          </cell>
          <cell r="LZ2377">
            <v>14.730476692982464</v>
          </cell>
          <cell r="MA2377">
            <v>11.870949885755934</v>
          </cell>
          <cell r="MB2377">
            <v>9.6544719773798295</v>
          </cell>
          <cell r="MC2377">
            <v>14.087427794132038</v>
          </cell>
        </row>
        <row r="2378">
          <cell r="A2378">
            <v>42856</v>
          </cell>
          <cell r="LJ2378">
            <v>20.401670075263866</v>
          </cell>
          <cell r="LK2378">
            <v>20.020152274152959</v>
          </cell>
          <cell r="LL2378">
            <v>17.982747259685677</v>
          </cell>
          <cell r="LM2378">
            <v>15.721193701553757</v>
          </cell>
          <cell r="LN2378">
            <v>20.244300817817596</v>
          </cell>
          <cell r="LY2378">
            <v>15.851476924862624</v>
          </cell>
          <cell r="LZ2378">
            <v>14.730476692982464</v>
          </cell>
          <cell r="MA2378">
            <v>11.870949885755934</v>
          </cell>
          <cell r="MB2378">
            <v>9.6544719773798295</v>
          </cell>
          <cell r="MC2378">
            <v>14.087427794132038</v>
          </cell>
        </row>
        <row r="2379">
          <cell r="A2379">
            <v>42857</v>
          </cell>
          <cell r="LJ2379">
            <v>20.369764397907844</v>
          </cell>
          <cell r="LK2379">
            <v>20.020152274152959</v>
          </cell>
          <cell r="LL2379">
            <v>17.982747259685677</v>
          </cell>
          <cell r="LM2379">
            <v>15.721193701553757</v>
          </cell>
          <cell r="LN2379">
            <v>20.244300817817596</v>
          </cell>
          <cell r="LY2379">
            <v>15.830702174005411</v>
          </cell>
          <cell r="LZ2379">
            <v>14.730476692982464</v>
          </cell>
          <cell r="MA2379">
            <v>11.870949885755934</v>
          </cell>
          <cell r="MB2379">
            <v>9.6544719773798295</v>
          </cell>
          <cell r="MC2379">
            <v>14.087427794132038</v>
          </cell>
        </row>
        <row r="2380">
          <cell r="A2380">
            <v>42858</v>
          </cell>
          <cell r="LJ2380">
            <v>20.323134325918307</v>
          </cell>
          <cell r="LK2380">
            <v>20.020152274152959</v>
          </cell>
          <cell r="LL2380">
            <v>17.982747259685677</v>
          </cell>
          <cell r="LM2380">
            <v>15.721193701553757</v>
          </cell>
          <cell r="LN2380">
            <v>20.244300817817596</v>
          </cell>
          <cell r="LY2380">
            <v>15.800339924765979</v>
          </cell>
          <cell r="LZ2380">
            <v>14.730476692982464</v>
          </cell>
          <cell r="MA2380">
            <v>11.870949885755934</v>
          </cell>
          <cell r="MB2380">
            <v>9.6544719773798295</v>
          </cell>
          <cell r="MC2380">
            <v>14.087427794132038</v>
          </cell>
        </row>
        <row r="2381">
          <cell r="A2381">
            <v>42859</v>
          </cell>
          <cell r="LJ2381">
            <v>20.634817244766506</v>
          </cell>
          <cell r="LK2381">
            <v>20.020152274152959</v>
          </cell>
          <cell r="LL2381">
            <v>17.982747259685677</v>
          </cell>
          <cell r="LM2381">
            <v>15.721193701553757</v>
          </cell>
          <cell r="LN2381">
            <v>20.244300817817596</v>
          </cell>
          <cell r="LY2381">
            <v>16.003286093664606</v>
          </cell>
          <cell r="LZ2381">
            <v>14.730476692982464</v>
          </cell>
          <cell r="MA2381">
            <v>11.870949885755934</v>
          </cell>
          <cell r="MB2381">
            <v>9.6544719773798295</v>
          </cell>
          <cell r="MC2381">
            <v>14.087427794132038</v>
          </cell>
        </row>
        <row r="2382">
          <cell r="A2382">
            <v>42860</v>
          </cell>
          <cell r="LJ2382">
            <v>20.580824852750794</v>
          </cell>
          <cell r="LK2382">
            <v>20.020152274152959</v>
          </cell>
          <cell r="LL2382">
            <v>17.982747259685677</v>
          </cell>
          <cell r="LM2382">
            <v>15.721193701553757</v>
          </cell>
          <cell r="LN2382">
            <v>20.244300817817596</v>
          </cell>
          <cell r="LY2382">
            <v>15.968130015334248</v>
          </cell>
          <cell r="LZ2382">
            <v>14.730476692982464</v>
          </cell>
          <cell r="MA2382">
            <v>11.870949885755934</v>
          </cell>
          <cell r="MB2382">
            <v>9.6544719773798295</v>
          </cell>
          <cell r="MC2382">
            <v>14.087427794132038</v>
          </cell>
        </row>
        <row r="2383">
          <cell r="A2383">
            <v>42863</v>
          </cell>
          <cell r="LJ2383">
            <v>20.465477748693193</v>
          </cell>
          <cell r="LK2383">
            <v>20.020152274152959</v>
          </cell>
          <cell r="LL2383">
            <v>17.982747259685677</v>
          </cell>
          <cell r="LM2383">
            <v>15.721193701553757</v>
          </cell>
          <cell r="LN2383">
            <v>20.244300817817596</v>
          </cell>
          <cell r="LY2383">
            <v>15.893024029582611</v>
          </cell>
          <cell r="LZ2383">
            <v>14.730476692982464</v>
          </cell>
          <cell r="MA2383">
            <v>11.870949885755934</v>
          </cell>
          <cell r="MB2383">
            <v>9.6544719773798295</v>
          </cell>
          <cell r="MC2383">
            <v>14.087427794132038</v>
          </cell>
        </row>
        <row r="2384">
          <cell r="A2384">
            <v>42864</v>
          </cell>
          <cell r="LJ2384">
            <v>20.411485356677481</v>
          </cell>
          <cell r="LK2384">
            <v>20.020152274152959</v>
          </cell>
          <cell r="LL2384">
            <v>17.982747259685677</v>
          </cell>
          <cell r="LM2384">
            <v>15.721193701553757</v>
          </cell>
          <cell r="LN2384">
            <v>20.244300817817596</v>
          </cell>
          <cell r="LY2384">
            <v>15.857867951252253</v>
          </cell>
          <cell r="LZ2384">
            <v>14.730476692982464</v>
          </cell>
          <cell r="MA2384">
            <v>11.870949885755934</v>
          </cell>
          <cell r="MB2384">
            <v>9.6544719773798295</v>
          </cell>
          <cell r="MC2384">
            <v>14.087427794132038</v>
          </cell>
        </row>
        <row r="2385">
          <cell r="A2385">
            <v>42865</v>
          </cell>
          <cell r="LJ2385">
            <v>20.421304073954971</v>
          </cell>
          <cell r="LK2385">
            <v>20.020152274152959</v>
          </cell>
          <cell r="LL2385">
            <v>17.982747259685677</v>
          </cell>
          <cell r="LM2385">
            <v>15.721193701553757</v>
          </cell>
          <cell r="LN2385">
            <v>20.244300817817596</v>
          </cell>
          <cell r="LY2385">
            <v>15.8642612148367</v>
          </cell>
          <cell r="LZ2385">
            <v>14.730476692982464</v>
          </cell>
          <cell r="MA2385">
            <v>11.870949885755934</v>
          </cell>
          <cell r="MB2385">
            <v>9.6544719773798295</v>
          </cell>
          <cell r="MC2385">
            <v>14.087427794132038</v>
          </cell>
        </row>
        <row r="2386">
          <cell r="A2386">
            <v>42866</v>
          </cell>
          <cell r="LJ2386">
            <v>20.315772005892132</v>
          </cell>
          <cell r="LK2386">
            <v>20.020152274152959</v>
          </cell>
          <cell r="LL2386">
            <v>17.982747259685677</v>
          </cell>
          <cell r="LM2386">
            <v>15.721193701553757</v>
          </cell>
          <cell r="LN2386">
            <v>20.244300817817596</v>
          </cell>
          <cell r="LY2386">
            <v>15.795546095675055</v>
          </cell>
          <cell r="LZ2386">
            <v>14.730476692982464</v>
          </cell>
          <cell r="MA2386">
            <v>11.870949885755934</v>
          </cell>
          <cell r="MB2386">
            <v>9.6544719773798295</v>
          </cell>
          <cell r="MC2386">
            <v>14.087427794132038</v>
          </cell>
        </row>
        <row r="2387">
          <cell r="A2387">
            <v>42867</v>
          </cell>
          <cell r="LJ2387">
            <v>20.329561160166296</v>
          </cell>
          <cell r="LK2387">
            <v>20.020152274152959</v>
          </cell>
          <cell r="LL2387">
            <v>17.982747259685677</v>
          </cell>
          <cell r="LM2387">
            <v>15.721193701553757</v>
          </cell>
          <cell r="LN2387">
            <v>20.244300817817596</v>
          </cell>
          <cell r="LY2387">
            <v>15.805142244025305</v>
          </cell>
          <cell r="LZ2387">
            <v>14.730476692982464</v>
          </cell>
          <cell r="MA2387">
            <v>11.870949885755934</v>
          </cell>
          <cell r="MB2387">
            <v>9.6544719773798295</v>
          </cell>
          <cell r="MC2387">
            <v>14.087427794132038</v>
          </cell>
        </row>
        <row r="2388">
          <cell r="A2388">
            <v>42870</v>
          </cell>
          <cell r="LJ2388">
            <v>20.437540975394871</v>
          </cell>
          <cell r="LK2388">
            <v>20.020152274152959</v>
          </cell>
          <cell r="LL2388">
            <v>17.982747259685677</v>
          </cell>
          <cell r="LM2388">
            <v>15.721193701553757</v>
          </cell>
          <cell r="LN2388">
            <v>20.244300817817596</v>
          </cell>
          <cell r="LY2388">
            <v>15.875454438456154</v>
          </cell>
          <cell r="LZ2388">
            <v>14.730476692982464</v>
          </cell>
          <cell r="MA2388">
            <v>11.870949885755934</v>
          </cell>
          <cell r="MB2388">
            <v>9.6544719773798295</v>
          </cell>
          <cell r="MC2388">
            <v>14.087427794132038</v>
          </cell>
        </row>
        <row r="2389">
          <cell r="A2389">
            <v>42871</v>
          </cell>
          <cell r="LJ2389">
            <v>20.370134353082801</v>
          </cell>
          <cell r="LK2389">
            <v>20.020152274152959</v>
          </cell>
          <cell r="LL2389">
            <v>17.982747259685677</v>
          </cell>
          <cell r="LM2389">
            <v>15.721193701553757</v>
          </cell>
          <cell r="LN2389">
            <v>20.244300817817596</v>
          </cell>
          <cell r="LY2389">
            <v>15.832299371304115</v>
          </cell>
          <cell r="LZ2389">
            <v>14.730476692982464</v>
          </cell>
          <cell r="MA2389">
            <v>11.870949885755934</v>
          </cell>
          <cell r="MB2389">
            <v>9.6544719773798295</v>
          </cell>
          <cell r="MC2389">
            <v>14.087427794132038</v>
          </cell>
        </row>
        <row r="2390">
          <cell r="A2390">
            <v>42872</v>
          </cell>
          <cell r="LJ2390">
            <v>20.097747039939893</v>
          </cell>
          <cell r="LK2390">
            <v>20.020152274152959</v>
          </cell>
          <cell r="LL2390">
            <v>17.982747259685677</v>
          </cell>
          <cell r="LM2390">
            <v>15.721193701553757</v>
          </cell>
          <cell r="LN2390">
            <v>20.244300817817596</v>
          </cell>
          <cell r="LY2390">
            <v>15.654921622553998</v>
          </cell>
          <cell r="LZ2390">
            <v>14.730476692982464</v>
          </cell>
          <cell r="MA2390">
            <v>11.870949885755934</v>
          </cell>
          <cell r="MB2390">
            <v>9.6544719773798295</v>
          </cell>
          <cell r="MC2390">
            <v>14.087427794132038</v>
          </cell>
        </row>
        <row r="2391">
          <cell r="A2391">
            <v>42873</v>
          </cell>
          <cell r="LJ2391">
            <v>20.068301016341188</v>
          </cell>
          <cell r="LK2391">
            <v>20.020152274152959</v>
          </cell>
          <cell r="LL2391">
            <v>17.982747259685677</v>
          </cell>
          <cell r="LM2391">
            <v>15.721193701553757</v>
          </cell>
          <cell r="LN2391">
            <v>20.244300817817596</v>
          </cell>
          <cell r="LY2391">
            <v>15.635746465989929</v>
          </cell>
          <cell r="LZ2391">
            <v>14.730476692982464</v>
          </cell>
          <cell r="MA2391">
            <v>11.870949885755934</v>
          </cell>
          <cell r="MB2391">
            <v>9.6544719773798295</v>
          </cell>
          <cell r="MC2391">
            <v>14.087427794132038</v>
          </cell>
        </row>
        <row r="2392">
          <cell r="A2392">
            <v>42874</v>
          </cell>
          <cell r="LJ2392">
            <v>20.156643013437371</v>
          </cell>
          <cell r="LK2392">
            <v>20.020152274152959</v>
          </cell>
          <cell r="LL2392">
            <v>17.982747259685677</v>
          </cell>
          <cell r="LM2392">
            <v>15.721193701553757</v>
          </cell>
          <cell r="LN2392">
            <v>20.244300817817596</v>
          </cell>
          <cell r="LY2392">
            <v>15.693282922556282</v>
          </cell>
          <cell r="LZ2392">
            <v>14.730476692982464</v>
          </cell>
          <cell r="MA2392">
            <v>11.870949885755934</v>
          </cell>
          <cell r="MB2392">
            <v>9.6544719773798295</v>
          </cell>
          <cell r="MC2392">
            <v>14.087427794132038</v>
          </cell>
        </row>
        <row r="2393">
          <cell r="A2393">
            <v>42877</v>
          </cell>
          <cell r="LJ2393">
            <v>20.345597186153697</v>
          </cell>
          <cell r="LK2393">
            <v>20.020152274152959</v>
          </cell>
          <cell r="LL2393">
            <v>17.982747259685677</v>
          </cell>
          <cell r="LM2393">
            <v>15.721193701553757</v>
          </cell>
          <cell r="LN2393">
            <v>20.244300817817596</v>
          </cell>
          <cell r="LY2393">
            <v>15.81632934271013</v>
          </cell>
          <cell r="LZ2393">
            <v>14.730476692982464</v>
          </cell>
          <cell r="MA2393">
            <v>11.870949885755934</v>
          </cell>
          <cell r="MB2393">
            <v>9.6544719773798295</v>
          </cell>
          <cell r="MC2393">
            <v>14.087427794132038</v>
          </cell>
        </row>
        <row r="2394">
          <cell r="A2394">
            <v>42878</v>
          </cell>
          <cell r="LJ2394">
            <v>20.600804973315537</v>
          </cell>
          <cell r="LK2394">
            <v>20.020152274152959</v>
          </cell>
          <cell r="LL2394">
            <v>17.982747259685677</v>
          </cell>
          <cell r="LM2394">
            <v>15.721193701553757</v>
          </cell>
          <cell r="LN2394">
            <v>20.244300817817596</v>
          </cell>
          <cell r="LY2394">
            <v>15.982519928259114</v>
          </cell>
          <cell r="LZ2394">
            <v>14.730476692982464</v>
          </cell>
          <cell r="MA2394">
            <v>11.870949885755934</v>
          </cell>
          <cell r="MB2394">
            <v>9.6544719773798295</v>
          </cell>
          <cell r="MC2394">
            <v>14.087427794132038</v>
          </cell>
        </row>
        <row r="2395">
          <cell r="A2395">
            <v>42879</v>
          </cell>
          <cell r="LJ2395">
            <v>20.603261364800375</v>
          </cell>
          <cell r="LK2395">
            <v>20.020152274152959</v>
          </cell>
          <cell r="LL2395">
            <v>17.982747259685677</v>
          </cell>
          <cell r="LM2395">
            <v>15.721193701553757</v>
          </cell>
          <cell r="LN2395">
            <v>20.244300817817596</v>
          </cell>
          <cell r="LY2395">
            <v>15.984119523411529</v>
          </cell>
          <cell r="LZ2395">
            <v>14.730476692982464</v>
          </cell>
          <cell r="MA2395">
            <v>11.870949885755934</v>
          </cell>
          <cell r="MB2395">
            <v>9.6544719773798295</v>
          </cell>
          <cell r="MC2395">
            <v>14.087427794132038</v>
          </cell>
        </row>
        <row r="2396">
          <cell r="A2396">
            <v>42880</v>
          </cell>
          <cell r="LJ2396">
            <v>20.738224985176252</v>
          </cell>
          <cell r="LK2396">
            <v>20.020152274152959</v>
          </cell>
          <cell r="LL2396">
            <v>17.982747259685677</v>
          </cell>
          <cell r="LM2396">
            <v>15.721193701553757</v>
          </cell>
          <cell r="LN2396">
            <v>20.244300817817596</v>
          </cell>
          <cell r="LY2396">
            <v>16.092628226164358</v>
          </cell>
          <cell r="LZ2396">
            <v>14.730476692982464</v>
          </cell>
          <cell r="MA2396">
            <v>11.870949885755934</v>
          </cell>
          <cell r="MB2396">
            <v>9.6544719773798295</v>
          </cell>
          <cell r="MC2396">
            <v>14.087427794132038</v>
          </cell>
        </row>
        <row r="2397">
          <cell r="A2397">
            <v>42881</v>
          </cell>
          <cell r="LJ2397">
            <v>20.711231426762311</v>
          </cell>
          <cell r="LK2397">
            <v>20.020152274152959</v>
          </cell>
          <cell r="LL2397">
            <v>17.982747259685677</v>
          </cell>
          <cell r="LM2397">
            <v>15.721193701553757</v>
          </cell>
          <cell r="LN2397">
            <v>20.244300817817596</v>
          </cell>
          <cell r="LY2397">
            <v>16.075027544489998</v>
          </cell>
          <cell r="LZ2397">
            <v>14.730476692982464</v>
          </cell>
          <cell r="MA2397">
            <v>11.870949885755934</v>
          </cell>
          <cell r="MB2397">
            <v>9.6544719773798295</v>
          </cell>
          <cell r="MC2397">
            <v>14.087427794132038</v>
          </cell>
        </row>
        <row r="2398">
          <cell r="A2398">
            <v>42884</v>
          </cell>
          <cell r="LJ2398">
            <v>20.711231426762311</v>
          </cell>
          <cell r="LK2398">
            <v>20.020152274152959</v>
          </cell>
          <cell r="LL2398">
            <v>17.982747259685677</v>
          </cell>
          <cell r="LM2398">
            <v>15.721193701553757</v>
          </cell>
          <cell r="LN2398">
            <v>20.244300817817596</v>
          </cell>
          <cell r="LY2398">
            <v>16.075027544489998</v>
          </cell>
          <cell r="LZ2398">
            <v>14.730476692982464</v>
          </cell>
          <cell r="MA2398">
            <v>11.870949885755934</v>
          </cell>
          <cell r="MB2398">
            <v>9.6544719773798295</v>
          </cell>
          <cell r="MC2398">
            <v>14.087427794132038</v>
          </cell>
        </row>
        <row r="2399">
          <cell r="A2399">
            <v>42885</v>
          </cell>
          <cell r="LJ2399">
            <v>20.811843847776203</v>
          </cell>
          <cell r="LK2399">
            <v>20.020152274152959</v>
          </cell>
          <cell r="LL2399">
            <v>17.982747259685677</v>
          </cell>
          <cell r="LM2399">
            <v>15.721193701553757</v>
          </cell>
          <cell r="LN2399">
            <v>20.244300817817596</v>
          </cell>
          <cell r="LY2399">
            <v>16.140630128913912</v>
          </cell>
          <cell r="LZ2399">
            <v>14.730476692982464</v>
          </cell>
          <cell r="MA2399">
            <v>11.870949885755934</v>
          </cell>
          <cell r="MB2399">
            <v>9.6544719773798295</v>
          </cell>
          <cell r="MC2399">
            <v>14.087427794132038</v>
          </cell>
        </row>
        <row r="2400">
          <cell r="A2400">
            <v>42886</v>
          </cell>
          <cell r="LJ2400">
            <v>20.843746262859746</v>
          </cell>
          <cell r="LK2400">
            <v>20.020152274152959</v>
          </cell>
          <cell r="LL2400">
            <v>17.982747259685677</v>
          </cell>
          <cell r="LM2400">
            <v>15.721193701553757</v>
          </cell>
          <cell r="LN2400">
            <v>20.244300817817596</v>
          </cell>
          <cell r="LY2400">
            <v>16.161431545456267</v>
          </cell>
          <cell r="LZ2400">
            <v>14.730476692982464</v>
          </cell>
          <cell r="MA2400">
            <v>11.870949885755934</v>
          </cell>
          <cell r="MB2400">
            <v>9.6544719773798295</v>
          </cell>
          <cell r="MC2400">
            <v>14.087427794132038</v>
          </cell>
        </row>
        <row r="2401">
          <cell r="A2401">
            <v>42887</v>
          </cell>
          <cell r="LJ2401">
            <v>20.971868712702474</v>
          </cell>
          <cell r="LK2401">
            <v>20.020152274152959</v>
          </cell>
          <cell r="LL2401">
            <v>17.982747259685677</v>
          </cell>
          <cell r="LM2401">
            <v>15.721193701553757</v>
          </cell>
          <cell r="LN2401">
            <v>20.244300817817596</v>
          </cell>
          <cell r="LY2401">
            <v>16.233893548053501</v>
          </cell>
          <cell r="LZ2401">
            <v>14.730476692982464</v>
          </cell>
          <cell r="MA2401">
            <v>11.870949885755934</v>
          </cell>
          <cell r="MB2401">
            <v>9.6544719773798295</v>
          </cell>
          <cell r="MC2401">
            <v>14.087427794132038</v>
          </cell>
        </row>
        <row r="2402">
          <cell r="A2402">
            <v>42888</v>
          </cell>
          <cell r="LJ2402">
            <v>21.152112288393617</v>
          </cell>
          <cell r="LK2402">
            <v>20.020152274152959</v>
          </cell>
          <cell r="LL2402">
            <v>17.982747259685677</v>
          </cell>
          <cell r="LM2402">
            <v>15.721193701553757</v>
          </cell>
          <cell r="LN2402">
            <v>20.244300817817596</v>
          </cell>
          <cell r="LY2402">
            <v>16.35147595224052</v>
          </cell>
          <cell r="LZ2402">
            <v>14.730476692982464</v>
          </cell>
          <cell r="MA2402">
            <v>11.870949885755934</v>
          </cell>
          <cell r="MB2402">
            <v>9.6544719773798295</v>
          </cell>
          <cell r="MC2402">
            <v>14.087427794132038</v>
          </cell>
        </row>
        <row r="2403">
          <cell r="A2403">
            <v>42891</v>
          </cell>
          <cell r="LJ2403">
            <v>21.07449968460098</v>
          </cell>
          <cell r="LK2403">
            <v>20.020152274152959</v>
          </cell>
          <cell r="LL2403">
            <v>17.982747259685677</v>
          </cell>
          <cell r="LM2403">
            <v>15.721193701553757</v>
          </cell>
          <cell r="LN2403">
            <v>20.244300817817596</v>
          </cell>
          <cell r="LY2403">
            <v>16.302208781025339</v>
          </cell>
          <cell r="LZ2403">
            <v>14.730476692982464</v>
          </cell>
          <cell r="MA2403">
            <v>11.870949885755934</v>
          </cell>
          <cell r="MB2403">
            <v>9.6544719773798295</v>
          </cell>
          <cell r="MC2403">
            <v>14.087427794132038</v>
          </cell>
        </row>
        <row r="2404">
          <cell r="A2404">
            <v>42892</v>
          </cell>
          <cell r="LJ2404">
            <v>20.879657859037341</v>
          </cell>
          <cell r="LK2404">
            <v>20.020152274152959</v>
          </cell>
          <cell r="LL2404">
            <v>17.982747259685677</v>
          </cell>
          <cell r="LM2404">
            <v>15.721193701553757</v>
          </cell>
          <cell r="LN2404">
            <v>20.244300817817596</v>
          </cell>
          <cell r="LY2404">
            <v>16.175090546639787</v>
          </cell>
          <cell r="LZ2404">
            <v>14.730476692982464</v>
          </cell>
          <cell r="MA2404">
            <v>11.870949885755934</v>
          </cell>
          <cell r="MB2404">
            <v>9.6544719773798295</v>
          </cell>
          <cell r="MC2404">
            <v>14.087427794132038</v>
          </cell>
        </row>
        <row r="2405">
          <cell r="A2405">
            <v>42893</v>
          </cell>
          <cell r="LJ2405">
            <v>20.806591717792159</v>
          </cell>
          <cell r="LK2405">
            <v>20.020152274152959</v>
          </cell>
          <cell r="LL2405">
            <v>17.982747259685677</v>
          </cell>
          <cell r="LM2405">
            <v>15.721193701553757</v>
          </cell>
          <cell r="LN2405">
            <v>20.244300817817596</v>
          </cell>
          <cell r="LY2405">
            <v>16.127420910812955</v>
          </cell>
          <cell r="LZ2405">
            <v>14.730476692982464</v>
          </cell>
          <cell r="MA2405">
            <v>11.870949885755934</v>
          </cell>
          <cell r="MB2405">
            <v>9.6544719773798295</v>
          </cell>
          <cell r="MC2405">
            <v>14.087427794132038</v>
          </cell>
        </row>
        <row r="2406">
          <cell r="A2406">
            <v>42894</v>
          </cell>
          <cell r="LJ2406">
            <v>20.594703244834886</v>
          </cell>
          <cell r="LK2406">
            <v>20.020152274152959</v>
          </cell>
          <cell r="LL2406">
            <v>17.982747259685677</v>
          </cell>
          <cell r="LM2406">
            <v>15.721193701553757</v>
          </cell>
          <cell r="LN2406">
            <v>20.244300817817596</v>
          </cell>
          <cell r="LY2406">
            <v>15.989181143806757</v>
          </cell>
          <cell r="LZ2406">
            <v>14.730476692982464</v>
          </cell>
          <cell r="MA2406">
            <v>11.870949885755934</v>
          </cell>
          <cell r="MB2406">
            <v>9.6544719773798295</v>
          </cell>
          <cell r="MC2406">
            <v>14.087427794132038</v>
          </cell>
        </row>
        <row r="2407">
          <cell r="A2407">
            <v>42895</v>
          </cell>
          <cell r="LJ2407">
            <v>20.596091155187352</v>
          </cell>
          <cell r="LK2407">
            <v>20.020152274152959</v>
          </cell>
          <cell r="LL2407">
            <v>17.982747259685677</v>
          </cell>
          <cell r="LM2407">
            <v>15.721193701553757</v>
          </cell>
          <cell r="LN2407">
            <v>20.244300817817596</v>
          </cell>
          <cell r="LY2407">
            <v>15.951931711609024</v>
          </cell>
          <cell r="LZ2407">
            <v>14.730476692982464</v>
          </cell>
          <cell r="MA2407">
            <v>11.870949885755934</v>
          </cell>
          <cell r="MB2407">
            <v>9.6544719773798295</v>
          </cell>
          <cell r="MC2407">
            <v>14.087427794132038</v>
          </cell>
        </row>
        <row r="2408">
          <cell r="A2408">
            <v>42898</v>
          </cell>
          <cell r="LJ2408">
            <v>20.493708429673092</v>
          </cell>
          <cell r="LK2408">
            <v>20.020152274152959</v>
          </cell>
          <cell r="LL2408">
            <v>17.982747259685677</v>
          </cell>
          <cell r="LM2408">
            <v>15.721193701553757</v>
          </cell>
          <cell r="LN2408">
            <v>20.244300817817596</v>
          </cell>
          <cell r="LY2408">
            <v>15.885304336554961</v>
          </cell>
          <cell r="LZ2408">
            <v>14.730476692982464</v>
          </cell>
          <cell r="MA2408">
            <v>11.870949885755934</v>
          </cell>
          <cell r="MB2408">
            <v>9.6544719773798295</v>
          </cell>
          <cell r="MC2408">
            <v>14.087427794132038</v>
          </cell>
        </row>
        <row r="2409">
          <cell r="A2409">
            <v>42899</v>
          </cell>
          <cell r="LJ2409">
            <v>20.518083191235995</v>
          </cell>
          <cell r="LK2409">
            <v>20.020152274152959</v>
          </cell>
          <cell r="LL2409">
            <v>17.982747259685677</v>
          </cell>
          <cell r="LM2409">
            <v>15.721193701553757</v>
          </cell>
          <cell r="LN2409">
            <v>20.244300817817596</v>
          </cell>
          <cell r="LY2409">
            <v>15.901166645087452</v>
          </cell>
          <cell r="LZ2409">
            <v>14.730476692982464</v>
          </cell>
          <cell r="MA2409">
            <v>11.870949885755934</v>
          </cell>
          <cell r="MB2409">
            <v>9.6544719773798295</v>
          </cell>
          <cell r="MC2409">
            <v>14.087427794132038</v>
          </cell>
        </row>
        <row r="2410">
          <cell r="A2410">
            <v>42900</v>
          </cell>
          <cell r="LJ2410">
            <v>20.588778312310239</v>
          </cell>
          <cell r="LK2410">
            <v>20.020152274152959</v>
          </cell>
          <cell r="LL2410">
            <v>17.982747259685677</v>
          </cell>
          <cell r="LM2410">
            <v>15.721193701553757</v>
          </cell>
          <cell r="LN2410">
            <v>20.244300817817596</v>
          </cell>
          <cell r="LY2410">
            <v>15.947172749365759</v>
          </cell>
          <cell r="LZ2410">
            <v>14.730476692982464</v>
          </cell>
          <cell r="MA2410">
            <v>11.870949885755934</v>
          </cell>
          <cell r="MB2410">
            <v>9.6544719773798295</v>
          </cell>
          <cell r="MC2410">
            <v>14.087427794132038</v>
          </cell>
        </row>
        <row r="2411">
          <cell r="A2411">
            <v>42901</v>
          </cell>
          <cell r="LJ2411">
            <v>20.569276260380011</v>
          </cell>
          <cell r="LK2411">
            <v>20.020152274152959</v>
          </cell>
          <cell r="LL2411">
            <v>17.982747259685677</v>
          </cell>
          <cell r="LM2411">
            <v>15.721193701553757</v>
          </cell>
          <cell r="LN2411">
            <v>20.244300817817596</v>
          </cell>
          <cell r="LY2411">
            <v>15.934481443076024</v>
          </cell>
          <cell r="LZ2411">
            <v>14.730476692982464</v>
          </cell>
          <cell r="MA2411">
            <v>11.870949885755934</v>
          </cell>
          <cell r="MB2411">
            <v>9.6544719773798295</v>
          </cell>
          <cell r="MC2411">
            <v>14.087427794132038</v>
          </cell>
        </row>
        <row r="2412">
          <cell r="A2412">
            <v>42902</v>
          </cell>
          <cell r="LJ2412">
            <v>20.584794346978558</v>
          </cell>
          <cell r="LK2412">
            <v>20.020152274152959</v>
          </cell>
          <cell r="LL2412">
            <v>17.982747259685677</v>
          </cell>
          <cell r="LM2412">
            <v>15.721193701553757</v>
          </cell>
          <cell r="LN2412">
            <v>20.244300817817596</v>
          </cell>
          <cell r="LY2412">
            <v>15.96364218065024</v>
          </cell>
          <cell r="LZ2412">
            <v>14.730476692982464</v>
          </cell>
          <cell r="MA2412">
            <v>11.870949885755934</v>
          </cell>
          <cell r="MB2412">
            <v>9.6544719773798295</v>
          </cell>
          <cell r="MC2412">
            <v>14.087427794132038</v>
          </cell>
        </row>
        <row r="2413">
          <cell r="A2413">
            <v>42905</v>
          </cell>
          <cell r="LJ2413">
            <v>20.777291666666667</v>
          </cell>
          <cell r="LK2413">
            <v>20.020152274152959</v>
          </cell>
          <cell r="LL2413">
            <v>17.982747259685677</v>
          </cell>
          <cell r="LM2413">
            <v>15.721193701553757</v>
          </cell>
          <cell r="LN2413">
            <v>20.244300817817596</v>
          </cell>
          <cell r="LY2413">
            <v>16.089071613245775</v>
          </cell>
          <cell r="LZ2413">
            <v>14.730476692982464</v>
          </cell>
          <cell r="MA2413">
            <v>11.870949885755934</v>
          </cell>
          <cell r="MB2413">
            <v>9.6544719773798295</v>
          </cell>
          <cell r="MC2413">
            <v>14.087427794132038</v>
          </cell>
        </row>
        <row r="2414">
          <cell r="A2414">
            <v>42906</v>
          </cell>
          <cell r="LJ2414">
            <v>20.877191276803117</v>
          </cell>
          <cell r="LK2414">
            <v>20.020152274152959</v>
          </cell>
          <cell r="LL2414">
            <v>17.982747259685677</v>
          </cell>
          <cell r="LM2414">
            <v>15.721193701553757</v>
          </cell>
          <cell r="LN2414">
            <v>20.244300817817596</v>
          </cell>
          <cell r="LY2414">
            <v>16.154165254218189</v>
          </cell>
          <cell r="LZ2414">
            <v>14.730476692982464</v>
          </cell>
          <cell r="MA2414">
            <v>11.870949885755934</v>
          </cell>
          <cell r="MB2414">
            <v>9.6544719773798295</v>
          </cell>
          <cell r="MC2414">
            <v>14.087427794132038</v>
          </cell>
        </row>
        <row r="2415">
          <cell r="A2415">
            <v>42907</v>
          </cell>
          <cell r="LJ2415">
            <v>21.072123781676414</v>
          </cell>
          <cell r="LK2415">
            <v>20.020152274152959</v>
          </cell>
          <cell r="LL2415">
            <v>17.982747259685677</v>
          </cell>
          <cell r="LM2415">
            <v>15.721193701553757</v>
          </cell>
          <cell r="LN2415">
            <v>20.244300817817596</v>
          </cell>
          <cell r="LY2415">
            <v>16.56478095272081</v>
          </cell>
          <cell r="LZ2415">
            <v>14.730476692982464</v>
          </cell>
          <cell r="MA2415">
            <v>11.870949885755934</v>
          </cell>
          <cell r="MB2415">
            <v>9.6544719773798295</v>
          </cell>
          <cell r="MC2415">
            <v>14.087427794132038</v>
          </cell>
        </row>
        <row r="2416">
          <cell r="A2416">
            <v>42908</v>
          </cell>
          <cell r="LJ2416">
            <v>20.945420808966862</v>
          </cell>
          <cell r="LK2416">
            <v>20.020152274152959</v>
          </cell>
          <cell r="LL2416">
            <v>17.982747259685677</v>
          </cell>
          <cell r="LM2416">
            <v>15.721193701553757</v>
          </cell>
          <cell r="LN2416">
            <v>20.244300817817596</v>
          </cell>
          <cell r="LY2416">
            <v>16.480517260211272</v>
          </cell>
          <cell r="LZ2416">
            <v>14.730476692982464</v>
          </cell>
          <cell r="MA2416">
            <v>11.870949885755934</v>
          </cell>
          <cell r="MB2416">
            <v>9.6544719773798295</v>
          </cell>
          <cell r="MC2416">
            <v>14.087427794132038</v>
          </cell>
        </row>
        <row r="2417">
          <cell r="A2417">
            <v>42909</v>
          </cell>
          <cell r="LJ2417">
            <v>20.872320662768033</v>
          </cell>
          <cell r="LK2417">
            <v>20.020152274152959</v>
          </cell>
          <cell r="LL2417">
            <v>17.982747259685677</v>
          </cell>
          <cell r="LM2417">
            <v>15.721193701553757</v>
          </cell>
          <cell r="LN2417">
            <v>20.244300817817596</v>
          </cell>
          <cell r="LY2417">
            <v>16.431902076920966</v>
          </cell>
          <cell r="LZ2417">
            <v>14.730476692982464</v>
          </cell>
          <cell r="MA2417">
            <v>11.870949885755934</v>
          </cell>
          <cell r="MB2417">
            <v>9.6544719773798295</v>
          </cell>
          <cell r="MC2417">
            <v>14.087427794132038</v>
          </cell>
        </row>
        <row r="2418">
          <cell r="A2418">
            <v>42912</v>
          </cell>
          <cell r="LJ2418">
            <v>20.826023879142298</v>
          </cell>
          <cell r="LK2418">
            <v>20.020152274152959</v>
          </cell>
          <cell r="LL2418">
            <v>17.982747259685677</v>
          </cell>
          <cell r="LM2418">
            <v>15.721193701553757</v>
          </cell>
          <cell r="LN2418">
            <v>20.244300817817596</v>
          </cell>
          <cell r="LY2418">
            <v>16.401112444632215</v>
          </cell>
          <cell r="LZ2418">
            <v>14.730476692982464</v>
          </cell>
          <cell r="MA2418">
            <v>11.870949885755934</v>
          </cell>
          <cell r="MB2418">
            <v>9.6544719773798295</v>
          </cell>
          <cell r="MC2418">
            <v>14.087427794132038</v>
          </cell>
        </row>
        <row r="2419">
          <cell r="A2419">
            <v>42913</v>
          </cell>
          <cell r="LJ2419">
            <v>20.618907407407406</v>
          </cell>
          <cell r="LK2419">
            <v>20.020152274152959</v>
          </cell>
          <cell r="LL2419">
            <v>17.982747259685677</v>
          </cell>
          <cell r="LM2419">
            <v>15.721193701553757</v>
          </cell>
          <cell r="LN2419">
            <v>20.244300817817596</v>
          </cell>
          <cell r="LY2419">
            <v>16.263369830432175</v>
          </cell>
          <cell r="LZ2419">
            <v>14.730476692982464</v>
          </cell>
          <cell r="MA2419">
            <v>11.870949885755934</v>
          </cell>
          <cell r="MB2419">
            <v>9.6544719773798295</v>
          </cell>
          <cell r="MC2419">
            <v>14.087427794132038</v>
          </cell>
        </row>
        <row r="2420">
          <cell r="A2420">
            <v>42914</v>
          </cell>
          <cell r="LJ2420">
            <v>20.643275341130604</v>
          </cell>
          <cell r="LK2420">
            <v>20.020152274152959</v>
          </cell>
          <cell r="LL2420">
            <v>17.982747259685677</v>
          </cell>
          <cell r="LM2420">
            <v>15.721193701553757</v>
          </cell>
          <cell r="LN2420">
            <v>20.244300817817596</v>
          </cell>
          <cell r="LY2420">
            <v>16.279575701773897</v>
          </cell>
          <cell r="LZ2420">
            <v>14.730476692982464</v>
          </cell>
          <cell r="MA2420">
            <v>11.870949885755934</v>
          </cell>
          <cell r="MB2420">
            <v>9.6544719773798295</v>
          </cell>
          <cell r="MC2420">
            <v>14.087427794132038</v>
          </cell>
        </row>
        <row r="2421">
          <cell r="A2421">
            <v>42915</v>
          </cell>
          <cell r="LJ2421">
            <v>20.475145955165694</v>
          </cell>
          <cell r="LK2421">
            <v>20.020152274152959</v>
          </cell>
          <cell r="LL2421">
            <v>17.982747259685677</v>
          </cell>
          <cell r="LM2421">
            <v>15.721193701553757</v>
          </cell>
          <cell r="LN2421">
            <v>20.244300817817596</v>
          </cell>
          <cell r="LY2421">
            <v>16.167761412197272</v>
          </cell>
          <cell r="LZ2421">
            <v>14.730476692982464</v>
          </cell>
          <cell r="MA2421">
            <v>11.870949885755934</v>
          </cell>
          <cell r="MB2421">
            <v>9.6544719773798295</v>
          </cell>
          <cell r="MC2421">
            <v>14.087427794132038</v>
          </cell>
        </row>
        <row r="2422">
          <cell r="A2422">
            <v>42916</v>
          </cell>
          <cell r="LJ2422">
            <v>20.562865497076022</v>
          </cell>
          <cell r="LK2422">
            <v>20.020152274152959</v>
          </cell>
          <cell r="LL2422">
            <v>17.982747259685677</v>
          </cell>
          <cell r="LM2422">
            <v>15.721193701553757</v>
          </cell>
          <cell r="LN2422">
            <v>20.244300817817596</v>
          </cell>
          <cell r="LY2422">
            <v>16.226099210818255</v>
          </cell>
          <cell r="LZ2422">
            <v>14.730476692982464</v>
          </cell>
          <cell r="MA2422">
            <v>11.870949885755934</v>
          </cell>
          <cell r="MB2422">
            <v>9.6544719773798295</v>
          </cell>
          <cell r="MC2422">
            <v>14.087427794132038</v>
          </cell>
        </row>
        <row r="2423">
          <cell r="A2423">
            <v>42919</v>
          </cell>
          <cell r="LJ2423">
            <v>20.382195210451922</v>
          </cell>
          <cell r="LK2423">
            <v>20.020152274152959</v>
          </cell>
          <cell r="LL2423">
            <v>17.982747259685677</v>
          </cell>
          <cell r="LM2423">
            <v>15.721193701553757</v>
          </cell>
          <cell r="LN2423">
            <v>20.244300817817596</v>
          </cell>
          <cell r="LY2423">
            <v>16.095975974714328</v>
          </cell>
          <cell r="LZ2423">
            <v>14.730476692982464</v>
          </cell>
          <cell r="MA2423">
            <v>11.870949885755934</v>
          </cell>
          <cell r="MB2423">
            <v>9.6544719773798295</v>
          </cell>
          <cell r="MC2423">
            <v>14.087427794132038</v>
          </cell>
        </row>
        <row r="2424">
          <cell r="A2424">
            <v>42920</v>
          </cell>
          <cell r="LJ2424">
            <v>20.382195210451922</v>
          </cell>
          <cell r="LK2424">
            <v>20.020152274152959</v>
          </cell>
          <cell r="LL2424">
            <v>17.982747259685677</v>
          </cell>
          <cell r="LM2424">
            <v>15.721193701553757</v>
          </cell>
          <cell r="LN2424">
            <v>20.244300817817596</v>
          </cell>
          <cell r="LY2424">
            <v>16.095975974714328</v>
          </cell>
          <cell r="LZ2424">
            <v>14.730476692982464</v>
          </cell>
          <cell r="MA2424">
            <v>11.870949885755934</v>
          </cell>
          <cell r="MB2424">
            <v>9.6544719773798295</v>
          </cell>
          <cell r="MC2424">
            <v>14.087427794132038</v>
          </cell>
        </row>
        <row r="2425">
          <cell r="A2425">
            <v>42921</v>
          </cell>
          <cell r="LJ2425">
            <v>20.34107329463189</v>
          </cell>
          <cell r="LK2425">
            <v>20.020152274152959</v>
          </cell>
          <cell r="LL2425">
            <v>17.982747259685677</v>
          </cell>
          <cell r="LM2425">
            <v>15.721193701553757</v>
          </cell>
          <cell r="LN2425">
            <v>20.244300817817596</v>
          </cell>
          <cell r="LY2425">
            <v>16.068613362025634</v>
          </cell>
          <cell r="LZ2425">
            <v>14.730476692982464</v>
          </cell>
          <cell r="MA2425">
            <v>11.870949885755934</v>
          </cell>
          <cell r="MB2425">
            <v>9.6544719773798295</v>
          </cell>
          <cell r="MC2425">
            <v>14.087427794132038</v>
          </cell>
        </row>
        <row r="2426">
          <cell r="A2426">
            <v>42922</v>
          </cell>
          <cell r="LJ2426">
            <v>20.060472423804576</v>
          </cell>
          <cell r="LK2426">
            <v>20.020152274152959</v>
          </cell>
          <cell r="LL2426">
            <v>17.982747259685677</v>
          </cell>
          <cell r="LM2426">
            <v>15.721193701553757</v>
          </cell>
          <cell r="LN2426">
            <v>20.244300817817596</v>
          </cell>
          <cell r="LY2426">
            <v>15.881900929118563</v>
          </cell>
          <cell r="LZ2426">
            <v>14.730476692982464</v>
          </cell>
          <cell r="MA2426">
            <v>11.870949885755934</v>
          </cell>
          <cell r="MB2426">
            <v>9.6544719773798295</v>
          </cell>
          <cell r="MC2426">
            <v>14.087427794132038</v>
          </cell>
        </row>
        <row r="2427">
          <cell r="A2427">
            <v>42923</v>
          </cell>
          <cell r="LJ2427">
            <v>20.08751047609994</v>
          </cell>
          <cell r="LK2427">
            <v>20.020152274152959</v>
          </cell>
          <cell r="LL2427">
            <v>17.982747259685677</v>
          </cell>
          <cell r="LM2427">
            <v>15.721193701553757</v>
          </cell>
          <cell r="LN2427">
            <v>20.244300817817596</v>
          </cell>
          <cell r="LY2427">
            <v>15.905199993198302</v>
          </cell>
          <cell r="LZ2427">
            <v>14.730476692982464</v>
          </cell>
          <cell r="MA2427">
            <v>11.870949885755934</v>
          </cell>
          <cell r="MB2427">
            <v>9.6544719773798295</v>
          </cell>
          <cell r="MC2427">
            <v>14.087427794132038</v>
          </cell>
        </row>
        <row r="2428">
          <cell r="A2428">
            <v>42926</v>
          </cell>
          <cell r="LJ2428">
            <v>19.969140388875331</v>
          </cell>
          <cell r="LK2428">
            <v>20.020152274152959</v>
          </cell>
          <cell r="LL2428">
            <v>17.982747259685677</v>
          </cell>
          <cell r="LM2428">
            <v>15.721193701553757</v>
          </cell>
          <cell r="LN2428">
            <v>20.244300817817596</v>
          </cell>
          <cell r="LY2428">
            <v>15.823105644333598</v>
          </cell>
          <cell r="LZ2428">
            <v>14.730476692982464</v>
          </cell>
          <cell r="MA2428">
            <v>11.870949885755934</v>
          </cell>
          <cell r="MB2428">
            <v>9.6544719773798295</v>
          </cell>
          <cell r="MC2428">
            <v>14.087427794132038</v>
          </cell>
        </row>
        <row r="2429">
          <cell r="A2429">
            <v>42927</v>
          </cell>
          <cell r="LJ2429">
            <v>20.090979247787065</v>
          </cell>
          <cell r="LK2429">
            <v>20.020152274152959</v>
          </cell>
          <cell r="LL2429">
            <v>17.982747259685677</v>
          </cell>
          <cell r="LM2429">
            <v>15.721193701553757</v>
          </cell>
          <cell r="LN2429">
            <v>20.244300817817596</v>
          </cell>
          <cell r="LY2429">
            <v>15.910028816891154</v>
          </cell>
          <cell r="LZ2429">
            <v>14.730476692982464</v>
          </cell>
          <cell r="MA2429">
            <v>11.870949885755934</v>
          </cell>
          <cell r="MB2429">
            <v>9.6544719773798295</v>
          </cell>
          <cell r="MC2429">
            <v>14.087427794132038</v>
          </cell>
        </row>
        <row r="2430">
          <cell r="A2430">
            <v>42928</v>
          </cell>
          <cell r="LJ2430">
            <v>20.190422749795161</v>
          </cell>
          <cell r="LK2430">
            <v>20.020152274152959</v>
          </cell>
          <cell r="LL2430">
            <v>17.982747259685677</v>
          </cell>
          <cell r="LM2430">
            <v>15.721193701553757</v>
          </cell>
          <cell r="LN2430">
            <v>20.244300817817596</v>
          </cell>
          <cell r="LY2430">
            <v>15.972805456492114</v>
          </cell>
          <cell r="LZ2430">
            <v>14.730476692982464</v>
          </cell>
          <cell r="MA2430">
            <v>11.870949885755934</v>
          </cell>
          <cell r="MB2430">
            <v>9.6544719773798295</v>
          </cell>
          <cell r="MC2430">
            <v>14.087427794132038</v>
          </cell>
        </row>
        <row r="2431">
          <cell r="A2431">
            <v>42929</v>
          </cell>
          <cell r="LJ2431">
            <v>20.373981220280871</v>
          </cell>
          <cell r="LK2431">
            <v>20.020152274152959</v>
          </cell>
          <cell r="LL2431">
            <v>17.982747259685677</v>
          </cell>
          <cell r="LM2431">
            <v>15.721193701553757</v>
          </cell>
          <cell r="LN2431">
            <v>20.244300817817596</v>
          </cell>
          <cell r="LY2431">
            <v>16.086311011303206</v>
          </cell>
          <cell r="LZ2431">
            <v>14.730476692982464</v>
          </cell>
          <cell r="MA2431">
            <v>11.870949885755934</v>
          </cell>
          <cell r="MB2431">
            <v>9.6544719773798295</v>
          </cell>
          <cell r="MC2431">
            <v>14.087427794132038</v>
          </cell>
        </row>
        <row r="2432">
          <cell r="A2432">
            <v>42930</v>
          </cell>
          <cell r="LJ2432">
            <v>20.554454392085887</v>
          </cell>
          <cell r="LK2432">
            <v>20.020152274152959</v>
          </cell>
          <cell r="LL2432">
            <v>17.982747259685677</v>
          </cell>
          <cell r="LM2432">
            <v>15.721193701553757</v>
          </cell>
          <cell r="LN2432">
            <v>20.244300817817596</v>
          </cell>
          <cell r="LY2432">
            <v>16.215863385198624</v>
          </cell>
          <cell r="LZ2432">
            <v>14.730476692982464</v>
          </cell>
          <cell r="MA2432">
            <v>11.870949885755934</v>
          </cell>
          <cell r="MB2432">
            <v>9.6544719773798295</v>
          </cell>
          <cell r="MC2432">
            <v>14.087427794132038</v>
          </cell>
        </row>
        <row r="2433">
          <cell r="A2433">
            <v>42933</v>
          </cell>
          <cell r="LJ2433">
            <v>20.66810891765282</v>
          </cell>
          <cell r="LK2433">
            <v>20.020152274152959</v>
          </cell>
          <cell r="LL2433">
            <v>17.982747259685677</v>
          </cell>
          <cell r="LM2433">
            <v>15.721193701553757</v>
          </cell>
          <cell r="LN2433">
            <v>20.244300817817596</v>
          </cell>
          <cell r="LY2433">
            <v>16.291517800122072</v>
          </cell>
          <cell r="LZ2433">
            <v>14.730476692982464</v>
          </cell>
          <cell r="MA2433">
            <v>11.870949885755934</v>
          </cell>
          <cell r="MB2433">
            <v>9.6544719773798295</v>
          </cell>
          <cell r="MC2433">
            <v>14.087427794132038</v>
          </cell>
        </row>
        <row r="2434">
          <cell r="A2434">
            <v>42934</v>
          </cell>
          <cell r="LJ2434">
            <v>20.670525637855107</v>
          </cell>
          <cell r="LK2434">
            <v>20.020152274152959</v>
          </cell>
          <cell r="LL2434">
            <v>17.982747259685677</v>
          </cell>
          <cell r="LM2434">
            <v>15.721193701553757</v>
          </cell>
          <cell r="LN2434">
            <v>20.244300817817596</v>
          </cell>
          <cell r="LY2434">
            <v>16.281914355600897</v>
          </cell>
          <cell r="LZ2434">
            <v>14.730476692982464</v>
          </cell>
          <cell r="MA2434">
            <v>11.870949885755934</v>
          </cell>
          <cell r="MB2434">
            <v>9.6544719773798295</v>
          </cell>
          <cell r="MC2434">
            <v>14.087427794132038</v>
          </cell>
        </row>
        <row r="2435">
          <cell r="A2435">
            <v>42935</v>
          </cell>
          <cell r="LJ2435">
            <v>20.745488458474377</v>
          </cell>
          <cell r="LK2435">
            <v>20.020152274152959</v>
          </cell>
          <cell r="LL2435">
            <v>17.982747259685677</v>
          </cell>
          <cell r="LM2435">
            <v>15.721193701553757</v>
          </cell>
          <cell r="LN2435">
            <v>20.244300817817596</v>
          </cell>
          <cell r="LY2435">
            <v>16.331779203609269</v>
          </cell>
          <cell r="LZ2435">
            <v>14.730476692982464</v>
          </cell>
          <cell r="MA2435">
            <v>11.870949885755934</v>
          </cell>
          <cell r="MB2435">
            <v>9.6544719773798295</v>
          </cell>
          <cell r="MC2435">
            <v>14.087427794132038</v>
          </cell>
        </row>
        <row r="2436">
          <cell r="A2436">
            <v>42936</v>
          </cell>
          <cell r="LJ2436">
            <v>20.077219353283819</v>
          </cell>
          <cell r="LK2436">
            <v>20.020152274152959</v>
          </cell>
          <cell r="LL2436">
            <v>17.982747259685677</v>
          </cell>
          <cell r="LM2436">
            <v>15.721193701553757</v>
          </cell>
          <cell r="LN2436">
            <v>20.244300817817596</v>
          </cell>
          <cell r="LY2436">
            <v>15.934045084448224</v>
          </cell>
          <cell r="LZ2436">
            <v>14.730476692982464</v>
          </cell>
          <cell r="MA2436">
            <v>11.870949885755934</v>
          </cell>
          <cell r="MB2436">
            <v>9.6544719773798295</v>
          </cell>
          <cell r="MC2436">
            <v>14.087427794132038</v>
          </cell>
        </row>
        <row r="2437">
          <cell r="A2437">
            <v>42937</v>
          </cell>
          <cell r="LJ2437">
            <v>20.019687189893684</v>
          </cell>
          <cell r="LK2437">
            <v>20.020152274152959</v>
          </cell>
          <cell r="LL2437">
            <v>17.982747259685677</v>
          </cell>
          <cell r="LM2437">
            <v>15.721193701553757</v>
          </cell>
          <cell r="LN2437">
            <v>20.244300817817596</v>
          </cell>
          <cell r="LY2437">
            <v>15.570640278391183</v>
          </cell>
          <cell r="LZ2437">
            <v>14.730476692982464</v>
          </cell>
          <cell r="MA2437">
            <v>11.870949885755934</v>
          </cell>
          <cell r="MB2437">
            <v>9.6544719773798295</v>
          </cell>
          <cell r="MC2437">
            <v>14.087427794132038</v>
          </cell>
        </row>
        <row r="2438">
          <cell r="A2438">
            <v>42940</v>
          </cell>
          <cell r="LJ2438">
            <v>20.014864868124334</v>
          </cell>
          <cell r="LK2438">
            <v>20.020152274152959</v>
          </cell>
          <cell r="LL2438">
            <v>17.982747259685677</v>
          </cell>
          <cell r="LM2438">
            <v>15.721193701553757</v>
          </cell>
          <cell r="LN2438">
            <v>20.244300817817596</v>
          </cell>
          <cell r="LY2438">
            <v>15.567484294288294</v>
          </cell>
          <cell r="LZ2438">
            <v>14.730476692982464</v>
          </cell>
          <cell r="MA2438">
            <v>11.870949885755934</v>
          </cell>
          <cell r="MB2438">
            <v>9.6544719773798295</v>
          </cell>
          <cell r="MC2438">
            <v>14.087427794132038</v>
          </cell>
        </row>
        <row r="2439">
          <cell r="A2439">
            <v>42941</v>
          </cell>
          <cell r="LJ2439">
            <v>19.764168498023263</v>
          </cell>
          <cell r="LK2439">
            <v>20.020152274152959</v>
          </cell>
          <cell r="LL2439">
            <v>17.982747259685677</v>
          </cell>
          <cell r="LM2439">
            <v>15.721193701553757</v>
          </cell>
          <cell r="LN2439">
            <v>20.244300817817596</v>
          </cell>
          <cell r="LY2439">
            <v>15.567484294288294</v>
          </cell>
          <cell r="LZ2439">
            <v>14.730476692982464</v>
          </cell>
          <cell r="MA2439">
            <v>11.870949885755934</v>
          </cell>
          <cell r="MB2439">
            <v>9.6544719773798295</v>
          </cell>
          <cell r="MC2439">
            <v>14.087427794132038</v>
          </cell>
        </row>
        <row r="2440">
          <cell r="A2440">
            <v>42942</v>
          </cell>
          <cell r="LJ2440">
            <v>19.768986962899426</v>
          </cell>
          <cell r="LK2440">
            <v>20.020152274152959</v>
          </cell>
          <cell r="LL2440">
            <v>17.982747259685677</v>
          </cell>
          <cell r="LM2440">
            <v>15.721193701553757</v>
          </cell>
          <cell r="LN2440">
            <v>20.244300817817596</v>
          </cell>
          <cell r="LY2440">
            <v>15.567484294288294</v>
          </cell>
          <cell r="LZ2440">
            <v>14.730476692982464</v>
          </cell>
          <cell r="MA2440">
            <v>11.870949885755934</v>
          </cell>
          <cell r="MB2440">
            <v>9.6544719773798295</v>
          </cell>
          <cell r="MC2440">
            <v>14.087427794132038</v>
          </cell>
        </row>
        <row r="2441">
          <cell r="A2441">
            <v>42943</v>
          </cell>
          <cell r="LJ2441">
            <v>19.56409168156717</v>
          </cell>
          <cell r="LK2441">
            <v>20.020152274152959</v>
          </cell>
          <cell r="LL2441">
            <v>17.982747259685677</v>
          </cell>
          <cell r="LM2441">
            <v>15.721193701553757</v>
          </cell>
          <cell r="LN2441">
            <v>20.244300817817596</v>
          </cell>
          <cell r="LY2441">
            <v>15.567484294288294</v>
          </cell>
          <cell r="LZ2441">
            <v>14.730476692982464</v>
          </cell>
          <cell r="MA2441">
            <v>11.870949885755934</v>
          </cell>
          <cell r="MB2441">
            <v>9.6544719773798295</v>
          </cell>
          <cell r="MC2441">
            <v>14.087427794132038</v>
          </cell>
        </row>
        <row r="2442">
          <cell r="A2442">
            <v>42944</v>
          </cell>
          <cell r="LJ2442">
            <v>19.624388339439843</v>
          </cell>
          <cell r="LK2442">
            <v>20.020152274152959</v>
          </cell>
          <cell r="LL2442">
            <v>17.982747259685677</v>
          </cell>
          <cell r="LM2442">
            <v>15.721193701553757</v>
          </cell>
          <cell r="LN2442">
            <v>20.244300817817596</v>
          </cell>
          <cell r="LY2442">
            <v>15.322372016269904</v>
          </cell>
          <cell r="LZ2442">
            <v>14.730476692982464</v>
          </cell>
          <cell r="MA2442">
            <v>11.870949885755934</v>
          </cell>
          <cell r="MB2442">
            <v>9.6544719773798295</v>
          </cell>
          <cell r="MC2442">
            <v>14.087427794132038</v>
          </cell>
        </row>
        <row r="2443">
          <cell r="A2443">
            <v>42947</v>
          </cell>
          <cell r="LJ2443">
            <v>19.638851295581997</v>
          </cell>
          <cell r="LK2443">
            <v>20.020152274152959</v>
          </cell>
          <cell r="LL2443">
            <v>17.982747259685677</v>
          </cell>
          <cell r="LM2443">
            <v>15.721193701553757</v>
          </cell>
          <cell r="LN2443">
            <v>20.244300817817596</v>
          </cell>
          <cell r="LY2443">
            <v>15.333421571560677</v>
          </cell>
          <cell r="LZ2443">
            <v>14.730476692982464</v>
          </cell>
          <cell r="MA2443">
            <v>11.870949885755934</v>
          </cell>
          <cell r="MB2443">
            <v>9.6544719773798295</v>
          </cell>
          <cell r="MC2443">
            <v>14.087427794132038</v>
          </cell>
        </row>
        <row r="2444">
          <cell r="A2444">
            <v>42948</v>
          </cell>
          <cell r="LJ2444">
            <v>19.343321504705731</v>
          </cell>
          <cell r="LK2444">
            <v>20.020152274152959</v>
          </cell>
          <cell r="LL2444">
            <v>17.982747259685677</v>
          </cell>
          <cell r="LM2444">
            <v>15.721193701553757</v>
          </cell>
          <cell r="LN2444">
            <v>20.244300817817596</v>
          </cell>
          <cell r="LY2444">
            <v>15.121135998267281</v>
          </cell>
          <cell r="LZ2444">
            <v>14.730476692982464</v>
          </cell>
          <cell r="MA2444">
            <v>11.870949885755934</v>
          </cell>
          <cell r="MB2444">
            <v>9.6544719773798295</v>
          </cell>
          <cell r="MC2444">
            <v>14.087427794132038</v>
          </cell>
        </row>
        <row r="2445">
          <cell r="A2445">
            <v>42949</v>
          </cell>
          <cell r="LJ2445">
            <v>19.463601293105395</v>
          </cell>
          <cell r="LK2445">
            <v>20.020152274152959</v>
          </cell>
          <cell r="LL2445">
            <v>17.982747259685677</v>
          </cell>
          <cell r="LM2445">
            <v>15.721193701553757</v>
          </cell>
          <cell r="LN2445">
            <v>20.244300817817596</v>
          </cell>
          <cell r="LY2445">
            <v>15.193238203886294</v>
          </cell>
          <cell r="LZ2445">
            <v>14.730476692982464</v>
          </cell>
          <cell r="MA2445">
            <v>11.870949885755934</v>
          </cell>
          <cell r="MB2445">
            <v>9.6544719773798295</v>
          </cell>
          <cell r="MC2445">
            <v>14.087427794132038</v>
          </cell>
        </row>
        <row r="2446">
          <cell r="A2446">
            <v>42950</v>
          </cell>
          <cell r="LJ2446">
            <v>19.463601293105395</v>
          </cell>
          <cell r="LK2446">
            <v>20.020152274152959</v>
          </cell>
          <cell r="LL2446">
            <v>17.982747259685677</v>
          </cell>
          <cell r="LM2446">
            <v>15.721193701553757</v>
          </cell>
          <cell r="LN2446">
            <v>20.244300817817596</v>
          </cell>
          <cell r="LY2446">
            <v>15.18696707022845</v>
          </cell>
          <cell r="LZ2446">
            <v>14.730476692982464</v>
          </cell>
          <cell r="MA2446">
            <v>11.870949885755934</v>
          </cell>
          <cell r="MB2446">
            <v>9.6544719773798295</v>
          </cell>
          <cell r="MC2446">
            <v>14.087427794132038</v>
          </cell>
        </row>
        <row r="2447">
          <cell r="A2447">
            <v>42951</v>
          </cell>
          <cell r="LJ2447">
            <v>19.398945162837187</v>
          </cell>
          <cell r="LK2447">
            <v>20.020152274152959</v>
          </cell>
          <cell r="LL2447">
            <v>17.982747259685677</v>
          </cell>
          <cell r="LM2447">
            <v>15.721193701553757</v>
          </cell>
          <cell r="LN2447">
            <v>20.244300817817596</v>
          </cell>
          <cell r="LY2447">
            <v>15.15091588904545</v>
          </cell>
          <cell r="LZ2447">
            <v>14.730476692982464</v>
          </cell>
          <cell r="MA2447">
            <v>11.870949885755934</v>
          </cell>
          <cell r="MB2447">
            <v>9.6544719773798295</v>
          </cell>
          <cell r="MC2447">
            <v>14.087427794132038</v>
          </cell>
        </row>
        <row r="2448">
          <cell r="A2448">
            <v>42954</v>
          </cell>
          <cell r="LJ2448">
            <v>19.499519396553673</v>
          </cell>
          <cell r="LK2448">
            <v>20.020152274152959</v>
          </cell>
          <cell r="LL2448">
            <v>17.982747259685677</v>
          </cell>
          <cell r="LM2448">
            <v>15.721193701553757</v>
          </cell>
          <cell r="LN2448">
            <v>20.244300817817596</v>
          </cell>
          <cell r="LY2448">
            <v>15.216749312211496</v>
          </cell>
          <cell r="LZ2448">
            <v>14.730476692982464</v>
          </cell>
          <cell r="MA2448">
            <v>11.870949885755934</v>
          </cell>
          <cell r="MB2448">
            <v>9.6544719773798295</v>
          </cell>
          <cell r="MC2448">
            <v>14.087427794132038</v>
          </cell>
        </row>
        <row r="2449">
          <cell r="A2449">
            <v>42955</v>
          </cell>
          <cell r="LJ2449">
            <v>19.221744492339084</v>
          </cell>
          <cell r="LK2449">
            <v>20.020152274152959</v>
          </cell>
          <cell r="LL2449">
            <v>17.982747259685677</v>
          </cell>
          <cell r="LM2449">
            <v>15.721193701553757</v>
          </cell>
          <cell r="LN2449">
            <v>20.244300817817596</v>
          </cell>
          <cell r="LY2449">
            <v>15.034924682400067</v>
          </cell>
          <cell r="LZ2449">
            <v>14.730476692982464</v>
          </cell>
          <cell r="MA2449">
            <v>11.870949885755934</v>
          </cell>
          <cell r="MB2449">
            <v>9.6544719773798295</v>
          </cell>
          <cell r="MC2449">
            <v>14.087427794132038</v>
          </cell>
        </row>
        <row r="2450">
          <cell r="A2450">
            <v>42956</v>
          </cell>
          <cell r="LJ2450">
            <v>19.212163793105368</v>
          </cell>
          <cell r="LK2450">
            <v>20.020152274152959</v>
          </cell>
          <cell r="LL2450">
            <v>17.982747259685677</v>
          </cell>
          <cell r="LM2450">
            <v>15.721193701553757</v>
          </cell>
          <cell r="LN2450">
            <v>20.244300817817596</v>
          </cell>
          <cell r="LY2450">
            <v>15.028653391995228</v>
          </cell>
          <cell r="LZ2450">
            <v>14.730476692982464</v>
          </cell>
          <cell r="MA2450">
            <v>11.870949885755934</v>
          </cell>
          <cell r="MB2450">
            <v>9.6544719773798295</v>
          </cell>
          <cell r="MC2450">
            <v>14.087427794132038</v>
          </cell>
        </row>
        <row r="2451">
          <cell r="A2451">
            <v>42957</v>
          </cell>
          <cell r="LJ2451">
            <v>18.987067528737526</v>
          </cell>
          <cell r="LK2451">
            <v>20.020152274152959</v>
          </cell>
          <cell r="LL2451">
            <v>17.982747259685677</v>
          </cell>
          <cell r="LM2451">
            <v>15.721193701553757</v>
          </cell>
          <cell r="LN2451">
            <v>20.244300817817596</v>
          </cell>
          <cell r="LY2451">
            <v>14.881310905976406</v>
          </cell>
          <cell r="LZ2451">
            <v>14.730476692982464</v>
          </cell>
          <cell r="MA2451">
            <v>11.870949885755934</v>
          </cell>
          <cell r="MB2451">
            <v>9.6544719773798295</v>
          </cell>
          <cell r="MC2451">
            <v>14.087427794132038</v>
          </cell>
        </row>
        <row r="2452">
          <cell r="A2452">
            <v>42958</v>
          </cell>
          <cell r="LJ2452">
            <v>19.112369483426846</v>
          </cell>
          <cell r="LK2452">
            <v>20.020152274152959</v>
          </cell>
          <cell r="LL2452">
            <v>17.982747259685677</v>
          </cell>
          <cell r="LM2452">
            <v>15.721193701553757</v>
          </cell>
          <cell r="LN2452">
            <v>20.244300817817596</v>
          </cell>
          <cell r="LY2452">
            <v>14.964389006219577</v>
          </cell>
          <cell r="LZ2452">
            <v>14.730476692982464</v>
          </cell>
          <cell r="MA2452">
            <v>11.870949885755934</v>
          </cell>
          <cell r="MB2452">
            <v>9.6544719773798295</v>
          </cell>
          <cell r="MC2452">
            <v>14.087427794132038</v>
          </cell>
        </row>
        <row r="2453">
          <cell r="A2453">
            <v>42961</v>
          </cell>
          <cell r="LJ2453">
            <v>19.306932369851818</v>
          </cell>
          <cell r="LK2453">
            <v>20.020152274152959</v>
          </cell>
          <cell r="LL2453">
            <v>17.982747259685677</v>
          </cell>
          <cell r="LM2453">
            <v>15.721193701553757</v>
          </cell>
          <cell r="LN2453">
            <v>20.244300817817596</v>
          </cell>
          <cell r="LY2453">
            <v>15.086651503269794</v>
          </cell>
          <cell r="LZ2453">
            <v>14.730476692982464</v>
          </cell>
          <cell r="MA2453">
            <v>11.870949885755934</v>
          </cell>
          <cell r="MB2453">
            <v>9.6544719773798295</v>
          </cell>
          <cell r="MC2453">
            <v>14.087427794132038</v>
          </cell>
        </row>
        <row r="2454">
          <cell r="A2454">
            <v>42962</v>
          </cell>
          <cell r="LJ2454">
            <v>19.297348610669445</v>
          </cell>
          <cell r="LK2454">
            <v>20.020152274152959</v>
          </cell>
          <cell r="LL2454">
            <v>17.982747259685677</v>
          </cell>
          <cell r="LM2454">
            <v>15.721193701553757</v>
          </cell>
          <cell r="LN2454">
            <v>20.244300817817596</v>
          </cell>
          <cell r="LY2454">
            <v>15.080380212864956</v>
          </cell>
          <cell r="LZ2454">
            <v>14.730476692982464</v>
          </cell>
          <cell r="MA2454">
            <v>11.870949885755934</v>
          </cell>
          <cell r="MB2454">
            <v>9.6544719773798295</v>
          </cell>
          <cell r="MC2454">
            <v>14.087427794132038</v>
          </cell>
        </row>
        <row r="2455">
          <cell r="A2455">
            <v>42963</v>
          </cell>
          <cell r="LJ2455">
            <v>19.536888693710029</v>
          </cell>
          <cell r="LK2455">
            <v>20.020152274152959</v>
          </cell>
          <cell r="LL2455">
            <v>17.982747259685677</v>
          </cell>
          <cell r="LM2455">
            <v>15.721193701553757</v>
          </cell>
          <cell r="LN2455">
            <v>20.244300817817596</v>
          </cell>
          <cell r="LY2455">
            <v>15.23712720491266</v>
          </cell>
          <cell r="LZ2455">
            <v>14.730476692982464</v>
          </cell>
          <cell r="MA2455">
            <v>11.870949885755934</v>
          </cell>
          <cell r="MB2455">
            <v>9.6544719773798295</v>
          </cell>
          <cell r="MC2455">
            <v>14.087427794132038</v>
          </cell>
        </row>
        <row r="2456">
          <cell r="A2456">
            <v>42964</v>
          </cell>
          <cell r="LJ2456">
            <v>19.381189076974149</v>
          </cell>
          <cell r="LK2456">
            <v>20.020152274152959</v>
          </cell>
          <cell r="LL2456">
            <v>17.982747259685677</v>
          </cell>
          <cell r="LM2456">
            <v>15.721193701553757</v>
          </cell>
          <cell r="LN2456">
            <v>20.244300817817596</v>
          </cell>
          <cell r="LY2456">
            <v>15.135240249358723</v>
          </cell>
          <cell r="LZ2456">
            <v>14.730476692982464</v>
          </cell>
          <cell r="MA2456">
            <v>11.870949885755934</v>
          </cell>
          <cell r="MB2456">
            <v>9.6544719773798295</v>
          </cell>
          <cell r="MC2456">
            <v>14.087427794132038</v>
          </cell>
        </row>
        <row r="2457">
          <cell r="A2457">
            <v>42965</v>
          </cell>
          <cell r="LJ2457">
            <v>19.371605557331861</v>
          </cell>
          <cell r="LK2457">
            <v>20.020152274152959</v>
          </cell>
          <cell r="LL2457">
            <v>17.982747259685677</v>
          </cell>
          <cell r="LM2457">
            <v>15.721193701553757</v>
          </cell>
          <cell r="LN2457">
            <v>20.244300817817596</v>
          </cell>
          <cell r="LY2457">
            <v>15.128971466905762</v>
          </cell>
          <cell r="LZ2457">
            <v>14.730476692982464</v>
          </cell>
          <cell r="MA2457">
            <v>11.870949885755934</v>
          </cell>
          <cell r="MB2457">
            <v>9.6544719773798295</v>
          </cell>
          <cell r="MC2457">
            <v>14.087427794132038</v>
          </cell>
        </row>
        <row r="2458">
          <cell r="A2458">
            <v>42968</v>
          </cell>
          <cell r="LJ2458">
            <v>19.421910412010881</v>
          </cell>
          <cell r="LK2458">
            <v>20.020152274152959</v>
          </cell>
          <cell r="LL2458">
            <v>17.982747259685677</v>
          </cell>
          <cell r="LM2458">
            <v>15.721193701553757</v>
          </cell>
          <cell r="LN2458">
            <v>20.244300817817596</v>
          </cell>
          <cell r="LY2458">
            <v>15.16188927571773</v>
          </cell>
          <cell r="LZ2458">
            <v>14.730476692982464</v>
          </cell>
          <cell r="MA2458">
            <v>11.870949885755934</v>
          </cell>
          <cell r="MB2458">
            <v>9.6544719773798295</v>
          </cell>
          <cell r="MC2458">
            <v>14.087427794132038</v>
          </cell>
        </row>
        <row r="2459">
          <cell r="A2459">
            <v>42969</v>
          </cell>
          <cell r="LJ2459">
            <v>19.766848850209577</v>
          </cell>
          <cell r="LK2459">
            <v>20.020152274152959</v>
          </cell>
          <cell r="LL2459">
            <v>17.982747259685677</v>
          </cell>
          <cell r="LM2459">
            <v>15.721193701553757</v>
          </cell>
          <cell r="LN2459">
            <v>20.244300817817596</v>
          </cell>
          <cell r="LY2459">
            <v>15.387605414507401</v>
          </cell>
          <cell r="LZ2459">
            <v>14.730476692982464</v>
          </cell>
          <cell r="MA2459">
            <v>11.870949885755934</v>
          </cell>
          <cell r="MB2459">
            <v>9.6544719773798295</v>
          </cell>
          <cell r="MC2459">
            <v>14.087427794132038</v>
          </cell>
        </row>
        <row r="2460">
          <cell r="A2460">
            <v>42970</v>
          </cell>
          <cell r="LJ2460">
            <v>19.599171510701417</v>
          </cell>
          <cell r="LK2460">
            <v>20.020152274152959</v>
          </cell>
          <cell r="LL2460">
            <v>17.982747259685677</v>
          </cell>
          <cell r="LM2460">
            <v>15.721193701553757</v>
          </cell>
          <cell r="LN2460">
            <v>20.244300817817596</v>
          </cell>
          <cell r="LY2460">
            <v>15.277882990314982</v>
          </cell>
          <cell r="LZ2460">
            <v>14.730476692982464</v>
          </cell>
          <cell r="MA2460">
            <v>11.870949885755934</v>
          </cell>
          <cell r="MB2460">
            <v>9.6544719773798295</v>
          </cell>
          <cell r="MC2460">
            <v>14.087427794132038</v>
          </cell>
        </row>
        <row r="2461">
          <cell r="A2461">
            <v>42971</v>
          </cell>
          <cell r="LJ2461">
            <v>19.596773714470178</v>
          </cell>
          <cell r="LK2461">
            <v>20.020152274152959</v>
          </cell>
          <cell r="LL2461">
            <v>17.982747259685677</v>
          </cell>
          <cell r="LM2461">
            <v>15.721193701553757</v>
          </cell>
          <cell r="LN2461">
            <v>20.244300817817596</v>
          </cell>
          <cell r="LY2461">
            <v>15.276313952924584</v>
          </cell>
          <cell r="LZ2461">
            <v>14.730476692982464</v>
          </cell>
          <cell r="MA2461">
            <v>11.870949885755934</v>
          </cell>
          <cell r="MB2461">
            <v>9.6544719773798295</v>
          </cell>
          <cell r="MC2461">
            <v>14.087427794132038</v>
          </cell>
        </row>
        <row r="2462">
          <cell r="A2462">
            <v>42972</v>
          </cell>
          <cell r="LJ2462">
            <v>19.681399928137076</v>
          </cell>
          <cell r="LK2462">
            <v>20.020152274152959</v>
          </cell>
          <cell r="LL2462">
            <v>17.982747259685677</v>
          </cell>
          <cell r="LM2462">
            <v>15.721193701553757</v>
          </cell>
          <cell r="LN2462">
            <v>20.244300817817596</v>
          </cell>
          <cell r="LY2462">
            <v>15.331176340623234</v>
          </cell>
          <cell r="LZ2462">
            <v>14.730476692982464</v>
          </cell>
          <cell r="MA2462">
            <v>11.870949885755934</v>
          </cell>
          <cell r="MB2462">
            <v>9.6544719773798295</v>
          </cell>
          <cell r="MC2462">
            <v>14.087427794132038</v>
          </cell>
        </row>
        <row r="2463">
          <cell r="A2463">
            <v>42975</v>
          </cell>
          <cell r="LJ2463">
            <v>19.731703437539402</v>
          </cell>
          <cell r="LK2463">
            <v>20.020152274152959</v>
          </cell>
          <cell r="LL2463">
            <v>17.982747259685677</v>
          </cell>
          <cell r="LM2463">
            <v>15.721193701553757</v>
          </cell>
          <cell r="LN2463">
            <v>20.244300817817596</v>
          </cell>
          <cell r="LY2463">
            <v>15.364091954977315</v>
          </cell>
          <cell r="LZ2463">
            <v>14.730476692982464</v>
          </cell>
          <cell r="MA2463">
            <v>11.870949885755934</v>
          </cell>
          <cell r="MB2463">
            <v>9.6544719773798295</v>
          </cell>
          <cell r="MC2463">
            <v>14.087427794132038</v>
          </cell>
        </row>
        <row r="2464">
          <cell r="A2464">
            <v>42976</v>
          </cell>
          <cell r="LJ2464">
            <v>19.640676967303435</v>
          </cell>
          <cell r="LK2464">
            <v>20.020152274152959</v>
          </cell>
          <cell r="LL2464">
            <v>17.982747259685677</v>
          </cell>
          <cell r="LM2464">
            <v>15.721193701553757</v>
          </cell>
          <cell r="LN2464">
            <v>20.244300817817596</v>
          </cell>
          <cell r="LY2464">
            <v>15.304529665469108</v>
          </cell>
          <cell r="LZ2464">
            <v>14.730476692982464</v>
          </cell>
          <cell r="MA2464">
            <v>11.870949885755934</v>
          </cell>
          <cell r="MB2464">
            <v>9.6544719773798295</v>
          </cell>
          <cell r="MC2464">
            <v>14.087427794132038</v>
          </cell>
        </row>
        <row r="2465">
          <cell r="A2465">
            <v>42977</v>
          </cell>
          <cell r="LJ2465">
            <v>19.676607977005201</v>
          </cell>
          <cell r="LK2465">
            <v>20.020152274152959</v>
          </cell>
          <cell r="LL2465">
            <v>17.982747259685677</v>
          </cell>
          <cell r="LM2465">
            <v>15.721193701553757</v>
          </cell>
          <cell r="LN2465">
            <v>20.244300817817596</v>
          </cell>
          <cell r="LY2465">
            <v>15.328040773794314</v>
          </cell>
          <cell r="LZ2465">
            <v>14.730476692982464</v>
          </cell>
          <cell r="MA2465">
            <v>11.870949885755934</v>
          </cell>
          <cell r="MB2465">
            <v>9.6544719773798295</v>
          </cell>
          <cell r="MC2465">
            <v>14.087427794132038</v>
          </cell>
        </row>
        <row r="2466">
          <cell r="A2466">
            <v>42978</v>
          </cell>
          <cell r="LJ2466">
            <v>19.983231285185852</v>
          </cell>
          <cell r="LK2466">
            <v>20.020152274152959</v>
          </cell>
          <cell r="LL2466">
            <v>17.982747259685677</v>
          </cell>
          <cell r="LM2466">
            <v>15.721193701553757</v>
          </cell>
          <cell r="LN2466">
            <v>20.244300817817596</v>
          </cell>
          <cell r="LY2466">
            <v>15.528676766868381</v>
          </cell>
          <cell r="LZ2466">
            <v>14.730476692982464</v>
          </cell>
          <cell r="MA2466">
            <v>11.870949885755934</v>
          </cell>
          <cell r="MB2466">
            <v>9.6544719773798295</v>
          </cell>
          <cell r="MC2466">
            <v>14.087427794132038</v>
          </cell>
        </row>
        <row r="2467">
          <cell r="A2467">
            <v>42979</v>
          </cell>
          <cell r="LJ2467">
            <v>19.80369900660282</v>
          </cell>
          <cell r="LK2467">
            <v>20.020152274152959</v>
          </cell>
          <cell r="LL2467">
            <v>17.982747259685677</v>
          </cell>
          <cell r="LM2467">
            <v>15.721193701553757</v>
          </cell>
          <cell r="LN2467">
            <v>20.244300817817596</v>
          </cell>
          <cell r="LY2467">
            <v>15.392786272901208</v>
          </cell>
          <cell r="LZ2467">
            <v>14.730476692982464</v>
          </cell>
          <cell r="MA2467">
            <v>11.870949885755934</v>
          </cell>
          <cell r="MB2467">
            <v>9.6544719773798295</v>
          </cell>
          <cell r="MC2467">
            <v>14.087427794132038</v>
          </cell>
        </row>
        <row r="2468">
          <cell r="A2468">
            <v>42982</v>
          </cell>
          <cell r="LJ2468">
            <v>19.80369900660282</v>
          </cell>
          <cell r="LK2468">
            <v>20.020152274152959</v>
          </cell>
          <cell r="LL2468">
            <v>17.982747259685677</v>
          </cell>
          <cell r="LM2468">
            <v>15.721193701553757</v>
          </cell>
          <cell r="LN2468">
            <v>20.244300817817596</v>
          </cell>
          <cell r="LY2468">
            <v>15.392786272901208</v>
          </cell>
          <cell r="LZ2468">
            <v>14.730476692982464</v>
          </cell>
          <cell r="MA2468">
            <v>11.870949885755934</v>
          </cell>
          <cell r="MB2468">
            <v>9.6544719773798295</v>
          </cell>
          <cell r="MC2468">
            <v>14.087427794132038</v>
          </cell>
        </row>
        <row r="2469">
          <cell r="A2469">
            <v>42983</v>
          </cell>
          <cell r="LJ2469">
            <v>19.763249776931769</v>
          </cell>
          <cell r="LK2469">
            <v>20.020152274152959</v>
          </cell>
          <cell r="LL2469">
            <v>17.982747259685677</v>
          </cell>
          <cell r="LM2469">
            <v>15.721193701553757</v>
          </cell>
          <cell r="LN2469">
            <v>20.244300817817596</v>
          </cell>
          <cell r="LY2469">
            <v>15.36632202546598</v>
          </cell>
          <cell r="LZ2469">
            <v>14.730476692982464</v>
          </cell>
          <cell r="MA2469">
            <v>11.870949885755934</v>
          </cell>
          <cell r="MB2469">
            <v>9.6544719773798295</v>
          </cell>
          <cell r="MC2469">
            <v>14.087427794132038</v>
          </cell>
        </row>
        <row r="2470">
          <cell r="A2470">
            <v>42984</v>
          </cell>
          <cell r="LJ2470">
            <v>19.991673309142822</v>
          </cell>
          <cell r="LK2470">
            <v>20.020152274152959</v>
          </cell>
          <cell r="LL2470">
            <v>17.982747259685677</v>
          </cell>
          <cell r="LM2470">
            <v>15.721193701553757</v>
          </cell>
          <cell r="LN2470">
            <v>20.244300817817596</v>
          </cell>
          <cell r="LY2470">
            <v>15.515770035369343</v>
          </cell>
          <cell r="LZ2470">
            <v>14.730476692982464</v>
          </cell>
          <cell r="MA2470">
            <v>11.870949885755934</v>
          </cell>
          <cell r="MB2470">
            <v>9.6544719773798295</v>
          </cell>
          <cell r="MC2470">
            <v>14.087427794132038</v>
          </cell>
        </row>
        <row r="2471">
          <cell r="A2471">
            <v>42985</v>
          </cell>
          <cell r="LJ2471">
            <v>20.248648384986023</v>
          </cell>
          <cell r="LK2471">
            <v>20.020152274152959</v>
          </cell>
          <cell r="LL2471">
            <v>17.982747259685677</v>
          </cell>
          <cell r="LM2471">
            <v>15.721193701553757</v>
          </cell>
          <cell r="LN2471">
            <v>20.244300817817596</v>
          </cell>
          <cell r="LY2471">
            <v>15.6838956411446</v>
          </cell>
          <cell r="LZ2471">
            <v>14.730476692982464</v>
          </cell>
          <cell r="MA2471">
            <v>11.870949885755934</v>
          </cell>
          <cell r="MB2471">
            <v>9.6544719773798295</v>
          </cell>
          <cell r="MC2471">
            <v>14.087427794132038</v>
          </cell>
        </row>
        <row r="2472">
          <cell r="A2472">
            <v>42986</v>
          </cell>
          <cell r="LJ2472">
            <v>20.64362500743561</v>
          </cell>
          <cell r="LK2472">
            <v>20.020152274152959</v>
          </cell>
          <cell r="LL2472">
            <v>17.982747259685677</v>
          </cell>
          <cell r="LM2472">
            <v>15.721193701553757</v>
          </cell>
          <cell r="LN2472">
            <v>20.244300817817596</v>
          </cell>
          <cell r="LY2472">
            <v>15.942729321141949</v>
          </cell>
          <cell r="LZ2472">
            <v>14.730476692982464</v>
          </cell>
          <cell r="MA2472">
            <v>11.870949885755934</v>
          </cell>
          <cell r="MB2472">
            <v>9.6544719773798295</v>
          </cell>
          <cell r="MC2472">
            <v>14.087427794132038</v>
          </cell>
        </row>
        <row r="2473">
          <cell r="A2473">
            <v>42989</v>
          </cell>
          <cell r="LJ2473">
            <v>20.717389328415919</v>
          </cell>
          <cell r="LK2473">
            <v>20.020152274152959</v>
          </cell>
          <cell r="LL2473">
            <v>17.982747259685677</v>
          </cell>
          <cell r="LM2473">
            <v>15.721193701553757</v>
          </cell>
          <cell r="LN2473">
            <v>20.244300817817596</v>
          </cell>
          <cell r="LY2473">
            <v>15.990991500767331</v>
          </cell>
          <cell r="LZ2473">
            <v>14.730476692982464</v>
          </cell>
          <cell r="MA2473">
            <v>11.870949885755934</v>
          </cell>
          <cell r="MB2473">
            <v>9.6544719773798295</v>
          </cell>
          <cell r="MC2473">
            <v>14.087427794132038</v>
          </cell>
        </row>
        <row r="2474">
          <cell r="A2474">
            <v>42990</v>
          </cell>
          <cell r="LJ2474">
            <v>20.764976503479865</v>
          </cell>
          <cell r="LK2474">
            <v>20.020152274152959</v>
          </cell>
          <cell r="LL2474">
            <v>17.982747259685677</v>
          </cell>
          <cell r="LM2474">
            <v>15.721193701553757</v>
          </cell>
          <cell r="LN2474">
            <v>20.244300817817596</v>
          </cell>
          <cell r="LY2474">
            <v>16.022126618128663</v>
          </cell>
          <cell r="LZ2474">
            <v>14.730476692982464</v>
          </cell>
          <cell r="MA2474">
            <v>11.870949885755934</v>
          </cell>
          <cell r="MB2474">
            <v>9.6544719773798295</v>
          </cell>
          <cell r="MC2474">
            <v>14.087427794132038</v>
          </cell>
        </row>
        <row r="2475">
          <cell r="A2475">
            <v>42991</v>
          </cell>
          <cell r="LJ2475">
            <v>20.760308406210957</v>
          </cell>
          <cell r="LK2475">
            <v>20.020152274152959</v>
          </cell>
          <cell r="LL2475">
            <v>17.982747259685677</v>
          </cell>
          <cell r="LM2475">
            <v>15.721193701553757</v>
          </cell>
          <cell r="LN2475">
            <v>20.244300817817596</v>
          </cell>
          <cell r="LY2475">
            <v>16.012934988421268</v>
          </cell>
          <cell r="LZ2475">
            <v>14.730476692982464</v>
          </cell>
          <cell r="MA2475">
            <v>11.870949885755934</v>
          </cell>
          <cell r="MB2475">
            <v>9.6544719773798295</v>
          </cell>
          <cell r="MC2475">
            <v>14.087427794132038</v>
          </cell>
        </row>
        <row r="2476">
          <cell r="A2476">
            <v>42992</v>
          </cell>
          <cell r="LJ2476">
            <v>21.048247248497827</v>
          </cell>
          <cell r="LK2476">
            <v>20.020152274152959</v>
          </cell>
          <cell r="LL2476">
            <v>17.982747259685677</v>
          </cell>
          <cell r="LM2476">
            <v>15.721193701553757</v>
          </cell>
          <cell r="LN2476">
            <v>20.244300817817596</v>
          </cell>
          <cell r="LY2476">
            <v>16.201250699669725</v>
          </cell>
          <cell r="LZ2476">
            <v>14.730476692982464</v>
          </cell>
          <cell r="MA2476">
            <v>11.870949885755934</v>
          </cell>
          <cell r="MB2476">
            <v>9.6544719773798295</v>
          </cell>
          <cell r="MC2476">
            <v>14.087427794132038</v>
          </cell>
        </row>
        <row r="2477">
          <cell r="A2477">
            <v>42993</v>
          </cell>
          <cell r="LJ2477">
            <v>20.991137366886786</v>
          </cell>
          <cell r="LK2477">
            <v>20.020152274152959</v>
          </cell>
          <cell r="LL2477">
            <v>17.982747259685677</v>
          </cell>
          <cell r="LM2477">
            <v>15.721193701553757</v>
          </cell>
          <cell r="LN2477">
            <v>20.244300817817596</v>
          </cell>
          <cell r="LY2477">
            <v>16.163900101572288</v>
          </cell>
          <cell r="LZ2477">
            <v>14.730476692982464</v>
          </cell>
          <cell r="MA2477">
            <v>11.870949885755934</v>
          </cell>
          <cell r="MB2477">
            <v>9.6544719773798295</v>
          </cell>
          <cell r="MC2477">
            <v>14.087427794132038</v>
          </cell>
        </row>
        <row r="2478">
          <cell r="A2478">
            <v>42996</v>
          </cell>
          <cell r="LJ2478">
            <v>20.967339163543336</v>
          </cell>
          <cell r="LK2478">
            <v>20.020152274152959</v>
          </cell>
          <cell r="LL2478">
            <v>17.982747259685677</v>
          </cell>
          <cell r="LM2478">
            <v>15.721193701553757</v>
          </cell>
          <cell r="LN2478">
            <v>20.244300817817596</v>
          </cell>
          <cell r="LY2478">
            <v>16.148335770086259</v>
          </cell>
          <cell r="LZ2478">
            <v>14.730476692982464</v>
          </cell>
          <cell r="MA2478">
            <v>11.870949885755934</v>
          </cell>
          <cell r="MB2478">
            <v>9.6544719773798295</v>
          </cell>
          <cell r="MC2478">
            <v>14.087427794132038</v>
          </cell>
        </row>
        <row r="2479">
          <cell r="A2479">
            <v>42997</v>
          </cell>
          <cell r="LJ2479">
            <v>20.672257957046821</v>
          </cell>
          <cell r="LK2479">
            <v>20.020152274152959</v>
          </cell>
          <cell r="LL2479">
            <v>17.982747259685677</v>
          </cell>
          <cell r="LM2479">
            <v>15.721193701553757</v>
          </cell>
          <cell r="LN2479">
            <v>20.244300817817596</v>
          </cell>
          <cell r="LY2479">
            <v>15.955348860657473</v>
          </cell>
          <cell r="LZ2479">
            <v>14.730476692982464</v>
          </cell>
          <cell r="MA2479">
            <v>11.870949885755934</v>
          </cell>
          <cell r="MB2479">
            <v>9.6544719773798295</v>
          </cell>
          <cell r="MC2479">
            <v>14.087427794132038</v>
          </cell>
        </row>
        <row r="2480">
          <cell r="A2480">
            <v>42998</v>
          </cell>
          <cell r="LJ2480">
            <v>20.575464961801771</v>
          </cell>
          <cell r="LK2480">
            <v>20.020152274152959</v>
          </cell>
          <cell r="LL2480">
            <v>17.982747259685677</v>
          </cell>
          <cell r="LM2480">
            <v>15.721193701553757</v>
          </cell>
          <cell r="LN2480">
            <v>20.244300817817596</v>
          </cell>
          <cell r="LY2480">
            <v>15.891535301774335</v>
          </cell>
          <cell r="LZ2480">
            <v>14.730476692982464</v>
          </cell>
          <cell r="MA2480">
            <v>11.870949885755934</v>
          </cell>
          <cell r="MB2480">
            <v>9.6544719773798295</v>
          </cell>
          <cell r="MC2480">
            <v>14.087427794132038</v>
          </cell>
        </row>
        <row r="2481">
          <cell r="A2481">
            <v>42999</v>
          </cell>
          <cell r="LJ2481">
            <v>20.565943990999724</v>
          </cell>
          <cell r="LK2481">
            <v>20.020152274152959</v>
          </cell>
          <cell r="LL2481">
            <v>17.982747259685677</v>
          </cell>
          <cell r="LM2481">
            <v>15.721193701553757</v>
          </cell>
          <cell r="LN2481">
            <v>20.244300817817596</v>
          </cell>
          <cell r="LY2481">
            <v>15.885308699722104</v>
          </cell>
          <cell r="LZ2481">
            <v>14.730476692982464</v>
          </cell>
          <cell r="MA2481">
            <v>11.870949885755934</v>
          </cell>
          <cell r="MB2481">
            <v>9.6544719773798295</v>
          </cell>
          <cell r="MC2481">
            <v>14.087427794132038</v>
          </cell>
        </row>
        <row r="2482">
          <cell r="A2482">
            <v>43000</v>
          </cell>
          <cell r="LJ2482">
            <v>20.651615593897564</v>
          </cell>
          <cell r="LK2482">
            <v>20.020152274152959</v>
          </cell>
          <cell r="LL2482">
            <v>17.982747259685677</v>
          </cell>
          <cell r="LM2482">
            <v>15.721193701553757</v>
          </cell>
          <cell r="LN2482">
            <v>20.244300817817596</v>
          </cell>
          <cell r="LY2482">
            <v>15.9413369125496</v>
          </cell>
          <cell r="LZ2482">
            <v>14.730476692982464</v>
          </cell>
          <cell r="MA2482">
            <v>11.870949885755934</v>
          </cell>
          <cell r="MB2482">
            <v>9.6544719773798295</v>
          </cell>
          <cell r="MC2482">
            <v>14.087427794132038</v>
          </cell>
        </row>
        <row r="2483">
          <cell r="A2483">
            <v>43003</v>
          </cell>
          <cell r="LJ2483">
            <v>20.470171271066718</v>
          </cell>
          <cell r="LK2483">
            <v>20.020152274152959</v>
          </cell>
          <cell r="LL2483">
            <v>17.982747259685677</v>
          </cell>
          <cell r="LM2483">
            <v>15.721193701553757</v>
          </cell>
          <cell r="LN2483">
            <v>20.244300817817596</v>
          </cell>
          <cell r="LY2483">
            <v>15.819942607057285</v>
          </cell>
          <cell r="LZ2483">
            <v>14.730476692982464</v>
          </cell>
          <cell r="MA2483">
            <v>11.870949885755934</v>
          </cell>
          <cell r="MB2483">
            <v>9.6544719773798295</v>
          </cell>
          <cell r="MC2483">
            <v>14.087427794132038</v>
          </cell>
        </row>
        <row r="2484">
          <cell r="A2484">
            <v>43004</v>
          </cell>
          <cell r="LJ2484">
            <v>20.342777195905736</v>
          </cell>
          <cell r="LK2484">
            <v>20.020152274152959</v>
          </cell>
          <cell r="LL2484">
            <v>17.982747259685677</v>
          </cell>
          <cell r="LM2484">
            <v>15.721193701553757</v>
          </cell>
          <cell r="LN2484">
            <v>20.244300817817596</v>
          </cell>
          <cell r="LY2484">
            <v>15.739773187649361</v>
          </cell>
          <cell r="LZ2484">
            <v>14.730476692982464</v>
          </cell>
          <cell r="MA2484">
            <v>11.870949885755934</v>
          </cell>
          <cell r="MB2484">
            <v>9.6544719773798295</v>
          </cell>
          <cell r="MC2484">
            <v>14.087427794132038</v>
          </cell>
        </row>
        <row r="2485">
          <cell r="A2485">
            <v>43005</v>
          </cell>
          <cell r="LJ2485">
            <v>20.342777195905736</v>
          </cell>
          <cell r="LK2485">
            <v>20.020152274152959</v>
          </cell>
          <cell r="LL2485">
            <v>17.982747259685677</v>
          </cell>
          <cell r="LM2485">
            <v>15.721193701553757</v>
          </cell>
          <cell r="LN2485">
            <v>20.244300817817596</v>
          </cell>
          <cell r="LY2485">
            <v>15.739773187649361</v>
          </cell>
          <cell r="LZ2485">
            <v>14.730476692982464</v>
          </cell>
          <cell r="MA2485">
            <v>11.870949885755934</v>
          </cell>
          <cell r="MB2485">
            <v>9.6544719773798295</v>
          </cell>
          <cell r="MC2485">
            <v>14.087427794132038</v>
          </cell>
        </row>
        <row r="2486">
          <cell r="A2486">
            <v>43006</v>
          </cell>
          <cell r="LJ2486">
            <v>20.242797905260648</v>
          </cell>
          <cell r="LK2486">
            <v>20.020152274152959</v>
          </cell>
          <cell r="LL2486">
            <v>17.982747259685677</v>
          </cell>
          <cell r="LM2486">
            <v>15.721193701553757</v>
          </cell>
          <cell r="LN2486">
            <v>20.244300817817596</v>
          </cell>
          <cell r="LY2486">
            <v>15.674388832280185</v>
          </cell>
          <cell r="LZ2486">
            <v>14.730476692982464</v>
          </cell>
          <cell r="MA2486">
            <v>11.870949885755934</v>
          </cell>
          <cell r="MB2486">
            <v>9.6544719773798295</v>
          </cell>
          <cell r="MC2486">
            <v>14.087427794132038</v>
          </cell>
        </row>
        <row r="2487">
          <cell r="A2487">
            <v>43007</v>
          </cell>
          <cell r="LJ2487">
            <v>20.418583100753974</v>
          </cell>
          <cell r="LK2487">
            <v>20.020152274152959</v>
          </cell>
          <cell r="LL2487">
            <v>17.982747259685677</v>
          </cell>
          <cell r="LM2487">
            <v>15.721193701553757</v>
          </cell>
          <cell r="LN2487">
            <v>20.244300817817596</v>
          </cell>
          <cell r="LY2487">
            <v>15.789587052085198</v>
          </cell>
          <cell r="LZ2487">
            <v>14.730476692982464</v>
          </cell>
          <cell r="MA2487">
            <v>11.870949885755934</v>
          </cell>
          <cell r="MB2487">
            <v>9.6544719773798295</v>
          </cell>
          <cell r="MC2487">
            <v>14.087427794132038</v>
          </cell>
        </row>
        <row r="2488">
          <cell r="A2488">
            <v>43010</v>
          </cell>
          <cell r="LJ2488">
            <v>20.432969770922217</v>
          </cell>
          <cell r="LK2488">
            <v>20.020152274152959</v>
          </cell>
          <cell r="LL2488">
            <v>17.982747259685677</v>
          </cell>
          <cell r="LM2488">
            <v>15.721193701553757</v>
          </cell>
          <cell r="LN2488">
            <v>20.244300817817596</v>
          </cell>
          <cell r="LY2488">
            <v>15.799110287228741</v>
          </cell>
          <cell r="LZ2488">
            <v>14.730476692982464</v>
          </cell>
          <cell r="MA2488">
            <v>11.870949885755934</v>
          </cell>
          <cell r="MB2488">
            <v>9.6544719773798295</v>
          </cell>
          <cell r="MC2488">
            <v>14.087427794132038</v>
          </cell>
        </row>
        <row r="2489">
          <cell r="A2489">
            <v>43011</v>
          </cell>
          <cell r="LJ2489">
            <v>20.432969770922217</v>
          </cell>
          <cell r="LK2489">
            <v>20.020152274152959</v>
          </cell>
          <cell r="LL2489">
            <v>17.982747259685677</v>
          </cell>
          <cell r="LM2489">
            <v>15.721193701553757</v>
          </cell>
          <cell r="LN2489">
            <v>20.244300817817596</v>
          </cell>
          <cell r="LY2489">
            <v>15.799110287228741</v>
          </cell>
          <cell r="LZ2489">
            <v>14.730476692982464</v>
          </cell>
          <cell r="MA2489">
            <v>11.870949885755934</v>
          </cell>
          <cell r="MB2489">
            <v>9.6544719773798295</v>
          </cell>
          <cell r="MC2489">
            <v>14.087427794132038</v>
          </cell>
        </row>
        <row r="2490">
          <cell r="A2490">
            <v>43012</v>
          </cell>
          <cell r="LJ2490">
            <v>20.517989057704874</v>
          </cell>
          <cell r="LK2490">
            <v>20.020152274152959</v>
          </cell>
          <cell r="LL2490">
            <v>17.982747259685677</v>
          </cell>
          <cell r="LM2490">
            <v>15.721193701553757</v>
          </cell>
          <cell r="LN2490">
            <v>20.244300817817596</v>
          </cell>
          <cell r="LY2490">
            <v>15.854777609963078</v>
          </cell>
          <cell r="LZ2490">
            <v>14.730476692982464</v>
          </cell>
          <cell r="MA2490">
            <v>11.870949885755934</v>
          </cell>
          <cell r="MB2490">
            <v>9.6544719773798295</v>
          </cell>
          <cell r="MC2490">
            <v>14.087427794132038</v>
          </cell>
        </row>
        <row r="2491">
          <cell r="A2491">
            <v>43013</v>
          </cell>
          <cell r="LJ2491">
            <v>20.517989057704874</v>
          </cell>
          <cell r="LK2491">
            <v>20.020152274152959</v>
          </cell>
          <cell r="LL2491">
            <v>17.982747259685677</v>
          </cell>
          <cell r="LM2491">
            <v>15.721193701553757</v>
          </cell>
          <cell r="LN2491">
            <v>20.244300817817596</v>
          </cell>
          <cell r="LY2491">
            <v>15.854777609963078</v>
          </cell>
          <cell r="LZ2491">
            <v>14.730476692982464</v>
          </cell>
          <cell r="MA2491">
            <v>11.870949885755934</v>
          </cell>
          <cell r="MB2491">
            <v>9.6544719773798295</v>
          </cell>
          <cell r="MC2491">
            <v>14.087427794132038</v>
          </cell>
        </row>
        <row r="2492">
          <cell r="A2492">
            <v>43014</v>
          </cell>
          <cell r="LJ2492">
            <v>20.689159735589364</v>
          </cell>
          <cell r="LK2492">
            <v>20.020152274152959</v>
          </cell>
          <cell r="LL2492">
            <v>17.982747259685677</v>
          </cell>
          <cell r="LM2492">
            <v>15.721193701553757</v>
          </cell>
          <cell r="LN2492">
            <v>20.244300817817596</v>
          </cell>
          <cell r="LY2492">
            <v>15.966464958041522</v>
          </cell>
          <cell r="LZ2492">
            <v>14.730476692982464</v>
          </cell>
          <cell r="MA2492">
            <v>11.870949885755934</v>
          </cell>
          <cell r="MB2492">
            <v>9.6544719773798295</v>
          </cell>
          <cell r="MC2492">
            <v>14.087427794132038</v>
          </cell>
        </row>
        <row r="2493">
          <cell r="A2493">
            <v>43017</v>
          </cell>
          <cell r="LJ2493">
            <v>20.538892997001657</v>
          </cell>
          <cell r="LK2493">
            <v>20.020152274152959</v>
          </cell>
          <cell r="LL2493">
            <v>17.982747259685677</v>
          </cell>
          <cell r="LM2493">
            <v>15.721193701553757</v>
          </cell>
          <cell r="LN2493">
            <v>20.244300817817596</v>
          </cell>
          <cell r="LY2493">
            <v>15.890385534605384</v>
          </cell>
          <cell r="LZ2493">
            <v>14.730476692982464</v>
          </cell>
          <cell r="MA2493">
            <v>11.870949885755934</v>
          </cell>
          <cell r="MB2493">
            <v>9.6544719773798295</v>
          </cell>
          <cell r="MC2493">
            <v>14.087427794132038</v>
          </cell>
        </row>
        <row r="2494">
          <cell r="A2494">
            <v>43018</v>
          </cell>
          <cell r="LJ2494">
            <v>20.571932696560658</v>
          </cell>
          <cell r="LK2494">
            <v>20.020152274152959</v>
          </cell>
          <cell r="LL2494">
            <v>17.982747259685677</v>
          </cell>
          <cell r="LM2494">
            <v>15.721193701553757</v>
          </cell>
          <cell r="LN2494">
            <v>20.244300817817596</v>
          </cell>
          <cell r="LY2494">
            <v>15.913014821311604</v>
          </cell>
          <cell r="LZ2494">
            <v>14.730476692982464</v>
          </cell>
          <cell r="MA2494">
            <v>11.870949885755934</v>
          </cell>
          <cell r="MB2494">
            <v>9.6544719773798295</v>
          </cell>
          <cell r="MC2494">
            <v>14.087427794132038</v>
          </cell>
        </row>
        <row r="2495">
          <cell r="A2495">
            <v>43019</v>
          </cell>
          <cell r="LJ2495">
            <v>20.522375035204988</v>
          </cell>
          <cell r="LK2495">
            <v>20.020152274152959</v>
          </cell>
          <cell r="LL2495">
            <v>17.982747259685677</v>
          </cell>
          <cell r="LM2495">
            <v>15.721193701553757</v>
          </cell>
          <cell r="LN2495">
            <v>20.244300817817596</v>
          </cell>
          <cell r="LY2495">
            <v>15.880514751538913</v>
          </cell>
          <cell r="LZ2495">
            <v>14.730476692982464</v>
          </cell>
          <cell r="MA2495">
            <v>11.870949885755934</v>
          </cell>
          <cell r="MB2495">
            <v>9.6544719773798295</v>
          </cell>
          <cell r="MC2495">
            <v>14.087427794132038</v>
          </cell>
        </row>
        <row r="2496">
          <cell r="A2496">
            <v>43020</v>
          </cell>
          <cell r="LJ2496">
            <v>20.538892997001657</v>
          </cell>
          <cell r="LK2496">
            <v>20.020152274152959</v>
          </cell>
          <cell r="LL2496">
            <v>17.982747259685677</v>
          </cell>
          <cell r="LM2496">
            <v>15.721193701553757</v>
          </cell>
          <cell r="LN2496">
            <v>20.244300817817596</v>
          </cell>
          <cell r="LY2496">
            <v>15.891347282699765</v>
          </cell>
          <cell r="LZ2496">
            <v>14.730476692982464</v>
          </cell>
          <cell r="MA2496">
            <v>11.870949885755934</v>
          </cell>
          <cell r="MB2496">
            <v>9.6544719773798295</v>
          </cell>
          <cell r="MC2496">
            <v>14.087427794132038</v>
          </cell>
        </row>
        <row r="2497">
          <cell r="A2497">
            <v>43021</v>
          </cell>
          <cell r="LJ2497">
            <v>20.504715014204624</v>
          </cell>
          <cell r="LK2497">
            <v>20.020152274152959</v>
          </cell>
          <cell r="LL2497">
            <v>17.982747259685677</v>
          </cell>
          <cell r="LM2497">
            <v>15.721193701553757</v>
          </cell>
          <cell r="LN2497">
            <v>20.244300817817596</v>
          </cell>
          <cell r="LY2497">
            <v>15.864485800873487</v>
          </cell>
          <cell r="LZ2497">
            <v>14.730476692982464</v>
          </cell>
          <cell r="MA2497">
            <v>11.870949885755934</v>
          </cell>
          <cell r="MB2497">
            <v>9.6544719773798295</v>
          </cell>
          <cell r="MC2497">
            <v>14.087427794132038</v>
          </cell>
        </row>
        <row r="2498">
          <cell r="A2498">
            <v>43024</v>
          </cell>
          <cell r="LJ2498">
            <v>20.329518909781505</v>
          </cell>
          <cell r="LK2498">
            <v>20.020152274152959</v>
          </cell>
          <cell r="LL2498">
            <v>17.982747259685677</v>
          </cell>
          <cell r="LM2498">
            <v>15.721193701553757</v>
          </cell>
          <cell r="LN2498">
            <v>20.244300817817596</v>
          </cell>
          <cell r="LY2498">
            <v>15.754584035628609</v>
          </cell>
          <cell r="LZ2498">
            <v>14.730476692982464</v>
          </cell>
          <cell r="MA2498">
            <v>11.870949885755934</v>
          </cell>
          <cell r="MB2498">
            <v>9.6544719773798295</v>
          </cell>
          <cell r="MC2498">
            <v>14.087427794132038</v>
          </cell>
        </row>
        <row r="2499">
          <cell r="A2499">
            <v>43025</v>
          </cell>
          <cell r="LJ2499">
            <v>20.126503556841133</v>
          </cell>
          <cell r="LK2499">
            <v>20.020152274152959</v>
          </cell>
          <cell r="LL2499">
            <v>17.982747259685677</v>
          </cell>
          <cell r="LM2499">
            <v>15.721193701553757</v>
          </cell>
          <cell r="LN2499">
            <v>20.244300817817596</v>
          </cell>
          <cell r="LY2499">
            <v>15.620283869806668</v>
          </cell>
          <cell r="LZ2499">
            <v>14.730476692982464</v>
          </cell>
          <cell r="MA2499">
            <v>11.870949885755934</v>
          </cell>
          <cell r="MB2499">
            <v>9.6544719773798295</v>
          </cell>
          <cell r="MC2499">
            <v>14.087427794132038</v>
          </cell>
        </row>
        <row r="2500">
          <cell r="A2500">
            <v>43026</v>
          </cell>
          <cell r="LJ2500">
            <v>20.312993351362426</v>
          </cell>
          <cell r="LK2500">
            <v>20.020152274152959</v>
          </cell>
          <cell r="LL2500">
            <v>17.982747259685677</v>
          </cell>
          <cell r="LM2500">
            <v>15.721193701553757</v>
          </cell>
          <cell r="LN2500">
            <v>20.244300817817596</v>
          </cell>
          <cell r="LY2500">
            <v>15.742574610137535</v>
          </cell>
          <cell r="LZ2500">
            <v>14.730476692982464</v>
          </cell>
          <cell r="MA2500">
            <v>11.870949885755934</v>
          </cell>
          <cell r="MB2500">
            <v>9.6544719773798295</v>
          </cell>
          <cell r="MC2500">
            <v>14.087427794132038</v>
          </cell>
        </row>
        <row r="2501">
          <cell r="A2501">
            <v>43027</v>
          </cell>
          <cell r="LJ2501">
            <v>21.18371925892459</v>
          </cell>
          <cell r="LK2501">
            <v>20.020152274152959</v>
          </cell>
          <cell r="LL2501">
            <v>17.982747259685677</v>
          </cell>
          <cell r="LM2501">
            <v>15.721193701553757</v>
          </cell>
          <cell r="LN2501">
            <v>20.244300817817596</v>
          </cell>
          <cell r="LY2501">
            <v>16.22619842693776</v>
          </cell>
          <cell r="LZ2501">
            <v>14.730476692982464</v>
          </cell>
          <cell r="MA2501">
            <v>11.870949885755934</v>
          </cell>
          <cell r="MB2501">
            <v>9.6544719773798295</v>
          </cell>
          <cell r="MC2501">
            <v>14.087427794132038</v>
          </cell>
        </row>
        <row r="2502">
          <cell r="A2502">
            <v>43028</v>
          </cell>
          <cell r="LJ2502">
            <v>21.213780195877277</v>
          </cell>
          <cell r="LK2502">
            <v>20.020152274152959</v>
          </cell>
          <cell r="LL2502">
            <v>17.982747259685677</v>
          </cell>
          <cell r="LM2502">
            <v>15.721193701553757</v>
          </cell>
          <cell r="LN2502">
            <v>20.244300817817596</v>
          </cell>
          <cell r="LY2502">
            <v>16.168115078081062</v>
          </cell>
          <cell r="LZ2502">
            <v>14.730476692982464</v>
          </cell>
          <cell r="MA2502">
            <v>11.870949885755934</v>
          </cell>
          <cell r="MB2502">
            <v>9.6544719773798295</v>
          </cell>
          <cell r="MC2502">
            <v>14.087427794132038</v>
          </cell>
        </row>
        <row r="2503">
          <cell r="A2503">
            <v>43031</v>
          </cell>
          <cell r="LJ2503">
            <v>21.136204812711316</v>
          </cell>
          <cell r="LK2503">
            <v>20.020152274152959</v>
          </cell>
          <cell r="LL2503">
            <v>17.982747259685677</v>
          </cell>
          <cell r="LM2503">
            <v>15.721193701553757</v>
          </cell>
          <cell r="LN2503">
            <v>20.244300817817596</v>
          </cell>
          <cell r="LY2503">
            <v>16.119097779492801</v>
          </cell>
          <cell r="LZ2503">
            <v>14.730476692982464</v>
          </cell>
          <cell r="MA2503">
            <v>11.870949885755934</v>
          </cell>
          <cell r="MB2503">
            <v>9.6544719773798295</v>
          </cell>
          <cell r="MC2503">
            <v>14.087427794132038</v>
          </cell>
        </row>
        <row r="2504">
          <cell r="A2504">
            <v>43032</v>
          </cell>
          <cell r="LJ2504">
            <v>21.248344443581196</v>
          </cell>
          <cell r="LK2504">
            <v>20.020152274152959</v>
          </cell>
          <cell r="LL2504">
            <v>17.982747259685677</v>
          </cell>
          <cell r="LM2504">
            <v>15.721193701553757</v>
          </cell>
          <cell r="LN2504">
            <v>20.244300817817596</v>
          </cell>
          <cell r="LY2504">
            <v>16.192624799655409</v>
          </cell>
          <cell r="LZ2504">
            <v>14.730476692982464</v>
          </cell>
          <cell r="MA2504">
            <v>11.870949885755934</v>
          </cell>
          <cell r="MB2504">
            <v>9.6544719773798295</v>
          </cell>
          <cell r="MC2504">
            <v>14.087427794132038</v>
          </cell>
        </row>
        <row r="2505">
          <cell r="A2505">
            <v>43033</v>
          </cell>
          <cell r="LJ2505">
            <v>21.178255743324204</v>
          </cell>
          <cell r="LK2505">
            <v>20.020152274152959</v>
          </cell>
          <cell r="LL2505">
            <v>17.982747259685677</v>
          </cell>
          <cell r="LM2505">
            <v>15.721193701553757</v>
          </cell>
          <cell r="LN2505">
            <v>20.244300817817596</v>
          </cell>
          <cell r="LY2505">
            <v>16.14666947380859</v>
          </cell>
          <cell r="LZ2505">
            <v>14.730476692982464</v>
          </cell>
          <cell r="MA2505">
            <v>11.870949885755934</v>
          </cell>
          <cell r="MB2505">
            <v>9.6544719773798295</v>
          </cell>
          <cell r="MC2505">
            <v>14.087427794132038</v>
          </cell>
        </row>
        <row r="2506">
          <cell r="A2506">
            <v>43034</v>
          </cell>
          <cell r="LJ2506">
            <v>21.367496378788751</v>
          </cell>
          <cell r="LK2506">
            <v>20.020152274152959</v>
          </cell>
          <cell r="LL2506">
            <v>17.982747259685677</v>
          </cell>
          <cell r="LM2506">
            <v>15.721193701553757</v>
          </cell>
          <cell r="LN2506">
            <v>20.244300817817596</v>
          </cell>
          <cell r="LY2506">
            <v>16.270747306447831</v>
          </cell>
          <cell r="LZ2506">
            <v>14.730476692982464</v>
          </cell>
          <cell r="MA2506">
            <v>11.870949885755934</v>
          </cell>
          <cell r="MB2506">
            <v>9.6544719773798295</v>
          </cell>
          <cell r="MC2506">
            <v>14.087427794132038</v>
          </cell>
        </row>
        <row r="2507">
          <cell r="A2507">
            <v>43035</v>
          </cell>
          <cell r="LJ2507">
            <v>21.565495207669805</v>
          </cell>
          <cell r="LK2507">
            <v>20.020152274152959</v>
          </cell>
          <cell r="LL2507">
            <v>17.982747259685677</v>
          </cell>
          <cell r="LM2507">
            <v>15.721193701553757</v>
          </cell>
          <cell r="LN2507">
            <v>20.244300817817596</v>
          </cell>
          <cell r="LY2507">
            <v>16.422163768065509</v>
          </cell>
          <cell r="LZ2507">
            <v>14.730476692982464</v>
          </cell>
          <cell r="MA2507">
            <v>11.870949885755934</v>
          </cell>
          <cell r="MB2507">
            <v>9.6544719773798295</v>
          </cell>
          <cell r="MC2507">
            <v>14.087427794132038</v>
          </cell>
        </row>
        <row r="2508">
          <cell r="A2508">
            <v>43038</v>
          </cell>
          <cell r="LJ2508">
            <v>21.462634925584545</v>
          </cell>
          <cell r="LK2508">
            <v>20.020152274152959</v>
          </cell>
          <cell r="LL2508">
            <v>17.982747259685677</v>
          </cell>
          <cell r="LM2508">
            <v>15.721193701553757</v>
          </cell>
          <cell r="LN2508">
            <v>20.244300817817596</v>
          </cell>
          <cell r="LY2508">
            <v>16.354637987217188</v>
          </cell>
          <cell r="LZ2508">
            <v>14.730476692982464</v>
          </cell>
          <cell r="MA2508">
            <v>11.870949885755934</v>
          </cell>
          <cell r="MB2508">
            <v>9.6544719773798295</v>
          </cell>
          <cell r="MC2508">
            <v>14.087427794132038</v>
          </cell>
        </row>
        <row r="2509">
          <cell r="A2509">
            <v>43039</v>
          </cell>
          <cell r="LJ2509">
            <v>21.570171822646817</v>
          </cell>
          <cell r="LK2509">
            <v>20.020152274152959</v>
          </cell>
          <cell r="LL2509">
            <v>17.982747259685677</v>
          </cell>
          <cell r="LM2509">
            <v>15.721193701553757</v>
          </cell>
          <cell r="LN2509">
            <v>20.244300817817596</v>
          </cell>
          <cell r="LY2509">
            <v>16.425233875123819</v>
          </cell>
          <cell r="LZ2509">
            <v>14.730476692982464</v>
          </cell>
          <cell r="MA2509">
            <v>11.870949885755934</v>
          </cell>
          <cell r="MB2509">
            <v>9.6544719773798295</v>
          </cell>
          <cell r="MC2509">
            <v>14.087427794132038</v>
          </cell>
        </row>
        <row r="2510">
          <cell r="A2510">
            <v>43040</v>
          </cell>
          <cell r="LJ2510">
            <v>21.575200247699303</v>
          </cell>
          <cell r="LK2510">
            <v>20.020152274152959</v>
          </cell>
          <cell r="LL2510">
            <v>17.982747259685677</v>
          </cell>
          <cell r="LM2510">
            <v>15.721193701553757</v>
          </cell>
          <cell r="LN2510">
            <v>20.244300817817596</v>
          </cell>
          <cell r="LY2510">
            <v>16.415018808332583</v>
          </cell>
          <cell r="LZ2510">
            <v>14.730476692982464</v>
          </cell>
          <cell r="MA2510">
            <v>11.870949885755934</v>
          </cell>
          <cell r="MB2510">
            <v>9.6544719773798295</v>
          </cell>
          <cell r="MC2510">
            <v>14.087427794132038</v>
          </cell>
        </row>
        <row r="2511">
          <cell r="A2511">
            <v>43041</v>
          </cell>
          <cell r="LJ2511">
            <v>21.528757721187958</v>
          </cell>
          <cell r="LK2511">
            <v>20.020152274152959</v>
          </cell>
          <cell r="LL2511">
            <v>17.982747259685677</v>
          </cell>
          <cell r="LM2511">
            <v>15.721193701553757</v>
          </cell>
          <cell r="LN2511">
            <v>20.244300817817596</v>
          </cell>
          <cell r="LY2511">
            <v>16.415018808332583</v>
          </cell>
          <cell r="LZ2511">
            <v>14.730476692982464</v>
          </cell>
          <cell r="MA2511">
            <v>11.870949885755934</v>
          </cell>
          <cell r="MB2511">
            <v>9.6544719773798295</v>
          </cell>
          <cell r="MC2511">
            <v>14.087427794132038</v>
          </cell>
        </row>
        <row r="2512">
          <cell r="A2512">
            <v>43042</v>
          </cell>
          <cell r="LJ2512">
            <v>21.626288025391077</v>
          </cell>
          <cell r="LK2512">
            <v>20.020152274152959</v>
          </cell>
          <cell r="LL2512">
            <v>17.982747259685677</v>
          </cell>
          <cell r="LM2512">
            <v>15.721193701553757</v>
          </cell>
          <cell r="LN2512">
            <v>20.244300817817596</v>
          </cell>
          <cell r="LY2512">
            <v>16.448560132594167</v>
          </cell>
          <cell r="LZ2512">
            <v>14.730476692982464</v>
          </cell>
          <cell r="MA2512">
            <v>11.870949885755934</v>
          </cell>
          <cell r="MB2512">
            <v>9.6544719773798295</v>
          </cell>
          <cell r="MC2512">
            <v>14.087427794132038</v>
          </cell>
        </row>
        <row r="2513">
          <cell r="A2513">
            <v>43045</v>
          </cell>
          <cell r="LJ2513">
            <v>21.507855716388821</v>
          </cell>
          <cell r="LK2513">
            <v>20.020152274152959</v>
          </cell>
          <cell r="LL2513">
            <v>17.982747259685677</v>
          </cell>
          <cell r="LM2513">
            <v>15.721193701553757</v>
          </cell>
          <cell r="LN2513">
            <v>20.244300817817596</v>
          </cell>
          <cell r="LY2513">
            <v>16.448560132594167</v>
          </cell>
          <cell r="LZ2513">
            <v>14.730476692982464</v>
          </cell>
          <cell r="MA2513">
            <v>11.870949885755934</v>
          </cell>
          <cell r="MB2513">
            <v>9.6544719773798295</v>
          </cell>
          <cell r="MC2513">
            <v>14.087427794132038</v>
          </cell>
        </row>
        <row r="2514">
          <cell r="A2514">
            <v>43046</v>
          </cell>
          <cell r="LJ2514">
            <v>21.642541295768044</v>
          </cell>
          <cell r="LK2514">
            <v>20.020152274152959</v>
          </cell>
          <cell r="LL2514">
            <v>17.982747259685677</v>
          </cell>
          <cell r="LM2514">
            <v>15.721193701553757</v>
          </cell>
          <cell r="LN2514">
            <v>20.244300817817596</v>
          </cell>
          <cell r="LY2514">
            <v>16.459231103943015</v>
          </cell>
          <cell r="LZ2514">
            <v>14.730476692982464</v>
          </cell>
          <cell r="MA2514">
            <v>11.870949885755934</v>
          </cell>
          <cell r="MB2514">
            <v>9.6544719773798295</v>
          </cell>
          <cell r="MC2514">
            <v>14.087427794132038</v>
          </cell>
        </row>
        <row r="2515">
          <cell r="A2515">
            <v>43047</v>
          </cell>
          <cell r="LJ2515">
            <v>21.651832030345023</v>
          </cell>
          <cell r="LK2515">
            <v>20.020152274152959</v>
          </cell>
          <cell r="LL2515">
            <v>17.982747259685677</v>
          </cell>
          <cell r="LM2515">
            <v>15.721193701553757</v>
          </cell>
          <cell r="LN2515">
            <v>20.244300817817596</v>
          </cell>
          <cell r="LY2515">
            <v>16.465330870954897</v>
          </cell>
          <cell r="LZ2515">
            <v>14.730476692982464</v>
          </cell>
          <cell r="MA2515">
            <v>11.870949885755934</v>
          </cell>
          <cell r="MB2515">
            <v>9.6544719773798295</v>
          </cell>
          <cell r="MC2515">
            <v>14.087427794132038</v>
          </cell>
        </row>
        <row r="2516">
          <cell r="A2516">
            <v>43048</v>
          </cell>
          <cell r="LJ2516">
            <v>21.591453518076268</v>
          </cell>
          <cell r="LK2516">
            <v>20.020152274152959</v>
          </cell>
          <cell r="LL2516">
            <v>17.982747259685677</v>
          </cell>
          <cell r="LM2516">
            <v>15.721193701553757</v>
          </cell>
          <cell r="LN2516">
            <v>20.244300817817596</v>
          </cell>
          <cell r="LY2516">
            <v>16.465330870954897</v>
          </cell>
          <cell r="LZ2516">
            <v>14.730476692982464</v>
          </cell>
          <cell r="MA2516">
            <v>11.870949885755934</v>
          </cell>
          <cell r="MB2516">
            <v>9.6544719773798295</v>
          </cell>
          <cell r="MC2516">
            <v>14.087427794132038</v>
          </cell>
        </row>
        <row r="2517">
          <cell r="A2517">
            <v>43049</v>
          </cell>
          <cell r="LJ2517">
            <v>21.419615914546565</v>
          </cell>
          <cell r="LK2517">
            <v>20.020152274152959</v>
          </cell>
          <cell r="LL2517">
            <v>17.982747259685677</v>
          </cell>
          <cell r="LM2517">
            <v>15.721193701553757</v>
          </cell>
          <cell r="LN2517">
            <v>20.244300817817596</v>
          </cell>
          <cell r="LY2517">
            <v>16.312870999128915</v>
          </cell>
          <cell r="LZ2517">
            <v>14.730476692982464</v>
          </cell>
          <cell r="MA2517">
            <v>11.870949885755934</v>
          </cell>
          <cell r="MB2517">
            <v>9.6544719773798295</v>
          </cell>
          <cell r="MC2517">
            <v>14.087427794132038</v>
          </cell>
        </row>
        <row r="2518">
          <cell r="A2518">
            <v>43052</v>
          </cell>
          <cell r="LJ2518">
            <v>21.672730551902422</v>
          </cell>
          <cell r="LK2518">
            <v>20.020152274152959</v>
          </cell>
          <cell r="LL2518">
            <v>17.982747259685677</v>
          </cell>
          <cell r="LM2518">
            <v>15.721193701553757</v>
          </cell>
          <cell r="LN2518">
            <v>20.244300817817596</v>
          </cell>
          <cell r="LY2518">
            <v>16.479051649579752</v>
          </cell>
          <cell r="LZ2518">
            <v>14.730476692982464</v>
          </cell>
          <cell r="MA2518">
            <v>11.870949885755934</v>
          </cell>
          <cell r="MB2518">
            <v>9.6544719773798295</v>
          </cell>
          <cell r="MC2518">
            <v>14.087427794132038</v>
          </cell>
        </row>
        <row r="2519">
          <cell r="A2519">
            <v>43053</v>
          </cell>
          <cell r="LJ2519">
            <v>21.640220527906756</v>
          </cell>
          <cell r="LK2519">
            <v>20.020152274152959</v>
          </cell>
          <cell r="LL2519">
            <v>17.982747259685677</v>
          </cell>
          <cell r="LM2519">
            <v>15.721193701553757</v>
          </cell>
          <cell r="LN2519">
            <v>20.244300817817596</v>
          </cell>
          <cell r="LY2519">
            <v>16.457707419983983</v>
          </cell>
          <cell r="LZ2519">
            <v>14.730476692982464</v>
          </cell>
          <cell r="MA2519">
            <v>11.870949885755934</v>
          </cell>
          <cell r="MB2519">
            <v>9.6544719773798295</v>
          </cell>
          <cell r="MC2519">
            <v>14.087427794132038</v>
          </cell>
        </row>
        <row r="2520">
          <cell r="A2520">
            <v>43054</v>
          </cell>
          <cell r="LJ2520">
            <v>21.461413189877479</v>
          </cell>
          <cell r="LK2520">
            <v>20.020152274152959</v>
          </cell>
          <cell r="LL2520">
            <v>17.982747259685677</v>
          </cell>
          <cell r="LM2520">
            <v>15.721193701553757</v>
          </cell>
          <cell r="LN2520">
            <v>20.244300817817596</v>
          </cell>
          <cell r="LY2520">
            <v>16.340312708838493</v>
          </cell>
          <cell r="LZ2520">
            <v>14.730476692982464</v>
          </cell>
          <cell r="MA2520">
            <v>11.870949885755934</v>
          </cell>
          <cell r="MB2520">
            <v>9.6544719773798295</v>
          </cell>
          <cell r="MC2520">
            <v>14.087427794132038</v>
          </cell>
        </row>
        <row r="2521">
          <cell r="A2521">
            <v>43055</v>
          </cell>
          <cell r="LJ2521">
            <v>21.730784580852035</v>
          </cell>
          <cell r="LK2521">
            <v>20.020152274152959</v>
          </cell>
          <cell r="LL2521">
            <v>17.982747259685677</v>
          </cell>
          <cell r="LM2521">
            <v>15.721193701553757</v>
          </cell>
          <cell r="LN2521">
            <v>20.244300817817596</v>
          </cell>
          <cell r="LY2521">
            <v>16.340312708838493</v>
          </cell>
          <cell r="LZ2521">
            <v>14.730476692982464</v>
          </cell>
          <cell r="MA2521">
            <v>11.870949885755934</v>
          </cell>
          <cell r="MB2521">
            <v>9.6544719773798295</v>
          </cell>
          <cell r="MC2521">
            <v>14.087427794132038</v>
          </cell>
        </row>
        <row r="2522">
          <cell r="A2522">
            <v>43056</v>
          </cell>
          <cell r="LJ2522">
            <v>21.665764532860702</v>
          </cell>
          <cell r="LK2522">
            <v>20.020152274152959</v>
          </cell>
          <cell r="LL2522">
            <v>17.982747259685677</v>
          </cell>
          <cell r="LM2522">
            <v>15.721193701553757</v>
          </cell>
          <cell r="LN2522">
            <v>20.244300817817596</v>
          </cell>
          <cell r="LY2522">
            <v>16.474478158344713</v>
          </cell>
          <cell r="LZ2522">
            <v>14.730476692982464</v>
          </cell>
          <cell r="MA2522">
            <v>11.870949885755934</v>
          </cell>
          <cell r="MB2522">
            <v>9.6544719773798295</v>
          </cell>
          <cell r="MC2522">
            <v>14.087427794132038</v>
          </cell>
        </row>
        <row r="2523">
          <cell r="A2523">
            <v>43059</v>
          </cell>
          <cell r="LJ2523">
            <v>21.754004102486839</v>
          </cell>
          <cell r="LK2523">
            <v>20.020152274152959</v>
          </cell>
          <cell r="LL2523">
            <v>17.982747259685677</v>
          </cell>
          <cell r="LM2523">
            <v>15.721193701553757</v>
          </cell>
          <cell r="LN2523">
            <v>20.244300817817596</v>
          </cell>
          <cell r="LY2523">
            <v>16.532411232579999</v>
          </cell>
          <cell r="LZ2523">
            <v>14.730476692982464</v>
          </cell>
          <cell r="MA2523">
            <v>11.870949885755934</v>
          </cell>
          <cell r="MB2523">
            <v>9.6544719773798295</v>
          </cell>
          <cell r="MC2523">
            <v>14.087427794132038</v>
          </cell>
        </row>
        <row r="2524">
          <cell r="A2524">
            <v>43060</v>
          </cell>
          <cell r="LJ2524">
            <v>21.870112160386071</v>
          </cell>
          <cell r="LK2524">
            <v>20.020152274152959</v>
          </cell>
          <cell r="LL2524">
            <v>17.982747259685677</v>
          </cell>
          <cell r="LM2524">
            <v>15.721193701553757</v>
          </cell>
          <cell r="LN2524">
            <v>20.244300817817596</v>
          </cell>
          <cell r="LY2524">
            <v>16.608641168492991</v>
          </cell>
          <cell r="LZ2524">
            <v>14.730476692982464</v>
          </cell>
          <cell r="MA2524">
            <v>11.870949885755934</v>
          </cell>
          <cell r="MB2524">
            <v>9.6544719773798295</v>
          </cell>
          <cell r="MC2524">
            <v>14.087427794132038</v>
          </cell>
        </row>
        <row r="2525">
          <cell r="A2525">
            <v>43061</v>
          </cell>
          <cell r="LJ2525">
            <v>21.772581856182949</v>
          </cell>
          <cell r="LK2525">
            <v>20.020152274152959</v>
          </cell>
          <cell r="LL2525">
            <v>17.982747259685677</v>
          </cell>
          <cell r="LM2525">
            <v>15.721193701553757</v>
          </cell>
          <cell r="LN2525">
            <v>20.244300817817596</v>
          </cell>
          <cell r="LY2525">
            <v>16.608641168492991</v>
          </cell>
          <cell r="LZ2525">
            <v>14.730476692982464</v>
          </cell>
          <cell r="MA2525">
            <v>11.870949885755934</v>
          </cell>
          <cell r="MB2525">
            <v>9.6544719773798295</v>
          </cell>
          <cell r="MC2525">
            <v>14.087427794132038</v>
          </cell>
        </row>
        <row r="2526">
          <cell r="A2526">
            <v>43062</v>
          </cell>
          <cell r="LJ2526">
            <v>21.772581856182949</v>
          </cell>
          <cell r="LK2526">
            <v>20.020152274152959</v>
          </cell>
          <cell r="LL2526">
            <v>17.982747259685677</v>
          </cell>
          <cell r="LM2526">
            <v>15.721193701553757</v>
          </cell>
          <cell r="LN2526">
            <v>20.244300817817596</v>
          </cell>
          <cell r="LY2526">
            <v>16.608641168492991</v>
          </cell>
          <cell r="LZ2526">
            <v>14.730476692982464</v>
          </cell>
          <cell r="MA2526">
            <v>11.870949885755934</v>
          </cell>
          <cell r="MB2526">
            <v>9.6544719773798295</v>
          </cell>
          <cell r="MC2526">
            <v>14.087427794132038</v>
          </cell>
        </row>
        <row r="2527">
          <cell r="A2527">
            <v>43063</v>
          </cell>
          <cell r="LJ2527">
            <v>21.832960368451708</v>
          </cell>
          <cell r="LK2527">
            <v>20.020152274152959</v>
          </cell>
          <cell r="LL2527">
            <v>17.982747259685677</v>
          </cell>
          <cell r="LM2527">
            <v>15.721193701553757</v>
          </cell>
          <cell r="LN2527">
            <v>20.244300817817596</v>
          </cell>
          <cell r="LY2527">
            <v>16.584249418519295</v>
          </cell>
          <cell r="LZ2527">
            <v>14.730476692982464</v>
          </cell>
          <cell r="MA2527">
            <v>11.870949885755934</v>
          </cell>
          <cell r="MB2527">
            <v>9.6544719773798295</v>
          </cell>
          <cell r="MC2527">
            <v>14.087427794132038</v>
          </cell>
        </row>
        <row r="2528">
          <cell r="A2528">
            <v>43066</v>
          </cell>
          <cell r="LJ2528">
            <v>21.839926619709544</v>
          </cell>
          <cell r="LK2528">
            <v>20.020152274152959</v>
          </cell>
          <cell r="LL2528">
            <v>17.982747259685677</v>
          </cell>
          <cell r="LM2528">
            <v>15.721193701553757</v>
          </cell>
          <cell r="LN2528">
            <v>20.244300817817596</v>
          </cell>
          <cell r="LY2528">
            <v>16.5888230622142</v>
          </cell>
          <cell r="LZ2528">
            <v>14.730476692982464</v>
          </cell>
          <cell r="MA2528">
            <v>11.870949885755934</v>
          </cell>
          <cell r="MB2528">
            <v>9.6544719773798295</v>
          </cell>
          <cell r="MC2528">
            <v>14.087427794132038</v>
          </cell>
        </row>
        <row r="2529">
          <cell r="A2529">
            <v>43067</v>
          </cell>
          <cell r="LJ2529">
            <v>21.902625899839592</v>
          </cell>
          <cell r="LK2529">
            <v>20.020152274152959</v>
          </cell>
          <cell r="LL2529">
            <v>17.982747259685677</v>
          </cell>
          <cell r="LM2529">
            <v>15.721193701553757</v>
          </cell>
          <cell r="LN2529">
            <v>20.244300817817596</v>
          </cell>
          <cell r="LY2529">
            <v>16.629987837446702</v>
          </cell>
          <cell r="LZ2529">
            <v>14.730476692982464</v>
          </cell>
          <cell r="MA2529">
            <v>11.870949885755934</v>
          </cell>
          <cell r="MB2529">
            <v>9.6544719773798295</v>
          </cell>
          <cell r="MC2529">
            <v>14.087427794132038</v>
          </cell>
        </row>
        <row r="2530">
          <cell r="A2530">
            <v>43068</v>
          </cell>
          <cell r="LJ2530">
            <v>21.814382614755601</v>
          </cell>
          <cell r="LK2530">
            <v>20.020152274152959</v>
          </cell>
          <cell r="LL2530">
            <v>17.982747259685677</v>
          </cell>
          <cell r="LM2530">
            <v>15.721193701553757</v>
          </cell>
          <cell r="LN2530">
            <v>20.244300817817596</v>
          </cell>
          <cell r="LY2530">
            <v>16.572052323853473</v>
          </cell>
          <cell r="LZ2530">
            <v>14.730476692982464</v>
          </cell>
          <cell r="MA2530">
            <v>11.870949885755934</v>
          </cell>
          <cell r="MB2530">
            <v>9.6544719773798295</v>
          </cell>
          <cell r="MC2530">
            <v>14.087427794132038</v>
          </cell>
        </row>
        <row r="2531">
          <cell r="A2531">
            <v>43069</v>
          </cell>
          <cell r="LJ2531">
            <v>21.91191291895872</v>
          </cell>
          <cell r="LK2531">
            <v>20.020152274152959</v>
          </cell>
          <cell r="LL2531">
            <v>17.982747259685677</v>
          </cell>
          <cell r="LM2531">
            <v>15.721193701553757</v>
          </cell>
          <cell r="LN2531">
            <v>20.244300817817596</v>
          </cell>
          <cell r="LY2531">
            <v>16.572052323853473</v>
          </cell>
          <cell r="LZ2531">
            <v>14.730476692982464</v>
          </cell>
          <cell r="MA2531">
            <v>11.870949885755934</v>
          </cell>
          <cell r="MB2531">
            <v>9.6544719773798295</v>
          </cell>
          <cell r="MC2531">
            <v>14.087427794132038</v>
          </cell>
        </row>
        <row r="2532">
          <cell r="A2532">
            <v>43070</v>
          </cell>
          <cell r="LJ2532">
            <v>21.642447058823532</v>
          </cell>
          <cell r="LK2532">
            <v>20.020152274152959</v>
          </cell>
          <cell r="LL2532">
            <v>17.982747259685677</v>
          </cell>
          <cell r="LM2532">
            <v>15.721193701553757</v>
          </cell>
          <cell r="LN2532">
            <v>20.244300817817596</v>
          </cell>
          <cell r="LY2532">
            <v>16.445833485997618</v>
          </cell>
          <cell r="LZ2532">
            <v>14.730476692982464</v>
          </cell>
          <cell r="MA2532">
            <v>11.870949885755934</v>
          </cell>
          <cell r="MB2532">
            <v>9.6544719773798295</v>
          </cell>
          <cell r="MC2532">
            <v>14.087427794132038</v>
          </cell>
        </row>
        <row r="2533">
          <cell r="A2533">
            <v>43073</v>
          </cell>
          <cell r="LJ2533">
            <v>21.411766551326412</v>
          </cell>
          <cell r="LK2533">
            <v>20.020152274152959</v>
          </cell>
          <cell r="LL2533">
            <v>17.982747259685677</v>
          </cell>
          <cell r="LM2533">
            <v>15.721193701553757</v>
          </cell>
          <cell r="LN2533">
            <v>20.244300817817596</v>
          </cell>
          <cell r="LY2533">
            <v>16.294367596484133</v>
          </cell>
          <cell r="LZ2533">
            <v>14.730476692982464</v>
          </cell>
          <cell r="MA2533">
            <v>11.870949885755934</v>
          </cell>
          <cell r="MB2533">
            <v>9.6544719773798295</v>
          </cell>
          <cell r="MC2533">
            <v>14.087427794132038</v>
          </cell>
        </row>
        <row r="2534">
          <cell r="A2534">
            <v>43074</v>
          </cell>
          <cell r="LJ2534">
            <v>21.393311649365629</v>
          </cell>
          <cell r="LK2534">
            <v>20.020152274152959</v>
          </cell>
          <cell r="LL2534">
            <v>17.982747259685677</v>
          </cell>
          <cell r="LM2534">
            <v>15.721193701553757</v>
          </cell>
          <cell r="LN2534">
            <v>20.244300817817596</v>
          </cell>
          <cell r="LY2534">
            <v>16.282250022391274</v>
          </cell>
          <cell r="LZ2534">
            <v>14.730476692982464</v>
          </cell>
          <cell r="MA2534">
            <v>11.870949885755934</v>
          </cell>
          <cell r="MB2534">
            <v>9.6544719773798295</v>
          </cell>
          <cell r="MC2534">
            <v>14.087427794132038</v>
          </cell>
        </row>
        <row r="2535">
          <cell r="A2535">
            <v>43075</v>
          </cell>
          <cell r="LJ2535">
            <v>21.344867128027683</v>
          </cell>
          <cell r="LK2535">
            <v>20.020152274152959</v>
          </cell>
          <cell r="LL2535">
            <v>17.982747259685677</v>
          </cell>
          <cell r="LM2535">
            <v>15.721193701553757</v>
          </cell>
          <cell r="LN2535">
            <v>20.244300817817596</v>
          </cell>
          <cell r="LY2535">
            <v>16.282250022391274</v>
          </cell>
          <cell r="LZ2535">
            <v>14.730476692982464</v>
          </cell>
          <cell r="MA2535">
            <v>11.870949885755934</v>
          </cell>
          <cell r="MB2535">
            <v>9.6544719773798295</v>
          </cell>
          <cell r="MC2535">
            <v>14.087427794132038</v>
          </cell>
        </row>
        <row r="2536">
          <cell r="A2536">
            <v>43076</v>
          </cell>
          <cell r="LJ2536">
            <v>21.379467820069202</v>
          </cell>
          <cell r="LK2536">
            <v>20.020152274152959</v>
          </cell>
          <cell r="LL2536">
            <v>17.982747259685677</v>
          </cell>
          <cell r="LM2536">
            <v>15.721193701553757</v>
          </cell>
          <cell r="LN2536">
            <v>20.244300817817596</v>
          </cell>
          <cell r="LY2536">
            <v>16.25044112533222</v>
          </cell>
          <cell r="LZ2536">
            <v>14.730476692982464</v>
          </cell>
          <cell r="MA2536">
            <v>11.870949885755934</v>
          </cell>
          <cell r="MB2536">
            <v>9.6544719773798295</v>
          </cell>
          <cell r="MC2536">
            <v>14.087427794132038</v>
          </cell>
        </row>
        <row r="2537">
          <cell r="A2537">
            <v>43077</v>
          </cell>
          <cell r="LJ2537">
            <v>21.494213078300024</v>
          </cell>
          <cell r="LK2537">
            <v>20.020152274152959</v>
          </cell>
          <cell r="LL2537">
            <v>17.982747259685677</v>
          </cell>
          <cell r="LM2537">
            <v>15.721193701553757</v>
          </cell>
          <cell r="LN2537">
            <v>20.244300817817596</v>
          </cell>
          <cell r="LY2537">
            <v>16.348885924882374</v>
          </cell>
          <cell r="LZ2537">
            <v>14.730476692982464</v>
          </cell>
          <cell r="MA2537">
            <v>11.870949885755934</v>
          </cell>
          <cell r="MB2537">
            <v>9.6544719773798295</v>
          </cell>
          <cell r="MC2537">
            <v>14.087427794132038</v>
          </cell>
        </row>
        <row r="2538">
          <cell r="A2538">
            <v>43080</v>
          </cell>
          <cell r="LJ2538">
            <v>21.49533518284063</v>
          </cell>
          <cell r="LK2538">
            <v>20.020152274152959</v>
          </cell>
          <cell r="LL2538">
            <v>17.982747259685677</v>
          </cell>
          <cell r="LM2538">
            <v>15.721193701553757</v>
          </cell>
          <cell r="LN2538">
            <v>20.244300817817596</v>
          </cell>
          <cell r="LY2538">
            <v>16.353432020110432</v>
          </cell>
          <cell r="LZ2538">
            <v>14.730476692982464</v>
          </cell>
          <cell r="MA2538">
            <v>11.870949885755934</v>
          </cell>
          <cell r="MB2538">
            <v>9.6544719773798295</v>
          </cell>
          <cell r="MC2538">
            <v>14.087427794132038</v>
          </cell>
        </row>
        <row r="2539">
          <cell r="A2539">
            <v>43081</v>
          </cell>
          <cell r="LJ2539">
            <v>21.612946089860223</v>
          </cell>
          <cell r="LK2539">
            <v>20.020152274152959</v>
          </cell>
          <cell r="LL2539">
            <v>17.982747259685677</v>
          </cell>
          <cell r="LM2539">
            <v>15.721193701553757</v>
          </cell>
          <cell r="LN2539">
            <v>20.244300817817596</v>
          </cell>
          <cell r="LY2539">
            <v>16.430678832792353</v>
          </cell>
          <cell r="LZ2539">
            <v>14.730476692982464</v>
          </cell>
          <cell r="MA2539">
            <v>11.870949885755934</v>
          </cell>
          <cell r="MB2539">
            <v>9.6544719773798295</v>
          </cell>
          <cell r="MC2539">
            <v>14.087427794132038</v>
          </cell>
        </row>
        <row r="2540">
          <cell r="A2540">
            <v>43082</v>
          </cell>
          <cell r="LJ2540">
            <v>21.712107354443546</v>
          </cell>
          <cell r="LK2540">
            <v>20.020152274152959</v>
          </cell>
          <cell r="LL2540">
            <v>17.982747259685677</v>
          </cell>
          <cell r="LM2540">
            <v>15.721193701553757</v>
          </cell>
          <cell r="LN2540">
            <v>20.244300817817596</v>
          </cell>
          <cell r="LY2540">
            <v>16.495807925192722</v>
          </cell>
          <cell r="LZ2540">
            <v>14.730476692982464</v>
          </cell>
          <cell r="MA2540">
            <v>11.870949885755934</v>
          </cell>
          <cell r="MB2540">
            <v>9.6544719773798295</v>
          </cell>
          <cell r="MC2540">
            <v>14.087427794132038</v>
          </cell>
        </row>
        <row r="2541">
          <cell r="A2541">
            <v>43083</v>
          </cell>
          <cell r="LJ2541">
            <v>21.400667719221417</v>
          </cell>
          <cell r="LK2541">
            <v>20.020152274152959</v>
          </cell>
          <cell r="LL2541">
            <v>17.982747259685677</v>
          </cell>
          <cell r="LM2541">
            <v>15.721193701553757</v>
          </cell>
          <cell r="LN2541">
            <v>20.244300817817596</v>
          </cell>
          <cell r="LY2541">
            <v>16.482277533988135</v>
          </cell>
          <cell r="LZ2541">
            <v>14.730476692982464</v>
          </cell>
          <cell r="MA2541">
            <v>11.870949885755934</v>
          </cell>
          <cell r="MB2541">
            <v>9.6544719773798295</v>
          </cell>
          <cell r="MC2541">
            <v>14.087427794132038</v>
          </cell>
        </row>
        <row r="2542">
          <cell r="A2542">
            <v>43084</v>
          </cell>
          <cell r="LJ2542">
            <v>21.681316932416564</v>
          </cell>
          <cell r="LK2542">
            <v>20.020152274152959</v>
          </cell>
          <cell r="LL2542">
            <v>17.982747259685677</v>
          </cell>
          <cell r="LM2542">
            <v>15.721193701553757</v>
          </cell>
          <cell r="LN2542">
            <v>20.244300817817596</v>
          </cell>
          <cell r="LY2542">
            <v>16.452597058420562</v>
          </cell>
          <cell r="LZ2542">
            <v>14.730476692982464</v>
          </cell>
          <cell r="MA2542">
            <v>11.870949885755934</v>
          </cell>
          <cell r="MB2542">
            <v>9.6544719773798295</v>
          </cell>
          <cell r="MC2542">
            <v>14.087427794132038</v>
          </cell>
        </row>
        <row r="2543">
          <cell r="A2543">
            <v>43087</v>
          </cell>
          <cell r="LJ2543">
            <v>21.764351993873873</v>
          </cell>
          <cell r="LK2543">
            <v>20.020152274152959</v>
          </cell>
          <cell r="LL2543">
            <v>17.982747259685677</v>
          </cell>
          <cell r="LM2543">
            <v>15.721193701553757</v>
          </cell>
          <cell r="LN2543">
            <v>20.244300817817596</v>
          </cell>
          <cell r="LY2543">
            <v>16.507057075776288</v>
          </cell>
          <cell r="LZ2543">
            <v>14.730476692982464</v>
          </cell>
          <cell r="MA2543">
            <v>11.870949885755934</v>
          </cell>
          <cell r="MB2543">
            <v>9.6544719773798295</v>
          </cell>
          <cell r="MC2543">
            <v>14.087427794132038</v>
          </cell>
        </row>
        <row r="2544">
          <cell r="A2544">
            <v>43088</v>
          </cell>
          <cell r="LJ2544">
            <v>21.768965962638937</v>
          </cell>
          <cell r="LK2544">
            <v>20.020152274152959</v>
          </cell>
          <cell r="LL2544">
            <v>17.982747259685677</v>
          </cell>
          <cell r="LM2544">
            <v>15.721193701553757</v>
          </cell>
          <cell r="LN2544">
            <v>20.244300817817596</v>
          </cell>
          <cell r="LY2544">
            <v>16.510083229001371</v>
          </cell>
          <cell r="LZ2544">
            <v>14.730476692982464</v>
          </cell>
          <cell r="MA2544">
            <v>11.870949885755934</v>
          </cell>
          <cell r="MB2544">
            <v>9.6544719773798295</v>
          </cell>
          <cell r="MC2544">
            <v>14.087427794132038</v>
          </cell>
        </row>
        <row r="2545">
          <cell r="A2545">
            <v>43089</v>
          </cell>
          <cell r="LJ2545">
            <v>21.826988696655132</v>
          </cell>
          <cell r="LK2545">
            <v>20.020152274152959</v>
          </cell>
          <cell r="LL2545">
            <v>17.982747259685677</v>
          </cell>
          <cell r="LM2545">
            <v>15.721193701553757</v>
          </cell>
          <cell r="LN2545">
            <v>20.244300817817596</v>
          </cell>
          <cell r="LY2545">
            <v>16.540694072793901</v>
          </cell>
          <cell r="LZ2545">
            <v>14.730476692982464</v>
          </cell>
          <cell r="MA2545">
            <v>11.870949885755934</v>
          </cell>
          <cell r="MB2545">
            <v>9.6544719773798295</v>
          </cell>
          <cell r="MC2545">
            <v>14.087427794132038</v>
          </cell>
        </row>
        <row r="2546">
          <cell r="A2546">
            <v>43090</v>
          </cell>
          <cell r="LJ2546">
            <v>21.642447058823532</v>
          </cell>
          <cell r="LK2546">
            <v>20.020152274152959</v>
          </cell>
          <cell r="LL2546">
            <v>17.982747259685677</v>
          </cell>
          <cell r="LM2546">
            <v>15.721193701553757</v>
          </cell>
          <cell r="LN2546">
            <v>20.244300817817596</v>
          </cell>
          <cell r="LY2546">
            <v>16.540694072793901</v>
          </cell>
          <cell r="LZ2546">
            <v>14.730476692982464</v>
          </cell>
          <cell r="MA2546">
            <v>11.870949885755934</v>
          </cell>
          <cell r="MB2546">
            <v>9.6544719773798295</v>
          </cell>
          <cell r="MC2546">
            <v>14.087427794132038</v>
          </cell>
        </row>
        <row r="2547">
          <cell r="A2547">
            <v>43091</v>
          </cell>
          <cell r="LJ2547">
            <v>21.559401845444061</v>
          </cell>
          <cell r="LK2547">
            <v>20.020152274152959</v>
          </cell>
          <cell r="LL2547">
            <v>17.982747259685677</v>
          </cell>
          <cell r="LM2547">
            <v>15.721193701553757</v>
          </cell>
          <cell r="LN2547">
            <v>20.244300817817596</v>
          </cell>
          <cell r="LY2547">
            <v>16.365274336918414</v>
          </cell>
          <cell r="LZ2547">
            <v>14.730476692982464</v>
          </cell>
          <cell r="MA2547">
            <v>11.870949885755934</v>
          </cell>
          <cell r="MB2547">
            <v>9.6544719773798295</v>
          </cell>
          <cell r="MC2547">
            <v>14.087427794132038</v>
          </cell>
        </row>
        <row r="2548">
          <cell r="A2548">
            <v>43094</v>
          </cell>
          <cell r="LJ2548">
            <v>21.559401845444061</v>
          </cell>
          <cell r="LK2548">
            <v>20.020152274152959</v>
          </cell>
          <cell r="LL2548">
            <v>17.982747259685677</v>
          </cell>
          <cell r="LM2548">
            <v>15.721193701553757</v>
          </cell>
          <cell r="LN2548">
            <v>20.244300817817596</v>
          </cell>
          <cell r="LY2548">
            <v>16.365274336918414</v>
          </cell>
          <cell r="LZ2548">
            <v>14.730476692982464</v>
          </cell>
          <cell r="MA2548">
            <v>11.870949885755934</v>
          </cell>
          <cell r="MB2548">
            <v>9.6544719773798295</v>
          </cell>
          <cell r="MC2548">
            <v>14.087427794132038</v>
          </cell>
        </row>
        <row r="2549">
          <cell r="A2549">
            <v>43095</v>
          </cell>
          <cell r="LJ2549">
            <v>21.527106805074972</v>
          </cell>
          <cell r="LK2549">
            <v>20.020152274152959</v>
          </cell>
          <cell r="LL2549">
            <v>17.982747259685677</v>
          </cell>
          <cell r="LM2549">
            <v>15.721193701553757</v>
          </cell>
          <cell r="LN2549">
            <v>20.244300817817596</v>
          </cell>
          <cell r="LY2549">
            <v>16.344102939945827</v>
          </cell>
          <cell r="LZ2549">
            <v>14.730476692982464</v>
          </cell>
          <cell r="MA2549">
            <v>11.870949885755934</v>
          </cell>
          <cell r="MB2549">
            <v>9.6544719773798295</v>
          </cell>
          <cell r="MC2549">
            <v>14.087427794132038</v>
          </cell>
        </row>
        <row r="2550">
          <cell r="A2550">
            <v>43096</v>
          </cell>
          <cell r="LJ2550">
            <v>21.582467820069201</v>
          </cell>
          <cell r="LK2550">
            <v>20.020152274152959</v>
          </cell>
          <cell r="LL2550">
            <v>17.982747259685677</v>
          </cell>
          <cell r="LM2550">
            <v>15.721193701553757</v>
          </cell>
          <cell r="LN2550">
            <v>20.244300817817596</v>
          </cell>
          <cell r="LY2550">
            <v>16.380395510317406</v>
          </cell>
          <cell r="LZ2550">
            <v>14.730476692982464</v>
          </cell>
          <cell r="MA2550">
            <v>11.870949885755934</v>
          </cell>
          <cell r="MB2550">
            <v>9.6544719773798295</v>
          </cell>
          <cell r="MC2550">
            <v>14.087427794132038</v>
          </cell>
        </row>
        <row r="2551">
          <cell r="A2551">
            <v>43097</v>
          </cell>
          <cell r="LJ2551">
            <v>21.582467820069201</v>
          </cell>
          <cell r="LK2551">
            <v>20.020152274152959</v>
          </cell>
          <cell r="LL2551">
            <v>17.982747259685677</v>
          </cell>
          <cell r="LM2551">
            <v>15.721193701553757</v>
          </cell>
          <cell r="LN2551">
            <v>20.244300817817596</v>
          </cell>
          <cell r="LY2551">
            <v>16.380395510317406</v>
          </cell>
          <cell r="LZ2551">
            <v>14.730476692982464</v>
          </cell>
          <cell r="MA2551">
            <v>11.870949885755934</v>
          </cell>
          <cell r="MB2551">
            <v>9.6544719773798295</v>
          </cell>
          <cell r="MC2551">
            <v>14.087427794132038</v>
          </cell>
        </row>
        <row r="2552">
          <cell r="A2552">
            <v>43098</v>
          </cell>
          <cell r="LJ2552">
            <v>21.411766551326412</v>
          </cell>
          <cell r="LK2552">
            <v>20.020152274152959</v>
          </cell>
          <cell r="LL2552">
            <v>17.982747259685677</v>
          </cell>
          <cell r="LM2552">
            <v>15.721193701553757</v>
          </cell>
          <cell r="LN2552">
            <v>20.244300817817596</v>
          </cell>
          <cell r="LY2552">
            <v>16.380395510317406</v>
          </cell>
          <cell r="LZ2552">
            <v>14.730476692982464</v>
          </cell>
          <cell r="MA2552">
            <v>11.870949885755934</v>
          </cell>
          <cell r="MB2552">
            <v>9.6544719773798295</v>
          </cell>
          <cell r="MC2552">
            <v>14.087427794132038</v>
          </cell>
        </row>
        <row r="2553">
          <cell r="A2553">
            <v>43101</v>
          </cell>
          <cell r="LJ2553">
            <v>21.263843451210874</v>
          </cell>
          <cell r="LK2553">
            <v>20.020152274152959</v>
          </cell>
          <cell r="LL2553">
            <v>17.982747259685677</v>
          </cell>
          <cell r="LM2553">
            <v>15.721193701553757</v>
          </cell>
          <cell r="LN2553">
            <v>20.244300817817596</v>
          </cell>
          <cell r="LY2553">
            <v>16.159498329279845</v>
          </cell>
          <cell r="LZ2553">
            <v>14.730476692982464</v>
          </cell>
          <cell r="MA2553">
            <v>11.870949885755934</v>
          </cell>
          <cell r="MB2553">
            <v>9.6544719773798295</v>
          </cell>
          <cell r="MC2553">
            <v>14.087427794132038</v>
          </cell>
        </row>
        <row r="2554">
          <cell r="A2554">
            <v>43102</v>
          </cell>
          <cell r="LJ2554">
            <v>21.176789301951619</v>
          </cell>
          <cell r="LK2554">
            <v>20.020152274152959</v>
          </cell>
          <cell r="LL2554">
            <v>17.982747259685677</v>
          </cell>
          <cell r="LM2554">
            <v>15.721193701553757</v>
          </cell>
          <cell r="LN2554">
            <v>20.244300817817596</v>
          </cell>
          <cell r="LY2554">
            <v>16.102416942585936</v>
          </cell>
          <cell r="LZ2554">
            <v>14.730476692982464</v>
          </cell>
          <cell r="MA2554">
            <v>11.870949885755934</v>
          </cell>
          <cell r="MB2554">
            <v>9.6544719773798295</v>
          </cell>
          <cell r="MC2554">
            <v>14.087427794132038</v>
          </cell>
        </row>
        <row r="2555">
          <cell r="A2555">
            <v>43103</v>
          </cell>
          <cell r="LJ2555">
            <v>21.447870325143388</v>
          </cell>
          <cell r="LK2555">
            <v>20.020152274152959</v>
          </cell>
          <cell r="LL2555">
            <v>17.982747259685677</v>
          </cell>
          <cell r="LM2555">
            <v>15.721193701553757</v>
          </cell>
          <cell r="LN2555">
            <v>20.244300817817596</v>
          </cell>
          <cell r="LY2555">
            <v>16.274352281372263</v>
          </cell>
          <cell r="LZ2555">
            <v>14.730476692982464</v>
          </cell>
          <cell r="MA2555">
            <v>11.870949885755934</v>
          </cell>
          <cell r="MB2555">
            <v>9.6544719773798295</v>
          </cell>
          <cell r="MC2555">
            <v>14.087427794132038</v>
          </cell>
        </row>
        <row r="2556">
          <cell r="A2556">
            <v>43104</v>
          </cell>
          <cell r="LJ2556">
            <v>21.550907342392673</v>
          </cell>
          <cell r="LK2556">
            <v>20.020152274152959</v>
          </cell>
          <cell r="LL2556">
            <v>17.982747259685677</v>
          </cell>
          <cell r="LM2556">
            <v>15.721193701553757</v>
          </cell>
          <cell r="LN2556">
            <v>20.244300817817596</v>
          </cell>
          <cell r="LY2556">
            <v>16.274352281372263</v>
          </cell>
          <cell r="LZ2556">
            <v>14.730476692982464</v>
          </cell>
          <cell r="MA2556">
            <v>11.870949885755934</v>
          </cell>
          <cell r="MB2556">
            <v>9.6544719773798295</v>
          </cell>
          <cell r="MC2556">
            <v>14.087427794132038</v>
          </cell>
        </row>
        <row r="2557">
          <cell r="A2557">
            <v>43105</v>
          </cell>
          <cell r="LJ2557">
            <v>21.686003739889252</v>
          </cell>
          <cell r="LK2557">
            <v>20.020152274152959</v>
          </cell>
          <cell r="LL2557">
            <v>17.982747259685677</v>
          </cell>
          <cell r="LM2557">
            <v>15.721193701553757</v>
          </cell>
          <cell r="LN2557">
            <v>20.244300817817596</v>
          </cell>
          <cell r="LY2557">
            <v>16.430451155753889</v>
          </cell>
          <cell r="LZ2557">
            <v>14.730476692982464</v>
          </cell>
          <cell r="MA2557">
            <v>11.870949885755934</v>
          </cell>
          <cell r="MB2557">
            <v>9.6544719773798295</v>
          </cell>
          <cell r="MC2557">
            <v>14.087427794132038</v>
          </cell>
        </row>
        <row r="2558">
          <cell r="A2558">
            <v>43108</v>
          </cell>
          <cell r="LJ2558">
            <v>21.809647382081298</v>
          </cell>
          <cell r="LK2558">
            <v>20.020152274152959</v>
          </cell>
          <cell r="LL2558">
            <v>17.982747259685677</v>
          </cell>
          <cell r="LM2558">
            <v>15.721193701553757</v>
          </cell>
          <cell r="LN2558">
            <v>20.244300817817596</v>
          </cell>
          <cell r="LY2558">
            <v>16.51150082025066</v>
          </cell>
          <cell r="LZ2558">
            <v>14.730476692982464</v>
          </cell>
          <cell r="MA2558">
            <v>11.870949885755934</v>
          </cell>
          <cell r="MB2558">
            <v>9.6544719773798295</v>
          </cell>
          <cell r="MC2558">
            <v>14.087427794132038</v>
          </cell>
        </row>
        <row r="2559">
          <cell r="A2559">
            <v>43109</v>
          </cell>
          <cell r="LJ2559">
            <v>22.57899580216991</v>
          </cell>
          <cell r="LK2559">
            <v>20.020152274152959</v>
          </cell>
          <cell r="LL2559">
            <v>17.982747259685677</v>
          </cell>
          <cell r="LM2559">
            <v>15.721193701553757</v>
          </cell>
          <cell r="LN2559">
            <v>20.244300817817596</v>
          </cell>
          <cell r="LY2559">
            <v>16.51150082025066</v>
          </cell>
          <cell r="LZ2559">
            <v>14.730476692982464</v>
          </cell>
          <cell r="MA2559">
            <v>11.870949885755934</v>
          </cell>
          <cell r="MB2559">
            <v>9.6544719773798295</v>
          </cell>
          <cell r="MC2559">
            <v>14.087427794132038</v>
          </cell>
        </row>
        <row r="2560">
          <cell r="A2560">
            <v>43110</v>
          </cell>
          <cell r="LJ2560">
            <v>22.490324685348963</v>
          </cell>
          <cell r="LK2560">
            <v>20.020152274152959</v>
          </cell>
          <cell r="LL2560">
            <v>17.982747259685677</v>
          </cell>
          <cell r="LM2560">
            <v>15.721193701553757</v>
          </cell>
          <cell r="LN2560">
            <v>20.244300817817596</v>
          </cell>
          <cell r="LY2560">
            <v>16.956203672571768</v>
          </cell>
          <cell r="LZ2560">
            <v>14.730476692982464</v>
          </cell>
          <cell r="MA2560">
            <v>11.870949885755934</v>
          </cell>
          <cell r="MB2560">
            <v>9.6544719773798295</v>
          </cell>
          <cell r="MC2560">
            <v>14.087427794132038</v>
          </cell>
        </row>
        <row r="2561">
          <cell r="A2561">
            <v>43111</v>
          </cell>
          <cell r="LJ2561">
            <v>22.562791341663409</v>
          </cell>
          <cell r="LK2561">
            <v>20.020152274152959</v>
          </cell>
          <cell r="LL2561">
            <v>17.982747259685677</v>
          </cell>
          <cell r="LM2561">
            <v>15.721193701553757</v>
          </cell>
          <cell r="LN2561">
            <v>20.244300817817596</v>
          </cell>
          <cell r="LY2561">
            <v>17.007572658805792</v>
          </cell>
          <cell r="LZ2561">
            <v>14.730476692982464</v>
          </cell>
          <cell r="MA2561">
            <v>11.870949885755934</v>
          </cell>
          <cell r="MB2561">
            <v>9.6544719773798295</v>
          </cell>
          <cell r="MC2561">
            <v>14.087427794132038</v>
          </cell>
        </row>
        <row r="2562">
          <cell r="A2562">
            <v>43112</v>
          </cell>
          <cell r="LJ2562">
            <v>22.7458758462882</v>
          </cell>
          <cell r="LK2562">
            <v>20.020152274152959</v>
          </cell>
          <cell r="LL2562">
            <v>17.982747259685677</v>
          </cell>
          <cell r="LM2562">
            <v>15.721193701553757</v>
          </cell>
          <cell r="LN2562">
            <v>20.244300817817596</v>
          </cell>
          <cell r="LY2562">
            <v>17.127611249156242</v>
          </cell>
          <cell r="LZ2562">
            <v>14.730476692982464</v>
          </cell>
          <cell r="MA2562">
            <v>11.870949885755934</v>
          </cell>
          <cell r="MB2562">
            <v>9.6544719773798295</v>
          </cell>
          <cell r="MC2562">
            <v>14.087427794132038</v>
          </cell>
        </row>
        <row r="2563">
          <cell r="A2563">
            <v>43115</v>
          </cell>
          <cell r="LJ2563">
            <v>22.7458758462882</v>
          </cell>
          <cell r="LK2563">
            <v>20.020152274152959</v>
          </cell>
          <cell r="LL2563">
            <v>17.982747259685677</v>
          </cell>
          <cell r="LM2563">
            <v>15.721193701553757</v>
          </cell>
          <cell r="LN2563">
            <v>20.244300817817596</v>
          </cell>
          <cell r="LY2563">
            <v>17.127611249156242</v>
          </cell>
          <cell r="LZ2563">
            <v>14.730476692982464</v>
          </cell>
          <cell r="MA2563">
            <v>11.870949885755934</v>
          </cell>
          <cell r="MB2563">
            <v>9.6544719773798295</v>
          </cell>
          <cell r="MC2563">
            <v>14.087427794132038</v>
          </cell>
        </row>
        <row r="2564">
          <cell r="A2564">
            <v>43116</v>
          </cell>
          <cell r="LJ2564">
            <v>22.764184685803791</v>
          </cell>
          <cell r="LK2564">
            <v>20.020152274152959</v>
          </cell>
          <cell r="LL2564">
            <v>17.982747259685677</v>
          </cell>
          <cell r="LM2564">
            <v>15.721193701553757</v>
          </cell>
          <cell r="LN2564">
            <v>20.244300817817596</v>
          </cell>
          <cell r="LY2564">
            <v>17.127611249156242</v>
          </cell>
          <cell r="LZ2564">
            <v>14.730476692982464</v>
          </cell>
          <cell r="MA2564">
            <v>11.870949885755934</v>
          </cell>
          <cell r="MB2564">
            <v>9.6544719773798295</v>
          </cell>
          <cell r="MC2564">
            <v>14.087427794132038</v>
          </cell>
        </row>
        <row r="2565">
          <cell r="A2565">
            <v>43117</v>
          </cell>
          <cell r="LJ2565">
            <v>22.792519823876571</v>
          </cell>
          <cell r="LK2565">
            <v>20.020152274152959</v>
          </cell>
          <cell r="LL2565">
            <v>17.982747259685677</v>
          </cell>
          <cell r="LM2565">
            <v>15.721193701553757</v>
          </cell>
          <cell r="LN2565">
            <v>20.244300817817596</v>
          </cell>
          <cell r="LY2565">
            <v>17.157629895083261</v>
          </cell>
          <cell r="LZ2565">
            <v>14.730476692982464</v>
          </cell>
          <cell r="MA2565">
            <v>11.870949885755934</v>
          </cell>
          <cell r="MB2565">
            <v>9.6544719773798295</v>
          </cell>
          <cell r="MC2565">
            <v>14.087427794132038</v>
          </cell>
        </row>
        <row r="2566">
          <cell r="A2566">
            <v>43118</v>
          </cell>
          <cell r="LJ2566">
            <v>22.826851415494751</v>
          </cell>
          <cell r="LK2566">
            <v>20.020152274152959</v>
          </cell>
          <cell r="LL2566">
            <v>17.982747259685677</v>
          </cell>
          <cell r="LM2566">
            <v>15.721193701553757</v>
          </cell>
          <cell r="LN2566">
            <v>20.244300817817596</v>
          </cell>
          <cell r="LY2566">
            <v>17.157629895083261</v>
          </cell>
          <cell r="LZ2566">
            <v>14.730476692982464</v>
          </cell>
          <cell r="MA2566">
            <v>11.870949885755934</v>
          </cell>
          <cell r="MB2566">
            <v>9.6544719773798295</v>
          </cell>
          <cell r="MC2566">
            <v>14.087427794132038</v>
          </cell>
        </row>
        <row r="2567">
          <cell r="A2567">
            <v>43119</v>
          </cell>
          <cell r="LJ2567">
            <v>23.011503081818354</v>
          </cell>
          <cell r="LK2567">
            <v>20.020152274152959</v>
          </cell>
          <cell r="LL2567">
            <v>17.982747259685677</v>
          </cell>
          <cell r="LM2567">
            <v>15.721193701553757</v>
          </cell>
          <cell r="LN2567">
            <v>20.244300817817596</v>
          </cell>
          <cell r="LY2567">
            <v>17.296616291216733</v>
          </cell>
          <cell r="LZ2567">
            <v>14.730476692982464</v>
          </cell>
          <cell r="MA2567">
            <v>11.870949885755934</v>
          </cell>
          <cell r="MB2567">
            <v>9.6544719773798295</v>
          </cell>
          <cell r="MC2567">
            <v>14.087427794132038</v>
          </cell>
        </row>
        <row r="2568">
          <cell r="A2568">
            <v>43122</v>
          </cell>
          <cell r="LJ2568">
            <v>22.871166457303254</v>
          </cell>
          <cell r="LK2568">
            <v>20.020152274152959</v>
          </cell>
          <cell r="LL2568">
            <v>17.982747259685677</v>
          </cell>
          <cell r="LM2568">
            <v>15.721193701553757</v>
          </cell>
          <cell r="LN2568">
            <v>20.244300817817596</v>
          </cell>
          <cell r="LY2568">
            <v>17.1914037660591</v>
          </cell>
          <cell r="LZ2568">
            <v>14.730476692982464</v>
          </cell>
          <cell r="MA2568">
            <v>11.870949885755934</v>
          </cell>
          <cell r="MB2568">
            <v>9.6544719773798295</v>
          </cell>
          <cell r="MC2568">
            <v>14.087427794132038</v>
          </cell>
        </row>
        <row r="2569">
          <cell r="A2569">
            <v>43123</v>
          </cell>
          <cell r="LJ2569">
            <v>22.857338189138524</v>
          </cell>
          <cell r="LK2569">
            <v>20.020152274152959</v>
          </cell>
          <cell r="LL2569">
            <v>17.982747259685677</v>
          </cell>
          <cell r="LM2569">
            <v>15.721193701553757</v>
          </cell>
          <cell r="LN2569">
            <v>20.244300817817596</v>
          </cell>
          <cell r="LY2569">
            <v>17.179958914888037</v>
          </cell>
          <cell r="LZ2569">
            <v>14.730476692982464</v>
          </cell>
          <cell r="MA2569">
            <v>11.870949885755934</v>
          </cell>
          <cell r="MB2569">
            <v>9.6544719773798295</v>
          </cell>
          <cell r="MC2569">
            <v>14.087427794132038</v>
          </cell>
        </row>
        <row r="2570">
          <cell r="A2570">
            <v>43124</v>
          </cell>
          <cell r="LJ2570">
            <v>23.165513748193398</v>
          </cell>
          <cell r="LK2570">
            <v>20.020152274152959</v>
          </cell>
          <cell r="LL2570">
            <v>17.982747259685677</v>
          </cell>
          <cell r="LM2570">
            <v>15.721193701553757</v>
          </cell>
          <cell r="LN2570">
            <v>20.244300817817596</v>
          </cell>
          <cell r="LY2570">
            <v>17.387211468598036</v>
          </cell>
          <cell r="LZ2570">
            <v>14.730476692982464</v>
          </cell>
          <cell r="MA2570">
            <v>11.870949885755934</v>
          </cell>
          <cell r="MB2570">
            <v>9.6544719773798295</v>
          </cell>
          <cell r="MC2570">
            <v>14.087427794132038</v>
          </cell>
        </row>
        <row r="2571">
          <cell r="A2571">
            <v>43125</v>
          </cell>
          <cell r="LJ2571">
            <v>23.467133825884037</v>
          </cell>
          <cell r="LK2571">
            <v>20.020152274152959</v>
          </cell>
          <cell r="LL2571">
            <v>17.982747259685677</v>
          </cell>
          <cell r="LM2571">
            <v>15.721193701553757</v>
          </cell>
          <cell r="LN2571">
            <v>20.244300817817596</v>
          </cell>
          <cell r="LY2571">
            <v>17.387211468598036</v>
          </cell>
          <cell r="LZ2571">
            <v>14.730476692982464</v>
          </cell>
          <cell r="MA2571">
            <v>11.870949885755934</v>
          </cell>
          <cell r="MB2571">
            <v>9.6544719773798295</v>
          </cell>
          <cell r="MC2571">
            <v>14.087427794132038</v>
          </cell>
        </row>
        <row r="2572">
          <cell r="A2572">
            <v>43126</v>
          </cell>
          <cell r="LJ2572">
            <v>23.716866791993752</v>
          </cell>
          <cell r="LK2572">
            <v>20.020152274152959</v>
          </cell>
          <cell r="LL2572">
            <v>17.982747259685677</v>
          </cell>
          <cell r="LM2572">
            <v>15.721193701553757</v>
          </cell>
          <cell r="LN2572">
            <v>20.244300817817596</v>
          </cell>
          <cell r="LY2572">
            <v>17.749520634483432</v>
          </cell>
          <cell r="LZ2572">
            <v>14.730476692982464</v>
          </cell>
          <cell r="MA2572">
            <v>11.870949885755934</v>
          </cell>
          <cell r="MB2572">
            <v>9.6544719773798295</v>
          </cell>
          <cell r="MC2572">
            <v>14.087427794132038</v>
          </cell>
        </row>
        <row r="2573">
          <cell r="A2573">
            <v>43129</v>
          </cell>
          <cell r="LJ2573">
            <v>23.691733313228966</v>
          </cell>
          <cell r="LK2573">
            <v>20.020152274152959</v>
          </cell>
          <cell r="LL2573">
            <v>17.982747259685677</v>
          </cell>
          <cell r="LM2573">
            <v>15.721193701553757</v>
          </cell>
          <cell r="LN2573">
            <v>20.244300817817596</v>
          </cell>
          <cell r="LY2573">
            <v>17.733052319531847</v>
          </cell>
          <cell r="LZ2573">
            <v>14.730476692982464</v>
          </cell>
          <cell r="MA2573">
            <v>11.870949885755934</v>
          </cell>
          <cell r="MB2573">
            <v>9.6544719773798295</v>
          </cell>
          <cell r="MC2573">
            <v>14.087427794132038</v>
          </cell>
        </row>
        <row r="2574">
          <cell r="A2574">
            <v>43130</v>
          </cell>
          <cell r="LJ2574">
            <v>23.078956638940333</v>
          </cell>
          <cell r="LK2574">
            <v>20.020152274152959</v>
          </cell>
          <cell r="LL2574">
            <v>17.982747259685677</v>
          </cell>
          <cell r="LM2574">
            <v>15.721193701553757</v>
          </cell>
          <cell r="LN2574">
            <v>20.244300817817596</v>
          </cell>
          <cell r="LY2574">
            <v>17.360322387959684</v>
          </cell>
          <cell r="LZ2574">
            <v>14.730476692982464</v>
          </cell>
          <cell r="MA2574">
            <v>11.870949885755934</v>
          </cell>
          <cell r="MB2574">
            <v>9.6544719773798295</v>
          </cell>
          <cell r="MC2574">
            <v>14.087427794132038</v>
          </cell>
        </row>
        <row r="2575">
          <cell r="A2575">
            <v>43131</v>
          </cell>
          <cell r="LJ2575">
            <v>22.936630801133095</v>
          </cell>
          <cell r="LK2575">
            <v>20.020152274152959</v>
          </cell>
          <cell r="LL2575">
            <v>17.982747259685677</v>
          </cell>
          <cell r="LM2575">
            <v>15.721193701553757</v>
          </cell>
          <cell r="LN2575">
            <v>20.244300817817596</v>
          </cell>
          <cell r="LY2575">
            <v>17.323972411342034</v>
          </cell>
          <cell r="LZ2575">
            <v>14.730476692982464</v>
          </cell>
          <cell r="MA2575">
            <v>11.870949885755934</v>
          </cell>
          <cell r="MB2575">
            <v>9.6544719773798295</v>
          </cell>
          <cell r="MC2575">
            <v>14.087427794132038</v>
          </cell>
        </row>
        <row r="2576">
          <cell r="A2576">
            <v>43132</v>
          </cell>
          <cell r="LJ2576">
            <v>22.903640650175504</v>
          </cell>
          <cell r="LK2576">
            <v>20.020152274152959</v>
          </cell>
          <cell r="LL2576">
            <v>17.982747259685677</v>
          </cell>
          <cell r="LM2576">
            <v>15.721193701553757</v>
          </cell>
          <cell r="LN2576">
            <v>20.244300817817596</v>
          </cell>
          <cell r="LY2576">
            <v>17.17085481584791</v>
          </cell>
          <cell r="LZ2576">
            <v>14.730476692982464</v>
          </cell>
          <cell r="MA2576">
            <v>11.870949885755934</v>
          </cell>
          <cell r="MB2576">
            <v>9.6544719773798295</v>
          </cell>
          <cell r="MC2576">
            <v>14.087427794132038</v>
          </cell>
        </row>
        <row r="2577">
          <cell r="A2577">
            <v>43133</v>
          </cell>
          <cell r="LJ2577">
            <v>22.973843963129131</v>
          </cell>
          <cell r="LK2577">
            <v>20.020152274152959</v>
          </cell>
          <cell r="LL2577">
            <v>17.982747259685677</v>
          </cell>
          <cell r="LM2577">
            <v>15.721193701553757</v>
          </cell>
          <cell r="LN2577">
            <v>20.244300817817596</v>
          </cell>
          <cell r="LY2577">
            <v>17.230034414758052</v>
          </cell>
          <cell r="LZ2577">
            <v>14.730476692982464</v>
          </cell>
          <cell r="MA2577">
            <v>11.870949885755934</v>
          </cell>
          <cell r="MB2577">
            <v>9.6544719773798295</v>
          </cell>
          <cell r="MC2577">
            <v>14.087427794132038</v>
          </cell>
        </row>
        <row r="2578">
          <cell r="A2578">
            <v>43136</v>
          </cell>
          <cell r="LJ2578">
            <v>21.741736565991925</v>
          </cell>
          <cell r="LK2578">
            <v>20.020152274152959</v>
          </cell>
          <cell r="LL2578">
            <v>17.982747259685677</v>
          </cell>
          <cell r="LM2578">
            <v>15.721193701553757</v>
          </cell>
          <cell r="LN2578">
            <v>20.244300817817596</v>
          </cell>
          <cell r="LY2578">
            <v>17.230044802025471</v>
          </cell>
          <cell r="LZ2578">
            <v>14.730476692982464</v>
          </cell>
          <cell r="MA2578">
            <v>11.870949885755934</v>
          </cell>
          <cell r="MB2578">
            <v>9.6544719773798295</v>
          </cell>
          <cell r="MC2578">
            <v>14.087427794132038</v>
          </cell>
        </row>
        <row r="2579">
          <cell r="A2579">
            <v>43137</v>
          </cell>
          <cell r="LJ2579">
            <v>21.820431087463867</v>
          </cell>
          <cell r="LK2579">
            <v>20.020152274152959</v>
          </cell>
          <cell r="LL2579">
            <v>17.982747259685677</v>
          </cell>
          <cell r="LM2579">
            <v>15.721193701553757</v>
          </cell>
          <cell r="LN2579">
            <v>20.244300817817596</v>
          </cell>
          <cell r="LY2579">
            <v>16.471797930016969</v>
          </cell>
          <cell r="LZ2579">
            <v>14.730476692982464</v>
          </cell>
          <cell r="MA2579">
            <v>11.870949885755934</v>
          </cell>
          <cell r="MB2579">
            <v>9.6544719773798295</v>
          </cell>
          <cell r="MC2579">
            <v>14.087427794132038</v>
          </cell>
        </row>
        <row r="2580">
          <cell r="A2580">
            <v>43138</v>
          </cell>
          <cell r="LJ2580">
            <v>21.415723600391949</v>
          </cell>
          <cell r="LK2580">
            <v>20.020152274152959</v>
          </cell>
          <cell r="LL2580">
            <v>17.982747259685677</v>
          </cell>
          <cell r="LM2580">
            <v>15.721193701553757</v>
          </cell>
          <cell r="LN2580">
            <v>20.244300817817596</v>
          </cell>
          <cell r="LY2580">
            <v>16.205369315475313</v>
          </cell>
          <cell r="LZ2580">
            <v>14.730476692982464</v>
          </cell>
          <cell r="MA2580">
            <v>11.870949885755934</v>
          </cell>
          <cell r="MB2580">
            <v>9.6544719773798295</v>
          </cell>
          <cell r="MC2580">
            <v>14.087427794132038</v>
          </cell>
        </row>
        <row r="2581">
          <cell r="A2581">
            <v>43139</v>
          </cell>
          <cell r="LJ2581">
            <v>20.72097819081382</v>
          </cell>
          <cell r="LK2581">
            <v>20.020152274152959</v>
          </cell>
          <cell r="LL2581">
            <v>17.982747259685677</v>
          </cell>
          <cell r="LM2581">
            <v>15.721193701553757</v>
          </cell>
          <cell r="LN2581">
            <v>20.244300817817596</v>
          </cell>
          <cell r="LY2581">
            <v>16.205369315475313</v>
          </cell>
          <cell r="LZ2581">
            <v>14.730476692982464</v>
          </cell>
          <cell r="MA2581">
            <v>11.870949885755934</v>
          </cell>
          <cell r="MB2581">
            <v>9.6544719773798295</v>
          </cell>
          <cell r="MC2581">
            <v>14.087427794132038</v>
          </cell>
        </row>
        <row r="2582">
          <cell r="A2582">
            <v>43140</v>
          </cell>
          <cell r="LJ2582">
            <v>21.239767410400464</v>
          </cell>
          <cell r="LK2582">
            <v>20.020152274152959</v>
          </cell>
          <cell r="LL2582">
            <v>17.982747259685677</v>
          </cell>
          <cell r="LM2582">
            <v>15.721193701553757</v>
          </cell>
          <cell r="LN2582">
            <v>20.244300817817596</v>
          </cell>
          <cell r="LY2582">
            <v>16.088438052829449</v>
          </cell>
          <cell r="LZ2582">
            <v>14.730476692982464</v>
          </cell>
          <cell r="MA2582">
            <v>11.870949885755934</v>
          </cell>
          <cell r="MB2582">
            <v>9.6544719773798295</v>
          </cell>
          <cell r="MC2582">
            <v>14.087427794132038</v>
          </cell>
        </row>
        <row r="2583">
          <cell r="A2583">
            <v>43143</v>
          </cell>
          <cell r="LJ2583">
            <v>21.453378609059154</v>
          </cell>
          <cell r="LK2583">
            <v>20.020152274152959</v>
          </cell>
          <cell r="LL2583">
            <v>17.982747259685677</v>
          </cell>
          <cell r="LM2583">
            <v>15.721193701553757</v>
          </cell>
          <cell r="LN2583">
            <v>20.244300817817596</v>
          </cell>
          <cell r="LY2583">
            <v>16.229052398424646</v>
          </cell>
          <cell r="LZ2583">
            <v>14.730476692982464</v>
          </cell>
          <cell r="MA2583">
            <v>11.870949885755934</v>
          </cell>
          <cell r="MB2583">
            <v>9.6544719773798295</v>
          </cell>
          <cell r="MC2583">
            <v>14.087427794132038</v>
          </cell>
        </row>
        <row r="2584">
          <cell r="A2584">
            <v>43144</v>
          </cell>
          <cell r="LJ2584">
            <v>21.356689330763722</v>
          </cell>
          <cell r="LK2584">
            <v>20.020152274152959</v>
          </cell>
          <cell r="LL2584">
            <v>17.982747259685677</v>
          </cell>
          <cell r="LM2584">
            <v>15.721193701553757</v>
          </cell>
          <cell r="LN2584">
            <v>20.244300817817596</v>
          </cell>
          <cell r="LY2584">
            <v>16.165404520041132</v>
          </cell>
          <cell r="LZ2584">
            <v>14.730476692982464</v>
          </cell>
          <cell r="MA2584">
            <v>11.870949885755934</v>
          </cell>
          <cell r="MB2584">
            <v>9.6544719773798295</v>
          </cell>
          <cell r="MC2584">
            <v>14.087427794132038</v>
          </cell>
        </row>
        <row r="2585">
          <cell r="A2585">
            <v>43145</v>
          </cell>
          <cell r="LJ2585">
            <v>21.618988489372732</v>
          </cell>
          <cell r="LK2585">
            <v>20.020152274152959</v>
          </cell>
          <cell r="LL2585">
            <v>17.982747259685677</v>
          </cell>
          <cell r="LM2585">
            <v>15.721193701553757</v>
          </cell>
          <cell r="LN2585">
            <v>20.244300817817596</v>
          </cell>
          <cell r="LY2585">
            <v>16.331183584421776</v>
          </cell>
          <cell r="LZ2585">
            <v>14.730476692982464</v>
          </cell>
          <cell r="MA2585">
            <v>11.870949885755934</v>
          </cell>
          <cell r="MB2585">
            <v>9.6544719773798295</v>
          </cell>
          <cell r="MC2585">
            <v>14.087427794132038</v>
          </cell>
        </row>
        <row r="2586">
          <cell r="A2586">
            <v>43146</v>
          </cell>
          <cell r="LJ2586">
            <v>21.927187282068946</v>
          </cell>
          <cell r="LK2586">
            <v>20.020152274152959</v>
          </cell>
          <cell r="LL2586">
            <v>17.982747259685677</v>
          </cell>
          <cell r="LM2586">
            <v>15.721193701553757</v>
          </cell>
          <cell r="LN2586">
            <v>20.244300817817596</v>
          </cell>
          <cell r="LY2586">
            <v>16.331183584421776</v>
          </cell>
          <cell r="LZ2586">
            <v>14.730476692982464</v>
          </cell>
          <cell r="MA2586">
            <v>11.870949885755934</v>
          </cell>
          <cell r="MB2586">
            <v>9.6544719773798295</v>
          </cell>
          <cell r="MC2586">
            <v>14.087427794132038</v>
          </cell>
        </row>
        <row r="2587">
          <cell r="A2587">
            <v>43147</v>
          </cell>
          <cell r="LJ2587">
            <v>21.942932923402232</v>
          </cell>
          <cell r="LK2587">
            <v>20.020152274152959</v>
          </cell>
          <cell r="LL2587">
            <v>17.982747259685677</v>
          </cell>
          <cell r="LM2587">
            <v>15.721193701553757</v>
          </cell>
          <cell r="LN2587">
            <v>20.244300817817596</v>
          </cell>
          <cell r="LY2587">
            <v>16.544311170033779</v>
          </cell>
          <cell r="LZ2587">
            <v>14.730476692982464</v>
          </cell>
          <cell r="MA2587">
            <v>11.870949885755934</v>
          </cell>
          <cell r="MB2587">
            <v>9.6544719773798295</v>
          </cell>
          <cell r="MC2587">
            <v>14.087427794132038</v>
          </cell>
        </row>
        <row r="2588">
          <cell r="A2588">
            <v>43150</v>
          </cell>
          <cell r="LJ2588">
            <v>21.942932923402232</v>
          </cell>
          <cell r="LK2588">
            <v>20.020152274152959</v>
          </cell>
          <cell r="LL2588">
            <v>17.982747259685677</v>
          </cell>
          <cell r="LM2588">
            <v>15.721193701553757</v>
          </cell>
          <cell r="LN2588">
            <v>20.244300817817596</v>
          </cell>
          <cell r="LY2588">
            <v>16.552124881584536</v>
          </cell>
          <cell r="LZ2588">
            <v>14.730476692982464</v>
          </cell>
          <cell r="MA2588">
            <v>11.870949885755934</v>
          </cell>
          <cell r="MB2588">
            <v>9.6544719773798295</v>
          </cell>
          <cell r="MC2588">
            <v>14.087427794132038</v>
          </cell>
        </row>
        <row r="2589">
          <cell r="A2589">
            <v>43151</v>
          </cell>
          <cell r="LJ2589">
            <v>21.78771107195308</v>
          </cell>
          <cell r="LK2589">
            <v>20.020152274152959</v>
          </cell>
          <cell r="LL2589">
            <v>17.982747259685677</v>
          </cell>
          <cell r="LM2589">
            <v>15.721193701553757</v>
          </cell>
          <cell r="LN2589">
            <v>20.244300817817596</v>
          </cell>
          <cell r="LY2589">
            <v>16.552124881584536</v>
          </cell>
          <cell r="LZ2589">
            <v>14.730476692982464</v>
          </cell>
          <cell r="MA2589">
            <v>11.870949885755934</v>
          </cell>
          <cell r="MB2589">
            <v>9.6544719773798295</v>
          </cell>
          <cell r="MC2589">
            <v>14.087427794132038</v>
          </cell>
        </row>
        <row r="2590">
          <cell r="A2590">
            <v>43152</v>
          </cell>
          <cell r="LJ2590">
            <v>21.900480190773784</v>
          </cell>
          <cell r="LK2590">
            <v>20.020152274152959</v>
          </cell>
          <cell r="LL2590">
            <v>17.982747259685677</v>
          </cell>
          <cell r="LM2590">
            <v>15.721193701553757</v>
          </cell>
          <cell r="LN2590">
            <v>20.244300817817596</v>
          </cell>
          <cell r="LY2590">
            <v>16.564702222433869</v>
          </cell>
          <cell r="LZ2590">
            <v>14.730476692982464</v>
          </cell>
          <cell r="MA2590">
            <v>11.870949885755934</v>
          </cell>
          <cell r="MB2590">
            <v>9.6544719773798295</v>
          </cell>
          <cell r="MC2590">
            <v>14.087427794132038</v>
          </cell>
        </row>
        <row r="2591">
          <cell r="A2591">
            <v>43153</v>
          </cell>
          <cell r="LJ2591">
            <v>21.902728504931854</v>
          </cell>
          <cell r="LK2591">
            <v>20.020152274152959</v>
          </cell>
          <cell r="LL2591">
            <v>17.982747259685677</v>
          </cell>
          <cell r="LM2591">
            <v>15.721193701553757</v>
          </cell>
          <cell r="LN2591">
            <v>20.244300817817596</v>
          </cell>
          <cell r="LY2591">
            <v>16.566186366916817</v>
          </cell>
          <cell r="LZ2591">
            <v>14.730476692982464</v>
          </cell>
          <cell r="MA2591">
            <v>11.870949885755934</v>
          </cell>
          <cell r="MB2591">
            <v>9.6544719773798295</v>
          </cell>
          <cell r="MC2591">
            <v>14.087427794132038</v>
          </cell>
        </row>
        <row r="2592">
          <cell r="A2592">
            <v>43154</v>
          </cell>
          <cell r="LJ2592">
            <v>22.345912529318255</v>
          </cell>
          <cell r="LK2592">
            <v>20.020152274152959</v>
          </cell>
          <cell r="LL2592">
            <v>17.982747259685677</v>
          </cell>
          <cell r="LM2592">
            <v>15.721193701553757</v>
          </cell>
          <cell r="LN2592">
            <v>20.244300817817596</v>
          </cell>
          <cell r="LY2592">
            <v>16.8587385097576</v>
          </cell>
          <cell r="LZ2592">
            <v>14.730476692982464</v>
          </cell>
          <cell r="MA2592">
            <v>11.870949885755934</v>
          </cell>
          <cell r="MB2592">
            <v>9.6544719773798295</v>
          </cell>
          <cell r="MC2592">
            <v>14.087427794132038</v>
          </cell>
        </row>
        <row r="2593">
          <cell r="A2593">
            <v>43157</v>
          </cell>
          <cell r="LJ2593">
            <v>22.683363922516435</v>
          </cell>
          <cell r="LK2593">
            <v>20.020152274152959</v>
          </cell>
          <cell r="LL2593">
            <v>17.982747259685677</v>
          </cell>
          <cell r="LM2593">
            <v>15.721193701553757</v>
          </cell>
          <cell r="LN2593">
            <v>20.244300817817596</v>
          </cell>
          <cell r="LY2593">
            <v>17.081495023423489</v>
          </cell>
          <cell r="LZ2593">
            <v>14.730476692982464</v>
          </cell>
          <cell r="MA2593">
            <v>11.870949885755934</v>
          </cell>
          <cell r="MB2593">
            <v>9.6544719773798295</v>
          </cell>
          <cell r="MC2593">
            <v>14.087427794132038</v>
          </cell>
        </row>
        <row r="2594">
          <cell r="A2594">
            <v>43158</v>
          </cell>
          <cell r="LJ2594">
            <v>22.403559848950255</v>
          </cell>
          <cell r="LK2594">
            <v>20.020152274152959</v>
          </cell>
          <cell r="LL2594">
            <v>17.982747259685677</v>
          </cell>
          <cell r="LM2594">
            <v>15.721193701553757</v>
          </cell>
          <cell r="LN2594">
            <v>20.244300817817596</v>
          </cell>
          <cell r="LY2594">
            <v>17.081489568779762</v>
          </cell>
          <cell r="LZ2594">
            <v>14.730476692982464</v>
          </cell>
          <cell r="MA2594">
            <v>11.870949885755934</v>
          </cell>
          <cell r="MB2594">
            <v>9.6544719773798295</v>
          </cell>
          <cell r="MC2594">
            <v>14.087427794132038</v>
          </cell>
        </row>
        <row r="2595">
          <cell r="A2595">
            <v>43159</v>
          </cell>
          <cell r="LJ2595">
            <v>22.012606708692072</v>
          </cell>
          <cell r="LK2595">
            <v>20.020152274152959</v>
          </cell>
          <cell r="LL2595">
            <v>17.982747259685677</v>
          </cell>
          <cell r="LM2595">
            <v>15.721193701553757</v>
          </cell>
          <cell r="LN2595">
            <v>20.244300817817596</v>
          </cell>
          <cell r="LY2595">
            <v>16.628552251081267</v>
          </cell>
          <cell r="LZ2595">
            <v>14.730476692982464</v>
          </cell>
          <cell r="MA2595">
            <v>11.870949885755934</v>
          </cell>
          <cell r="MB2595">
            <v>9.6544719773798295</v>
          </cell>
          <cell r="MC2595">
            <v>14.087427794132038</v>
          </cell>
        </row>
        <row r="2596">
          <cell r="A2596">
            <v>43160</v>
          </cell>
          <cell r="LJ2596">
            <v>21.462270765790944</v>
          </cell>
          <cell r="LK2596">
            <v>20.020152274152959</v>
          </cell>
          <cell r="LL2596">
            <v>17.982747259685677</v>
          </cell>
          <cell r="LM2596">
            <v>15.721193701553757</v>
          </cell>
          <cell r="LN2596">
            <v>20.244300817817596</v>
          </cell>
          <cell r="LY2596">
            <v>16.518701029732341</v>
          </cell>
          <cell r="LZ2596">
            <v>14.730476692982464</v>
          </cell>
          <cell r="MA2596">
            <v>11.870949885755934</v>
          </cell>
          <cell r="MB2596">
            <v>9.6544719773798295</v>
          </cell>
          <cell r="MC2596">
            <v>14.087427794132038</v>
          </cell>
        </row>
        <row r="2597">
          <cell r="A2597">
            <v>43161</v>
          </cell>
          <cell r="LJ2597">
            <v>21.515607479926945</v>
          </cell>
          <cell r="LK2597">
            <v>20.020152274152959</v>
          </cell>
          <cell r="LL2597">
            <v>17.982747259685677</v>
          </cell>
          <cell r="LM2597">
            <v>15.721193701553757</v>
          </cell>
          <cell r="LN2597">
            <v>20.244300817817596</v>
          </cell>
          <cell r="LY2597">
            <v>16.28857245979912</v>
          </cell>
          <cell r="LZ2597">
            <v>14.730476692982464</v>
          </cell>
          <cell r="MA2597">
            <v>11.870949885755934</v>
          </cell>
          <cell r="MB2597">
            <v>9.6544719773798295</v>
          </cell>
          <cell r="MC2597">
            <v>14.087427794132038</v>
          </cell>
        </row>
        <row r="2598">
          <cell r="A2598">
            <v>43164</v>
          </cell>
          <cell r="LJ2598">
            <v>21.819714999823905</v>
          </cell>
          <cell r="LK2598">
            <v>20.020152274152959</v>
          </cell>
          <cell r="LL2598">
            <v>17.982747259685677</v>
          </cell>
          <cell r="LM2598">
            <v>15.721193701553757</v>
          </cell>
          <cell r="LN2598">
            <v>20.244300817817596</v>
          </cell>
          <cell r="LY2598">
            <v>16.491775256135512</v>
          </cell>
          <cell r="LZ2598">
            <v>14.730476692982464</v>
          </cell>
          <cell r="MA2598">
            <v>11.870949885755934</v>
          </cell>
          <cell r="MB2598">
            <v>9.6544719773798295</v>
          </cell>
          <cell r="MC2598">
            <v>14.087427794132038</v>
          </cell>
        </row>
        <row r="2599">
          <cell r="A2599">
            <v>43165</v>
          </cell>
          <cell r="LJ2599">
            <v>21.857727992594086</v>
          </cell>
          <cell r="LK2599">
            <v>20.020152274152959</v>
          </cell>
          <cell r="LL2599">
            <v>17.982747259685677</v>
          </cell>
          <cell r="LM2599">
            <v>15.721193701553757</v>
          </cell>
          <cell r="LN2599">
            <v>20.244300817817596</v>
          </cell>
          <cell r="LY2599">
            <v>16.516857700951284</v>
          </cell>
          <cell r="LZ2599">
            <v>14.730476692982464</v>
          </cell>
          <cell r="MA2599">
            <v>11.870949885755934</v>
          </cell>
          <cell r="MB2599">
            <v>9.6544719773798295</v>
          </cell>
          <cell r="MC2599">
            <v>14.087427794132038</v>
          </cell>
        </row>
        <row r="2600">
          <cell r="A2600">
            <v>43166</v>
          </cell>
          <cell r="LJ2600">
            <v>22.536435054636659</v>
          </cell>
          <cell r="LK2600">
            <v>20.020152274152959</v>
          </cell>
          <cell r="LL2600">
            <v>17.982747259685677</v>
          </cell>
          <cell r="LM2600">
            <v>15.721193701553757</v>
          </cell>
          <cell r="LN2600">
            <v>20.244300817817596</v>
          </cell>
          <cell r="LY2600">
            <v>16.962962091763949</v>
          </cell>
          <cell r="LZ2600">
            <v>14.730476692982464</v>
          </cell>
          <cell r="MA2600">
            <v>11.870949885755934</v>
          </cell>
          <cell r="MB2600">
            <v>9.6544719773798295</v>
          </cell>
          <cell r="MC2600">
            <v>14.087427794132038</v>
          </cell>
        </row>
        <row r="2601">
          <cell r="A2601">
            <v>43167</v>
          </cell>
          <cell r="LJ2601">
            <v>22.704879057035921</v>
          </cell>
          <cell r="LK2601">
            <v>20.020152274152959</v>
          </cell>
          <cell r="LL2601">
            <v>17.982747259685677</v>
          </cell>
          <cell r="LM2601">
            <v>15.721193701553757</v>
          </cell>
          <cell r="LN2601">
            <v>20.244300817817596</v>
          </cell>
          <cell r="LY2601">
            <v>16.956653185520587</v>
          </cell>
          <cell r="LZ2601">
            <v>14.730476692982464</v>
          </cell>
          <cell r="MA2601">
            <v>11.870949885755934</v>
          </cell>
          <cell r="MB2601">
            <v>9.6544719773798295</v>
          </cell>
          <cell r="MC2601">
            <v>14.087427794132038</v>
          </cell>
        </row>
        <row r="2602">
          <cell r="A2602">
            <v>43168</v>
          </cell>
          <cell r="LJ2602">
            <v>23.181218611562674</v>
          </cell>
          <cell r="LK2602">
            <v>20.020152274152959</v>
          </cell>
          <cell r="LL2602">
            <v>17.982747259685677</v>
          </cell>
          <cell r="LM2602">
            <v>15.721193701553757</v>
          </cell>
          <cell r="LN2602">
            <v>20.244300817817596</v>
          </cell>
          <cell r="LY2602">
            <v>17.387150829371546</v>
          </cell>
          <cell r="LZ2602">
            <v>14.730476692982464</v>
          </cell>
          <cell r="MA2602">
            <v>11.870949885755934</v>
          </cell>
          <cell r="MB2602">
            <v>9.6544719773798295</v>
          </cell>
          <cell r="MC2602">
            <v>14.087427794132038</v>
          </cell>
        </row>
        <row r="2603">
          <cell r="A2603">
            <v>43171</v>
          </cell>
          <cell r="LJ2603">
            <v>23.105241694458876</v>
          </cell>
          <cell r="LK2603">
            <v>20.020152274152959</v>
          </cell>
          <cell r="LL2603">
            <v>17.982747259685677</v>
          </cell>
          <cell r="LM2603">
            <v>15.721193701553757</v>
          </cell>
          <cell r="LN2603">
            <v>20.244300817817596</v>
          </cell>
          <cell r="LY2603">
            <v>17.337022812756427</v>
          </cell>
          <cell r="LZ2603">
            <v>14.730476692982464</v>
          </cell>
          <cell r="MA2603">
            <v>11.870949885755934</v>
          </cell>
          <cell r="MB2603">
            <v>9.6544719773798295</v>
          </cell>
          <cell r="MC2603">
            <v>14.087427794132038</v>
          </cell>
        </row>
        <row r="2604">
          <cell r="A2604">
            <v>43172</v>
          </cell>
          <cell r="LJ2604">
            <v>22.968219851421548</v>
          </cell>
          <cell r="LK2604">
            <v>20.020152274152959</v>
          </cell>
          <cell r="LL2604">
            <v>17.982747259685677</v>
          </cell>
          <cell r="LM2604">
            <v>15.721193701553757</v>
          </cell>
          <cell r="LN2604">
            <v>20.244300817817596</v>
          </cell>
          <cell r="LY2604">
            <v>17.244311549364319</v>
          </cell>
          <cell r="LZ2604">
            <v>14.730476692982464</v>
          </cell>
          <cell r="MA2604">
            <v>11.870949885755934</v>
          </cell>
          <cell r="MB2604">
            <v>9.6544719773798295</v>
          </cell>
          <cell r="MC2604">
            <v>14.087427794132038</v>
          </cell>
        </row>
        <row r="2605">
          <cell r="A2605">
            <v>43173</v>
          </cell>
          <cell r="LJ2605">
            <v>22.829693347483662</v>
          </cell>
          <cell r="LK2605">
            <v>20.020152274152959</v>
          </cell>
          <cell r="LL2605">
            <v>17.982747259685677</v>
          </cell>
          <cell r="LM2605">
            <v>15.721193701553757</v>
          </cell>
          <cell r="LN2605">
            <v>20.244300817817596</v>
          </cell>
          <cell r="LY2605">
            <v>17.152925395613543</v>
          </cell>
          <cell r="LZ2605">
            <v>14.730476692982464</v>
          </cell>
          <cell r="MA2605">
            <v>11.870949885755934</v>
          </cell>
          <cell r="MB2605">
            <v>9.6544719773798295</v>
          </cell>
          <cell r="MC2605">
            <v>14.087427794132038</v>
          </cell>
        </row>
        <row r="2606">
          <cell r="A2606">
            <v>43174</v>
          </cell>
          <cell r="LJ2606">
            <v>22.838632631402557</v>
          </cell>
          <cell r="LK2606">
            <v>20.020152274152959</v>
          </cell>
          <cell r="LL2606">
            <v>17.982747259685677</v>
          </cell>
          <cell r="LM2606">
            <v>15.721193701553757</v>
          </cell>
          <cell r="LN2606">
            <v>20.244300817817596</v>
          </cell>
          <cell r="LY2606">
            <v>17.152925395613543</v>
          </cell>
          <cell r="LZ2606">
            <v>14.730476692982464</v>
          </cell>
          <cell r="MA2606">
            <v>11.870949885755934</v>
          </cell>
          <cell r="MB2606">
            <v>9.6544719773798295</v>
          </cell>
          <cell r="MC2606">
            <v>14.087427794132038</v>
          </cell>
        </row>
        <row r="2607">
          <cell r="A2607">
            <v>43175</v>
          </cell>
          <cell r="LJ2607">
            <v>22.773048132165453</v>
          </cell>
          <cell r="LK2607">
            <v>20.020152274152959</v>
          </cell>
          <cell r="LL2607">
            <v>17.982747259685677</v>
          </cell>
          <cell r="LM2607">
            <v>15.721193701553757</v>
          </cell>
          <cell r="LN2607">
            <v>20.244300817817596</v>
          </cell>
          <cell r="LY2607">
            <v>17.116075830256317</v>
          </cell>
          <cell r="LZ2607">
            <v>14.730476692982464</v>
          </cell>
          <cell r="MA2607">
            <v>11.870949885755934</v>
          </cell>
          <cell r="MB2607">
            <v>9.6544719773798295</v>
          </cell>
          <cell r="MC2607">
            <v>14.087427794132038</v>
          </cell>
        </row>
        <row r="2608">
          <cell r="A2608">
            <v>43178</v>
          </cell>
          <cell r="LJ2608">
            <v>22.411110155376399</v>
          </cell>
          <cell r="LK2608">
            <v>20.020152274152959</v>
          </cell>
          <cell r="LL2608">
            <v>17.982747259685677</v>
          </cell>
          <cell r="LM2608">
            <v>15.721193701553757</v>
          </cell>
          <cell r="LN2608">
            <v>20.244300817817596</v>
          </cell>
          <cell r="LY2608">
            <v>16.877296518219651</v>
          </cell>
          <cell r="LZ2608">
            <v>14.730476692982464</v>
          </cell>
          <cell r="MA2608">
            <v>11.870949885755934</v>
          </cell>
          <cell r="MB2608">
            <v>9.6544719773798295</v>
          </cell>
          <cell r="MC2608">
            <v>14.087427794132038</v>
          </cell>
        </row>
        <row r="2609">
          <cell r="A2609">
            <v>43179</v>
          </cell>
          <cell r="LJ2609">
            <v>22.468997877332139</v>
          </cell>
          <cell r="LK2609">
            <v>20.020152274152959</v>
          </cell>
          <cell r="LL2609">
            <v>17.982747259685677</v>
          </cell>
          <cell r="LM2609">
            <v>15.721193701553757</v>
          </cell>
          <cell r="LN2609">
            <v>20.244300817817596</v>
          </cell>
          <cell r="LY2609">
            <v>16.911925173847244</v>
          </cell>
          <cell r="LZ2609">
            <v>14.730476692982464</v>
          </cell>
          <cell r="MA2609">
            <v>11.870949885755934</v>
          </cell>
          <cell r="MB2609">
            <v>9.6544719773798295</v>
          </cell>
          <cell r="MC2609">
            <v>14.087427794132038</v>
          </cell>
        </row>
        <row r="2610">
          <cell r="A2610">
            <v>43180</v>
          </cell>
          <cell r="LJ2610">
            <v>22.301418389006813</v>
          </cell>
          <cell r="LK2610">
            <v>20.020152274152959</v>
          </cell>
          <cell r="LL2610">
            <v>17.982747259685677</v>
          </cell>
          <cell r="LM2610">
            <v>15.721193701553757</v>
          </cell>
          <cell r="LN2610">
            <v>20.244300817817596</v>
          </cell>
          <cell r="LY2610">
            <v>16.911925173847244</v>
          </cell>
          <cell r="LZ2610">
            <v>14.730476692982464</v>
          </cell>
          <cell r="MA2610">
            <v>11.870949885755934</v>
          </cell>
          <cell r="MB2610">
            <v>9.6544719773798295</v>
          </cell>
          <cell r="MC2610">
            <v>14.087427794132038</v>
          </cell>
        </row>
        <row r="2611">
          <cell r="A2611">
            <v>43181</v>
          </cell>
          <cell r="LJ2611">
            <v>21.782287955617669</v>
          </cell>
          <cell r="LK2611">
            <v>20.020152274152959</v>
          </cell>
          <cell r="LL2611">
            <v>17.982747259685677</v>
          </cell>
          <cell r="LM2611">
            <v>15.721193701553757</v>
          </cell>
          <cell r="LN2611">
            <v>20.244300817817596</v>
          </cell>
          <cell r="LY2611">
            <v>16.459483913743146</v>
          </cell>
          <cell r="LZ2611">
            <v>14.730476692982464</v>
          </cell>
          <cell r="MA2611">
            <v>11.870949885755934</v>
          </cell>
          <cell r="MB2611">
            <v>9.6544719773798295</v>
          </cell>
          <cell r="MC2611">
            <v>14.087427794132038</v>
          </cell>
        </row>
        <row r="2612">
          <cell r="A2612">
            <v>43182</v>
          </cell>
          <cell r="LJ2612">
            <v>21.435969260365244</v>
          </cell>
          <cell r="LK2612">
            <v>20.020152274152959</v>
          </cell>
          <cell r="LL2612">
            <v>17.982747259685677</v>
          </cell>
          <cell r="LM2612">
            <v>15.721193701553757</v>
          </cell>
          <cell r="LN2612">
            <v>20.244300817817596</v>
          </cell>
          <cell r="LY2612">
            <v>16.231051770069541</v>
          </cell>
          <cell r="LZ2612">
            <v>14.730476692982464</v>
          </cell>
          <cell r="MA2612">
            <v>11.870949885755934</v>
          </cell>
          <cell r="MB2612">
            <v>9.6544719773798295</v>
          </cell>
          <cell r="MC2612">
            <v>14.087427794132038</v>
          </cell>
        </row>
        <row r="2613">
          <cell r="A2613">
            <v>43185</v>
          </cell>
          <cell r="LJ2613">
            <v>21.931986267931734</v>
          </cell>
          <cell r="LK2613">
            <v>20.020152274152959</v>
          </cell>
          <cell r="LL2613">
            <v>17.982747259685677</v>
          </cell>
          <cell r="LM2613">
            <v>15.721193701553757</v>
          </cell>
          <cell r="LN2613">
            <v>20.244300817817596</v>
          </cell>
          <cell r="LY2613">
            <v>16.558225064177719</v>
          </cell>
          <cell r="LZ2613">
            <v>14.730476692982464</v>
          </cell>
          <cell r="MA2613">
            <v>11.870949885755934</v>
          </cell>
          <cell r="MB2613">
            <v>9.6544719773798295</v>
          </cell>
          <cell r="MC2613">
            <v>14.087427794132038</v>
          </cell>
        </row>
        <row r="2614">
          <cell r="A2614">
            <v>43186</v>
          </cell>
          <cell r="LJ2614">
            <v>21.728663178909009</v>
          </cell>
          <cell r="LK2614">
            <v>20.020152274152959</v>
          </cell>
          <cell r="LL2614">
            <v>17.982747259685677</v>
          </cell>
          <cell r="LM2614">
            <v>15.721193701553757</v>
          </cell>
          <cell r="LN2614">
            <v>20.244300817817596</v>
          </cell>
          <cell r="LY2614">
            <v>16.424112959574334</v>
          </cell>
          <cell r="LZ2614">
            <v>14.730476692982464</v>
          </cell>
          <cell r="MA2614">
            <v>11.870949885755934</v>
          </cell>
          <cell r="MB2614">
            <v>9.6544719773798295</v>
          </cell>
          <cell r="MC2614">
            <v>14.087427794132038</v>
          </cell>
        </row>
        <row r="2615">
          <cell r="A2615">
            <v>43187</v>
          </cell>
          <cell r="LJ2615">
            <v>21.547048777765376</v>
          </cell>
          <cell r="LK2615">
            <v>20.020152274152959</v>
          </cell>
          <cell r="LL2615">
            <v>17.982747259685677</v>
          </cell>
          <cell r="LM2615">
            <v>15.721193701553757</v>
          </cell>
          <cell r="LN2615">
            <v>20.244300817817596</v>
          </cell>
          <cell r="LY2615">
            <v>16.334334181333908</v>
          </cell>
          <cell r="LZ2615">
            <v>14.730476692982464</v>
          </cell>
          <cell r="MA2615">
            <v>11.870949885755934</v>
          </cell>
          <cell r="MB2615">
            <v>9.6544719773798295</v>
          </cell>
          <cell r="MC2615">
            <v>14.087427794132038</v>
          </cell>
        </row>
        <row r="2616">
          <cell r="A2616">
            <v>43188</v>
          </cell>
          <cell r="LJ2616">
            <v>21.857351043643266</v>
          </cell>
          <cell r="LK2616">
            <v>20.020152274152959</v>
          </cell>
          <cell r="LL2616">
            <v>17.982747259685677</v>
          </cell>
          <cell r="LM2616">
            <v>15.721193701553757</v>
          </cell>
          <cell r="LN2616">
            <v>20.244300817817596</v>
          </cell>
          <cell r="LY2616">
            <v>16.539439880005535</v>
          </cell>
          <cell r="LZ2616">
            <v>14.730476692982464</v>
          </cell>
          <cell r="MA2616">
            <v>11.870949885755934</v>
          </cell>
          <cell r="MB2616">
            <v>9.6544719773798295</v>
          </cell>
          <cell r="MC2616">
            <v>14.087427794132038</v>
          </cell>
        </row>
        <row r="2617">
          <cell r="A2617">
            <v>43189</v>
          </cell>
          <cell r="LJ2617">
            <v>21.857351043643266</v>
          </cell>
          <cell r="LK2617">
            <v>20.020152274152959</v>
          </cell>
          <cell r="LL2617">
            <v>17.982747259685677</v>
          </cell>
          <cell r="LM2617">
            <v>15.721193701553757</v>
          </cell>
          <cell r="LN2617">
            <v>20.244300817817596</v>
          </cell>
          <cell r="LY2617">
            <v>16.539439880005535</v>
          </cell>
          <cell r="LZ2617">
            <v>14.730476692982464</v>
          </cell>
          <cell r="MA2617">
            <v>11.870949885755934</v>
          </cell>
          <cell r="MB2617">
            <v>9.6544719773798295</v>
          </cell>
          <cell r="MC2617">
            <v>14.087427794132038</v>
          </cell>
        </row>
        <row r="2618">
          <cell r="A2618">
            <v>43192</v>
          </cell>
          <cell r="LJ2618">
            <v>21.299075119315361</v>
          </cell>
          <cell r="LK2618">
            <v>20.020152274152959</v>
          </cell>
          <cell r="LL2618">
            <v>17.982747259685677</v>
          </cell>
          <cell r="LM2618">
            <v>15.721193701553757</v>
          </cell>
          <cell r="LN2618">
            <v>20.244300817817596</v>
          </cell>
          <cell r="LY2618">
            <v>16.165358158600856</v>
          </cell>
          <cell r="LZ2618">
            <v>14.730476692982464</v>
          </cell>
          <cell r="MA2618">
            <v>11.870949885755934</v>
          </cell>
          <cell r="MB2618">
            <v>9.6544719773798295</v>
          </cell>
          <cell r="MC2618">
            <v>14.087427794132038</v>
          </cell>
        </row>
        <row r="2619">
          <cell r="A2619">
            <v>43193</v>
          </cell>
          <cell r="LJ2619">
            <v>21.763500771019032</v>
          </cell>
          <cell r="LK2619">
            <v>20.020152274152959</v>
          </cell>
          <cell r="LL2619">
            <v>17.982747259685677</v>
          </cell>
          <cell r="LM2619">
            <v>15.721193701553757</v>
          </cell>
          <cell r="LN2619">
            <v>20.244300817817596</v>
          </cell>
          <cell r="LY2619">
            <v>16.454465341136881</v>
          </cell>
          <cell r="LZ2619">
            <v>14.730476692982464</v>
          </cell>
          <cell r="MA2619">
            <v>11.870949885755934</v>
          </cell>
          <cell r="MB2619">
            <v>9.6544719773798295</v>
          </cell>
          <cell r="MC2619">
            <v>14.087427794132038</v>
          </cell>
        </row>
        <row r="2620">
          <cell r="A2620">
            <v>43194</v>
          </cell>
          <cell r="LJ2620">
            <v>21.956392643967732</v>
          </cell>
          <cell r="LK2620">
            <v>20.020152274152959</v>
          </cell>
          <cell r="LL2620">
            <v>17.982747259685677</v>
          </cell>
          <cell r="LM2620">
            <v>15.721193701553757</v>
          </cell>
          <cell r="LN2620">
            <v>20.244300817817596</v>
          </cell>
          <cell r="LY2620">
            <v>16.590034526435019</v>
          </cell>
          <cell r="LZ2620">
            <v>14.730476692982464</v>
          </cell>
          <cell r="MA2620">
            <v>11.870949885755934</v>
          </cell>
          <cell r="MB2620">
            <v>9.6544719773798295</v>
          </cell>
          <cell r="MC2620">
            <v>14.087427794132038</v>
          </cell>
        </row>
        <row r="2621">
          <cell r="A2621">
            <v>43195</v>
          </cell>
          <cell r="LJ2621">
            <v>21.991857117211566</v>
          </cell>
          <cell r="LK2621">
            <v>20.020152274152959</v>
          </cell>
          <cell r="LL2621">
            <v>17.982747259685677</v>
          </cell>
          <cell r="LM2621">
            <v>15.721193701553757</v>
          </cell>
          <cell r="LN2621">
            <v>20.244300817817596</v>
          </cell>
          <cell r="LY2621">
            <v>16.61347638760709</v>
          </cell>
          <cell r="LZ2621">
            <v>14.730476692982464</v>
          </cell>
          <cell r="MA2621">
            <v>11.870949885755934</v>
          </cell>
          <cell r="MB2621">
            <v>9.6544719773798295</v>
          </cell>
          <cell r="MC2621">
            <v>14.087427794132038</v>
          </cell>
        </row>
        <row r="2622">
          <cell r="A2622">
            <v>43196</v>
          </cell>
          <cell r="LJ2622">
            <v>21.424440174039692</v>
          </cell>
          <cell r="LK2622">
            <v>20.020152274152959</v>
          </cell>
          <cell r="LL2622">
            <v>17.982747259685677</v>
          </cell>
          <cell r="LM2622">
            <v>15.721193701553757</v>
          </cell>
          <cell r="LN2622">
            <v>20.244300817817596</v>
          </cell>
          <cell r="LY2622">
            <v>16.238416278379919</v>
          </cell>
          <cell r="LZ2622">
            <v>14.730476692982464</v>
          </cell>
          <cell r="MA2622">
            <v>11.870949885755934</v>
          </cell>
          <cell r="MB2622">
            <v>9.6544719773798295</v>
          </cell>
          <cell r="MC2622">
            <v>14.087427794132038</v>
          </cell>
        </row>
        <row r="2623">
          <cell r="A2623">
            <v>43199</v>
          </cell>
          <cell r="LJ2623">
            <v>21.6264141369399</v>
          </cell>
          <cell r="LK2623">
            <v>20.020152274152959</v>
          </cell>
          <cell r="LL2623">
            <v>17.982747259685677</v>
          </cell>
          <cell r="LM2623">
            <v>15.721193701553757</v>
          </cell>
          <cell r="LN2623">
            <v>20.244300817817596</v>
          </cell>
          <cell r="LY2623">
            <v>16.368943026676625</v>
          </cell>
          <cell r="LZ2623">
            <v>14.730476692982464</v>
          </cell>
          <cell r="MA2623">
            <v>11.870949885755934</v>
          </cell>
          <cell r="MB2623">
            <v>9.6544719773798295</v>
          </cell>
          <cell r="MC2623">
            <v>14.087427794132038</v>
          </cell>
        </row>
        <row r="2624">
          <cell r="A2624">
            <v>0</v>
          </cell>
          <cell r="LJ2624">
            <v>0</v>
          </cell>
          <cell r="LK2624">
            <v>0</v>
          </cell>
          <cell r="LL2624">
            <v>0</v>
          </cell>
          <cell r="LM2624">
            <v>0</v>
          </cell>
          <cell r="LN2624">
            <v>0</v>
          </cell>
        </row>
      </sheetData>
      <sheetData sheetId="6">
        <row r="11">
          <cell r="AF11" t="str">
            <v>Abs NTM P/E</v>
          </cell>
        </row>
      </sheetData>
      <sheetData sheetId="7"/>
      <sheetData sheetId="8">
        <row r="8">
          <cell r="AD8">
            <v>0.99976729318185165</v>
          </cell>
        </row>
      </sheetData>
      <sheetData sheetId="9"/>
      <sheetData sheetId="10"/>
      <sheetData sheetId="11"/>
      <sheetData sheetId="12" refreshError="1"/>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Geography"/>
      <sheetName val="DHR geography"/>
      <sheetName val="DentWell"/>
      <sheetName val="DentWellII"/>
      <sheetName val="__FDSCACHE__"/>
      <sheetName val="Beta"/>
      <sheetName val="BetaII"/>
      <sheetName val="MMData"/>
      <sheetName val="RevGroQ"/>
      <sheetName val="Shr"/>
      <sheetName val="WW Mkt"/>
      <sheetName val="ClrTrySts"/>
      <sheetName val="AlgnCTshr"/>
      <sheetName val="CADuse"/>
      <sheetName val="XrayUse"/>
      <sheetName val="DIuse"/>
      <sheetName val="CADCAM"/>
      <sheetName val="Xray"/>
      <sheetName val="DIS"/>
      <sheetName val="VolExp"/>
      <sheetName val="EquipSpend"/>
      <sheetName val="ImpVolExp"/>
      <sheetName val="VolVar1"/>
      <sheetName val="Re-Eval"/>
      <sheetName val="CAD.CAM"/>
      <sheetName val="ImpPerCap"/>
      <sheetName val="InsByPov"/>
      <sheetName val="65+"/>
      <sheetName val="CADshr"/>
      <sheetName val="Segments"/>
      <sheetName val="CathSegm"/>
      <sheetName val="AstraMix"/>
      <sheetName val="AstraGeo"/>
      <sheetName val="EqDistrInd"/>
      <sheetName val="CEREC"/>
      <sheetName val="Tbls"/>
      <sheetName val="TroughVal"/>
    </sheetNames>
    <sheetDataSet>
      <sheetData sheetId="0"/>
      <sheetData sheetId="1">
        <row r="12">
          <cell r="C12" t="str">
            <v>North America</v>
          </cell>
        </row>
        <row r="13">
          <cell r="C13" t="str">
            <v xml:space="preserve">Europe </v>
          </cell>
        </row>
        <row r="14">
          <cell r="C14" t="str">
            <v xml:space="preserve">ROW </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mailto:steve.beuchaw@morganstanley.com" TargetMode="External" Type="http://schemas.openxmlformats.org/officeDocument/2006/relationships/hyperlink"/>
<Relationship Id="rId2"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mailto:steve.beuchaw@morganstanley.com" TargetMode="External" Type="http://schemas.openxmlformats.org/officeDocument/2006/relationships/hyperlink"/>
<Relationship Id="rId2"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mailto:steve.beuchaw@morganstanley.com" TargetMode="External" Type="http://schemas.openxmlformats.org/officeDocument/2006/relationships/hyperlink"/>
<Relationship Id="rId2"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mailto:nigel.coe@morganstanley.com" TargetMode="External" Type="http://schemas.openxmlformats.org/officeDocument/2006/relationships/hyperlink"/>
<Relationship Id="rId2" Target="mailto:nigel.coe@morganstanley.com" TargetMode="External" Type="http://schemas.openxmlformats.org/officeDocument/2006/relationships/hyperlink"/>
<Relationship Id="rId3" Target="mailto:steve.beuchaw@morganstanley.com" TargetMode="External" Type="http://schemas.openxmlformats.org/officeDocument/2006/relationships/hyperlink"/>
<Relationship Id="rId4"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steve.beuchaw@morganstanley.com" TargetMode="External" Type="http://schemas.openxmlformats.org/officeDocument/2006/relationships/hyperlink"/>
<Relationship Id="rId2"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4"/>
  <sheetViews>
    <sheetView showGridLines="0" tabSelected="1" workbookViewId="0">
      <selection activeCell="Z1" sqref="Z1"/>
    </sheetView>
  </sheetViews>
  <sheetFormatPr defaultRowHeight="12.75" x14ac:dyDescent="0.2"/>
  <cols>
    <col min="1" max="1" width="25.7109375" style="1334" customWidth="1"/>
    <col min="2" max="5" width="9.140625" style="1334"/>
    <col min="6" max="6" width="18.7109375" style="1334" customWidth="1"/>
    <col min="7" max="256" width="9.140625" style="1334"/>
    <col min="257" max="257" width="100.7109375" style="1334" customWidth="1"/>
    <col min="258" max="512" width="9.140625" style="1334"/>
    <col min="513" max="513" width="100.7109375" style="1334" customWidth="1"/>
    <col min="514" max="768" width="9.140625" style="1334"/>
    <col min="769" max="769" width="100.7109375" style="1334" customWidth="1"/>
    <col min="770" max="1024" width="9.140625" style="1334"/>
    <col min="1025" max="1025" width="100.7109375" style="1334" customWidth="1"/>
    <col min="1026" max="1280" width="9.140625" style="1334"/>
    <col min="1281" max="1281" width="100.7109375" style="1334" customWidth="1"/>
    <col min="1282" max="1536" width="9.140625" style="1334"/>
    <col min="1537" max="1537" width="100.7109375" style="1334" customWidth="1"/>
    <col min="1538" max="1792" width="9.140625" style="1334"/>
    <col min="1793" max="1793" width="100.7109375" style="1334" customWidth="1"/>
    <col min="1794" max="2048" width="9.140625" style="1334"/>
    <col min="2049" max="2049" width="100.7109375" style="1334" customWidth="1"/>
    <col min="2050" max="2304" width="9.140625" style="1334"/>
    <col min="2305" max="2305" width="100.7109375" style="1334" customWidth="1"/>
    <col min="2306" max="2560" width="9.140625" style="1334"/>
    <col min="2561" max="2561" width="100.7109375" style="1334" customWidth="1"/>
    <col min="2562" max="2816" width="9.140625" style="1334"/>
    <col min="2817" max="2817" width="100.7109375" style="1334" customWidth="1"/>
    <col min="2818" max="3072" width="9.140625" style="1334"/>
    <col min="3073" max="3073" width="100.7109375" style="1334" customWidth="1"/>
    <col min="3074" max="3328" width="9.140625" style="1334"/>
    <col min="3329" max="3329" width="100.7109375" style="1334" customWidth="1"/>
    <col min="3330" max="3584" width="9.140625" style="1334"/>
    <col min="3585" max="3585" width="100.7109375" style="1334" customWidth="1"/>
    <col min="3586" max="3840" width="9.140625" style="1334"/>
    <col min="3841" max="3841" width="100.7109375" style="1334" customWidth="1"/>
    <col min="3842" max="4096" width="9.140625" style="1334"/>
    <col min="4097" max="4097" width="100.7109375" style="1334" customWidth="1"/>
    <col min="4098" max="4352" width="9.140625" style="1334"/>
    <col min="4353" max="4353" width="100.7109375" style="1334" customWidth="1"/>
    <col min="4354" max="4608" width="9.140625" style="1334"/>
    <col min="4609" max="4609" width="100.7109375" style="1334" customWidth="1"/>
    <col min="4610" max="4864" width="9.140625" style="1334"/>
    <col min="4865" max="4865" width="100.7109375" style="1334" customWidth="1"/>
    <col min="4866" max="5120" width="9.140625" style="1334"/>
    <col min="5121" max="5121" width="100.7109375" style="1334" customWidth="1"/>
    <col min="5122" max="5376" width="9.140625" style="1334"/>
    <col min="5377" max="5377" width="100.7109375" style="1334" customWidth="1"/>
    <col min="5378" max="5632" width="9.140625" style="1334"/>
    <col min="5633" max="5633" width="100.7109375" style="1334" customWidth="1"/>
    <col min="5634" max="5888" width="9.140625" style="1334"/>
    <col min="5889" max="5889" width="100.7109375" style="1334" customWidth="1"/>
    <col min="5890" max="6144" width="9.140625" style="1334"/>
    <col min="6145" max="6145" width="100.7109375" style="1334" customWidth="1"/>
    <col min="6146" max="6400" width="9.140625" style="1334"/>
    <col min="6401" max="6401" width="100.7109375" style="1334" customWidth="1"/>
    <col min="6402" max="6656" width="9.140625" style="1334"/>
    <col min="6657" max="6657" width="100.7109375" style="1334" customWidth="1"/>
    <col min="6658" max="6912" width="9.140625" style="1334"/>
    <col min="6913" max="6913" width="100.7109375" style="1334" customWidth="1"/>
    <col min="6914" max="7168" width="9.140625" style="1334"/>
    <col min="7169" max="7169" width="100.7109375" style="1334" customWidth="1"/>
    <col min="7170" max="7424" width="9.140625" style="1334"/>
    <col min="7425" max="7425" width="100.7109375" style="1334" customWidth="1"/>
    <col min="7426" max="7680" width="9.140625" style="1334"/>
    <col min="7681" max="7681" width="100.7109375" style="1334" customWidth="1"/>
    <col min="7682" max="7936" width="9.140625" style="1334"/>
    <col min="7937" max="7937" width="100.7109375" style="1334" customWidth="1"/>
    <col min="7938" max="8192" width="9.140625" style="1334"/>
    <col min="8193" max="8193" width="100.7109375" style="1334" customWidth="1"/>
    <col min="8194" max="8448" width="9.140625" style="1334"/>
    <col min="8449" max="8449" width="100.7109375" style="1334" customWidth="1"/>
    <col min="8450" max="8704" width="9.140625" style="1334"/>
    <col min="8705" max="8705" width="100.7109375" style="1334" customWidth="1"/>
    <col min="8706" max="8960" width="9.140625" style="1334"/>
    <col min="8961" max="8961" width="100.7109375" style="1334" customWidth="1"/>
    <col min="8962" max="9216" width="9.140625" style="1334"/>
    <col min="9217" max="9217" width="100.7109375" style="1334" customWidth="1"/>
    <col min="9218" max="9472" width="9.140625" style="1334"/>
    <col min="9473" max="9473" width="100.7109375" style="1334" customWidth="1"/>
    <col min="9474" max="9728" width="9.140625" style="1334"/>
    <col min="9729" max="9729" width="100.7109375" style="1334" customWidth="1"/>
    <col min="9730" max="9984" width="9.140625" style="1334"/>
    <col min="9985" max="9985" width="100.7109375" style="1334" customWidth="1"/>
    <col min="9986" max="10240" width="9.140625" style="1334"/>
    <col min="10241" max="10241" width="100.7109375" style="1334" customWidth="1"/>
    <col min="10242" max="10496" width="9.140625" style="1334"/>
    <col min="10497" max="10497" width="100.7109375" style="1334" customWidth="1"/>
    <col min="10498" max="10752" width="9.140625" style="1334"/>
    <col min="10753" max="10753" width="100.7109375" style="1334" customWidth="1"/>
    <col min="10754" max="11008" width="9.140625" style="1334"/>
    <col min="11009" max="11009" width="100.7109375" style="1334" customWidth="1"/>
    <col min="11010" max="11264" width="9.140625" style="1334"/>
    <col min="11265" max="11265" width="100.7109375" style="1334" customWidth="1"/>
    <col min="11266" max="11520" width="9.140625" style="1334"/>
    <col min="11521" max="11521" width="100.7109375" style="1334" customWidth="1"/>
    <col min="11522" max="11776" width="9.140625" style="1334"/>
    <col min="11777" max="11777" width="100.7109375" style="1334" customWidth="1"/>
    <col min="11778" max="12032" width="9.140625" style="1334"/>
    <col min="12033" max="12033" width="100.7109375" style="1334" customWidth="1"/>
    <col min="12034" max="12288" width="9.140625" style="1334"/>
    <col min="12289" max="12289" width="100.7109375" style="1334" customWidth="1"/>
    <col min="12290" max="12544" width="9.140625" style="1334"/>
    <col min="12545" max="12545" width="100.7109375" style="1334" customWidth="1"/>
    <col min="12546" max="12800" width="9.140625" style="1334"/>
    <col min="12801" max="12801" width="100.7109375" style="1334" customWidth="1"/>
    <col min="12802" max="13056" width="9.140625" style="1334"/>
    <col min="13057" max="13057" width="100.7109375" style="1334" customWidth="1"/>
    <col min="13058" max="13312" width="9.140625" style="1334"/>
    <col min="13313" max="13313" width="100.7109375" style="1334" customWidth="1"/>
    <col min="13314" max="13568" width="9.140625" style="1334"/>
    <col min="13569" max="13569" width="100.7109375" style="1334" customWidth="1"/>
    <col min="13570" max="13824" width="9.140625" style="1334"/>
    <col min="13825" max="13825" width="100.7109375" style="1334" customWidth="1"/>
    <col min="13826" max="14080" width="9.140625" style="1334"/>
    <col min="14081" max="14081" width="100.7109375" style="1334" customWidth="1"/>
    <col min="14082" max="14336" width="9.140625" style="1334"/>
    <col min="14337" max="14337" width="100.7109375" style="1334" customWidth="1"/>
    <col min="14338" max="14592" width="9.140625" style="1334"/>
    <col min="14593" max="14593" width="100.7109375" style="1334" customWidth="1"/>
    <col min="14594" max="14848" width="9.140625" style="1334"/>
    <col min="14849" max="14849" width="100.7109375" style="1334" customWidth="1"/>
    <col min="14850" max="15104" width="9.140625" style="1334"/>
    <col min="15105" max="15105" width="100.7109375" style="1334" customWidth="1"/>
    <col min="15106" max="15360" width="9.140625" style="1334"/>
    <col min="15361" max="15361" width="100.7109375" style="1334" customWidth="1"/>
    <col min="15362" max="15616" width="9.140625" style="1334"/>
    <col min="15617" max="15617" width="100.7109375" style="1334" customWidth="1"/>
    <col min="15618" max="15872" width="9.140625" style="1334"/>
    <col min="15873" max="15873" width="100.7109375" style="1334" customWidth="1"/>
    <col min="15874" max="16128" width="9.140625" style="1334"/>
    <col min="16129" max="16129" width="100.7109375" style="1334" customWidth="1"/>
    <col min="16130" max="16384" width="9.140625" style="1334"/>
  </cols>
  <sheetData>
    <row r="1" spans="1:8" ht="30" customHeight="1" x14ac:dyDescent="0.2">
      <c r="A1" s="1332"/>
      <c r="B1" s="1333"/>
      <c r="C1" s="1333"/>
      <c r="D1" s="1333"/>
      <c r="E1" s="1333"/>
      <c r="F1" s="1333"/>
      <c r="G1" s="1333"/>
      <c r="H1" s="1333"/>
    </row>
    <row r="2" spans="1:8" ht="14.25" x14ac:dyDescent="0.2">
      <c r="A2" s="1335" t="s">
        <v>735</v>
      </c>
      <c r="B2" s="1333"/>
      <c r="C2" s="1333"/>
      <c r="D2" s="1333"/>
      <c r="E2" s="1333"/>
      <c r="F2" s="1333"/>
      <c r="G2" s="1333"/>
      <c r="H2" s="1333"/>
    </row>
    <row r="3" spans="1:8" ht="14.25" x14ac:dyDescent="0.2">
      <c r="A3" s="1335" t="s">
        <v>736</v>
      </c>
      <c r="B3" s="1333"/>
      <c r="C3" s="1333"/>
      <c r="D3" s="1333"/>
      <c r="E3" s="1333"/>
      <c r="F3" s="1333"/>
      <c r="G3" s="1333"/>
      <c r="H3" s="1333"/>
    </row>
    <row r="4" spans="1:8" ht="14.25" x14ac:dyDescent="0.2">
      <c r="A4" s="1335" t="s">
        <v>653</v>
      </c>
      <c r="B4" s="1333"/>
      <c r="C4" s="1333"/>
      <c r="D4" s="1333"/>
      <c r="E4" s="1333"/>
      <c r="F4" s="1333"/>
      <c r="G4" s="1333"/>
      <c r="H4" s="1333"/>
    </row>
    <row r="5" spans="1:8" ht="14.25" x14ac:dyDescent="0.2">
      <c r="A5" s="1335" t="s">
        <v>737</v>
      </c>
      <c r="B5" s="1333"/>
      <c r="C5" s="1333"/>
      <c r="D5" s="1333"/>
      <c r="E5" s="1333"/>
      <c r="F5" s="1333"/>
      <c r="G5" s="1333"/>
      <c r="H5" s="1333"/>
    </row>
    <row r="6" spans="1:8" ht="14.25" x14ac:dyDescent="0.2">
      <c r="A6" s="1335"/>
      <c r="B6" s="1333"/>
      <c r="C6" s="1333"/>
      <c r="D6" s="1333"/>
      <c r="E6" s="1333"/>
      <c r="F6" s="1333"/>
      <c r="G6" s="1333"/>
      <c r="H6" s="1333"/>
    </row>
    <row r="7" spans="1:8" x14ac:dyDescent="0.2">
      <c r="A7" s="1332" t="s">
        <v>738</v>
      </c>
      <c r="B7" s="1333"/>
      <c r="C7" s="1333"/>
      <c r="D7" s="1333"/>
      <c r="E7" s="1333"/>
      <c r="F7" s="1333"/>
      <c r="G7" s="1333"/>
      <c r="H7" s="1333"/>
    </row>
    <row r="8" spans="1:8" x14ac:dyDescent="0.2">
      <c r="A8" s="1332" t="s">
        <v>739</v>
      </c>
      <c r="B8" s="1333"/>
      <c r="C8" s="1333"/>
      <c r="D8" s="1333"/>
      <c r="E8" s="1333"/>
      <c r="F8" s="1333"/>
      <c r="G8" s="1333"/>
      <c r="H8" s="1333"/>
    </row>
    <row r="9" spans="1:8" x14ac:dyDescent="0.2">
      <c r="A9" s="1332"/>
      <c r="B9" s="1333"/>
      <c r="C9" s="1333"/>
      <c r="D9" s="1333"/>
      <c r="E9" s="1333"/>
      <c r="F9" s="1333"/>
      <c r="G9" s="1333"/>
      <c r="H9" s="1333"/>
    </row>
    <row r="10" spans="1:8" x14ac:dyDescent="0.2">
      <c r="A10" s="1336" t="s">
        <v>740</v>
      </c>
      <c r="B10" s="1333"/>
      <c r="C10" s="1333"/>
      <c r="D10" s="1333"/>
      <c r="E10" s="1333"/>
      <c r="F10" s="1333"/>
      <c r="G10" s="1333"/>
      <c r="H10" s="1333"/>
    </row>
    <row r="11" spans="1:8" x14ac:dyDescent="0.2">
      <c r="A11" s="1336" t="s">
        <v>741</v>
      </c>
      <c r="B11" s="1333"/>
      <c r="C11" s="1333"/>
      <c r="D11" s="1333"/>
      <c r="E11" s="1333"/>
      <c r="F11" s="1333"/>
      <c r="G11" s="1333"/>
      <c r="H11" s="1333"/>
    </row>
    <row r="12" spans="1:8" x14ac:dyDescent="0.2">
      <c r="A12" s="1336" t="s">
        <v>742</v>
      </c>
      <c r="B12" s="1333"/>
      <c r="C12" s="1333"/>
      <c r="D12" s="1333"/>
      <c r="E12" s="1333"/>
      <c r="F12" s="1333"/>
      <c r="G12" s="1333"/>
      <c r="H12" s="1333"/>
    </row>
    <row r="13" spans="1:8" x14ac:dyDescent="0.2">
      <c r="A13" s="1336" t="s">
        <v>743</v>
      </c>
      <c r="B13" s="1333"/>
      <c r="C13" s="1333"/>
      <c r="D13" s="1333"/>
      <c r="E13" s="1333"/>
      <c r="F13" s="1333"/>
      <c r="G13" s="1333"/>
      <c r="H13" s="1333"/>
    </row>
    <row r="14" spans="1:8" x14ac:dyDescent="0.2">
      <c r="A14" s="1336" t="s">
        <v>744</v>
      </c>
      <c r="B14" s="1333"/>
      <c r="C14" s="1333"/>
      <c r="D14" s="1333"/>
      <c r="E14" s="1333"/>
      <c r="F14" s="1333"/>
      <c r="G14" s="1333"/>
      <c r="H14" s="1333"/>
    </row>
    <row r="15" spans="1:8" x14ac:dyDescent="0.2">
      <c r="A15" s="1336" t="s">
        <v>745</v>
      </c>
      <c r="B15" s="1333"/>
      <c r="C15" s="1333"/>
      <c r="D15" s="1333"/>
      <c r="E15" s="1333"/>
      <c r="F15" s="1333"/>
      <c r="G15" s="1333"/>
      <c r="H15" s="1333"/>
    </row>
    <row r="16" spans="1:8" x14ac:dyDescent="0.2">
      <c r="A16" s="1336"/>
      <c r="B16" s="1333"/>
      <c r="C16" s="1333"/>
      <c r="D16" s="1333"/>
      <c r="E16" s="1333"/>
      <c r="F16" s="1333"/>
      <c r="G16" s="1333"/>
      <c r="H16" s="1333"/>
    </row>
    <row r="17" spans="1:8" x14ac:dyDescent="0.2">
      <c r="A17" s="1336" t="s">
        <v>732</v>
      </c>
      <c r="B17" s="1333"/>
      <c r="C17" s="1333"/>
      <c r="D17" s="1333"/>
      <c r="E17" s="1333"/>
      <c r="F17" s="1333"/>
      <c r="G17" s="1333"/>
      <c r="H17" s="1333"/>
    </row>
    <row r="18" spans="1:8" x14ac:dyDescent="0.2">
      <c r="A18" s="1336"/>
      <c r="B18" s="1333"/>
      <c r="C18" s="1333"/>
      <c r="D18" s="1333"/>
      <c r="E18" s="1333"/>
      <c r="F18" s="1333"/>
      <c r="G18" s="1333"/>
      <c r="H18" s="1333"/>
    </row>
    <row r="19" spans="1:8" x14ac:dyDescent="0.2">
      <c r="A19" s="1336" t="s">
        <v>733</v>
      </c>
      <c r="B19" s="1333"/>
      <c r="C19" s="1333"/>
      <c r="D19" s="1333"/>
      <c r="E19" s="1333"/>
      <c r="F19" s="1333"/>
      <c r="G19" s="1333"/>
      <c r="H19" s="1333"/>
    </row>
    <row r="20" spans="1:8" x14ac:dyDescent="0.2">
      <c r="A20" s="1332"/>
      <c r="B20" s="1333"/>
      <c r="C20" s="1333"/>
      <c r="D20" s="1333"/>
      <c r="E20" s="1333"/>
      <c r="F20" s="1333"/>
      <c r="G20" s="1333"/>
      <c r="H20" s="1333"/>
    </row>
    <row r="21" spans="1:8" x14ac:dyDescent="0.2">
      <c r="A21" s="1337" t="s">
        <v>734</v>
      </c>
      <c r="B21" s="1333"/>
      <c r="C21" s="1333"/>
      <c r="D21" s="1333"/>
      <c r="E21" s="1333"/>
      <c r="F21" s="1333"/>
      <c r="G21" s="1333"/>
      <c r="H21" s="1333"/>
    </row>
    <row r="22" spans="1:8" x14ac:dyDescent="0.2">
      <c r="A22" s="1338"/>
      <c r="B22" s="1338"/>
      <c r="C22" s="1338"/>
      <c r="D22" s="1338"/>
      <c r="E22" s="1338"/>
      <c r="F22" s="1338"/>
      <c r="G22" s="1338"/>
      <c r="H22" s="1338"/>
    </row>
    <row r="23" spans="1:8" x14ac:dyDescent="0.2">
      <c r="A23" s="1339" t="s">
        <v>1025</v>
      </c>
      <c r="B23" s="1338"/>
      <c r="C23" s="1338"/>
      <c r="D23" s="1338"/>
      <c r="E23" s="1338"/>
      <c r="F23" s="1338"/>
      <c r="G23" s="1338"/>
      <c r="H23" s="1338"/>
    </row>
    <row r="24" spans="1:8" x14ac:dyDescent="0.2">
      <c r="A24" s="1339" t="s">
        <v>1026</v>
      </c>
      <c r="B24" s="1338"/>
      <c r="C24" s="1338"/>
      <c r="D24" s="1338"/>
      <c r="E24" s="1338"/>
      <c r="F24" s="1338"/>
      <c r="G24" s="1338"/>
      <c r="H24" s="1338"/>
    </row>
    <row r="25" spans="1:8" x14ac:dyDescent="0.2">
      <c r="A25" s="1339" t="s">
        <v>1027</v>
      </c>
      <c r="B25" s="1338"/>
      <c r="C25" s="1338"/>
      <c r="D25" s="1338"/>
      <c r="E25" s="1338"/>
      <c r="F25" s="1338"/>
      <c r="G25" s="1338"/>
      <c r="H25" s="1338"/>
    </row>
    <row r="26" spans="1:8" x14ac:dyDescent="0.2">
      <c r="A26" s="1339" t="s">
        <v>1028</v>
      </c>
      <c r="B26" s="1338"/>
      <c r="C26" s="1338"/>
      <c r="D26" s="1338"/>
      <c r="E26" s="1338"/>
      <c r="F26" s="1338"/>
      <c r="G26" s="1338"/>
      <c r="H26" s="1338"/>
    </row>
    <row r="27" spans="1:8" x14ac:dyDescent="0.2">
      <c r="A27" s="1338"/>
      <c r="B27" s="1338"/>
      <c r="C27" s="1338"/>
      <c r="D27" s="1338"/>
      <c r="E27" s="1338"/>
      <c r="F27" s="1338"/>
      <c r="G27" s="1338"/>
      <c r="H27" s="1338"/>
    </row>
    <row r="28" spans="1:8" x14ac:dyDescent="0.2">
      <c r="A28" s="1338"/>
      <c r="B28" s="1338"/>
      <c r="C28" s="1338"/>
      <c r="D28" s="1338"/>
      <c r="E28" s="1338"/>
      <c r="F28" s="1338"/>
      <c r="G28" s="1338"/>
      <c r="H28" s="1338"/>
    </row>
    <row r="29" spans="1:8" x14ac:dyDescent="0.2">
      <c r="A29" s="1339" t="s">
        <v>1020</v>
      </c>
      <c r="B29" s="1338"/>
      <c r="C29" s="1338"/>
      <c r="D29" s="1338"/>
      <c r="E29" s="1338"/>
      <c r="F29" s="1338"/>
      <c r="G29" s="1338"/>
      <c r="H29" s="1338"/>
    </row>
    <row r="30" spans="1:8" x14ac:dyDescent="0.2">
      <c r="A30" s="1339" t="s">
        <v>1021</v>
      </c>
      <c r="B30" s="1338"/>
      <c r="C30" s="1338"/>
      <c r="D30" s="1338"/>
      <c r="E30" s="1338"/>
      <c r="F30" s="1338"/>
      <c r="G30" s="1338"/>
      <c r="H30" s="1338"/>
    </row>
    <row r="31" spans="1:8" x14ac:dyDescent="0.2">
      <c r="A31" s="1339" t="s">
        <v>1022</v>
      </c>
      <c r="B31" s="1338"/>
      <c r="C31" s="1338"/>
      <c r="D31" s="1338"/>
      <c r="E31" s="1338"/>
      <c r="F31" s="1338"/>
      <c r="G31" s="1338"/>
      <c r="H31" s="1338"/>
    </row>
    <row r="32" spans="1:8" x14ac:dyDescent="0.2">
      <c r="A32" s="1339" t="s">
        <v>1023</v>
      </c>
      <c r="B32" s="1338"/>
      <c r="C32" s="1338"/>
      <c r="D32" s="1338"/>
      <c r="E32" s="1338"/>
      <c r="F32" s="1338"/>
      <c r="G32" s="1338"/>
      <c r="H32" s="1338"/>
    </row>
    <row r="33" spans="1:8" x14ac:dyDescent="0.2">
      <c r="A33" s="1339" t="s">
        <v>1024</v>
      </c>
      <c r="B33" s="1338"/>
      <c r="C33" s="1338"/>
      <c r="D33" s="1338"/>
      <c r="E33" s="1338"/>
      <c r="F33" s="1338"/>
      <c r="G33" s="1338"/>
      <c r="H33" s="1338"/>
    </row>
    <row r="34" spans="1:8" x14ac:dyDescent="0.2">
      <c r="A34" s="1338"/>
      <c r="B34" s="1338"/>
      <c r="C34" s="1338"/>
      <c r="D34" s="1338"/>
      <c r="E34" s="1338"/>
      <c r="F34" s="1338"/>
      <c r="G34" s="1338"/>
      <c r="H34" s="1338"/>
    </row>
    <row r="35" spans="1:8" x14ac:dyDescent="0.2">
      <c r="A35" s="1339" t="s">
        <v>1016</v>
      </c>
      <c r="B35" s="1338"/>
      <c r="C35" s="1338"/>
      <c r="D35" s="1338"/>
      <c r="E35" s="1338"/>
      <c r="F35" s="1338"/>
      <c r="G35" s="1338"/>
      <c r="H35" s="1338"/>
    </row>
    <row r="36" spans="1:8" x14ac:dyDescent="0.2">
      <c r="A36" s="1339" t="s">
        <v>1017</v>
      </c>
      <c r="B36" s="1338"/>
      <c r="C36" s="1338"/>
      <c r="D36" s="1338"/>
      <c r="E36" s="1338"/>
      <c r="F36" s="1338"/>
      <c r="G36" s="1338"/>
      <c r="H36" s="1338"/>
    </row>
    <row r="37" spans="1:8" x14ac:dyDescent="0.2">
      <c r="A37" s="1339" t="s">
        <v>1018</v>
      </c>
      <c r="B37" s="1338"/>
      <c r="C37" s="1338"/>
      <c r="D37" s="1338"/>
      <c r="E37" s="1338"/>
      <c r="F37" s="1338"/>
      <c r="G37" s="1338"/>
      <c r="H37" s="1338"/>
    </row>
    <row r="38" spans="1:8" x14ac:dyDescent="0.2">
      <c r="A38" s="1339" t="s">
        <v>1019</v>
      </c>
      <c r="B38" s="1338"/>
      <c r="C38" s="1338"/>
      <c r="D38" s="1338"/>
      <c r="E38" s="1338"/>
      <c r="F38" s="1338"/>
      <c r="G38" s="1338"/>
      <c r="H38" s="1338"/>
    </row>
    <row r="39" spans="1:8" x14ac:dyDescent="0.2">
      <c r="A39" s="1338"/>
      <c r="B39" s="1338"/>
      <c r="C39" s="1338"/>
      <c r="D39" s="1338"/>
      <c r="E39" s="1338"/>
      <c r="F39" s="1338"/>
      <c r="G39" s="1338"/>
      <c r="H39" s="1338"/>
    </row>
    <row r="40" spans="1:8" x14ac:dyDescent="0.2">
      <c r="A40" s="1339" t="s">
        <v>1010</v>
      </c>
      <c r="B40" s="1338"/>
      <c r="C40" s="1338"/>
      <c r="D40" s="1338"/>
      <c r="E40" s="1338"/>
      <c r="F40" s="1338"/>
      <c r="G40" s="1338"/>
      <c r="H40" s="1338"/>
    </row>
    <row r="41" spans="1:8" x14ac:dyDescent="0.2">
      <c r="A41" s="1339" t="s">
        <v>1011</v>
      </c>
      <c r="B41" s="1338"/>
      <c r="C41" s="1338"/>
      <c r="D41" s="1338"/>
      <c r="E41" s="1338"/>
      <c r="F41" s="1338"/>
      <c r="G41" s="1338"/>
      <c r="H41" s="1338"/>
    </row>
    <row r="42" spans="1:8" x14ac:dyDescent="0.2">
      <c r="A42" s="1339" t="s">
        <v>1012</v>
      </c>
      <c r="B42" s="1338"/>
      <c r="C42" s="1338"/>
      <c r="D42" s="1338"/>
      <c r="E42" s="1338"/>
      <c r="F42" s="1338"/>
      <c r="G42" s="1338"/>
      <c r="H42" s="1338"/>
    </row>
    <row r="43" spans="1:8" x14ac:dyDescent="0.2">
      <c r="A43" s="1339" t="s">
        <v>1013</v>
      </c>
      <c r="B43" s="1338"/>
      <c r="C43" s="1338"/>
      <c r="D43" s="1338"/>
      <c r="E43" s="1338"/>
      <c r="F43" s="1338"/>
      <c r="G43" s="1338"/>
      <c r="H43" s="1338"/>
    </row>
    <row r="44" spans="1:8" x14ac:dyDescent="0.2">
      <c r="A44" s="1339" t="s">
        <v>1014</v>
      </c>
      <c r="B44" s="1338"/>
      <c r="C44" s="1338"/>
      <c r="D44" s="1338"/>
      <c r="E44" s="1338"/>
      <c r="F44" s="1338"/>
      <c r="G44" s="1338"/>
      <c r="H44" s="1338"/>
    </row>
    <row r="45" spans="1:8" x14ac:dyDescent="0.2">
      <c r="A45" s="1339" t="s">
        <v>1015</v>
      </c>
      <c r="B45" s="1338"/>
      <c r="C45" s="1338"/>
      <c r="D45" s="1338"/>
      <c r="E45" s="1338"/>
      <c r="F45" s="1338"/>
      <c r="G45" s="1338"/>
      <c r="H45" s="1338"/>
    </row>
    <row r="46" spans="1:8" x14ac:dyDescent="0.2">
      <c r="A46" s="1338"/>
      <c r="B46" s="1338"/>
      <c r="C46" s="1338"/>
      <c r="D46" s="1338"/>
      <c r="E46" s="1338"/>
      <c r="F46" s="1338"/>
      <c r="G46" s="1338"/>
      <c r="H46" s="1338"/>
    </row>
    <row r="47" spans="1:8" ht="15.75" x14ac:dyDescent="0.2">
      <c r="A47" s="1340" t="s">
        <v>746</v>
      </c>
      <c r="B47" s="1338"/>
      <c r="C47" s="1338"/>
      <c r="D47" s="1338"/>
      <c r="E47" s="1338"/>
      <c r="F47" s="1338"/>
      <c r="G47" s="1338"/>
      <c r="H47" s="1338"/>
    </row>
    <row r="48" spans="1:8" x14ac:dyDescent="0.2">
      <c r="A48" s="1338"/>
      <c r="B48" s="1338"/>
      <c r="C48" s="1338"/>
      <c r="D48" s="1338"/>
      <c r="E48" s="1338"/>
      <c r="F48" s="1338"/>
      <c r="G48" s="1338"/>
      <c r="H48" s="1338"/>
    </row>
    <row r="49" spans="1:8" x14ac:dyDescent="0.2">
      <c r="A49" s="1339" t="s">
        <v>1006</v>
      </c>
      <c r="B49" s="1338"/>
      <c r="C49" s="1338"/>
      <c r="D49" s="1338"/>
      <c r="E49" s="1338"/>
      <c r="F49" s="1338"/>
      <c r="G49" s="1338"/>
      <c r="H49" s="1338"/>
    </row>
    <row r="50" spans="1:8" x14ac:dyDescent="0.2">
      <c r="A50" s="1339" t="s">
        <v>1007</v>
      </c>
      <c r="B50" s="1338"/>
      <c r="C50" s="1338"/>
      <c r="D50" s="1338"/>
      <c r="E50" s="1338"/>
      <c r="F50" s="1338"/>
      <c r="G50" s="1338"/>
      <c r="H50" s="1338"/>
    </row>
    <row r="51" spans="1:8" x14ac:dyDescent="0.2">
      <c r="A51" s="1339" t="s">
        <v>1008</v>
      </c>
      <c r="B51" s="1338"/>
      <c r="C51" s="1338"/>
      <c r="D51" s="1338"/>
      <c r="E51" s="1338"/>
      <c r="F51" s="1338"/>
      <c r="G51" s="1338"/>
      <c r="H51" s="1338"/>
    </row>
    <row r="52" spans="1:8" x14ac:dyDescent="0.2">
      <c r="A52" s="1339" t="s">
        <v>1009</v>
      </c>
      <c r="B52" s="1338"/>
      <c r="C52" s="1338"/>
      <c r="D52" s="1338"/>
      <c r="E52" s="1338"/>
      <c r="F52" s="1338"/>
      <c r="G52" s="1338"/>
      <c r="H52" s="1338"/>
    </row>
    <row r="53" spans="1:8" x14ac:dyDescent="0.2">
      <c r="A53" s="1338"/>
      <c r="B53" s="1338"/>
      <c r="C53" s="1338"/>
      <c r="D53" s="1338"/>
      <c r="E53" s="1338"/>
      <c r="F53" s="1338"/>
      <c r="G53" s="1338"/>
      <c r="H53" s="1338"/>
    </row>
    <row r="54" spans="1:8" x14ac:dyDescent="0.2">
      <c r="A54" s="1339" t="s">
        <v>747</v>
      </c>
      <c r="B54" s="1338"/>
      <c r="C54" s="1338"/>
      <c r="D54" s="1338"/>
      <c r="E54" s="1338"/>
      <c r="F54" s="1338"/>
      <c r="G54" s="1338"/>
      <c r="H54" s="1338"/>
    </row>
    <row r="55" spans="1:8" x14ac:dyDescent="0.2">
      <c r="A55" s="1338"/>
      <c r="B55" s="1338"/>
      <c r="C55" s="1338"/>
      <c r="D55" s="1338"/>
      <c r="E55" s="1338"/>
      <c r="F55" s="1338"/>
      <c r="G55" s="1338"/>
      <c r="H55" s="1338"/>
    </row>
    <row r="56" spans="1:8" ht="15.75" x14ac:dyDescent="0.2">
      <c r="A56" s="1340" t="s">
        <v>748</v>
      </c>
      <c r="B56" s="1338"/>
      <c r="C56" s="1338"/>
      <c r="D56" s="1338"/>
      <c r="E56" s="1338"/>
      <c r="F56" s="1338"/>
      <c r="G56" s="1338"/>
      <c r="H56" s="1338"/>
    </row>
    <row r="57" spans="1:8" x14ac:dyDescent="0.2">
      <c r="A57" s="1338"/>
      <c r="B57" s="1338"/>
      <c r="C57" s="1338"/>
      <c r="D57" s="1338"/>
      <c r="E57" s="1338"/>
      <c r="F57" s="1338"/>
      <c r="G57" s="1338"/>
      <c r="H57" s="1338"/>
    </row>
    <row r="58" spans="1:8" x14ac:dyDescent="0.2">
      <c r="A58" s="1339" t="s">
        <v>1004</v>
      </c>
      <c r="B58" s="1338"/>
      <c r="C58" s="1338"/>
      <c r="D58" s="1338"/>
      <c r="E58" s="1338"/>
      <c r="F58" s="1338"/>
      <c r="G58" s="1338"/>
      <c r="H58" s="1338"/>
    </row>
    <row r="59" spans="1:8" x14ac:dyDescent="0.2">
      <c r="A59" s="1339" t="s">
        <v>1005</v>
      </c>
      <c r="B59" s="1338"/>
      <c r="C59" s="1338"/>
      <c r="D59" s="1338"/>
      <c r="E59" s="1338"/>
      <c r="F59" s="1338"/>
      <c r="G59" s="1338"/>
      <c r="H59" s="1338"/>
    </row>
    <row r="60" spans="1:8" x14ac:dyDescent="0.2">
      <c r="A60" s="1338"/>
      <c r="B60" s="1338"/>
      <c r="C60" s="1338"/>
      <c r="D60" s="1338"/>
      <c r="E60" s="1338"/>
      <c r="F60" s="1338"/>
      <c r="G60" s="1338"/>
      <c r="H60" s="1338"/>
    </row>
    <row r="61" spans="1:8" ht="15.75" x14ac:dyDescent="0.2">
      <c r="A61" s="1340" t="s">
        <v>749</v>
      </c>
      <c r="B61" s="1338"/>
      <c r="C61" s="1338"/>
      <c r="D61" s="1338"/>
      <c r="E61" s="1338"/>
      <c r="F61" s="1338"/>
      <c r="G61" s="1338"/>
      <c r="H61" s="1338"/>
    </row>
    <row r="62" spans="1:8" x14ac:dyDescent="0.2">
      <c r="A62" s="1338"/>
      <c r="B62" s="1338"/>
      <c r="C62" s="1338"/>
      <c r="D62" s="1338"/>
      <c r="E62" s="1338"/>
      <c r="F62" s="1338"/>
      <c r="G62" s="1338"/>
      <c r="H62" s="1338"/>
    </row>
    <row r="63" spans="1:8" x14ac:dyDescent="0.2">
      <c r="A63" s="1339" t="s">
        <v>1002</v>
      </c>
      <c r="B63" s="1338"/>
      <c r="C63" s="1338"/>
      <c r="D63" s="1338"/>
      <c r="E63" s="1338"/>
      <c r="F63" s="1338"/>
      <c r="G63" s="1338"/>
      <c r="H63" s="1338"/>
    </row>
    <row r="64" spans="1:8" x14ac:dyDescent="0.2">
      <c r="A64" s="1339" t="s">
        <v>1003</v>
      </c>
      <c r="B64" s="1338"/>
      <c r="C64" s="1338"/>
      <c r="D64" s="1338"/>
      <c r="E64" s="1338"/>
      <c r="F64" s="1338"/>
      <c r="G64" s="1338"/>
      <c r="H64" s="1338"/>
    </row>
    <row r="65" spans="1:8" x14ac:dyDescent="0.2">
      <c r="A65" s="1338"/>
      <c r="B65" s="1338"/>
      <c r="C65" s="1338"/>
      <c r="D65" s="1338"/>
      <c r="E65" s="1338"/>
      <c r="F65" s="1338"/>
      <c r="G65" s="1338"/>
      <c r="H65" s="1338"/>
    </row>
    <row r="66" spans="1:8" x14ac:dyDescent="0.2">
      <c r="A66" s="1339" t="s">
        <v>1000</v>
      </c>
      <c r="B66" s="1338"/>
      <c r="C66" s="1338"/>
      <c r="D66" s="1338"/>
      <c r="E66" s="1338"/>
      <c r="F66" s="1338"/>
      <c r="G66" s="1338"/>
      <c r="H66" s="1338"/>
    </row>
    <row r="67" spans="1:8" x14ac:dyDescent="0.2">
      <c r="A67" s="1339" t="s">
        <v>1001</v>
      </c>
      <c r="B67" s="1338"/>
      <c r="C67" s="1338"/>
      <c r="D67" s="1338"/>
      <c r="E67" s="1338"/>
      <c r="F67" s="1338"/>
      <c r="G67" s="1338"/>
      <c r="H67" s="1338"/>
    </row>
    <row r="68" spans="1:8" x14ac:dyDescent="0.2">
      <c r="A68" s="1338"/>
      <c r="B68" s="1338"/>
      <c r="C68" s="1338"/>
      <c r="D68" s="1338"/>
      <c r="E68" s="1338"/>
      <c r="F68" s="1338"/>
      <c r="G68" s="1338"/>
      <c r="H68" s="1338"/>
    </row>
    <row r="69" spans="1:8" x14ac:dyDescent="0.2">
      <c r="A69" s="1339" t="s">
        <v>998</v>
      </c>
      <c r="B69" s="1338"/>
      <c r="C69" s="1338"/>
      <c r="D69" s="1338"/>
      <c r="E69" s="1338"/>
      <c r="F69" s="1338"/>
      <c r="G69" s="1338"/>
      <c r="H69" s="1338"/>
    </row>
    <row r="70" spans="1:8" x14ac:dyDescent="0.2">
      <c r="A70" s="1339" t="s">
        <v>999</v>
      </c>
      <c r="B70" s="1338"/>
      <c r="C70" s="1338"/>
      <c r="D70" s="1338"/>
      <c r="E70" s="1338"/>
      <c r="F70" s="1338"/>
      <c r="G70" s="1338"/>
      <c r="H70" s="1338"/>
    </row>
    <row r="71" spans="1:8" x14ac:dyDescent="0.2">
      <c r="A71" s="1338"/>
      <c r="B71" s="1338"/>
      <c r="C71" s="1338"/>
      <c r="D71" s="1338"/>
      <c r="E71" s="1338"/>
      <c r="F71" s="1338"/>
      <c r="G71" s="1338"/>
      <c r="H71" s="1338"/>
    </row>
    <row r="72" spans="1:8" x14ac:dyDescent="0.2">
      <c r="A72" s="1339" t="s">
        <v>996</v>
      </c>
      <c r="B72" s="1338"/>
      <c r="C72" s="1338"/>
      <c r="D72" s="1338"/>
      <c r="E72" s="1338"/>
      <c r="F72" s="1338"/>
      <c r="G72" s="1338"/>
      <c r="H72" s="1338"/>
    </row>
    <row r="73" spans="1:8" x14ac:dyDescent="0.2">
      <c r="A73" s="1339" t="s">
        <v>997</v>
      </c>
      <c r="B73" s="1338"/>
      <c r="C73" s="1338"/>
      <c r="D73" s="1338"/>
      <c r="E73" s="1338"/>
      <c r="F73" s="1338"/>
      <c r="G73" s="1338"/>
      <c r="H73" s="1338"/>
    </row>
    <row r="74" spans="1:8" x14ac:dyDescent="0.2">
      <c r="A74" s="1338"/>
      <c r="B74" s="1338"/>
      <c r="C74" s="1338"/>
      <c r="D74" s="1338"/>
      <c r="E74" s="1338"/>
      <c r="F74" s="1338"/>
      <c r="G74" s="1338"/>
      <c r="H74" s="1338"/>
    </row>
    <row r="75" spans="1:8" x14ac:dyDescent="0.2">
      <c r="A75" s="1339" t="s">
        <v>993</v>
      </c>
      <c r="B75" s="1338"/>
      <c r="C75" s="1338"/>
      <c r="D75" s="1338"/>
      <c r="E75" s="1338"/>
      <c r="F75" s="1338"/>
      <c r="G75" s="1338"/>
      <c r="H75" s="1338"/>
    </row>
    <row r="76" spans="1:8" x14ac:dyDescent="0.2">
      <c r="A76" s="1339" t="s">
        <v>994</v>
      </c>
      <c r="B76" s="1338"/>
      <c r="C76" s="1338"/>
      <c r="D76" s="1338"/>
      <c r="E76" s="1338"/>
      <c r="F76" s="1338"/>
      <c r="G76" s="1338"/>
      <c r="H76" s="1338"/>
    </row>
    <row r="77" spans="1:8" x14ac:dyDescent="0.2">
      <c r="A77" s="1339" t="s">
        <v>995</v>
      </c>
      <c r="B77" s="1338"/>
      <c r="C77" s="1338"/>
      <c r="D77" s="1338"/>
      <c r="E77" s="1338"/>
      <c r="F77" s="1338"/>
      <c r="G77" s="1338"/>
      <c r="H77" s="1338"/>
    </row>
    <row r="78" spans="1:8" x14ac:dyDescent="0.2">
      <c r="A78" s="1338"/>
      <c r="B78" s="1338"/>
      <c r="C78" s="1338"/>
      <c r="D78" s="1338"/>
      <c r="E78" s="1338"/>
      <c r="F78" s="1338"/>
      <c r="G78" s="1338"/>
      <c r="H78" s="1338"/>
    </row>
    <row r="79" spans="1:8" x14ac:dyDescent="0.2">
      <c r="A79" s="1339" t="s">
        <v>750</v>
      </c>
      <c r="B79" s="1338"/>
      <c r="C79" s="1338"/>
      <c r="D79" s="1338"/>
      <c r="E79" s="1338"/>
      <c r="F79" s="1338"/>
      <c r="G79" s="1338"/>
      <c r="H79" s="1338"/>
    </row>
    <row r="80" spans="1:8" x14ac:dyDescent="0.2">
      <c r="A80" s="1338"/>
      <c r="B80" s="1338"/>
      <c r="C80" s="1338"/>
      <c r="D80" s="1338"/>
      <c r="E80" s="1338"/>
      <c r="F80" s="1338"/>
      <c r="G80" s="1338"/>
      <c r="H80" s="1338"/>
    </row>
    <row r="81" spans="1:8" x14ac:dyDescent="0.2">
      <c r="A81" s="1339" t="s">
        <v>988</v>
      </c>
      <c r="B81" s="1338"/>
      <c r="C81" s="1338"/>
      <c r="D81" s="1338"/>
      <c r="E81" s="1338"/>
      <c r="F81" s="1338"/>
      <c r="G81" s="1338"/>
      <c r="H81" s="1338"/>
    </row>
    <row r="82" spans="1:8" x14ac:dyDescent="0.2">
      <c r="A82" s="1339" t="s">
        <v>989</v>
      </c>
      <c r="B82" s="1338"/>
      <c r="C82" s="1338"/>
      <c r="D82" s="1338"/>
      <c r="E82" s="1338"/>
      <c r="F82" s="1338"/>
      <c r="G82" s="1338"/>
      <c r="H82" s="1338"/>
    </row>
    <row r="83" spans="1:8" x14ac:dyDescent="0.2">
      <c r="A83" s="1339" t="s">
        <v>990</v>
      </c>
      <c r="B83" s="1338"/>
      <c r="C83" s="1338"/>
      <c r="D83" s="1338"/>
      <c r="E83" s="1338"/>
      <c r="F83" s="1338"/>
      <c r="G83" s="1338"/>
      <c r="H83" s="1338"/>
    </row>
    <row r="84" spans="1:8" x14ac:dyDescent="0.2">
      <c r="A84" s="1339" t="s">
        <v>991</v>
      </c>
      <c r="B84" s="1338"/>
      <c r="C84" s="1338"/>
      <c r="D84" s="1338"/>
      <c r="E84" s="1338"/>
      <c r="F84" s="1338"/>
      <c r="G84" s="1338"/>
      <c r="H84" s="1338"/>
    </row>
    <row r="85" spans="1:8" x14ac:dyDescent="0.2">
      <c r="A85" s="1339" t="s">
        <v>992</v>
      </c>
      <c r="B85" s="1338"/>
      <c r="C85" s="1338"/>
      <c r="D85" s="1338"/>
      <c r="E85" s="1338"/>
      <c r="F85" s="1338"/>
      <c r="G85" s="1338"/>
      <c r="H85" s="1338"/>
    </row>
    <row r="86" spans="1:8" x14ac:dyDescent="0.2">
      <c r="A86" s="1339" t="s">
        <v>875</v>
      </c>
      <c r="B86" s="1338"/>
      <c r="C86" s="1338"/>
      <c r="D86" s="1338"/>
      <c r="E86" s="1338"/>
      <c r="F86" s="1338"/>
      <c r="G86" s="1338"/>
      <c r="H86" s="1338"/>
    </row>
    <row r="87" spans="1:8" x14ac:dyDescent="0.2">
      <c r="A87" s="1338"/>
      <c r="B87" s="1338"/>
      <c r="C87" s="1338"/>
      <c r="D87" s="1338"/>
      <c r="E87" s="1338"/>
      <c r="F87" s="1338"/>
      <c r="G87" s="1338"/>
      <c r="H87" s="1338"/>
    </row>
    <row r="88" spans="1:8" x14ac:dyDescent="0.2">
      <c r="A88" s="1339" t="s">
        <v>981</v>
      </c>
      <c r="B88" s="1338"/>
      <c r="C88" s="1338"/>
      <c r="D88" s="1338"/>
      <c r="E88" s="1338"/>
      <c r="F88" s="1338"/>
      <c r="G88" s="1338"/>
      <c r="H88" s="1338"/>
    </row>
    <row r="89" spans="1:8" x14ac:dyDescent="0.2">
      <c r="A89" s="1339" t="s">
        <v>982</v>
      </c>
      <c r="B89" s="1338"/>
      <c r="C89" s="1338"/>
      <c r="D89" s="1338"/>
      <c r="E89" s="1338"/>
      <c r="F89" s="1338"/>
      <c r="G89" s="1338"/>
      <c r="H89" s="1338"/>
    </row>
    <row r="90" spans="1:8" x14ac:dyDescent="0.2">
      <c r="A90" s="1339" t="s">
        <v>983</v>
      </c>
      <c r="B90" s="1338"/>
      <c r="C90" s="1338"/>
      <c r="D90" s="1338"/>
      <c r="E90" s="1338"/>
      <c r="F90" s="1338"/>
      <c r="G90" s="1338"/>
      <c r="H90" s="1338"/>
    </row>
    <row r="91" spans="1:8" x14ac:dyDescent="0.2">
      <c r="A91" s="1339" t="s">
        <v>984</v>
      </c>
      <c r="B91" s="1338"/>
      <c r="C91" s="1338"/>
      <c r="D91" s="1338"/>
      <c r="E91" s="1338"/>
      <c r="F91" s="1338"/>
      <c r="G91" s="1338"/>
      <c r="H91" s="1338"/>
    </row>
    <row r="92" spans="1:8" x14ac:dyDescent="0.2">
      <c r="A92" s="1339" t="s">
        <v>985</v>
      </c>
      <c r="B92" s="1338"/>
      <c r="C92" s="1338"/>
      <c r="D92" s="1338"/>
      <c r="E92" s="1338"/>
      <c r="F92" s="1338"/>
      <c r="G92" s="1338"/>
      <c r="H92" s="1338"/>
    </row>
    <row r="93" spans="1:8" x14ac:dyDescent="0.2">
      <c r="A93" s="1339" t="s">
        <v>986</v>
      </c>
      <c r="B93" s="1338"/>
      <c r="C93" s="1338"/>
      <c r="D93" s="1338"/>
      <c r="E93" s="1338"/>
      <c r="F93" s="1338"/>
      <c r="G93" s="1338"/>
      <c r="H93" s="1338"/>
    </row>
    <row r="94" spans="1:8" x14ac:dyDescent="0.2">
      <c r="A94" s="1339" t="s">
        <v>987</v>
      </c>
      <c r="B94" s="1338"/>
      <c r="C94" s="1338"/>
      <c r="D94" s="1338"/>
      <c r="E94" s="1338"/>
      <c r="F94" s="1338"/>
      <c r="G94" s="1338"/>
      <c r="H94" s="1338"/>
    </row>
    <row r="95" spans="1:8" x14ac:dyDescent="0.2">
      <c r="A95" s="1338"/>
      <c r="B95" s="1338"/>
      <c r="C95" s="1338"/>
      <c r="D95" s="1338"/>
      <c r="E95" s="1338"/>
      <c r="F95" s="1338"/>
      <c r="G95" s="1338"/>
      <c r="H95" s="1338"/>
    </row>
    <row r="96" spans="1:8" x14ac:dyDescent="0.2">
      <c r="A96" s="1339" t="s">
        <v>979</v>
      </c>
      <c r="B96" s="1338"/>
      <c r="C96" s="1338"/>
      <c r="D96" s="1338"/>
      <c r="E96" s="1338"/>
      <c r="F96" s="1338"/>
      <c r="G96" s="1338"/>
      <c r="H96" s="1338"/>
    </row>
    <row r="97" spans="1:8" x14ac:dyDescent="0.2">
      <c r="A97" s="1339" t="s">
        <v>980</v>
      </c>
      <c r="B97" s="1338"/>
      <c r="C97" s="1338"/>
      <c r="D97" s="1338"/>
      <c r="E97" s="1338"/>
      <c r="F97" s="1338"/>
      <c r="G97" s="1338"/>
      <c r="H97" s="1338"/>
    </row>
    <row r="98" spans="1:8" x14ac:dyDescent="0.2">
      <c r="A98" s="1338"/>
      <c r="B98" s="1338"/>
      <c r="C98" s="1338"/>
      <c r="D98" s="1338"/>
      <c r="E98" s="1338"/>
      <c r="F98" s="1338"/>
      <c r="G98" s="1338"/>
      <c r="H98" s="1338"/>
    </row>
    <row r="99" spans="1:8" ht="15.75" x14ac:dyDescent="0.2">
      <c r="A99" s="1340" t="s">
        <v>751</v>
      </c>
      <c r="B99" s="1338"/>
      <c r="C99" s="1338"/>
      <c r="D99" s="1338"/>
      <c r="E99" s="1338"/>
      <c r="F99" s="1338"/>
      <c r="G99" s="1338"/>
      <c r="H99" s="1338"/>
    </row>
    <row r="100" spans="1:8" x14ac:dyDescent="0.2">
      <c r="A100" s="1338"/>
      <c r="B100" s="1338"/>
      <c r="C100" s="1338"/>
      <c r="D100" s="1338"/>
      <c r="E100" s="1338"/>
      <c r="F100" s="1338"/>
      <c r="G100" s="1338"/>
      <c r="H100" s="1338"/>
    </row>
    <row r="101" spans="1:8" x14ac:dyDescent="0.2">
      <c r="A101" s="1339" t="s">
        <v>970</v>
      </c>
      <c r="B101" s="1338"/>
      <c r="C101" s="1338"/>
      <c r="D101" s="1338"/>
      <c r="E101" s="1338"/>
      <c r="F101" s="1338"/>
      <c r="G101" s="1338"/>
      <c r="H101" s="1338"/>
    </row>
    <row r="102" spans="1:8" x14ac:dyDescent="0.2">
      <c r="A102" s="1339" t="s">
        <v>971</v>
      </c>
      <c r="B102" s="1338"/>
      <c r="C102" s="1338"/>
      <c r="D102" s="1338"/>
      <c r="E102" s="1338"/>
      <c r="F102" s="1338"/>
      <c r="G102" s="1338"/>
      <c r="H102" s="1338"/>
    </row>
    <row r="103" spans="1:8" x14ac:dyDescent="0.2">
      <c r="A103" s="1339" t="s">
        <v>972</v>
      </c>
      <c r="B103" s="1338"/>
      <c r="C103" s="1338"/>
      <c r="D103" s="1338"/>
      <c r="E103" s="1338"/>
      <c r="F103" s="1338"/>
      <c r="G103" s="1338"/>
      <c r="H103" s="1338"/>
    </row>
    <row r="104" spans="1:8" x14ac:dyDescent="0.2">
      <c r="A104" s="1339" t="s">
        <v>973</v>
      </c>
      <c r="B104" s="1338"/>
      <c r="C104" s="1338"/>
      <c r="D104" s="1338"/>
      <c r="E104" s="1338"/>
      <c r="F104" s="1338"/>
      <c r="G104" s="1338"/>
      <c r="H104" s="1338"/>
    </row>
    <row r="105" spans="1:8" x14ac:dyDescent="0.2">
      <c r="A105" s="1339" t="s">
        <v>974</v>
      </c>
      <c r="B105" s="1338"/>
      <c r="C105" s="1338"/>
      <c r="D105" s="1338"/>
      <c r="E105" s="1338"/>
      <c r="F105" s="1338"/>
      <c r="G105" s="1338"/>
      <c r="H105" s="1338"/>
    </row>
    <row r="106" spans="1:8" x14ac:dyDescent="0.2">
      <c r="A106" s="1339" t="s">
        <v>975</v>
      </c>
      <c r="B106" s="1338"/>
      <c r="C106" s="1338"/>
      <c r="D106" s="1338"/>
      <c r="E106" s="1338"/>
      <c r="F106" s="1338"/>
      <c r="G106" s="1338"/>
      <c r="H106" s="1338"/>
    </row>
    <row r="107" spans="1:8" x14ac:dyDescent="0.2">
      <c r="A107" s="1339" t="s">
        <v>976</v>
      </c>
      <c r="B107" s="1338"/>
      <c r="C107" s="1338"/>
      <c r="D107" s="1338"/>
      <c r="E107" s="1338"/>
      <c r="F107" s="1338"/>
      <c r="G107" s="1338"/>
      <c r="H107" s="1338"/>
    </row>
    <row r="108" spans="1:8" x14ac:dyDescent="0.2">
      <c r="A108" s="1339" t="s">
        <v>977</v>
      </c>
      <c r="B108" s="1338"/>
      <c r="C108" s="1338"/>
      <c r="D108" s="1338"/>
      <c r="E108" s="1338"/>
      <c r="F108" s="1338"/>
      <c r="G108" s="1338"/>
      <c r="H108" s="1338"/>
    </row>
    <row r="109" spans="1:8" x14ac:dyDescent="0.2">
      <c r="A109" s="1339" t="s">
        <v>978</v>
      </c>
      <c r="B109" s="1338"/>
      <c r="C109" s="1338"/>
      <c r="D109" s="1338"/>
      <c r="E109" s="1338"/>
      <c r="F109" s="1338"/>
      <c r="G109" s="1338"/>
      <c r="H109" s="1338"/>
    </row>
    <row r="110" spans="1:8" x14ac:dyDescent="0.2">
      <c r="A110" s="1338"/>
      <c r="B110" s="1338"/>
      <c r="C110" s="1338"/>
      <c r="D110" s="1338"/>
      <c r="E110" s="1338"/>
      <c r="F110" s="1338"/>
      <c r="G110" s="1338"/>
      <c r="H110" s="1338"/>
    </row>
    <row r="111" spans="1:8" ht="15.75" x14ac:dyDescent="0.2">
      <c r="A111" s="1341" t="s">
        <v>752</v>
      </c>
      <c r="B111" s="1341"/>
      <c r="C111" s="1341"/>
      <c r="D111" s="1341"/>
      <c r="E111" s="1341"/>
      <c r="F111" s="1341"/>
      <c r="G111" s="1341"/>
      <c r="H111" s="1341"/>
    </row>
    <row r="112" spans="1:8" x14ac:dyDescent="0.2">
      <c r="A112" s="1342" t="s">
        <v>753</v>
      </c>
      <c r="B112" s="1342"/>
      <c r="C112" s="1342"/>
      <c r="D112" s="1342"/>
      <c r="E112" s="1342"/>
      <c r="F112" s="1342"/>
      <c r="G112" s="1342"/>
      <c r="H112" s="1342"/>
    </row>
    <row r="113" spans="1:8" x14ac:dyDescent="0.2">
      <c r="A113" s="1343"/>
      <c r="B113" s="1343"/>
      <c r="C113" s="1343"/>
      <c r="D113" s="1343"/>
      <c r="E113" s="1343"/>
      <c r="F113" s="1343"/>
      <c r="G113" s="1343"/>
      <c r="H113" s="1343"/>
    </row>
    <row r="114" spans="1:8" x14ac:dyDescent="0.2">
      <c r="A114" s="1342" t="s">
        <v>968</v>
      </c>
      <c r="B114" s="1342"/>
      <c r="C114" s="1342"/>
      <c r="D114" s="1342"/>
      <c r="E114" s="1342"/>
      <c r="F114" s="1342"/>
      <c r="G114" s="1342"/>
      <c r="H114" s="1342"/>
    </row>
    <row r="115" spans="1:8" x14ac:dyDescent="0.2">
      <c r="A115" s="1339" t="s">
        <v>969</v>
      </c>
      <c r="B115" s="1339"/>
      <c r="C115" s="1339"/>
      <c r="D115" s="1339"/>
      <c r="E115" s="1339"/>
      <c r="F115" s="1339"/>
      <c r="G115" s="1339"/>
      <c r="H115" s="1339"/>
    </row>
    <row r="116" spans="1:8" x14ac:dyDescent="0.2">
      <c r="A116" s="1343"/>
      <c r="B116" s="1343"/>
      <c r="C116" s="1343"/>
      <c r="D116" s="1343"/>
      <c r="E116" s="1343"/>
      <c r="F116" s="1343"/>
      <c r="G116" s="1343"/>
      <c r="H116" s="1343"/>
    </row>
    <row r="117" spans="1:8" x14ac:dyDescent="0.2">
      <c r="A117" s="1342" t="s">
        <v>961</v>
      </c>
      <c r="B117" s="1342"/>
      <c r="C117" s="1342"/>
      <c r="D117" s="1342"/>
      <c r="E117" s="1342"/>
      <c r="F117" s="1342"/>
      <c r="G117" s="1342"/>
      <c r="H117" s="1342"/>
    </row>
    <row r="118" spans="1:8" x14ac:dyDescent="0.2">
      <c r="A118" s="1339" t="s">
        <v>962</v>
      </c>
      <c r="B118" s="1339"/>
      <c r="C118" s="1339"/>
      <c r="D118" s="1339"/>
      <c r="E118" s="1339"/>
      <c r="F118" s="1339"/>
      <c r="G118" s="1339"/>
      <c r="H118" s="1339"/>
    </row>
    <row r="119" spans="1:8" x14ac:dyDescent="0.2">
      <c r="A119" s="1339" t="s">
        <v>963</v>
      </c>
      <c r="B119" s="1339"/>
      <c r="C119" s="1339"/>
      <c r="D119" s="1339"/>
      <c r="E119" s="1339"/>
      <c r="F119" s="1339"/>
      <c r="G119" s="1339"/>
      <c r="H119" s="1339"/>
    </row>
    <row r="120" spans="1:8" x14ac:dyDescent="0.2">
      <c r="A120" s="1339" t="s">
        <v>964</v>
      </c>
      <c r="B120" s="1339"/>
      <c r="C120" s="1339"/>
      <c r="D120" s="1339"/>
      <c r="E120" s="1339"/>
      <c r="F120" s="1339"/>
      <c r="G120" s="1339"/>
      <c r="H120" s="1339"/>
    </row>
    <row r="121" spans="1:8" x14ac:dyDescent="0.2">
      <c r="A121" s="1339" t="s">
        <v>965</v>
      </c>
      <c r="B121" s="1339"/>
      <c r="C121" s="1339"/>
      <c r="D121" s="1339"/>
      <c r="E121" s="1339"/>
      <c r="F121" s="1339"/>
      <c r="G121" s="1339"/>
      <c r="H121" s="1339"/>
    </row>
    <row r="122" spans="1:8" x14ac:dyDescent="0.2">
      <c r="A122" s="1339" t="s">
        <v>966</v>
      </c>
      <c r="B122" s="1339"/>
      <c r="C122" s="1339"/>
      <c r="D122" s="1339"/>
      <c r="E122" s="1339"/>
      <c r="F122" s="1339"/>
      <c r="G122" s="1339"/>
      <c r="H122" s="1339"/>
    </row>
    <row r="123" spans="1:8" x14ac:dyDescent="0.2">
      <c r="A123" s="1339" t="s">
        <v>967</v>
      </c>
      <c r="B123" s="1339"/>
      <c r="C123" s="1339"/>
      <c r="D123" s="1339"/>
      <c r="E123" s="1339"/>
      <c r="F123" s="1339"/>
      <c r="G123" s="1339"/>
      <c r="H123" s="1339"/>
    </row>
    <row r="124" spans="1:8" x14ac:dyDescent="0.2">
      <c r="A124" s="1344"/>
      <c r="B124" s="1344"/>
      <c r="C124" s="1344"/>
      <c r="D124" s="1344"/>
      <c r="E124" s="1344"/>
      <c r="F124" s="1344"/>
      <c r="G124" s="1344"/>
      <c r="H124" s="1344"/>
    </row>
    <row r="125" spans="1:8" x14ac:dyDescent="0.2">
      <c r="A125" s="1345"/>
      <c r="B125" s="1346" t="s">
        <v>754</v>
      </c>
      <c r="C125" s="1347"/>
      <c r="D125" s="1346" t="s">
        <v>755</v>
      </c>
      <c r="E125" s="1348"/>
      <c r="F125" s="1347"/>
      <c r="G125" s="1346" t="s">
        <v>756</v>
      </c>
      <c r="H125" s="1347"/>
    </row>
    <row r="126" spans="1:8" x14ac:dyDescent="0.2">
      <c r="A126" s="1345" t="s">
        <v>757</v>
      </c>
      <c r="B126" s="1345" t="s">
        <v>452</v>
      </c>
      <c r="C126" s="1345" t="s">
        <v>645</v>
      </c>
      <c r="D126" s="1345" t="s">
        <v>452</v>
      </c>
      <c r="E126" s="1345" t="s">
        <v>758</v>
      </c>
      <c r="F126" s="1345" t="s">
        <v>759</v>
      </c>
      <c r="G126" s="1345" t="s">
        <v>452</v>
      </c>
      <c r="H126" s="1345" t="s">
        <v>760</v>
      </c>
    </row>
    <row r="127" spans="1:8" x14ac:dyDescent="0.2">
      <c r="A127" s="1345" t="s">
        <v>761</v>
      </c>
      <c r="B127" s="1345">
        <v>1189</v>
      </c>
      <c r="C127" s="1349">
        <v>0.38</v>
      </c>
      <c r="D127" s="1345">
        <v>315</v>
      </c>
      <c r="E127" s="1349">
        <v>0.41</v>
      </c>
      <c r="F127" s="1349">
        <v>0.26</v>
      </c>
      <c r="G127" s="1345">
        <v>555</v>
      </c>
      <c r="H127" s="1349">
        <v>0.39</v>
      </c>
    </row>
    <row r="128" spans="1:8" x14ac:dyDescent="0.2">
      <c r="A128" s="1345" t="s">
        <v>762</v>
      </c>
      <c r="B128" s="1345">
        <v>1355</v>
      </c>
      <c r="C128" s="1349">
        <v>0.43</v>
      </c>
      <c r="D128" s="1345">
        <v>364</v>
      </c>
      <c r="E128" s="1349">
        <v>0.47</v>
      </c>
      <c r="F128" s="1349">
        <v>0.27</v>
      </c>
      <c r="G128" s="1345">
        <v>644</v>
      </c>
      <c r="H128" s="1349">
        <v>0.45</v>
      </c>
    </row>
    <row r="129" spans="1:8" x14ac:dyDescent="0.2">
      <c r="A129" s="1345" t="s">
        <v>763</v>
      </c>
      <c r="B129" s="1345">
        <v>53</v>
      </c>
      <c r="C129" s="1349">
        <v>0.02</v>
      </c>
      <c r="D129" s="1345">
        <v>4</v>
      </c>
      <c r="E129" s="1349">
        <v>0.01</v>
      </c>
      <c r="F129" s="1349">
        <v>0.08</v>
      </c>
      <c r="G129" s="1345">
        <v>7</v>
      </c>
      <c r="H129" s="1349">
        <v>0</v>
      </c>
    </row>
    <row r="130" spans="1:8" x14ac:dyDescent="0.2">
      <c r="A130" s="1345" t="s">
        <v>764</v>
      </c>
      <c r="B130" s="1345">
        <v>545</v>
      </c>
      <c r="C130" s="1349">
        <v>0.17</v>
      </c>
      <c r="D130" s="1345">
        <v>84</v>
      </c>
      <c r="E130" s="1349">
        <v>0.11</v>
      </c>
      <c r="F130" s="1349">
        <v>0.15</v>
      </c>
      <c r="G130" s="1345">
        <v>214</v>
      </c>
      <c r="H130" s="1349">
        <v>0.15</v>
      </c>
    </row>
    <row r="131" spans="1:8" x14ac:dyDescent="0.2">
      <c r="A131" s="1345" t="s">
        <v>447</v>
      </c>
      <c r="B131" s="1350">
        <v>3142</v>
      </c>
      <c r="C131" s="1345"/>
      <c r="D131" s="1345">
        <v>767</v>
      </c>
      <c r="E131" s="1345"/>
      <c r="F131" s="1345"/>
      <c r="G131" s="1345">
        <v>1420</v>
      </c>
      <c r="H131" s="1345"/>
    </row>
    <row r="132" spans="1:8" x14ac:dyDescent="0.2">
      <c r="A132" s="1351"/>
      <c r="B132" s="1351"/>
      <c r="C132" s="1351"/>
      <c r="D132" s="1351"/>
      <c r="E132" s="1351"/>
      <c r="F132" s="1351"/>
      <c r="G132" s="1351"/>
      <c r="H132" s="1351"/>
    </row>
    <row r="133" spans="1:8" x14ac:dyDescent="0.2">
      <c r="A133" s="1342" t="s">
        <v>957</v>
      </c>
      <c r="B133" s="1342"/>
      <c r="C133" s="1342"/>
      <c r="D133" s="1342"/>
      <c r="E133" s="1342"/>
      <c r="F133" s="1342"/>
      <c r="G133" s="1342"/>
      <c r="H133" s="1342"/>
    </row>
    <row r="134" spans="1:8" x14ac:dyDescent="0.2">
      <c r="A134" s="1339" t="s">
        <v>958</v>
      </c>
      <c r="B134" s="1339"/>
      <c r="C134" s="1339"/>
      <c r="D134" s="1339"/>
      <c r="E134" s="1339"/>
      <c r="F134" s="1339"/>
      <c r="G134" s="1339"/>
      <c r="H134" s="1339"/>
    </row>
    <row r="135" spans="1:8" x14ac:dyDescent="0.2">
      <c r="A135" s="1339" t="s">
        <v>959</v>
      </c>
      <c r="B135" s="1339"/>
      <c r="C135" s="1339"/>
      <c r="D135" s="1339"/>
      <c r="E135" s="1339"/>
      <c r="F135" s="1339"/>
      <c r="G135" s="1339"/>
      <c r="H135" s="1339"/>
    </row>
    <row r="136" spans="1:8" x14ac:dyDescent="0.2">
      <c r="A136" s="1339" t="s">
        <v>960</v>
      </c>
      <c r="B136" s="1339"/>
      <c r="C136" s="1339"/>
      <c r="D136" s="1339"/>
      <c r="E136" s="1339"/>
      <c r="F136" s="1339"/>
      <c r="G136" s="1339"/>
      <c r="H136" s="1339"/>
    </row>
    <row r="137" spans="1:8" x14ac:dyDescent="0.2">
      <c r="A137" s="1338"/>
      <c r="B137" s="1338"/>
      <c r="C137" s="1338"/>
      <c r="D137" s="1338"/>
      <c r="E137" s="1338"/>
      <c r="F137" s="1338"/>
      <c r="G137" s="1338"/>
      <c r="H137" s="1338"/>
    </row>
    <row r="138" spans="1:8" ht="15.75" x14ac:dyDescent="0.2">
      <c r="A138" s="1340" t="s">
        <v>765</v>
      </c>
      <c r="B138" s="1338"/>
      <c r="C138" s="1338"/>
      <c r="D138" s="1338"/>
      <c r="E138" s="1338"/>
      <c r="F138" s="1338"/>
      <c r="G138" s="1338"/>
      <c r="H138" s="1338"/>
    </row>
    <row r="139" spans="1:8" x14ac:dyDescent="0.2">
      <c r="A139" s="1338"/>
      <c r="B139" s="1338"/>
      <c r="C139" s="1338"/>
      <c r="D139" s="1338"/>
      <c r="E139" s="1338"/>
      <c r="F139" s="1338"/>
      <c r="G139" s="1338"/>
      <c r="H139" s="1338"/>
    </row>
    <row r="140" spans="1:8" x14ac:dyDescent="0.2">
      <c r="A140" s="1339" t="s">
        <v>955</v>
      </c>
      <c r="B140" s="1338"/>
      <c r="C140" s="1338"/>
      <c r="D140" s="1338"/>
      <c r="E140" s="1338"/>
      <c r="F140" s="1338"/>
      <c r="G140" s="1338"/>
      <c r="H140" s="1338"/>
    </row>
    <row r="141" spans="1:8" x14ac:dyDescent="0.2">
      <c r="A141" s="1339" t="s">
        <v>956</v>
      </c>
      <c r="B141" s="1338"/>
      <c r="C141" s="1338"/>
      <c r="D141" s="1338"/>
      <c r="E141" s="1338"/>
      <c r="F141" s="1338"/>
      <c r="G141" s="1338"/>
      <c r="H141" s="1338"/>
    </row>
    <row r="142" spans="1:8" x14ac:dyDescent="0.2">
      <c r="A142" s="1338"/>
      <c r="B142" s="1338"/>
      <c r="C142" s="1338"/>
      <c r="D142" s="1338"/>
      <c r="E142" s="1338"/>
      <c r="F142" s="1338"/>
      <c r="G142" s="1338"/>
      <c r="H142" s="1338"/>
    </row>
    <row r="143" spans="1:8" x14ac:dyDescent="0.2">
      <c r="A143" s="1339" t="s">
        <v>952</v>
      </c>
      <c r="B143" s="1338"/>
      <c r="C143" s="1338"/>
      <c r="D143" s="1338"/>
      <c r="E143" s="1338"/>
      <c r="F143" s="1338"/>
      <c r="G143" s="1338"/>
      <c r="H143" s="1338"/>
    </row>
    <row r="144" spans="1:8" x14ac:dyDescent="0.2">
      <c r="A144" s="1339" t="s">
        <v>953</v>
      </c>
      <c r="B144" s="1338"/>
      <c r="C144" s="1338"/>
      <c r="D144" s="1338"/>
      <c r="E144" s="1338"/>
      <c r="F144" s="1338"/>
      <c r="G144" s="1338"/>
      <c r="H144" s="1338"/>
    </row>
    <row r="145" spans="1:8" x14ac:dyDescent="0.2">
      <c r="A145" s="1339" t="s">
        <v>954</v>
      </c>
      <c r="B145" s="1338"/>
      <c r="C145" s="1338"/>
      <c r="D145" s="1338"/>
      <c r="E145" s="1338"/>
      <c r="F145" s="1338"/>
      <c r="G145" s="1338"/>
      <c r="H145" s="1338"/>
    </row>
    <row r="146" spans="1:8" x14ac:dyDescent="0.2">
      <c r="A146" s="1338"/>
      <c r="B146" s="1338"/>
      <c r="C146" s="1338"/>
      <c r="D146" s="1338"/>
      <c r="E146" s="1338"/>
      <c r="F146" s="1338"/>
      <c r="G146" s="1338"/>
      <c r="H146" s="1338"/>
    </row>
    <row r="147" spans="1:8" x14ac:dyDescent="0.2">
      <c r="A147" s="1339" t="s">
        <v>949</v>
      </c>
      <c r="B147" s="1338"/>
      <c r="C147" s="1338"/>
      <c r="D147" s="1338"/>
      <c r="E147" s="1338"/>
      <c r="F147" s="1338"/>
      <c r="G147" s="1338"/>
      <c r="H147" s="1338"/>
    </row>
    <row r="148" spans="1:8" x14ac:dyDescent="0.2">
      <c r="A148" s="1339" t="s">
        <v>950</v>
      </c>
      <c r="B148" s="1338"/>
      <c r="C148" s="1338"/>
      <c r="D148" s="1338"/>
      <c r="E148" s="1338"/>
      <c r="F148" s="1338"/>
      <c r="G148" s="1338"/>
      <c r="H148" s="1338"/>
    </row>
    <row r="149" spans="1:8" x14ac:dyDescent="0.2">
      <c r="A149" s="1339" t="s">
        <v>951</v>
      </c>
      <c r="B149" s="1338"/>
      <c r="C149" s="1338"/>
      <c r="D149" s="1338"/>
      <c r="E149" s="1338"/>
      <c r="F149" s="1338"/>
      <c r="G149" s="1338"/>
      <c r="H149" s="1338"/>
    </row>
    <row r="150" spans="1:8" x14ac:dyDescent="0.2">
      <c r="A150" s="1338"/>
      <c r="B150" s="1338"/>
      <c r="C150" s="1338"/>
      <c r="D150" s="1338"/>
      <c r="E150" s="1338"/>
      <c r="F150" s="1338"/>
      <c r="G150" s="1338"/>
      <c r="H150" s="1338"/>
    </row>
    <row r="151" spans="1:8" x14ac:dyDescent="0.2">
      <c r="A151" s="1339" t="s">
        <v>946</v>
      </c>
      <c r="B151" s="1338"/>
      <c r="C151" s="1338"/>
      <c r="D151" s="1338"/>
      <c r="E151" s="1338"/>
      <c r="F151" s="1338"/>
      <c r="G151" s="1338"/>
      <c r="H151" s="1338"/>
    </row>
    <row r="152" spans="1:8" x14ac:dyDescent="0.2">
      <c r="A152" s="1339" t="s">
        <v>947</v>
      </c>
      <c r="B152" s="1338"/>
      <c r="C152" s="1338"/>
      <c r="D152" s="1338"/>
      <c r="E152" s="1338"/>
      <c r="F152" s="1338"/>
      <c r="G152" s="1338"/>
      <c r="H152" s="1338"/>
    </row>
    <row r="153" spans="1:8" x14ac:dyDescent="0.2">
      <c r="A153" s="1339" t="s">
        <v>948</v>
      </c>
      <c r="B153" s="1338"/>
      <c r="C153" s="1338"/>
      <c r="D153" s="1338"/>
      <c r="E153" s="1338"/>
      <c r="F153" s="1338"/>
      <c r="G153" s="1338"/>
      <c r="H153" s="1338"/>
    </row>
    <row r="154" spans="1:8" x14ac:dyDescent="0.2">
      <c r="A154" s="1338"/>
      <c r="B154" s="1338"/>
      <c r="C154" s="1338"/>
      <c r="D154" s="1338"/>
      <c r="E154" s="1338"/>
      <c r="F154" s="1338"/>
      <c r="G154" s="1338"/>
      <c r="H154" s="1338"/>
    </row>
    <row r="155" spans="1:8" x14ac:dyDescent="0.2">
      <c r="A155" s="1339" t="s">
        <v>944</v>
      </c>
      <c r="B155" s="1338"/>
      <c r="C155" s="1338"/>
      <c r="D155" s="1338"/>
      <c r="E155" s="1338"/>
      <c r="F155" s="1338"/>
      <c r="G155" s="1338"/>
      <c r="H155" s="1338"/>
    </row>
    <row r="156" spans="1:8" x14ac:dyDescent="0.2">
      <c r="A156" s="1339" t="s">
        <v>945</v>
      </c>
      <c r="B156" s="1338"/>
      <c r="C156" s="1338"/>
      <c r="D156" s="1338"/>
      <c r="E156" s="1338"/>
      <c r="F156" s="1338"/>
      <c r="G156" s="1338"/>
      <c r="H156" s="1338"/>
    </row>
    <row r="157" spans="1:8" x14ac:dyDescent="0.2">
      <c r="A157" s="1338"/>
      <c r="B157" s="1338"/>
      <c r="C157" s="1338"/>
      <c r="D157" s="1338"/>
      <c r="E157" s="1338"/>
      <c r="F157" s="1338"/>
      <c r="G157" s="1338"/>
      <c r="H157" s="1338"/>
    </row>
    <row r="158" spans="1:8" ht="15.75" x14ac:dyDescent="0.2">
      <c r="A158" s="1340" t="s">
        <v>766</v>
      </c>
      <c r="B158" s="1338"/>
      <c r="C158" s="1338"/>
      <c r="D158" s="1338"/>
      <c r="E158" s="1338"/>
      <c r="F158" s="1338"/>
      <c r="G158" s="1338"/>
      <c r="H158" s="1338"/>
    </row>
    <row r="159" spans="1:8" x14ac:dyDescent="0.2">
      <c r="A159" s="1338"/>
      <c r="B159" s="1338"/>
      <c r="C159" s="1338"/>
      <c r="D159" s="1338"/>
      <c r="E159" s="1338"/>
      <c r="F159" s="1338"/>
      <c r="G159" s="1338"/>
      <c r="H159" s="1338"/>
    </row>
    <row r="160" spans="1:8" x14ac:dyDescent="0.2">
      <c r="A160" s="1339" t="s">
        <v>942</v>
      </c>
      <c r="B160" s="1338"/>
      <c r="C160" s="1338"/>
      <c r="D160" s="1338"/>
      <c r="E160" s="1338"/>
      <c r="F160" s="1338"/>
      <c r="G160" s="1338"/>
      <c r="H160" s="1338"/>
    </row>
    <row r="161" spans="1:8" x14ac:dyDescent="0.2">
      <c r="A161" s="1339" t="s">
        <v>943</v>
      </c>
      <c r="B161" s="1338"/>
      <c r="C161" s="1338"/>
      <c r="D161" s="1338"/>
      <c r="E161" s="1338"/>
      <c r="F161" s="1338"/>
      <c r="G161" s="1338"/>
      <c r="H161" s="1338"/>
    </row>
    <row r="162" spans="1:8" x14ac:dyDescent="0.2">
      <c r="A162" s="1338"/>
      <c r="B162" s="1338"/>
      <c r="C162" s="1338"/>
      <c r="D162" s="1338"/>
      <c r="E162" s="1338"/>
      <c r="F162" s="1338"/>
      <c r="G162" s="1338"/>
      <c r="H162" s="1338"/>
    </row>
    <row r="163" spans="1:8" x14ac:dyDescent="0.2">
      <c r="A163" s="1339" t="s">
        <v>940</v>
      </c>
      <c r="B163" s="1338"/>
      <c r="C163" s="1338"/>
      <c r="D163" s="1338"/>
      <c r="E163" s="1338"/>
      <c r="F163" s="1338"/>
      <c r="G163" s="1338"/>
      <c r="H163" s="1338"/>
    </row>
    <row r="164" spans="1:8" x14ac:dyDescent="0.2">
      <c r="A164" s="1339" t="s">
        <v>941</v>
      </c>
      <c r="B164" s="1338"/>
      <c r="C164" s="1338"/>
      <c r="D164" s="1338"/>
      <c r="E164" s="1338"/>
      <c r="F164" s="1338"/>
      <c r="G164" s="1338"/>
      <c r="H164" s="1338"/>
    </row>
    <row r="165" spans="1:8" x14ac:dyDescent="0.2">
      <c r="A165" s="1338"/>
      <c r="B165" s="1338"/>
      <c r="C165" s="1338"/>
      <c r="D165" s="1338"/>
      <c r="E165" s="1338"/>
      <c r="F165" s="1338"/>
      <c r="G165" s="1338"/>
      <c r="H165" s="1338"/>
    </row>
    <row r="166" spans="1:8" x14ac:dyDescent="0.2">
      <c r="A166" s="1339" t="s">
        <v>938</v>
      </c>
      <c r="B166" s="1338"/>
      <c r="C166" s="1338"/>
      <c r="D166" s="1338"/>
      <c r="E166" s="1338"/>
      <c r="F166" s="1338"/>
      <c r="G166" s="1338"/>
      <c r="H166" s="1338"/>
    </row>
    <row r="167" spans="1:8" x14ac:dyDescent="0.2">
      <c r="A167" s="1339" t="s">
        <v>939</v>
      </c>
      <c r="B167" s="1338"/>
      <c r="C167" s="1338"/>
      <c r="D167" s="1338"/>
      <c r="E167" s="1338"/>
      <c r="F167" s="1338"/>
      <c r="G167" s="1338"/>
      <c r="H167" s="1338"/>
    </row>
    <row r="168" spans="1:8" x14ac:dyDescent="0.2">
      <c r="A168" s="1338"/>
      <c r="B168" s="1338"/>
      <c r="C168" s="1338"/>
      <c r="D168" s="1338"/>
      <c r="E168" s="1338"/>
      <c r="F168" s="1338"/>
      <c r="G168" s="1338"/>
      <c r="H168" s="1338"/>
    </row>
    <row r="169" spans="1:8" x14ac:dyDescent="0.2">
      <c r="A169" s="1339" t="s">
        <v>935</v>
      </c>
      <c r="B169" s="1338"/>
      <c r="C169" s="1338"/>
      <c r="D169" s="1338"/>
      <c r="E169" s="1338"/>
      <c r="F169" s="1338"/>
      <c r="G169" s="1338"/>
      <c r="H169" s="1338"/>
    </row>
    <row r="170" spans="1:8" x14ac:dyDescent="0.2">
      <c r="A170" s="1339" t="s">
        <v>936</v>
      </c>
      <c r="B170" s="1338"/>
      <c r="C170" s="1338"/>
      <c r="D170" s="1338"/>
      <c r="E170" s="1338"/>
      <c r="F170" s="1338"/>
      <c r="G170" s="1338"/>
      <c r="H170" s="1338"/>
    </row>
    <row r="171" spans="1:8" x14ac:dyDescent="0.2">
      <c r="A171" s="1339" t="s">
        <v>937</v>
      </c>
      <c r="B171" s="1338"/>
      <c r="C171" s="1338"/>
      <c r="D171" s="1338"/>
      <c r="E171" s="1338"/>
      <c r="F171" s="1338"/>
      <c r="G171" s="1338"/>
      <c r="H171" s="1338"/>
    </row>
    <row r="172" spans="1:8" x14ac:dyDescent="0.2">
      <c r="A172" s="1338"/>
      <c r="B172" s="1338"/>
      <c r="C172" s="1338"/>
      <c r="D172" s="1338"/>
      <c r="E172" s="1338"/>
      <c r="F172" s="1338"/>
      <c r="G172" s="1338"/>
      <c r="H172" s="1338"/>
    </row>
    <row r="173" spans="1:8" x14ac:dyDescent="0.2">
      <c r="A173" s="1338"/>
      <c r="B173" s="1338"/>
      <c r="C173" s="1338"/>
      <c r="D173" s="1338"/>
      <c r="E173" s="1338"/>
      <c r="F173" s="1338"/>
      <c r="G173" s="1338"/>
      <c r="H173" s="1338"/>
    </row>
    <row r="174" spans="1:8" x14ac:dyDescent="0.2">
      <c r="A174" s="1339" t="s">
        <v>767</v>
      </c>
      <c r="B174" s="1338"/>
      <c r="C174" s="1338"/>
      <c r="D174" s="1338"/>
      <c r="E174" s="1338"/>
      <c r="F174" s="1338"/>
      <c r="G174" s="1338"/>
      <c r="H174" s="1338"/>
    </row>
    <row r="175" spans="1:8" x14ac:dyDescent="0.2">
      <c r="A175" s="1338"/>
      <c r="B175" s="1338"/>
      <c r="C175" s="1338"/>
      <c r="D175" s="1338"/>
      <c r="E175" s="1338"/>
      <c r="F175" s="1338"/>
      <c r="G175" s="1338"/>
      <c r="H175" s="1338"/>
    </row>
    <row r="176" spans="1:8" ht="15.75" x14ac:dyDescent="0.2">
      <c r="A176" s="1340" t="s">
        <v>768</v>
      </c>
      <c r="B176" s="1338"/>
      <c r="C176" s="1338"/>
      <c r="D176" s="1338"/>
      <c r="E176" s="1338"/>
      <c r="F176" s="1338"/>
      <c r="G176" s="1338"/>
      <c r="H176" s="1338"/>
    </row>
    <row r="177" spans="1:8" x14ac:dyDescent="0.2">
      <c r="A177" s="1338"/>
      <c r="B177" s="1338"/>
      <c r="C177" s="1338"/>
      <c r="D177" s="1338"/>
      <c r="E177" s="1338"/>
      <c r="F177" s="1338"/>
      <c r="G177" s="1338"/>
      <c r="H177" s="1338"/>
    </row>
    <row r="178" spans="1:8" x14ac:dyDescent="0.2">
      <c r="A178" s="1338"/>
      <c r="B178" s="1338"/>
      <c r="C178" s="1338"/>
      <c r="D178" s="1338"/>
      <c r="E178" s="1338"/>
      <c r="F178" s="1338"/>
      <c r="G178" s="1338"/>
      <c r="H178" s="1338"/>
    </row>
    <row r="179" spans="1:8" x14ac:dyDescent="0.2">
      <c r="A179" s="1338"/>
      <c r="B179" s="1338"/>
      <c r="C179" s="1338"/>
      <c r="D179" s="1338"/>
      <c r="E179" s="1338"/>
      <c r="F179" s="1338"/>
      <c r="G179" s="1338"/>
      <c r="H179" s="1338"/>
    </row>
    <row r="180" spans="1:8" x14ac:dyDescent="0.2">
      <c r="A180" s="1338"/>
      <c r="B180" s="1338"/>
      <c r="C180" s="1338"/>
      <c r="D180" s="1338"/>
      <c r="E180" s="1338"/>
      <c r="F180" s="1338"/>
      <c r="G180" s="1338"/>
      <c r="H180" s="1338"/>
    </row>
    <row r="181" spans="1:8" x14ac:dyDescent="0.2">
      <c r="A181" s="1338"/>
      <c r="B181" s="1338"/>
      <c r="C181" s="1338"/>
      <c r="D181" s="1338"/>
      <c r="E181" s="1338"/>
      <c r="F181" s="1338"/>
      <c r="G181" s="1338"/>
      <c r="H181" s="1338"/>
    </row>
    <row r="182" spans="1:8" x14ac:dyDescent="0.2">
      <c r="A182" s="1338"/>
      <c r="B182" s="1338"/>
      <c r="C182" s="1338"/>
      <c r="D182" s="1338"/>
      <c r="E182" s="1338"/>
      <c r="F182" s="1338"/>
      <c r="G182" s="1338"/>
      <c r="H182" s="1338"/>
    </row>
    <row r="183" spans="1:8" x14ac:dyDescent="0.2">
      <c r="A183" s="1338"/>
      <c r="B183" s="1338"/>
      <c r="C183" s="1338"/>
      <c r="D183" s="1338"/>
      <c r="E183" s="1338"/>
      <c r="F183" s="1338"/>
      <c r="G183" s="1338"/>
      <c r="H183" s="1338"/>
    </row>
    <row r="184" spans="1:8" x14ac:dyDescent="0.2">
      <c r="A184" s="1338"/>
      <c r="B184" s="1338"/>
      <c r="C184" s="1338"/>
      <c r="D184" s="1338"/>
      <c r="E184" s="1338"/>
      <c r="F184" s="1338"/>
      <c r="G184" s="1338"/>
      <c r="H184" s="1338"/>
    </row>
    <row r="185" spans="1:8" x14ac:dyDescent="0.2">
      <c r="A185" s="1338"/>
      <c r="B185" s="1338"/>
      <c r="C185" s="1338"/>
      <c r="D185" s="1338"/>
      <c r="E185" s="1338"/>
      <c r="F185" s="1338"/>
      <c r="G185" s="1338"/>
      <c r="H185" s="1338"/>
    </row>
    <row r="186" spans="1:8" x14ac:dyDescent="0.2">
      <c r="A186" s="1338"/>
      <c r="B186" s="1338"/>
      <c r="C186" s="1338"/>
      <c r="D186" s="1338"/>
      <c r="E186" s="1338"/>
      <c r="F186" s="1338"/>
      <c r="G186" s="1338"/>
      <c r="H186" s="1338"/>
    </row>
    <row r="187" spans="1:8" x14ac:dyDescent="0.2">
      <c r="A187" s="1338"/>
      <c r="B187" s="1338"/>
      <c r="C187" s="1338"/>
      <c r="D187" s="1338"/>
      <c r="E187" s="1338"/>
      <c r="F187" s="1338"/>
      <c r="G187" s="1338"/>
      <c r="H187" s="1338"/>
    </row>
    <row r="188" spans="1:8" x14ac:dyDescent="0.2">
      <c r="A188" s="1338"/>
      <c r="B188" s="1338"/>
      <c r="C188" s="1338"/>
      <c r="D188" s="1338"/>
      <c r="E188" s="1338"/>
      <c r="F188" s="1338"/>
      <c r="G188" s="1338"/>
      <c r="H188" s="1338"/>
    </row>
    <row r="189" spans="1:8" x14ac:dyDescent="0.2">
      <c r="A189" s="1338"/>
      <c r="B189" s="1338"/>
      <c r="C189" s="1338"/>
      <c r="D189" s="1338"/>
      <c r="E189" s="1338"/>
      <c r="F189" s="1338"/>
      <c r="G189" s="1338"/>
      <c r="H189" s="1338"/>
    </row>
    <row r="190" spans="1:8" x14ac:dyDescent="0.2">
      <c r="A190" s="1338"/>
      <c r="B190" s="1338"/>
      <c r="C190" s="1338"/>
      <c r="D190" s="1338"/>
      <c r="E190" s="1338"/>
      <c r="F190" s="1338"/>
      <c r="G190" s="1338"/>
      <c r="H190" s="1338"/>
    </row>
    <row r="191" spans="1:8" x14ac:dyDescent="0.2">
      <c r="A191" s="1338"/>
      <c r="B191" s="1338"/>
      <c r="C191" s="1338"/>
      <c r="D191" s="1338"/>
      <c r="E191" s="1338"/>
      <c r="F191" s="1338"/>
      <c r="G191" s="1338"/>
      <c r="H191" s="1338"/>
    </row>
    <row r="192" spans="1:8" x14ac:dyDescent="0.2">
      <c r="A192" s="1338"/>
      <c r="B192" s="1338"/>
      <c r="C192" s="1338"/>
      <c r="D192" s="1338"/>
      <c r="E192" s="1338"/>
      <c r="F192" s="1338"/>
      <c r="G192" s="1338"/>
      <c r="H192" s="1338"/>
    </row>
    <row r="193" spans="1:8" x14ac:dyDescent="0.2">
      <c r="A193" s="1338"/>
      <c r="B193" s="1338"/>
      <c r="C193" s="1338"/>
      <c r="D193" s="1338"/>
      <c r="E193" s="1338"/>
      <c r="F193" s="1338"/>
      <c r="G193" s="1338"/>
      <c r="H193" s="1338"/>
    </row>
    <row r="194" spans="1:8" x14ac:dyDescent="0.2">
      <c r="A194" s="1338"/>
      <c r="B194" s="1338"/>
      <c r="C194" s="1338"/>
      <c r="D194" s="1338"/>
      <c r="E194" s="1338"/>
      <c r="F194" s="1338"/>
      <c r="G194" s="1338"/>
      <c r="H194" s="1338"/>
    </row>
    <row r="195" spans="1:8" x14ac:dyDescent="0.2">
      <c r="A195" s="1338"/>
      <c r="B195" s="1338"/>
      <c r="C195" s="1338"/>
      <c r="D195" s="1338"/>
      <c r="E195" s="1338"/>
      <c r="F195" s="1338"/>
      <c r="G195" s="1338"/>
      <c r="H195" s="1338"/>
    </row>
    <row r="196" spans="1:8" x14ac:dyDescent="0.2">
      <c r="A196" s="1338"/>
      <c r="B196" s="1338"/>
      <c r="C196" s="1338"/>
      <c r="D196" s="1338"/>
      <c r="E196" s="1338"/>
      <c r="F196" s="1338"/>
      <c r="G196" s="1338"/>
      <c r="H196" s="1338"/>
    </row>
    <row r="197" spans="1:8" x14ac:dyDescent="0.2">
      <c r="A197" s="1338"/>
      <c r="B197" s="1338"/>
      <c r="C197" s="1338"/>
      <c r="D197" s="1338"/>
      <c r="E197" s="1338"/>
      <c r="F197" s="1338"/>
      <c r="G197" s="1338"/>
      <c r="H197" s="1338"/>
    </row>
    <row r="198" spans="1:8" x14ac:dyDescent="0.2">
      <c r="A198" s="1338"/>
      <c r="B198" s="1338"/>
      <c r="C198" s="1338"/>
      <c r="D198" s="1338"/>
      <c r="E198" s="1338"/>
      <c r="F198" s="1338"/>
      <c r="G198" s="1338"/>
      <c r="H198" s="1338"/>
    </row>
    <row r="199" spans="1:8" x14ac:dyDescent="0.2">
      <c r="A199" s="1338"/>
      <c r="B199" s="1338"/>
      <c r="C199" s="1338"/>
      <c r="D199" s="1338"/>
      <c r="E199" s="1338"/>
      <c r="F199" s="1338"/>
      <c r="G199" s="1338"/>
      <c r="H199" s="1338"/>
    </row>
    <row r="200" spans="1:8" x14ac:dyDescent="0.2">
      <c r="A200" s="1338"/>
      <c r="B200" s="1338"/>
      <c r="C200" s="1338"/>
      <c r="D200" s="1338"/>
      <c r="E200" s="1338"/>
      <c r="F200" s="1338"/>
      <c r="G200" s="1338"/>
      <c r="H200" s="1338"/>
    </row>
    <row r="201" spans="1:8" x14ac:dyDescent="0.2">
      <c r="A201" s="1338"/>
      <c r="B201" s="1338"/>
      <c r="C201" s="1338"/>
      <c r="D201" s="1338"/>
      <c r="E201" s="1338"/>
      <c r="F201" s="1338"/>
      <c r="G201" s="1338"/>
      <c r="H201" s="1338"/>
    </row>
    <row r="202" spans="1:8" x14ac:dyDescent="0.2">
      <c r="A202" s="1338"/>
      <c r="B202" s="1338"/>
      <c r="C202" s="1338"/>
      <c r="D202" s="1338"/>
      <c r="E202" s="1338"/>
      <c r="F202" s="1338"/>
      <c r="G202" s="1338"/>
      <c r="H202" s="1338"/>
    </row>
    <row r="203" spans="1:8" ht="15.75" x14ac:dyDescent="0.2">
      <c r="A203" s="1340" t="s">
        <v>769</v>
      </c>
      <c r="B203" s="1338"/>
      <c r="C203" s="1338"/>
      <c r="D203" s="1338"/>
      <c r="E203" s="1338"/>
      <c r="F203" s="1338"/>
      <c r="G203" s="1338"/>
      <c r="H203" s="1338"/>
    </row>
    <row r="204" spans="1:8" x14ac:dyDescent="0.2">
      <c r="A204" s="1338"/>
      <c r="B204" s="1338"/>
      <c r="C204" s="1338"/>
      <c r="D204" s="1338"/>
      <c r="E204" s="1338"/>
      <c r="F204" s="1338"/>
      <c r="G204" s="1338"/>
      <c r="H204" s="1338"/>
    </row>
    <row r="205" spans="1:8" x14ac:dyDescent="0.2">
      <c r="A205" s="1339" t="s">
        <v>930</v>
      </c>
      <c r="B205" s="1338"/>
      <c r="C205" s="1338"/>
      <c r="D205" s="1338"/>
      <c r="E205" s="1338"/>
      <c r="F205" s="1338"/>
      <c r="G205" s="1338"/>
      <c r="H205" s="1338"/>
    </row>
    <row r="206" spans="1:8" x14ac:dyDescent="0.2">
      <c r="A206" s="1339" t="s">
        <v>931</v>
      </c>
      <c r="B206" s="1338"/>
      <c r="C206" s="1338"/>
      <c r="D206" s="1338"/>
      <c r="E206" s="1338"/>
      <c r="F206" s="1338"/>
      <c r="G206" s="1338"/>
      <c r="H206" s="1338"/>
    </row>
    <row r="207" spans="1:8" x14ac:dyDescent="0.2">
      <c r="A207" s="1339" t="s">
        <v>932</v>
      </c>
      <c r="B207" s="1338"/>
      <c r="C207" s="1338"/>
      <c r="D207" s="1338"/>
      <c r="E207" s="1338"/>
      <c r="F207" s="1338"/>
      <c r="G207" s="1338"/>
      <c r="H207" s="1338"/>
    </row>
    <row r="208" spans="1:8" x14ac:dyDescent="0.2">
      <c r="A208" s="1339" t="s">
        <v>933</v>
      </c>
      <c r="B208" s="1338"/>
      <c r="C208" s="1338"/>
      <c r="D208" s="1338"/>
      <c r="E208" s="1338"/>
      <c r="F208" s="1338"/>
      <c r="G208" s="1338"/>
      <c r="H208" s="1338"/>
    </row>
    <row r="209" spans="1:8" x14ac:dyDescent="0.2">
      <c r="A209" s="1339" t="s">
        <v>934</v>
      </c>
      <c r="B209" s="1338"/>
      <c r="C209" s="1338"/>
      <c r="D209" s="1338"/>
      <c r="E209" s="1338"/>
      <c r="F209" s="1338"/>
      <c r="G209" s="1338"/>
      <c r="H209" s="1338"/>
    </row>
    <row r="210" spans="1:8" x14ac:dyDescent="0.2">
      <c r="A210" s="1338"/>
      <c r="B210" s="1338"/>
      <c r="C210" s="1338"/>
      <c r="D210" s="1338"/>
      <c r="E210" s="1338"/>
      <c r="F210" s="1338"/>
      <c r="G210" s="1338"/>
      <c r="H210" s="1338"/>
    </row>
    <row r="211" spans="1:8" x14ac:dyDescent="0.2">
      <c r="A211" s="1339" t="s">
        <v>927</v>
      </c>
      <c r="B211" s="1338"/>
      <c r="C211" s="1338"/>
      <c r="D211" s="1338"/>
      <c r="E211" s="1338"/>
      <c r="F211" s="1338"/>
      <c r="G211" s="1338"/>
      <c r="H211" s="1338"/>
    </row>
    <row r="212" spans="1:8" x14ac:dyDescent="0.2">
      <c r="A212" s="1339" t="s">
        <v>928</v>
      </c>
      <c r="B212" s="1338"/>
      <c r="C212" s="1338"/>
      <c r="D212" s="1338"/>
      <c r="E212" s="1338"/>
      <c r="F212" s="1338"/>
      <c r="G212" s="1338"/>
      <c r="H212" s="1338"/>
    </row>
    <row r="213" spans="1:8" x14ac:dyDescent="0.2">
      <c r="A213" s="1339" t="s">
        <v>929</v>
      </c>
      <c r="B213" s="1338"/>
      <c r="C213" s="1338"/>
      <c r="D213" s="1338"/>
      <c r="E213" s="1338"/>
      <c r="F213" s="1338"/>
      <c r="G213" s="1338"/>
      <c r="H213" s="1338"/>
    </row>
    <row r="214" spans="1:8" ht="15.75" x14ac:dyDescent="0.2">
      <c r="A214" s="1340" t="s">
        <v>770</v>
      </c>
      <c r="B214" s="1338"/>
      <c r="C214" s="1338"/>
      <c r="D214" s="1338"/>
      <c r="E214" s="1338"/>
      <c r="F214" s="1338"/>
      <c r="G214" s="1338"/>
      <c r="H214" s="1338"/>
    </row>
    <row r="215" spans="1:8" x14ac:dyDescent="0.2">
      <c r="A215" s="1338"/>
      <c r="B215" s="1338"/>
      <c r="C215" s="1338"/>
      <c r="D215" s="1338"/>
      <c r="E215" s="1338"/>
      <c r="F215" s="1338"/>
      <c r="G215" s="1338"/>
      <c r="H215" s="1338"/>
    </row>
    <row r="216" spans="1:8" x14ac:dyDescent="0.2">
      <c r="A216" s="1339" t="s">
        <v>925</v>
      </c>
      <c r="B216" s="1338"/>
      <c r="C216" s="1338"/>
      <c r="D216" s="1338"/>
      <c r="E216" s="1338"/>
      <c r="F216" s="1338"/>
      <c r="G216" s="1338"/>
      <c r="H216" s="1338"/>
    </row>
    <row r="217" spans="1:8" x14ac:dyDescent="0.2">
      <c r="A217" s="1339" t="s">
        <v>926</v>
      </c>
      <c r="B217" s="1338"/>
      <c r="C217" s="1338"/>
      <c r="D217" s="1338"/>
      <c r="E217" s="1338"/>
      <c r="F217" s="1338"/>
      <c r="G217" s="1338"/>
      <c r="H217" s="1338"/>
    </row>
    <row r="218" spans="1:8" x14ac:dyDescent="0.2">
      <c r="A218" s="1338"/>
      <c r="B218" s="1338"/>
      <c r="C218" s="1338"/>
      <c r="D218" s="1338"/>
      <c r="E218" s="1338"/>
      <c r="F218" s="1338"/>
      <c r="G218" s="1338"/>
      <c r="H218" s="1338"/>
    </row>
    <row r="219" spans="1:8" x14ac:dyDescent="0.2">
      <c r="A219" s="1339" t="s">
        <v>918</v>
      </c>
      <c r="B219" s="1338"/>
      <c r="C219" s="1338"/>
      <c r="D219" s="1338"/>
      <c r="E219" s="1338"/>
      <c r="F219" s="1338"/>
      <c r="G219" s="1338"/>
      <c r="H219" s="1338"/>
    </row>
    <row r="220" spans="1:8" x14ac:dyDescent="0.2">
      <c r="A220" s="1339" t="s">
        <v>919</v>
      </c>
      <c r="B220" s="1338"/>
      <c r="C220" s="1338"/>
      <c r="D220" s="1338"/>
      <c r="E220" s="1338"/>
      <c r="F220" s="1338"/>
      <c r="G220" s="1338"/>
      <c r="H220" s="1338"/>
    </row>
    <row r="221" spans="1:8" x14ac:dyDescent="0.2">
      <c r="A221" s="1339" t="s">
        <v>920</v>
      </c>
      <c r="B221" s="1338"/>
      <c r="C221" s="1338"/>
      <c r="D221" s="1338"/>
      <c r="E221" s="1338"/>
      <c r="F221" s="1338"/>
      <c r="G221" s="1338"/>
      <c r="H221" s="1338"/>
    </row>
    <row r="222" spans="1:8" x14ac:dyDescent="0.2">
      <c r="A222" s="1339" t="s">
        <v>921</v>
      </c>
      <c r="B222" s="1338"/>
      <c r="C222" s="1338"/>
      <c r="D222" s="1338"/>
      <c r="E222" s="1338"/>
      <c r="F222" s="1338"/>
      <c r="G222" s="1338"/>
      <c r="H222" s="1338"/>
    </row>
    <row r="223" spans="1:8" x14ac:dyDescent="0.2">
      <c r="A223" s="1339" t="s">
        <v>922</v>
      </c>
      <c r="B223" s="1338"/>
      <c r="C223" s="1338"/>
      <c r="D223" s="1338"/>
      <c r="E223" s="1338"/>
      <c r="F223" s="1338"/>
      <c r="G223" s="1338"/>
      <c r="H223" s="1338"/>
    </row>
    <row r="224" spans="1:8" x14ac:dyDescent="0.2">
      <c r="A224" s="1339" t="s">
        <v>923</v>
      </c>
      <c r="B224" s="1338"/>
      <c r="C224" s="1338"/>
      <c r="D224" s="1338"/>
      <c r="E224" s="1338"/>
      <c r="F224" s="1338"/>
      <c r="G224" s="1338"/>
      <c r="H224" s="1338"/>
    </row>
    <row r="225" spans="1:8" x14ac:dyDescent="0.2">
      <c r="A225" s="1339" t="s">
        <v>924</v>
      </c>
      <c r="B225" s="1338"/>
      <c r="C225" s="1338"/>
      <c r="D225" s="1338"/>
      <c r="E225" s="1338"/>
      <c r="F225" s="1338"/>
      <c r="G225" s="1338"/>
      <c r="H225" s="1338"/>
    </row>
    <row r="226" spans="1:8" x14ac:dyDescent="0.2">
      <c r="A226" s="1338"/>
      <c r="B226" s="1338"/>
      <c r="C226" s="1338"/>
      <c r="D226" s="1338"/>
      <c r="E226" s="1338"/>
      <c r="F226" s="1338"/>
      <c r="G226" s="1338"/>
      <c r="H226" s="1338"/>
    </row>
    <row r="227" spans="1:8" x14ac:dyDescent="0.2">
      <c r="A227" s="1339" t="s">
        <v>915</v>
      </c>
      <c r="B227" s="1338"/>
      <c r="C227" s="1338"/>
      <c r="D227" s="1338"/>
      <c r="E227" s="1338"/>
      <c r="F227" s="1338"/>
      <c r="G227" s="1338"/>
      <c r="H227" s="1338"/>
    </row>
    <row r="228" spans="1:8" x14ac:dyDescent="0.2">
      <c r="A228" s="1339" t="s">
        <v>916</v>
      </c>
      <c r="B228" s="1338"/>
      <c r="C228" s="1338"/>
      <c r="D228" s="1338"/>
      <c r="E228" s="1338"/>
      <c r="F228" s="1338"/>
      <c r="G228" s="1338"/>
      <c r="H228" s="1338"/>
    </row>
    <row r="229" spans="1:8" x14ac:dyDescent="0.2">
      <c r="A229" s="1339" t="s">
        <v>917</v>
      </c>
      <c r="B229" s="1338"/>
      <c r="C229" s="1338"/>
      <c r="D229" s="1338"/>
      <c r="E229" s="1338"/>
      <c r="F229" s="1338"/>
      <c r="G229" s="1338"/>
      <c r="H229" s="1338"/>
    </row>
    <row r="230" spans="1:8" x14ac:dyDescent="0.2">
      <c r="A230" s="1338"/>
      <c r="B230" s="1338"/>
      <c r="C230" s="1338"/>
      <c r="D230" s="1338"/>
      <c r="E230" s="1338"/>
      <c r="F230" s="1338"/>
      <c r="G230" s="1338"/>
      <c r="H230" s="1338"/>
    </row>
    <row r="231" spans="1:8" x14ac:dyDescent="0.2">
      <c r="A231" s="1339" t="s">
        <v>910</v>
      </c>
      <c r="B231" s="1338"/>
      <c r="C231" s="1338"/>
      <c r="D231" s="1338"/>
      <c r="E231" s="1338"/>
      <c r="F231" s="1338"/>
      <c r="G231" s="1338"/>
      <c r="H231" s="1338"/>
    </row>
    <row r="232" spans="1:8" x14ac:dyDescent="0.2">
      <c r="A232" s="1339" t="s">
        <v>911</v>
      </c>
      <c r="B232" s="1338"/>
      <c r="C232" s="1338"/>
      <c r="D232" s="1338"/>
      <c r="E232" s="1338"/>
      <c r="F232" s="1338"/>
      <c r="G232" s="1338"/>
      <c r="H232" s="1338"/>
    </row>
    <row r="233" spans="1:8" x14ac:dyDescent="0.2">
      <c r="A233" s="1339" t="s">
        <v>912</v>
      </c>
      <c r="B233" s="1338"/>
      <c r="C233" s="1338"/>
      <c r="D233" s="1338"/>
      <c r="E233" s="1338"/>
      <c r="F233" s="1338"/>
      <c r="G233" s="1338"/>
      <c r="H233" s="1338"/>
    </row>
    <row r="234" spans="1:8" x14ac:dyDescent="0.2">
      <c r="A234" s="1339" t="s">
        <v>913</v>
      </c>
      <c r="B234" s="1338"/>
      <c r="C234" s="1338"/>
      <c r="D234" s="1338"/>
      <c r="E234" s="1338"/>
      <c r="F234" s="1338"/>
      <c r="G234" s="1338"/>
      <c r="H234" s="1338"/>
    </row>
    <row r="235" spans="1:8" x14ac:dyDescent="0.2">
      <c r="A235" s="1339" t="s">
        <v>914</v>
      </c>
      <c r="B235" s="1338"/>
      <c r="C235" s="1338"/>
      <c r="D235" s="1338"/>
      <c r="E235" s="1338"/>
      <c r="F235" s="1338"/>
      <c r="G235" s="1338"/>
      <c r="H235" s="1338"/>
    </row>
    <row r="236" spans="1:8" x14ac:dyDescent="0.2">
      <c r="A236" s="1338"/>
      <c r="B236" s="1338"/>
      <c r="C236" s="1338"/>
      <c r="D236" s="1338"/>
      <c r="E236" s="1338"/>
      <c r="F236" s="1338"/>
      <c r="G236" s="1338"/>
      <c r="H236" s="1338"/>
    </row>
    <row r="237" spans="1:8" x14ac:dyDescent="0.2">
      <c r="A237" s="1339" t="s">
        <v>904</v>
      </c>
      <c r="B237" s="1338"/>
      <c r="C237" s="1338"/>
      <c r="D237" s="1338"/>
      <c r="E237" s="1338"/>
      <c r="F237" s="1338"/>
      <c r="G237" s="1338"/>
      <c r="H237" s="1338"/>
    </row>
    <row r="238" spans="1:8" x14ac:dyDescent="0.2">
      <c r="A238" s="1339" t="s">
        <v>905</v>
      </c>
      <c r="B238" s="1338"/>
      <c r="C238" s="1338"/>
      <c r="D238" s="1338"/>
      <c r="E238" s="1338"/>
      <c r="F238" s="1338"/>
      <c r="G238" s="1338"/>
      <c r="H238" s="1338"/>
    </row>
    <row r="239" spans="1:8" x14ac:dyDescent="0.2">
      <c r="A239" s="1339" t="s">
        <v>906</v>
      </c>
      <c r="B239" s="1338"/>
      <c r="C239" s="1338"/>
      <c r="D239" s="1338"/>
      <c r="E239" s="1338"/>
      <c r="F239" s="1338"/>
      <c r="G239" s="1338"/>
      <c r="H239" s="1338"/>
    </row>
    <row r="240" spans="1:8" x14ac:dyDescent="0.2">
      <c r="A240" s="1339" t="s">
        <v>907</v>
      </c>
      <c r="B240" s="1338"/>
      <c r="C240" s="1338"/>
      <c r="D240" s="1338"/>
      <c r="E240" s="1338"/>
      <c r="F240" s="1338"/>
      <c r="G240" s="1338"/>
      <c r="H240" s="1338"/>
    </row>
    <row r="241" spans="1:8" x14ac:dyDescent="0.2">
      <c r="A241" s="1339" t="s">
        <v>908</v>
      </c>
      <c r="B241" s="1338"/>
      <c r="C241" s="1338"/>
      <c r="D241" s="1338"/>
      <c r="E241" s="1338"/>
      <c r="F241" s="1338"/>
      <c r="G241" s="1338"/>
      <c r="H241" s="1338"/>
    </row>
    <row r="242" spans="1:8" x14ac:dyDescent="0.2">
      <c r="A242" s="1339" t="s">
        <v>909</v>
      </c>
      <c r="B242" s="1338"/>
      <c r="C242" s="1338"/>
      <c r="D242" s="1338"/>
      <c r="E242" s="1338"/>
      <c r="F242" s="1338"/>
      <c r="G242" s="1338"/>
      <c r="H242" s="1338"/>
    </row>
    <row r="243" spans="1:8" x14ac:dyDescent="0.2">
      <c r="A243" s="1338"/>
      <c r="B243" s="1338"/>
      <c r="C243" s="1338"/>
      <c r="D243" s="1338"/>
      <c r="E243" s="1338"/>
      <c r="F243" s="1338"/>
      <c r="G243" s="1338"/>
      <c r="H243" s="1338"/>
    </row>
    <row r="244" spans="1:8" x14ac:dyDescent="0.2">
      <c r="A244" s="1339" t="s">
        <v>894</v>
      </c>
      <c r="B244" s="1338"/>
      <c r="C244" s="1338"/>
      <c r="D244" s="1338"/>
      <c r="E244" s="1338"/>
      <c r="F244" s="1338"/>
      <c r="G244" s="1338"/>
      <c r="H244" s="1338"/>
    </row>
    <row r="245" spans="1:8" x14ac:dyDescent="0.2">
      <c r="A245" s="1339" t="s">
        <v>895</v>
      </c>
      <c r="B245" s="1338"/>
      <c r="C245" s="1338"/>
      <c r="D245" s="1338"/>
      <c r="E245" s="1338"/>
      <c r="F245" s="1338"/>
      <c r="G245" s="1338"/>
      <c r="H245" s="1338"/>
    </row>
    <row r="246" spans="1:8" x14ac:dyDescent="0.2">
      <c r="A246" s="1339" t="s">
        <v>896</v>
      </c>
      <c r="B246" s="1338"/>
      <c r="C246" s="1338"/>
      <c r="D246" s="1338"/>
      <c r="E246" s="1338"/>
      <c r="F246" s="1338"/>
      <c r="G246" s="1338"/>
      <c r="H246" s="1338"/>
    </row>
    <row r="247" spans="1:8" x14ac:dyDescent="0.2">
      <c r="A247" s="1339" t="s">
        <v>897</v>
      </c>
      <c r="B247" s="1338"/>
      <c r="C247" s="1338"/>
      <c r="D247" s="1338"/>
      <c r="E247" s="1338"/>
      <c r="F247" s="1338"/>
      <c r="G247" s="1338"/>
      <c r="H247" s="1338"/>
    </row>
    <row r="248" spans="1:8" x14ac:dyDescent="0.2">
      <c r="A248" s="1339" t="s">
        <v>898</v>
      </c>
      <c r="B248" s="1338"/>
      <c r="C248" s="1338"/>
      <c r="D248" s="1338"/>
      <c r="E248" s="1338"/>
      <c r="F248" s="1338"/>
      <c r="G248" s="1338"/>
      <c r="H248" s="1338"/>
    </row>
    <row r="249" spans="1:8" x14ac:dyDescent="0.2">
      <c r="A249" s="1339" t="s">
        <v>899</v>
      </c>
      <c r="B249" s="1338"/>
      <c r="C249" s="1338"/>
      <c r="D249" s="1338"/>
      <c r="E249" s="1338"/>
      <c r="F249" s="1338"/>
      <c r="G249" s="1338"/>
      <c r="H249" s="1338"/>
    </row>
    <row r="250" spans="1:8" x14ac:dyDescent="0.2">
      <c r="A250" s="1339" t="s">
        <v>900</v>
      </c>
      <c r="B250" s="1338"/>
      <c r="C250" s="1338"/>
      <c r="D250" s="1338"/>
      <c r="E250" s="1338"/>
      <c r="F250" s="1338"/>
      <c r="G250" s="1338"/>
      <c r="H250" s="1338"/>
    </row>
    <row r="251" spans="1:8" x14ac:dyDescent="0.2">
      <c r="A251" s="1339" t="s">
        <v>901</v>
      </c>
      <c r="B251" s="1338"/>
      <c r="C251" s="1338"/>
      <c r="D251" s="1338"/>
      <c r="E251" s="1338"/>
      <c r="F251" s="1338"/>
      <c r="G251" s="1338"/>
      <c r="H251" s="1338"/>
    </row>
    <row r="252" spans="1:8" x14ac:dyDescent="0.2">
      <c r="A252" s="1339" t="s">
        <v>902</v>
      </c>
      <c r="B252" s="1338"/>
      <c r="C252" s="1338"/>
      <c r="D252" s="1338"/>
      <c r="E252" s="1338"/>
      <c r="F252" s="1338"/>
      <c r="G252" s="1338"/>
      <c r="H252" s="1338"/>
    </row>
    <row r="253" spans="1:8" x14ac:dyDescent="0.2">
      <c r="A253" s="1339" t="s">
        <v>903</v>
      </c>
      <c r="B253" s="1338"/>
      <c r="C253" s="1338"/>
      <c r="D253" s="1338"/>
      <c r="E253" s="1338"/>
      <c r="F253" s="1338"/>
      <c r="G253" s="1338"/>
      <c r="H253" s="1338"/>
    </row>
    <row r="254" spans="1:8" x14ac:dyDescent="0.2">
      <c r="A254" s="1338"/>
      <c r="B254" s="1338"/>
      <c r="C254" s="1338"/>
      <c r="D254" s="1338"/>
      <c r="E254" s="1338"/>
      <c r="F254" s="1338"/>
      <c r="G254" s="1338"/>
      <c r="H254" s="1338"/>
    </row>
    <row r="255" spans="1:8" x14ac:dyDescent="0.2">
      <c r="A255" s="1339" t="s">
        <v>892</v>
      </c>
      <c r="B255" s="1338"/>
      <c r="C255" s="1338"/>
      <c r="D255" s="1338"/>
      <c r="E255" s="1338"/>
      <c r="F255" s="1338"/>
      <c r="G255" s="1338"/>
      <c r="H255" s="1338"/>
    </row>
    <row r="256" spans="1:8" x14ac:dyDescent="0.2">
      <c r="A256" s="1339" t="s">
        <v>893</v>
      </c>
      <c r="B256" s="1338"/>
      <c r="C256" s="1338"/>
      <c r="D256" s="1338"/>
      <c r="E256" s="1338"/>
      <c r="F256" s="1338"/>
      <c r="G256" s="1338"/>
      <c r="H256" s="1338"/>
    </row>
    <row r="257" spans="1:8" x14ac:dyDescent="0.2">
      <c r="A257" s="1338"/>
      <c r="B257" s="1338"/>
      <c r="C257" s="1338"/>
      <c r="D257" s="1338"/>
      <c r="E257" s="1338"/>
      <c r="F257" s="1338"/>
      <c r="G257" s="1338"/>
      <c r="H257" s="1338"/>
    </row>
    <row r="258" spans="1:8" x14ac:dyDescent="0.2">
      <c r="A258" s="1339" t="s">
        <v>876</v>
      </c>
      <c r="B258" s="1338"/>
      <c r="C258" s="1338"/>
      <c r="D258" s="1338"/>
      <c r="E258" s="1338"/>
      <c r="F258" s="1338"/>
      <c r="G258" s="1338"/>
      <c r="H258" s="1338"/>
    </row>
    <row r="259" spans="1:8" x14ac:dyDescent="0.2">
      <c r="A259" s="1339" t="s">
        <v>877</v>
      </c>
      <c r="B259" s="1338"/>
      <c r="C259" s="1338"/>
      <c r="D259" s="1338"/>
      <c r="E259" s="1338"/>
      <c r="F259" s="1338"/>
      <c r="G259" s="1338"/>
      <c r="H259" s="1338"/>
    </row>
    <row r="260" spans="1:8" x14ac:dyDescent="0.2">
      <c r="A260" s="1339" t="s">
        <v>878</v>
      </c>
      <c r="B260" s="1338"/>
      <c r="C260" s="1338"/>
      <c r="D260" s="1338"/>
      <c r="E260" s="1338"/>
      <c r="F260" s="1338"/>
      <c r="G260" s="1338"/>
      <c r="H260" s="1338"/>
    </row>
    <row r="261" spans="1:8" x14ac:dyDescent="0.2">
      <c r="A261" s="1339" t="s">
        <v>879</v>
      </c>
      <c r="B261" s="1338"/>
      <c r="C261" s="1338"/>
      <c r="D261" s="1338"/>
      <c r="E261" s="1338"/>
      <c r="F261" s="1338"/>
      <c r="G261" s="1338"/>
      <c r="H261" s="1338"/>
    </row>
    <row r="262" spans="1:8" x14ac:dyDescent="0.2">
      <c r="A262" s="1339" t="s">
        <v>880</v>
      </c>
      <c r="B262" s="1338"/>
      <c r="C262" s="1338"/>
      <c r="D262" s="1338"/>
      <c r="E262" s="1338"/>
      <c r="F262" s="1338"/>
      <c r="G262" s="1338"/>
      <c r="H262" s="1338"/>
    </row>
    <row r="263" spans="1:8" x14ac:dyDescent="0.2">
      <c r="A263" s="1339" t="s">
        <v>881</v>
      </c>
      <c r="B263" s="1338"/>
      <c r="C263" s="1338"/>
      <c r="D263" s="1338"/>
      <c r="E263" s="1338"/>
      <c r="F263" s="1338"/>
      <c r="G263" s="1338"/>
      <c r="H263" s="1338"/>
    </row>
    <row r="264" spans="1:8" x14ac:dyDescent="0.2">
      <c r="A264" s="1339" t="s">
        <v>882</v>
      </c>
      <c r="B264" s="1338"/>
      <c r="C264" s="1338"/>
      <c r="D264" s="1338"/>
      <c r="E264" s="1338"/>
      <c r="F264" s="1338"/>
      <c r="G264" s="1338"/>
      <c r="H264" s="1338"/>
    </row>
    <row r="265" spans="1:8" x14ac:dyDescent="0.2">
      <c r="A265" s="1339" t="s">
        <v>883</v>
      </c>
      <c r="B265" s="1338"/>
      <c r="C265" s="1338"/>
      <c r="D265" s="1338"/>
      <c r="E265" s="1338"/>
      <c r="F265" s="1338"/>
      <c r="G265" s="1338"/>
      <c r="H265" s="1338"/>
    </row>
    <row r="266" spans="1:8" x14ac:dyDescent="0.2">
      <c r="A266" s="1339" t="s">
        <v>884</v>
      </c>
      <c r="B266" s="1338"/>
      <c r="C266" s="1338"/>
      <c r="D266" s="1338"/>
      <c r="E266" s="1338"/>
      <c r="F266" s="1338"/>
      <c r="G266" s="1338"/>
      <c r="H266" s="1338"/>
    </row>
    <row r="267" spans="1:8" x14ac:dyDescent="0.2">
      <c r="A267" s="1339" t="s">
        <v>885</v>
      </c>
      <c r="B267" s="1338"/>
      <c r="C267" s="1338"/>
      <c r="D267" s="1338"/>
      <c r="E267" s="1338"/>
      <c r="F267" s="1338"/>
      <c r="G267" s="1338"/>
      <c r="H267" s="1338"/>
    </row>
    <row r="268" spans="1:8" x14ac:dyDescent="0.2">
      <c r="A268" s="1339" t="s">
        <v>886</v>
      </c>
      <c r="B268" s="1338"/>
      <c r="C268" s="1338"/>
      <c r="D268" s="1338"/>
      <c r="E268" s="1338"/>
      <c r="F268" s="1338"/>
      <c r="G268" s="1338"/>
      <c r="H268" s="1338"/>
    </row>
    <row r="269" spans="1:8" x14ac:dyDescent="0.2">
      <c r="A269" s="1339" t="s">
        <v>887</v>
      </c>
      <c r="B269" s="1338"/>
      <c r="C269" s="1338"/>
      <c r="D269" s="1338"/>
      <c r="E269" s="1338"/>
      <c r="F269" s="1338"/>
      <c r="G269" s="1338"/>
      <c r="H269" s="1338"/>
    </row>
    <row r="270" spans="1:8" x14ac:dyDescent="0.2">
      <c r="A270" s="1339" t="s">
        <v>888</v>
      </c>
      <c r="B270" s="1338"/>
      <c r="C270" s="1338"/>
      <c r="D270" s="1338"/>
      <c r="E270" s="1338"/>
      <c r="F270" s="1338"/>
      <c r="G270" s="1338"/>
      <c r="H270" s="1338"/>
    </row>
    <row r="271" spans="1:8" x14ac:dyDescent="0.2">
      <c r="A271" s="1339" t="s">
        <v>889</v>
      </c>
      <c r="B271" s="1338"/>
      <c r="C271" s="1338"/>
      <c r="D271" s="1338"/>
      <c r="E271" s="1338"/>
      <c r="F271" s="1338"/>
      <c r="G271" s="1338"/>
      <c r="H271" s="1338"/>
    </row>
    <row r="272" spans="1:8" x14ac:dyDescent="0.2">
      <c r="A272" s="1339" t="s">
        <v>890</v>
      </c>
      <c r="B272" s="1338"/>
      <c r="C272" s="1338"/>
      <c r="D272" s="1338"/>
      <c r="E272" s="1338"/>
      <c r="F272" s="1338"/>
      <c r="G272" s="1338"/>
      <c r="H272" s="1338"/>
    </row>
    <row r="273" spans="1:8" x14ac:dyDescent="0.2">
      <c r="A273" s="1339" t="s">
        <v>891</v>
      </c>
      <c r="B273" s="1338"/>
      <c r="C273" s="1338"/>
      <c r="D273" s="1338"/>
      <c r="E273" s="1338"/>
      <c r="F273" s="1338"/>
      <c r="G273" s="1338"/>
      <c r="H273" s="1338"/>
    </row>
    <row r="274" spans="1:8" x14ac:dyDescent="0.2">
      <c r="A274" s="1338"/>
      <c r="B274" s="1338"/>
      <c r="C274" s="1338"/>
      <c r="D274" s="1338"/>
      <c r="E274" s="1338"/>
      <c r="F274" s="1338"/>
      <c r="G274" s="1338"/>
      <c r="H274" s="1338"/>
    </row>
    <row r="275" spans="1:8" x14ac:dyDescent="0.2">
      <c r="A275" s="1339" t="s">
        <v>869</v>
      </c>
      <c r="B275" s="1338"/>
      <c r="C275" s="1338"/>
      <c r="D275" s="1338"/>
      <c r="E275" s="1338"/>
      <c r="F275" s="1338"/>
      <c r="G275" s="1338"/>
      <c r="H275" s="1338"/>
    </row>
    <row r="276" spans="1:8" x14ac:dyDescent="0.2">
      <c r="A276" s="1339" t="s">
        <v>870</v>
      </c>
      <c r="B276" s="1338"/>
      <c r="C276" s="1338"/>
      <c r="D276" s="1338"/>
      <c r="E276" s="1338"/>
      <c r="F276" s="1338"/>
      <c r="G276" s="1338"/>
      <c r="H276" s="1338"/>
    </row>
    <row r="277" spans="1:8" x14ac:dyDescent="0.2">
      <c r="A277" s="1339" t="s">
        <v>871</v>
      </c>
      <c r="B277" s="1338"/>
      <c r="C277" s="1338"/>
      <c r="D277" s="1338"/>
      <c r="E277" s="1338"/>
      <c r="F277" s="1338"/>
      <c r="G277" s="1338"/>
      <c r="H277" s="1338"/>
    </row>
    <row r="278" spans="1:8" x14ac:dyDescent="0.2">
      <c r="A278" s="1339" t="s">
        <v>872</v>
      </c>
      <c r="B278" s="1338"/>
      <c r="C278" s="1338"/>
      <c r="D278" s="1338"/>
      <c r="E278" s="1338"/>
      <c r="F278" s="1338"/>
      <c r="G278" s="1338"/>
      <c r="H278" s="1338"/>
    </row>
    <row r="279" spans="1:8" x14ac:dyDescent="0.2">
      <c r="A279" s="1339" t="s">
        <v>873</v>
      </c>
      <c r="B279" s="1338"/>
      <c r="C279" s="1338"/>
      <c r="D279" s="1338"/>
      <c r="E279" s="1338"/>
      <c r="F279" s="1338"/>
      <c r="G279" s="1338"/>
      <c r="H279" s="1338"/>
    </row>
    <row r="280" spans="1:8" x14ac:dyDescent="0.2">
      <c r="A280" s="1339" t="s">
        <v>874</v>
      </c>
      <c r="B280" s="1338"/>
      <c r="C280" s="1338"/>
      <c r="D280" s="1338"/>
      <c r="E280" s="1338"/>
      <c r="F280" s="1338"/>
      <c r="G280" s="1338"/>
      <c r="H280" s="1338"/>
    </row>
    <row r="281" spans="1:8" x14ac:dyDescent="0.2">
      <c r="A281" s="1339" t="s">
        <v>875</v>
      </c>
      <c r="B281" s="1338"/>
      <c r="C281" s="1338"/>
      <c r="D281" s="1338"/>
      <c r="E281" s="1338"/>
      <c r="F281" s="1338"/>
      <c r="G281" s="1338"/>
      <c r="H281" s="1338"/>
    </row>
    <row r="282" spans="1:8" x14ac:dyDescent="0.2">
      <c r="A282" s="1338"/>
      <c r="B282" s="1338"/>
      <c r="C282" s="1338"/>
      <c r="D282" s="1338"/>
      <c r="E282" s="1338"/>
      <c r="F282" s="1338"/>
      <c r="G282" s="1338"/>
      <c r="H282" s="1338"/>
    </row>
    <row r="283" spans="1:8" x14ac:dyDescent="0.2">
      <c r="A283" s="1339" t="s">
        <v>860</v>
      </c>
      <c r="B283" s="1338"/>
      <c r="C283" s="1338"/>
      <c r="D283" s="1338"/>
      <c r="E283" s="1338"/>
      <c r="F283" s="1338"/>
      <c r="G283" s="1338"/>
      <c r="H283" s="1338"/>
    </row>
    <row r="284" spans="1:8" x14ac:dyDescent="0.2">
      <c r="A284" s="1339" t="s">
        <v>861</v>
      </c>
      <c r="B284" s="1338"/>
      <c r="C284" s="1338"/>
      <c r="D284" s="1338"/>
      <c r="E284" s="1338"/>
      <c r="F284" s="1338"/>
      <c r="G284" s="1338"/>
      <c r="H284" s="1338"/>
    </row>
    <row r="285" spans="1:8" x14ac:dyDescent="0.2">
      <c r="A285" s="1339" t="s">
        <v>862</v>
      </c>
      <c r="B285" s="1338"/>
      <c r="C285" s="1338"/>
      <c r="D285" s="1338"/>
      <c r="E285" s="1338"/>
      <c r="F285" s="1338"/>
      <c r="G285" s="1338"/>
      <c r="H285" s="1338"/>
    </row>
    <row r="286" spans="1:8" x14ac:dyDescent="0.2">
      <c r="A286" s="1339" t="s">
        <v>863</v>
      </c>
      <c r="B286" s="1338"/>
      <c r="C286" s="1338"/>
      <c r="D286" s="1338"/>
      <c r="E286" s="1338"/>
      <c r="F286" s="1338"/>
      <c r="G286" s="1338"/>
      <c r="H286" s="1338"/>
    </row>
    <row r="287" spans="1:8" x14ac:dyDescent="0.2">
      <c r="A287" s="1339" t="s">
        <v>864</v>
      </c>
      <c r="B287" s="1338"/>
      <c r="C287" s="1338"/>
      <c r="D287" s="1338"/>
      <c r="E287" s="1338"/>
      <c r="F287" s="1338"/>
      <c r="G287" s="1338"/>
      <c r="H287" s="1338"/>
    </row>
    <row r="288" spans="1:8" x14ac:dyDescent="0.2">
      <c r="A288" s="1339" t="s">
        <v>865</v>
      </c>
      <c r="B288" s="1338"/>
      <c r="C288" s="1338"/>
      <c r="D288" s="1338"/>
      <c r="E288" s="1338"/>
      <c r="F288" s="1338"/>
      <c r="G288" s="1338"/>
      <c r="H288" s="1338"/>
    </row>
    <row r="289" spans="1:8" x14ac:dyDescent="0.2">
      <c r="A289" s="1339" t="s">
        <v>866</v>
      </c>
      <c r="B289" s="1338"/>
      <c r="C289" s="1338"/>
      <c r="D289" s="1338"/>
      <c r="E289" s="1338"/>
      <c r="F289" s="1338"/>
      <c r="G289" s="1338"/>
      <c r="H289" s="1338"/>
    </row>
    <row r="290" spans="1:8" x14ac:dyDescent="0.2">
      <c r="A290" s="1339" t="s">
        <v>867</v>
      </c>
      <c r="B290" s="1338"/>
      <c r="C290" s="1338"/>
      <c r="D290" s="1338"/>
      <c r="E290" s="1338"/>
      <c r="F290" s="1338"/>
      <c r="G290" s="1338"/>
      <c r="H290" s="1338"/>
    </row>
    <row r="291" spans="1:8" x14ac:dyDescent="0.2">
      <c r="A291" s="1339" t="s">
        <v>868</v>
      </c>
      <c r="B291" s="1338"/>
      <c r="C291" s="1338"/>
      <c r="D291" s="1338"/>
      <c r="E291" s="1338"/>
      <c r="F291" s="1338"/>
      <c r="G291" s="1338"/>
      <c r="H291" s="1338"/>
    </row>
    <row r="292" spans="1:8" x14ac:dyDescent="0.2">
      <c r="A292" s="1338"/>
      <c r="B292" s="1338"/>
      <c r="C292" s="1338"/>
      <c r="D292" s="1338"/>
      <c r="E292" s="1338"/>
      <c r="F292" s="1338"/>
      <c r="G292" s="1338"/>
      <c r="H292" s="1338"/>
    </row>
    <row r="293" spans="1:8" x14ac:dyDescent="0.2">
      <c r="A293" s="1339" t="s">
        <v>853</v>
      </c>
      <c r="B293" s="1338"/>
      <c r="C293" s="1338"/>
      <c r="D293" s="1338"/>
      <c r="E293" s="1338"/>
      <c r="F293" s="1338"/>
      <c r="G293" s="1338"/>
      <c r="H293" s="1338"/>
    </row>
    <row r="294" spans="1:8" x14ac:dyDescent="0.2">
      <c r="A294" s="1339" t="s">
        <v>854</v>
      </c>
      <c r="B294" s="1338"/>
      <c r="C294" s="1338"/>
      <c r="D294" s="1338"/>
      <c r="E294" s="1338"/>
      <c r="F294" s="1338"/>
      <c r="G294" s="1338"/>
      <c r="H294" s="1338"/>
    </row>
    <row r="295" spans="1:8" x14ac:dyDescent="0.2">
      <c r="A295" s="1339" t="s">
        <v>855</v>
      </c>
      <c r="B295" s="1338"/>
      <c r="C295" s="1338"/>
      <c r="D295" s="1338"/>
      <c r="E295" s="1338"/>
      <c r="F295" s="1338"/>
      <c r="G295" s="1338"/>
      <c r="H295" s="1338"/>
    </row>
    <row r="296" spans="1:8" x14ac:dyDescent="0.2">
      <c r="A296" s="1339" t="s">
        <v>856</v>
      </c>
      <c r="B296" s="1338"/>
      <c r="C296" s="1338"/>
      <c r="D296" s="1338"/>
      <c r="E296" s="1338"/>
      <c r="F296" s="1338"/>
      <c r="G296" s="1338"/>
      <c r="H296" s="1338"/>
    </row>
    <row r="297" spans="1:8" x14ac:dyDescent="0.2">
      <c r="A297" s="1339" t="s">
        <v>857</v>
      </c>
      <c r="B297" s="1338"/>
      <c r="C297" s="1338"/>
      <c r="D297" s="1338"/>
      <c r="E297" s="1338"/>
      <c r="F297" s="1338"/>
      <c r="G297" s="1338"/>
      <c r="H297" s="1338"/>
    </row>
    <row r="298" spans="1:8" x14ac:dyDescent="0.2">
      <c r="A298" s="1339" t="s">
        <v>858</v>
      </c>
      <c r="B298" s="1338"/>
      <c r="C298" s="1338"/>
      <c r="D298" s="1338"/>
      <c r="E298" s="1338"/>
      <c r="F298" s="1338"/>
      <c r="G298" s="1338"/>
      <c r="H298" s="1338"/>
    </row>
    <row r="299" spans="1:8" x14ac:dyDescent="0.2">
      <c r="A299" s="1339" t="s">
        <v>859</v>
      </c>
      <c r="B299" s="1338"/>
      <c r="C299" s="1338"/>
      <c r="D299" s="1338"/>
      <c r="E299" s="1338"/>
      <c r="F299" s="1338"/>
      <c r="G299" s="1338"/>
      <c r="H299" s="1338"/>
    </row>
    <row r="300" spans="1:8" x14ac:dyDescent="0.2">
      <c r="A300" s="1338"/>
      <c r="B300" s="1338"/>
      <c r="C300" s="1338"/>
      <c r="D300" s="1338"/>
      <c r="E300" s="1338"/>
      <c r="F300" s="1338"/>
      <c r="G300" s="1338"/>
      <c r="H300" s="1338"/>
    </row>
    <row r="301" spans="1:8" x14ac:dyDescent="0.2">
      <c r="A301" s="1339" t="s">
        <v>850</v>
      </c>
      <c r="B301" s="1338"/>
      <c r="C301" s="1338"/>
      <c r="D301" s="1338"/>
      <c r="E301" s="1338"/>
      <c r="F301" s="1338"/>
      <c r="G301" s="1338"/>
      <c r="H301" s="1338"/>
    </row>
    <row r="302" spans="1:8" x14ac:dyDescent="0.2">
      <c r="A302" s="1339" t="s">
        <v>851</v>
      </c>
      <c r="B302" s="1338"/>
      <c r="C302" s="1338"/>
      <c r="D302" s="1338"/>
      <c r="E302" s="1338"/>
      <c r="F302" s="1338"/>
      <c r="G302" s="1338"/>
      <c r="H302" s="1338"/>
    </row>
    <row r="303" spans="1:8" x14ac:dyDescent="0.2">
      <c r="A303" s="1339" t="s">
        <v>852</v>
      </c>
      <c r="B303" s="1338"/>
      <c r="C303" s="1338"/>
      <c r="D303" s="1338"/>
      <c r="E303" s="1338"/>
      <c r="F303" s="1338"/>
      <c r="G303" s="1338"/>
      <c r="H303" s="1338"/>
    </row>
    <row r="304" spans="1:8" x14ac:dyDescent="0.2">
      <c r="A304" s="1338"/>
      <c r="B304" s="1338"/>
      <c r="C304" s="1338"/>
      <c r="D304" s="1338"/>
      <c r="E304" s="1338"/>
      <c r="F304" s="1338"/>
      <c r="G304" s="1338"/>
      <c r="H304" s="1338"/>
    </row>
    <row r="305" spans="1:8" x14ac:dyDescent="0.2">
      <c r="A305" s="1339" t="s">
        <v>848</v>
      </c>
      <c r="B305" s="1338"/>
      <c r="C305" s="1338"/>
      <c r="D305" s="1338"/>
      <c r="E305" s="1338"/>
      <c r="F305" s="1338"/>
      <c r="G305" s="1338"/>
      <c r="H305" s="1338"/>
    </row>
    <row r="306" spans="1:8" x14ac:dyDescent="0.2">
      <c r="A306" s="1339" t="s">
        <v>849</v>
      </c>
      <c r="B306" s="1338"/>
      <c r="C306" s="1338"/>
      <c r="D306" s="1338"/>
      <c r="E306" s="1338"/>
      <c r="F306" s="1338"/>
      <c r="G306" s="1338"/>
      <c r="H306" s="1338"/>
    </row>
    <row r="307" spans="1:8" x14ac:dyDescent="0.2">
      <c r="A307" s="1338"/>
      <c r="B307" s="1338"/>
      <c r="C307" s="1338"/>
      <c r="D307" s="1338"/>
      <c r="E307" s="1338"/>
      <c r="F307" s="1338"/>
      <c r="G307" s="1338"/>
      <c r="H307" s="1338"/>
    </row>
    <row r="308" spans="1:8" x14ac:dyDescent="0.2">
      <c r="A308" s="1339" t="s">
        <v>835</v>
      </c>
      <c r="B308" s="1338"/>
      <c r="C308" s="1338"/>
      <c r="D308" s="1338"/>
      <c r="E308" s="1338"/>
      <c r="F308" s="1338"/>
      <c r="G308" s="1338"/>
      <c r="H308" s="1338"/>
    </row>
    <row r="309" spans="1:8" x14ac:dyDescent="0.2">
      <c r="A309" s="1339" t="s">
        <v>836</v>
      </c>
      <c r="B309" s="1338"/>
      <c r="C309" s="1338"/>
      <c r="D309" s="1338"/>
      <c r="E309" s="1338"/>
      <c r="F309" s="1338"/>
      <c r="G309" s="1338"/>
      <c r="H309" s="1338"/>
    </row>
    <row r="310" spans="1:8" x14ac:dyDescent="0.2">
      <c r="A310" s="1339" t="s">
        <v>837</v>
      </c>
      <c r="B310" s="1338"/>
      <c r="C310" s="1338"/>
      <c r="D310" s="1338"/>
      <c r="E310" s="1338"/>
      <c r="F310" s="1338"/>
      <c r="G310" s="1338"/>
      <c r="H310" s="1338"/>
    </row>
    <row r="311" spans="1:8" x14ac:dyDescent="0.2">
      <c r="A311" s="1339" t="s">
        <v>838</v>
      </c>
      <c r="B311" s="1338"/>
      <c r="C311" s="1338"/>
      <c r="D311" s="1338"/>
      <c r="E311" s="1338"/>
      <c r="F311" s="1338"/>
      <c r="G311" s="1338"/>
      <c r="H311" s="1338"/>
    </row>
    <row r="312" spans="1:8" x14ac:dyDescent="0.2">
      <c r="A312" s="1339" t="s">
        <v>839</v>
      </c>
      <c r="B312" s="1338"/>
      <c r="C312" s="1338"/>
      <c r="D312" s="1338"/>
      <c r="E312" s="1338"/>
      <c r="F312" s="1338"/>
      <c r="G312" s="1338"/>
      <c r="H312" s="1338"/>
    </row>
    <row r="313" spans="1:8" x14ac:dyDescent="0.2">
      <c r="A313" s="1339" t="s">
        <v>840</v>
      </c>
      <c r="B313" s="1338"/>
      <c r="C313" s="1338"/>
      <c r="D313" s="1338"/>
      <c r="E313" s="1338"/>
      <c r="F313" s="1338"/>
      <c r="G313" s="1338"/>
      <c r="H313" s="1338"/>
    </row>
    <row r="314" spans="1:8" x14ac:dyDescent="0.2">
      <c r="A314" s="1339" t="s">
        <v>841</v>
      </c>
      <c r="B314" s="1338"/>
      <c r="C314" s="1338"/>
      <c r="D314" s="1338"/>
      <c r="E314" s="1338"/>
      <c r="F314" s="1338"/>
      <c r="G314" s="1338"/>
      <c r="H314" s="1338"/>
    </row>
    <row r="315" spans="1:8" x14ac:dyDescent="0.2">
      <c r="A315" s="1339" t="s">
        <v>842</v>
      </c>
      <c r="B315" s="1338"/>
      <c r="C315" s="1338"/>
      <c r="D315" s="1338"/>
      <c r="E315" s="1338"/>
      <c r="F315" s="1338"/>
      <c r="G315" s="1338"/>
      <c r="H315" s="1338"/>
    </row>
    <row r="316" spans="1:8" x14ac:dyDescent="0.2">
      <c r="A316" s="1339" t="s">
        <v>843</v>
      </c>
      <c r="B316" s="1338"/>
      <c r="C316" s="1338"/>
      <c r="D316" s="1338"/>
      <c r="E316" s="1338"/>
      <c r="F316" s="1338"/>
      <c r="G316" s="1338"/>
      <c r="H316" s="1338"/>
    </row>
    <row r="317" spans="1:8" x14ac:dyDescent="0.2">
      <c r="A317" s="1339" t="s">
        <v>844</v>
      </c>
      <c r="B317" s="1338"/>
      <c r="C317" s="1338"/>
      <c r="D317" s="1338"/>
      <c r="E317" s="1338"/>
      <c r="F317" s="1338"/>
      <c r="G317" s="1338"/>
      <c r="H317" s="1338"/>
    </row>
    <row r="318" spans="1:8" x14ac:dyDescent="0.2">
      <c r="A318" s="1339" t="s">
        <v>845</v>
      </c>
      <c r="B318" s="1338"/>
      <c r="C318" s="1338"/>
      <c r="D318" s="1338"/>
      <c r="E318" s="1338"/>
      <c r="F318" s="1338"/>
      <c r="G318" s="1338"/>
      <c r="H318" s="1338"/>
    </row>
    <row r="319" spans="1:8" x14ac:dyDescent="0.2">
      <c r="A319" s="1339" t="s">
        <v>846</v>
      </c>
      <c r="B319" s="1338"/>
      <c r="C319" s="1338"/>
      <c r="D319" s="1338"/>
      <c r="E319" s="1338"/>
      <c r="F319" s="1338"/>
      <c r="G319" s="1338"/>
      <c r="H319" s="1338"/>
    </row>
    <row r="320" spans="1:8" x14ac:dyDescent="0.2">
      <c r="A320" s="1339" t="s">
        <v>847</v>
      </c>
      <c r="B320" s="1338"/>
      <c r="C320" s="1338"/>
      <c r="D320" s="1338"/>
      <c r="E320" s="1338"/>
      <c r="F320" s="1338"/>
      <c r="G320" s="1338"/>
      <c r="H320" s="1338"/>
    </row>
    <row r="321" spans="1:8" x14ac:dyDescent="0.2">
      <c r="A321" s="1338"/>
      <c r="B321" s="1338"/>
      <c r="C321" s="1338"/>
      <c r="D321" s="1338"/>
      <c r="E321" s="1338"/>
      <c r="F321" s="1338"/>
      <c r="G321" s="1338"/>
      <c r="H321" s="1338"/>
    </row>
    <row r="322" spans="1:8" x14ac:dyDescent="0.2">
      <c r="A322" s="1339" t="s">
        <v>827</v>
      </c>
      <c r="B322" s="1338"/>
      <c r="C322" s="1338"/>
      <c r="D322" s="1338"/>
      <c r="E322" s="1338"/>
      <c r="F322" s="1338"/>
      <c r="G322" s="1338"/>
      <c r="H322" s="1338"/>
    </row>
    <row r="323" spans="1:8" x14ac:dyDescent="0.2">
      <c r="A323" s="1339" t="s">
        <v>828</v>
      </c>
      <c r="B323" s="1338"/>
      <c r="C323" s="1338"/>
      <c r="D323" s="1338"/>
      <c r="E323" s="1338"/>
      <c r="F323" s="1338"/>
      <c r="G323" s="1338"/>
      <c r="H323" s="1338"/>
    </row>
    <row r="324" spans="1:8" x14ac:dyDescent="0.2">
      <c r="A324" s="1339" t="s">
        <v>829</v>
      </c>
      <c r="B324" s="1338"/>
      <c r="C324" s="1338"/>
      <c r="D324" s="1338"/>
      <c r="E324" s="1338"/>
      <c r="F324" s="1338"/>
      <c r="G324" s="1338"/>
      <c r="H324" s="1338"/>
    </row>
    <row r="325" spans="1:8" x14ac:dyDescent="0.2">
      <c r="A325" s="1339" t="s">
        <v>830</v>
      </c>
      <c r="B325" s="1338"/>
      <c r="C325" s="1338"/>
      <c r="D325" s="1338"/>
      <c r="E325" s="1338"/>
      <c r="F325" s="1338"/>
      <c r="G325" s="1338"/>
      <c r="H325" s="1338"/>
    </row>
    <row r="326" spans="1:8" x14ac:dyDescent="0.2">
      <c r="A326" s="1339" t="s">
        <v>831</v>
      </c>
      <c r="B326" s="1338"/>
      <c r="C326" s="1338"/>
      <c r="D326" s="1338"/>
      <c r="E326" s="1338"/>
      <c r="F326" s="1338"/>
      <c r="G326" s="1338"/>
      <c r="H326" s="1338"/>
    </row>
    <row r="327" spans="1:8" x14ac:dyDescent="0.2">
      <c r="A327" s="1339" t="s">
        <v>832</v>
      </c>
      <c r="B327" s="1338"/>
      <c r="C327" s="1338"/>
      <c r="D327" s="1338"/>
      <c r="E327" s="1338"/>
      <c r="F327" s="1338"/>
      <c r="G327" s="1338"/>
      <c r="H327" s="1338"/>
    </row>
    <row r="328" spans="1:8" x14ac:dyDescent="0.2">
      <c r="A328" s="1339" t="s">
        <v>833</v>
      </c>
      <c r="B328" s="1338"/>
      <c r="C328" s="1338"/>
      <c r="D328" s="1338"/>
      <c r="E328" s="1338"/>
      <c r="F328" s="1338"/>
      <c r="G328" s="1338"/>
      <c r="H328" s="1338"/>
    </row>
    <row r="329" spans="1:8" x14ac:dyDescent="0.2">
      <c r="A329" s="1339" t="s">
        <v>834</v>
      </c>
      <c r="B329" s="1338"/>
      <c r="C329" s="1338"/>
      <c r="D329" s="1338"/>
      <c r="E329" s="1338"/>
      <c r="F329" s="1338"/>
      <c r="G329" s="1338"/>
      <c r="H329" s="1338"/>
    </row>
    <row r="330" spans="1:8" x14ac:dyDescent="0.2">
      <c r="A330" s="1338"/>
      <c r="B330" s="1338"/>
      <c r="C330" s="1338"/>
      <c r="D330" s="1338"/>
      <c r="E330" s="1338"/>
      <c r="F330" s="1338"/>
      <c r="G330" s="1338"/>
      <c r="H330" s="1338"/>
    </row>
    <row r="331" spans="1:8" x14ac:dyDescent="0.2">
      <c r="A331" s="1339" t="s">
        <v>792</v>
      </c>
      <c r="B331" s="1338"/>
      <c r="C331" s="1338"/>
      <c r="D331" s="1338"/>
      <c r="E331" s="1338"/>
      <c r="F331" s="1338"/>
      <c r="G331" s="1338"/>
      <c r="H331" s="1338"/>
    </row>
    <row r="332" spans="1:8" x14ac:dyDescent="0.2">
      <c r="A332" s="1339" t="s">
        <v>793</v>
      </c>
      <c r="B332" s="1338"/>
      <c r="C332" s="1338"/>
      <c r="D332" s="1338"/>
      <c r="E332" s="1338"/>
      <c r="F332" s="1338"/>
      <c r="G332" s="1338"/>
      <c r="H332" s="1338"/>
    </row>
    <row r="333" spans="1:8" x14ac:dyDescent="0.2">
      <c r="A333" s="1339" t="s">
        <v>794</v>
      </c>
      <c r="B333" s="1338"/>
      <c r="C333" s="1338"/>
      <c r="D333" s="1338"/>
      <c r="E333" s="1338"/>
      <c r="F333" s="1338"/>
      <c r="G333" s="1338"/>
      <c r="H333" s="1338"/>
    </row>
    <row r="334" spans="1:8" x14ac:dyDescent="0.2">
      <c r="A334" s="1339" t="s">
        <v>795</v>
      </c>
      <c r="B334" s="1338"/>
      <c r="C334" s="1338"/>
      <c r="D334" s="1338"/>
      <c r="E334" s="1338"/>
      <c r="F334" s="1338"/>
      <c r="G334" s="1338"/>
      <c r="H334" s="1338"/>
    </row>
    <row r="335" spans="1:8" x14ac:dyDescent="0.2">
      <c r="A335" s="1339" t="s">
        <v>796</v>
      </c>
      <c r="B335" s="1338"/>
      <c r="C335" s="1338"/>
      <c r="D335" s="1338"/>
      <c r="E335" s="1338"/>
      <c r="F335" s="1338"/>
      <c r="G335" s="1338"/>
      <c r="H335" s="1338"/>
    </row>
    <row r="336" spans="1:8" x14ac:dyDescent="0.2">
      <c r="A336" s="1339" t="s">
        <v>797</v>
      </c>
      <c r="B336" s="1338"/>
      <c r="C336" s="1338"/>
      <c r="D336" s="1338"/>
      <c r="E336" s="1338"/>
      <c r="F336" s="1338"/>
      <c r="G336" s="1338"/>
      <c r="H336" s="1338"/>
    </row>
    <row r="337" spans="1:8" x14ac:dyDescent="0.2">
      <c r="A337" s="1339" t="s">
        <v>798</v>
      </c>
      <c r="B337" s="1338"/>
      <c r="C337" s="1338"/>
      <c r="D337" s="1338"/>
      <c r="E337" s="1338"/>
      <c r="F337" s="1338"/>
      <c r="G337" s="1338"/>
      <c r="H337" s="1338"/>
    </row>
    <row r="338" spans="1:8" x14ac:dyDescent="0.2">
      <c r="A338" s="1339" t="s">
        <v>799</v>
      </c>
      <c r="B338" s="1338"/>
      <c r="C338" s="1338"/>
      <c r="D338" s="1338"/>
      <c r="E338" s="1338"/>
      <c r="F338" s="1338"/>
      <c r="G338" s="1338"/>
      <c r="H338" s="1338"/>
    </row>
    <row r="339" spans="1:8" x14ac:dyDescent="0.2">
      <c r="A339" s="1339" t="s">
        <v>800</v>
      </c>
      <c r="B339" s="1338"/>
      <c r="C339" s="1338"/>
      <c r="D339" s="1338"/>
      <c r="E339" s="1338"/>
      <c r="F339" s="1338"/>
      <c r="G339" s="1338"/>
      <c r="H339" s="1338"/>
    </row>
    <row r="340" spans="1:8" x14ac:dyDescent="0.2">
      <c r="A340" s="1339" t="s">
        <v>801</v>
      </c>
      <c r="B340" s="1338"/>
      <c r="C340" s="1338"/>
      <c r="D340" s="1338"/>
      <c r="E340" s="1338"/>
      <c r="F340" s="1338"/>
      <c r="G340" s="1338"/>
      <c r="H340" s="1338"/>
    </row>
    <row r="341" spans="1:8" x14ac:dyDescent="0.2">
      <c r="A341" s="1339" t="s">
        <v>802</v>
      </c>
      <c r="B341" s="1338"/>
      <c r="C341" s="1338"/>
      <c r="D341" s="1338"/>
      <c r="E341" s="1338"/>
      <c r="F341" s="1338"/>
      <c r="G341" s="1338"/>
      <c r="H341" s="1338"/>
    </row>
    <row r="342" spans="1:8" x14ac:dyDescent="0.2">
      <c r="A342" s="1339" t="s">
        <v>803</v>
      </c>
      <c r="B342" s="1338"/>
      <c r="C342" s="1338"/>
      <c r="D342" s="1338"/>
      <c r="E342" s="1338"/>
      <c r="F342" s="1338"/>
      <c r="G342" s="1338"/>
      <c r="H342" s="1338"/>
    </row>
    <row r="343" spans="1:8" x14ac:dyDescent="0.2">
      <c r="A343" s="1339" t="s">
        <v>804</v>
      </c>
      <c r="B343" s="1338"/>
      <c r="C343" s="1338"/>
      <c r="D343" s="1338"/>
      <c r="E343" s="1338"/>
      <c r="F343" s="1338"/>
      <c r="G343" s="1338"/>
      <c r="H343" s="1338"/>
    </row>
    <row r="344" spans="1:8" x14ac:dyDescent="0.2">
      <c r="A344" s="1339" t="s">
        <v>805</v>
      </c>
      <c r="B344" s="1338"/>
      <c r="C344" s="1338"/>
      <c r="D344" s="1338"/>
      <c r="E344" s="1338"/>
      <c r="F344" s="1338"/>
      <c r="G344" s="1338"/>
      <c r="H344" s="1338"/>
    </row>
    <row r="345" spans="1:8" x14ac:dyDescent="0.2">
      <c r="A345" s="1339" t="s">
        <v>806</v>
      </c>
      <c r="B345" s="1338"/>
      <c r="C345" s="1338"/>
      <c r="D345" s="1338"/>
      <c r="E345" s="1338"/>
      <c r="F345" s="1338"/>
      <c r="G345" s="1338"/>
      <c r="H345" s="1338"/>
    </row>
    <row r="346" spans="1:8" x14ac:dyDescent="0.2">
      <c r="A346" s="1339" t="s">
        <v>807</v>
      </c>
      <c r="B346" s="1338"/>
      <c r="C346" s="1338"/>
      <c r="D346" s="1338"/>
      <c r="E346" s="1338"/>
      <c r="F346" s="1338"/>
      <c r="G346" s="1338"/>
      <c r="H346" s="1338"/>
    </row>
    <row r="347" spans="1:8" x14ac:dyDescent="0.2">
      <c r="A347" s="1339" t="s">
        <v>808</v>
      </c>
      <c r="B347" s="1338"/>
      <c r="C347" s="1338"/>
      <c r="D347" s="1338"/>
      <c r="E347" s="1338"/>
      <c r="F347" s="1338"/>
      <c r="G347" s="1338"/>
      <c r="H347" s="1338"/>
    </row>
    <row r="348" spans="1:8" x14ac:dyDescent="0.2">
      <c r="A348" s="1339" t="s">
        <v>809</v>
      </c>
      <c r="B348" s="1338"/>
      <c r="C348" s="1338"/>
      <c r="D348" s="1338"/>
      <c r="E348" s="1338"/>
      <c r="F348" s="1338"/>
      <c r="G348" s="1338"/>
      <c r="H348" s="1338"/>
    </row>
    <row r="349" spans="1:8" x14ac:dyDescent="0.2">
      <c r="A349" s="1339" t="s">
        <v>810</v>
      </c>
      <c r="B349" s="1338"/>
      <c r="C349" s="1338"/>
      <c r="D349" s="1338"/>
      <c r="E349" s="1338"/>
      <c r="F349" s="1338"/>
      <c r="G349" s="1338"/>
      <c r="H349" s="1338"/>
    </row>
    <row r="350" spans="1:8" x14ac:dyDescent="0.2">
      <c r="A350" s="1339" t="s">
        <v>811</v>
      </c>
      <c r="B350" s="1338"/>
      <c r="C350" s="1338"/>
      <c r="D350" s="1338"/>
      <c r="E350" s="1338"/>
      <c r="F350" s="1338"/>
      <c r="G350" s="1338"/>
      <c r="H350" s="1338"/>
    </row>
    <row r="351" spans="1:8" x14ac:dyDescent="0.2">
      <c r="A351" s="1339" t="s">
        <v>812</v>
      </c>
      <c r="B351" s="1338"/>
      <c r="C351" s="1338"/>
      <c r="D351" s="1338"/>
      <c r="E351" s="1338"/>
      <c r="F351" s="1338"/>
      <c r="G351" s="1338"/>
      <c r="H351" s="1338"/>
    </row>
    <row r="352" spans="1:8" x14ac:dyDescent="0.2">
      <c r="A352" s="1339" t="s">
        <v>813</v>
      </c>
      <c r="B352" s="1338"/>
      <c r="C352" s="1338"/>
      <c r="D352" s="1338"/>
      <c r="E352" s="1338"/>
      <c r="F352" s="1338"/>
      <c r="G352" s="1338"/>
      <c r="H352" s="1338"/>
    </row>
    <row r="353" spans="1:8" x14ac:dyDescent="0.2">
      <c r="A353" s="1339" t="s">
        <v>814</v>
      </c>
      <c r="B353" s="1338"/>
      <c r="C353" s="1338"/>
      <c r="D353" s="1338"/>
      <c r="E353" s="1338"/>
      <c r="F353" s="1338"/>
      <c r="G353" s="1338"/>
      <c r="H353" s="1338"/>
    </row>
    <row r="354" spans="1:8" x14ac:dyDescent="0.2">
      <c r="A354" s="1339" t="s">
        <v>815</v>
      </c>
      <c r="B354" s="1338"/>
      <c r="C354" s="1338"/>
      <c r="D354" s="1338"/>
      <c r="E354" s="1338"/>
      <c r="F354" s="1338"/>
      <c r="G354" s="1338"/>
      <c r="H354" s="1338"/>
    </row>
    <row r="355" spans="1:8" x14ac:dyDescent="0.2">
      <c r="A355" s="1339" t="s">
        <v>816</v>
      </c>
      <c r="B355" s="1338"/>
      <c r="C355" s="1338"/>
      <c r="D355" s="1338"/>
      <c r="E355" s="1338"/>
      <c r="F355" s="1338"/>
      <c r="G355" s="1338"/>
      <c r="H355" s="1338"/>
    </row>
    <row r="356" spans="1:8" x14ac:dyDescent="0.2">
      <c r="A356" s="1339" t="s">
        <v>817</v>
      </c>
      <c r="B356" s="1338"/>
      <c r="C356" s="1338"/>
      <c r="D356" s="1338"/>
      <c r="E356" s="1338"/>
      <c r="F356" s="1338"/>
      <c r="G356" s="1338"/>
      <c r="H356" s="1338"/>
    </row>
    <row r="357" spans="1:8" x14ac:dyDescent="0.2">
      <c r="A357" s="1339" t="s">
        <v>818</v>
      </c>
      <c r="B357" s="1338"/>
      <c r="C357" s="1338"/>
      <c r="D357" s="1338"/>
      <c r="E357" s="1338"/>
      <c r="F357" s="1338"/>
      <c r="G357" s="1338"/>
      <c r="H357" s="1338"/>
    </row>
    <row r="358" spans="1:8" x14ac:dyDescent="0.2">
      <c r="A358" s="1339" t="s">
        <v>819</v>
      </c>
      <c r="B358" s="1338"/>
      <c r="C358" s="1338"/>
      <c r="D358" s="1338"/>
      <c r="E358" s="1338"/>
      <c r="F358" s="1338"/>
      <c r="G358" s="1338"/>
      <c r="H358" s="1338"/>
    </row>
    <row r="359" spans="1:8" x14ac:dyDescent="0.2">
      <c r="A359" s="1339" t="s">
        <v>820</v>
      </c>
      <c r="B359" s="1338"/>
      <c r="C359" s="1338"/>
      <c r="D359" s="1338"/>
      <c r="E359" s="1338"/>
      <c r="F359" s="1338"/>
      <c r="G359" s="1338"/>
      <c r="H359" s="1338"/>
    </row>
    <row r="360" spans="1:8" x14ac:dyDescent="0.2">
      <c r="A360" s="1339" t="s">
        <v>821</v>
      </c>
      <c r="B360" s="1338"/>
      <c r="C360" s="1338"/>
      <c r="D360" s="1338"/>
      <c r="E360" s="1338"/>
      <c r="F360" s="1338"/>
      <c r="G360" s="1338"/>
      <c r="H360" s="1338"/>
    </row>
    <row r="361" spans="1:8" x14ac:dyDescent="0.2">
      <c r="A361" s="1339" t="s">
        <v>822</v>
      </c>
      <c r="B361" s="1338"/>
      <c r="C361" s="1338"/>
      <c r="D361" s="1338"/>
      <c r="E361" s="1338"/>
      <c r="F361" s="1338"/>
      <c r="G361" s="1338"/>
      <c r="H361" s="1338"/>
    </row>
    <row r="362" spans="1:8" x14ac:dyDescent="0.2">
      <c r="A362" s="1339" t="s">
        <v>823</v>
      </c>
      <c r="B362" s="1338"/>
      <c r="C362" s="1338"/>
      <c r="D362" s="1338"/>
      <c r="E362" s="1338"/>
      <c r="F362" s="1338"/>
      <c r="G362" s="1338"/>
      <c r="H362" s="1338"/>
    </row>
    <row r="363" spans="1:8" x14ac:dyDescent="0.2">
      <c r="A363" s="1339" t="s">
        <v>824</v>
      </c>
      <c r="B363" s="1338"/>
      <c r="C363" s="1338"/>
      <c r="D363" s="1338"/>
      <c r="E363" s="1338"/>
      <c r="F363" s="1338"/>
      <c r="G363" s="1338"/>
      <c r="H363" s="1338"/>
    </row>
    <row r="364" spans="1:8" x14ac:dyDescent="0.2">
      <c r="A364" s="1339" t="s">
        <v>825</v>
      </c>
      <c r="B364" s="1338"/>
      <c r="C364" s="1338"/>
      <c r="D364" s="1338"/>
      <c r="E364" s="1338"/>
      <c r="F364" s="1338"/>
      <c r="G364" s="1338"/>
      <c r="H364" s="1338"/>
    </row>
    <row r="365" spans="1:8" x14ac:dyDescent="0.2">
      <c r="A365" s="1339" t="s">
        <v>826</v>
      </c>
      <c r="B365" s="1338"/>
      <c r="C365" s="1338"/>
      <c r="D365" s="1338"/>
      <c r="E365" s="1338"/>
      <c r="F365" s="1338"/>
      <c r="G365" s="1338"/>
      <c r="H365" s="1338"/>
    </row>
    <row r="366" spans="1:8" x14ac:dyDescent="0.2">
      <c r="A366" s="1338"/>
      <c r="B366" s="1338"/>
      <c r="C366" s="1338"/>
      <c r="D366" s="1338"/>
      <c r="E366" s="1338"/>
      <c r="F366" s="1338"/>
      <c r="G366" s="1338"/>
      <c r="H366" s="1338"/>
    </row>
    <row r="367" spans="1:8" x14ac:dyDescent="0.2">
      <c r="A367" s="1339" t="s">
        <v>784</v>
      </c>
      <c r="B367" s="1338"/>
      <c r="C367" s="1338"/>
      <c r="D367" s="1338"/>
      <c r="E367" s="1338"/>
      <c r="F367" s="1338"/>
      <c r="G367" s="1338"/>
      <c r="H367" s="1338"/>
    </row>
    <row r="368" spans="1:8" x14ac:dyDescent="0.2">
      <c r="A368" s="1339" t="s">
        <v>788</v>
      </c>
      <c r="B368" s="1338"/>
      <c r="C368" s="1338"/>
      <c r="D368" s="1338"/>
      <c r="E368" s="1338"/>
      <c r="F368" s="1338"/>
      <c r="G368" s="1338"/>
      <c r="H368" s="1338"/>
    </row>
    <row r="369" spans="1:8" x14ac:dyDescent="0.2">
      <c r="A369" s="1339" t="s">
        <v>789</v>
      </c>
      <c r="B369" s="1338"/>
      <c r="C369" s="1338"/>
      <c r="D369" s="1338"/>
      <c r="E369" s="1338"/>
      <c r="F369" s="1338"/>
      <c r="G369" s="1338"/>
      <c r="H369" s="1338"/>
    </row>
    <row r="370" spans="1:8" x14ac:dyDescent="0.2">
      <c r="A370" s="1339" t="s">
        <v>790</v>
      </c>
      <c r="B370" s="1338"/>
      <c r="C370" s="1338"/>
      <c r="D370" s="1338"/>
      <c r="E370" s="1338"/>
      <c r="F370" s="1338"/>
      <c r="G370" s="1338"/>
      <c r="H370" s="1338"/>
    </row>
    <row r="371" spans="1:8" x14ac:dyDescent="0.2">
      <c r="A371" s="1339" t="s">
        <v>791</v>
      </c>
      <c r="B371" s="1338"/>
      <c r="C371" s="1338"/>
      <c r="D371" s="1338"/>
      <c r="E371" s="1338"/>
      <c r="F371" s="1338"/>
      <c r="G371" s="1338"/>
      <c r="H371" s="1338"/>
    </row>
    <row r="372" spans="1:8" x14ac:dyDescent="0.2">
      <c r="A372" s="1338"/>
      <c r="B372" s="1338"/>
      <c r="C372" s="1338"/>
      <c r="D372" s="1338"/>
      <c r="E372" s="1338"/>
      <c r="F372" s="1338"/>
      <c r="G372" s="1338"/>
      <c r="H372" s="1338"/>
    </row>
    <row r="373" spans="1:8" x14ac:dyDescent="0.2">
      <c r="A373" s="1339" t="s">
        <v>784</v>
      </c>
      <c r="B373" s="1338"/>
      <c r="C373" s="1338"/>
      <c r="D373" s="1338"/>
      <c r="E373" s="1338"/>
      <c r="F373" s="1338"/>
      <c r="G373" s="1338"/>
      <c r="H373" s="1338"/>
    </row>
    <row r="374" spans="1:8" x14ac:dyDescent="0.2">
      <c r="A374" s="1339" t="s">
        <v>785</v>
      </c>
      <c r="B374" s="1338"/>
      <c r="C374" s="1338"/>
      <c r="D374" s="1338"/>
      <c r="E374" s="1338"/>
      <c r="F374" s="1338"/>
      <c r="G374" s="1338"/>
      <c r="H374" s="1338"/>
    </row>
    <row r="375" spans="1:8" x14ac:dyDescent="0.2">
      <c r="A375" s="1339" t="s">
        <v>786</v>
      </c>
      <c r="B375" s="1338"/>
      <c r="C375" s="1338"/>
      <c r="D375" s="1338"/>
      <c r="E375" s="1338"/>
      <c r="F375" s="1338"/>
      <c r="G375" s="1338"/>
      <c r="H375" s="1338"/>
    </row>
    <row r="376" spans="1:8" x14ac:dyDescent="0.2">
      <c r="A376" s="1339" t="s">
        <v>787</v>
      </c>
      <c r="B376" s="1338"/>
      <c r="C376" s="1338"/>
      <c r="D376" s="1338"/>
      <c r="E376" s="1338"/>
      <c r="F376" s="1338"/>
      <c r="G376" s="1338"/>
      <c r="H376" s="1338"/>
    </row>
    <row r="377" spans="1:8" x14ac:dyDescent="0.2">
      <c r="A377" s="1338"/>
      <c r="B377" s="1338"/>
      <c r="C377" s="1338"/>
      <c r="D377" s="1338"/>
      <c r="E377" s="1338"/>
      <c r="F377" s="1338"/>
      <c r="G377" s="1338"/>
      <c r="H377" s="1338"/>
    </row>
    <row r="378" spans="1:8" x14ac:dyDescent="0.2">
      <c r="A378" s="1339" t="s">
        <v>778</v>
      </c>
      <c r="B378" s="1338"/>
      <c r="C378" s="1338"/>
      <c r="D378" s="1338"/>
      <c r="E378" s="1338"/>
      <c r="F378" s="1338"/>
      <c r="G378" s="1338"/>
      <c r="H378" s="1338"/>
    </row>
    <row r="379" spans="1:8" x14ac:dyDescent="0.2">
      <c r="A379" s="1339" t="s">
        <v>779</v>
      </c>
      <c r="B379" s="1338"/>
      <c r="C379" s="1338"/>
      <c r="D379" s="1338"/>
      <c r="E379" s="1338"/>
      <c r="F379" s="1338"/>
      <c r="G379" s="1338"/>
      <c r="H379" s="1338"/>
    </row>
    <row r="380" spans="1:8" x14ac:dyDescent="0.2">
      <c r="A380" s="1339" t="s">
        <v>780</v>
      </c>
      <c r="B380" s="1338"/>
      <c r="C380" s="1338"/>
      <c r="D380" s="1338"/>
      <c r="E380" s="1338"/>
      <c r="F380" s="1338"/>
      <c r="G380" s="1338"/>
      <c r="H380" s="1338"/>
    </row>
    <row r="381" spans="1:8" x14ac:dyDescent="0.2">
      <c r="A381" s="1339" t="s">
        <v>781</v>
      </c>
      <c r="B381" s="1338"/>
      <c r="C381" s="1338"/>
      <c r="D381" s="1338"/>
      <c r="E381" s="1338"/>
      <c r="F381" s="1338"/>
      <c r="G381" s="1338"/>
      <c r="H381" s="1338"/>
    </row>
    <row r="382" spans="1:8" x14ac:dyDescent="0.2">
      <c r="A382" s="1339" t="s">
        <v>782</v>
      </c>
      <c r="B382" s="1338"/>
      <c r="C382" s="1338"/>
      <c r="D382" s="1338"/>
      <c r="E382" s="1338"/>
      <c r="F382" s="1338"/>
      <c r="G382" s="1338"/>
      <c r="H382" s="1338"/>
    </row>
    <row r="383" spans="1:8" x14ac:dyDescent="0.2">
      <c r="A383" s="1339" t="s">
        <v>783</v>
      </c>
      <c r="B383" s="1338"/>
      <c r="C383" s="1338"/>
      <c r="D383" s="1338"/>
      <c r="E383" s="1338"/>
      <c r="F383" s="1338"/>
      <c r="G383" s="1338"/>
      <c r="H383" s="1338"/>
    </row>
    <row r="384" spans="1:8" x14ac:dyDescent="0.2">
      <c r="A384" s="1338"/>
      <c r="B384" s="1338"/>
      <c r="C384" s="1338"/>
      <c r="D384" s="1338"/>
      <c r="E384" s="1338"/>
      <c r="F384" s="1338"/>
      <c r="G384" s="1338"/>
      <c r="H384" s="1338"/>
    </row>
    <row r="385" spans="1:8" x14ac:dyDescent="0.2">
      <c r="A385" s="1339" t="s">
        <v>773</v>
      </c>
      <c r="B385" s="1338"/>
      <c r="C385" s="1338"/>
      <c r="D385" s="1338"/>
      <c r="E385" s="1338"/>
      <c r="F385" s="1338"/>
      <c r="G385" s="1338"/>
      <c r="H385" s="1338"/>
    </row>
    <row r="386" spans="1:8" x14ac:dyDescent="0.2">
      <c r="A386" s="1339" t="s">
        <v>774</v>
      </c>
      <c r="B386" s="1338"/>
      <c r="C386" s="1338"/>
      <c r="D386" s="1338"/>
      <c r="E386" s="1338"/>
      <c r="F386" s="1338"/>
      <c r="G386" s="1338"/>
      <c r="H386" s="1338"/>
    </row>
    <row r="387" spans="1:8" x14ac:dyDescent="0.2">
      <c r="A387" s="1339" t="s">
        <v>775</v>
      </c>
      <c r="B387" s="1338"/>
      <c r="C387" s="1338"/>
      <c r="D387" s="1338"/>
      <c r="E387" s="1338"/>
      <c r="F387" s="1338"/>
      <c r="G387" s="1338"/>
      <c r="H387" s="1338"/>
    </row>
    <row r="388" spans="1:8" x14ac:dyDescent="0.2">
      <c r="A388" s="1339" t="s">
        <v>776</v>
      </c>
      <c r="B388" s="1338"/>
      <c r="C388" s="1338"/>
      <c r="D388" s="1338"/>
      <c r="E388" s="1338"/>
      <c r="F388" s="1338"/>
      <c r="G388" s="1338"/>
      <c r="H388" s="1338"/>
    </row>
    <row r="389" spans="1:8" x14ac:dyDescent="0.2">
      <c r="A389" s="1339" t="s">
        <v>777</v>
      </c>
      <c r="B389" s="1338"/>
      <c r="C389" s="1338"/>
      <c r="D389" s="1338"/>
      <c r="E389" s="1338"/>
      <c r="F389" s="1338"/>
      <c r="G389" s="1338"/>
      <c r="H389" s="1338"/>
    </row>
    <row r="390" spans="1:8" x14ac:dyDescent="0.2">
      <c r="A390" s="1338"/>
      <c r="B390" s="1338"/>
      <c r="C390" s="1338"/>
      <c r="D390" s="1338"/>
      <c r="E390" s="1338"/>
      <c r="F390" s="1338"/>
      <c r="G390" s="1338"/>
      <c r="H390" s="1338"/>
    </row>
    <row r="391" spans="1:8" x14ac:dyDescent="0.2">
      <c r="A391" s="1339" t="s">
        <v>771</v>
      </c>
      <c r="B391" s="1338"/>
      <c r="C391" s="1338"/>
      <c r="D391" s="1338"/>
      <c r="E391" s="1338"/>
      <c r="F391" s="1338"/>
      <c r="G391" s="1338"/>
      <c r="H391" s="1338"/>
    </row>
    <row r="392" spans="1:8" x14ac:dyDescent="0.2">
      <c r="A392" s="1339" t="s">
        <v>772</v>
      </c>
      <c r="B392" s="1338"/>
      <c r="C392" s="1338"/>
      <c r="D392" s="1338"/>
      <c r="E392" s="1338"/>
      <c r="F392" s="1338"/>
      <c r="G392" s="1338"/>
      <c r="H392" s="1338"/>
    </row>
    <row r="394" spans="1:8" x14ac:dyDescent="0.2">
      <c r="A394" s="1334" t="s">
        <v>1029</v>
      </c>
    </row>
  </sheetData>
  <mergeCells count="12">
    <mergeCell ref="A132:H132"/>
    <mergeCell ref="A133:H133"/>
    <mergeCell ref="B125:C125"/>
    <mergeCell ref="D125:F125"/>
    <mergeCell ref="G125:H125"/>
    <mergeCell ref="A111:H111"/>
    <mergeCell ref="A112:H112"/>
    <mergeCell ref="A113:H113"/>
    <mergeCell ref="A114:H114"/>
    <mergeCell ref="A116:H116"/>
    <mergeCell ref="A117:H117"/>
    <mergeCell ref="A124:H124"/>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D17"/>
  <sheetViews>
    <sheetView showGridLines="0" workbookViewId="0">
      <selection activeCell="A17" sqref="A17"/>
    </sheetView>
  </sheetViews>
  <sheetFormatPr defaultColWidth="8" defaultRowHeight="12.75" x14ac:dyDescent="0.2"/>
  <cols>
    <col min="1" max="1" width="63.7109375" bestFit="1" customWidth="1"/>
    <col min="2" max="2" width="48.140625" customWidth="1"/>
    <col min="3" max="3" width="12.5703125" customWidth="1"/>
  </cols>
  <sheetData>
    <row r="1" spans="1:4" x14ac:dyDescent="0.2">
      <c r="A1" s="516"/>
      <c r="B1" s="517"/>
      <c r="C1" s="517"/>
      <c r="D1" s="518"/>
    </row>
    <row r="2" spans="1:4" ht="36.75" customHeight="1" x14ac:dyDescent="0.2">
      <c r="A2" s="519"/>
      <c r="B2" s="519"/>
      <c r="C2" s="520"/>
      <c r="D2" s="518"/>
    </row>
    <row r="3" spans="1:4" ht="27" customHeight="1" x14ac:dyDescent="0.2">
      <c r="A3" s="519"/>
      <c r="B3" s="519"/>
      <c r="C3" s="520"/>
      <c r="D3" s="518"/>
    </row>
    <row r="4" spans="1:4" ht="21" customHeight="1" x14ac:dyDescent="0.3">
      <c r="A4" s="521" t="s">
        <v>458</v>
      </c>
      <c r="B4" s="522"/>
      <c r="C4" s="522"/>
      <c r="D4" s="523" t="s">
        <v>444</v>
      </c>
    </row>
    <row r="5" spans="1:4" ht="13.5" customHeight="1" x14ac:dyDescent="0.2">
      <c r="A5" s="524"/>
      <c r="B5" s="524"/>
      <c r="C5" s="524"/>
      <c r="D5" s="524"/>
    </row>
    <row r="6" spans="1:4" ht="13.5" customHeight="1" x14ac:dyDescent="0.2">
      <c r="A6" s="525" t="s">
        <v>459</v>
      </c>
      <c r="B6" s="526"/>
      <c r="C6" s="526"/>
      <c r="D6" s="526"/>
    </row>
    <row r="7" spans="1:4" ht="13.5" customHeight="1" x14ac:dyDescent="0.25">
      <c r="A7" s="527"/>
      <c r="B7" s="526"/>
      <c r="C7" s="526"/>
      <c r="D7" s="526"/>
    </row>
    <row r="8" spans="1:4" ht="13.5" customHeight="1" x14ac:dyDescent="0.2">
      <c r="A8" s="528"/>
      <c r="B8" s="517"/>
      <c r="C8" s="526"/>
      <c r="D8" s="526"/>
    </row>
    <row r="9" spans="1:4" ht="13.5" customHeight="1" x14ac:dyDescent="0.25">
      <c r="A9" s="532" t="s">
        <v>227</v>
      </c>
      <c r="B9" s="529"/>
      <c r="C9" s="530"/>
      <c r="D9" s="530"/>
    </row>
    <row r="10" spans="1:4" ht="13.5" customHeight="1" x14ac:dyDescent="0.25">
      <c r="A10" s="528"/>
      <c r="B10" s="529"/>
      <c r="C10" s="530"/>
      <c r="D10" s="530"/>
    </row>
    <row r="11" spans="1:4" ht="13.5" customHeight="1" x14ac:dyDescent="0.25">
      <c r="A11" s="532" t="s">
        <v>455</v>
      </c>
      <c r="B11" s="529"/>
      <c r="C11" s="530"/>
      <c r="D11" s="530"/>
    </row>
    <row r="12" spans="1:4" ht="13.5" customHeight="1" x14ac:dyDescent="0.25">
      <c r="A12" s="531"/>
      <c r="B12" s="529"/>
      <c r="C12" s="530"/>
      <c r="D12" s="530"/>
    </row>
    <row r="13" spans="1:4" ht="13.5" customHeight="1" x14ac:dyDescent="0.25">
      <c r="A13" s="532" t="s">
        <v>456</v>
      </c>
      <c r="B13" s="529"/>
      <c r="C13" s="530"/>
      <c r="D13" s="530"/>
    </row>
    <row r="14" spans="1:4" ht="13.5" customHeight="1" x14ac:dyDescent="0.25">
      <c r="A14" s="531"/>
      <c r="B14" s="529"/>
      <c r="C14" s="530"/>
      <c r="D14" s="530"/>
    </row>
    <row r="15" spans="1:4" ht="13.5" customHeight="1" x14ac:dyDescent="0.25">
      <c r="A15" s="532" t="s">
        <v>457</v>
      </c>
      <c r="B15" s="529"/>
      <c r="C15" s="530"/>
      <c r="D15" s="530"/>
    </row>
    <row r="16" spans="1:4" ht="13.5" customHeight="1" x14ac:dyDescent="0.2"/>
    <row r="17" ht="13.5" customHeight="1" x14ac:dyDescent="0.2"/>
  </sheetData>
  <hyperlinks>
    <hyperlink ref="A9" location="IS!A1" display="Quarterly Income Statement"/>
    <hyperlink ref="A13" location="BS!A1" display="Quarterly Balance Sheet"/>
    <hyperlink ref="A15" location="CF!A1" display="Quarterly Cash Flow Statement"/>
    <hyperlink ref="A11" location="RevBuild!A1" display="Segment Sheet"/>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EQ209"/>
  <sheetViews>
    <sheetView zoomScaleNormal="100" workbookViewId="0">
      <pane xSplit="4" ySplit="9" topLeftCell="E10" activePane="bottomRight" state="frozen"/>
      <selection pane="topRight" activeCell="E1" sqref="E1"/>
      <selection pane="bottomLeft" activeCell="A9" sqref="A9"/>
      <selection pane="bottomRight" activeCell="DH21" sqref="DH21"/>
    </sheetView>
  </sheetViews>
  <sheetFormatPr defaultColWidth="8.7109375" defaultRowHeight="12.75" outlineLevelRow="1" outlineLevelCol="1" x14ac:dyDescent="0.2"/>
  <cols>
    <col min="1" max="1" width="34.42578125" style="45" customWidth="1"/>
    <col min="2" max="3" width="0.85546875" style="45" hidden="1" customWidth="1"/>
    <col min="4" max="4" width="0.85546875" style="45" customWidth="1"/>
    <col min="5" max="5" width="8.140625" style="45" hidden="1" customWidth="1" outlineLevel="1"/>
    <col min="6" max="6" width="0.85546875" style="45" hidden="1" customWidth="1" outlineLevel="1"/>
    <col min="7" max="7" width="8.140625" style="45" hidden="1" customWidth="1" outlineLevel="1"/>
    <col min="8" max="8" width="0.85546875" style="45" hidden="1" customWidth="1" outlineLevel="1"/>
    <col min="9" max="9" width="8.140625" style="45" hidden="1" customWidth="1" outlineLevel="1"/>
    <col min="10" max="10" width="0.85546875" style="45" hidden="1" customWidth="1" outlineLevel="1"/>
    <col min="11" max="11" width="8.140625" style="45" hidden="1" customWidth="1" outlineLevel="1"/>
    <col min="12" max="12" width="0.85546875" style="45" hidden="1" customWidth="1" outlineLevel="1"/>
    <col min="13" max="17" width="8.140625" style="45" hidden="1" customWidth="1" outlineLevel="1"/>
    <col min="18" max="18" width="0.85546875" style="45" hidden="1" customWidth="1" outlineLevel="1"/>
    <col min="19" max="23" width="8.140625" style="45" hidden="1" customWidth="1" outlineLevel="1"/>
    <col min="24" max="24" width="0.85546875" style="45" hidden="1" customWidth="1" outlineLevel="1"/>
    <col min="25" max="29" width="8.140625" style="45" hidden="1" customWidth="1" outlineLevel="1"/>
    <col min="30" max="30" width="0.85546875" style="45" hidden="1" customWidth="1" outlineLevel="1"/>
    <col min="31" max="35" width="8.140625" style="45" hidden="1" customWidth="1" outlineLevel="1"/>
    <col min="36" max="36" width="0.85546875" style="45" hidden="1" customWidth="1" outlineLevel="1"/>
    <col min="37" max="41" width="8.140625" style="45" hidden="1" customWidth="1" outlineLevel="1"/>
    <col min="42" max="42" width="0.85546875" style="45" hidden="1" customWidth="1" outlineLevel="1"/>
    <col min="43" max="47" width="8.140625" style="45" hidden="1" customWidth="1" outlineLevel="1"/>
    <col min="48" max="48" width="0.85546875" style="45" hidden="1" customWidth="1" outlineLevel="1"/>
    <col min="49" max="53" width="8.140625" style="45" hidden="1" customWidth="1" outlineLevel="1"/>
    <col min="54" max="54" width="0.85546875" style="45" hidden="1" customWidth="1" outlineLevel="1"/>
    <col min="55" max="59" width="8.140625" style="45" hidden="1" customWidth="1" outlineLevel="1"/>
    <col min="60" max="60" width="0.85546875" style="45" hidden="1" customWidth="1" outlineLevel="1"/>
    <col min="61" max="65" width="8.140625" style="45" hidden="1" customWidth="1" outlineLevel="1"/>
    <col min="66" max="66" width="0.85546875" style="45" hidden="1" customWidth="1" outlineLevel="1"/>
    <col min="67" max="71" width="8.140625" style="45" hidden="1" customWidth="1" outlineLevel="1"/>
    <col min="72" max="72" width="0.85546875" style="45" hidden="1" customWidth="1" outlineLevel="1"/>
    <col min="73" max="77" width="8.140625" style="45" hidden="1" customWidth="1" outlineLevel="1"/>
    <col min="78" max="78" width="0.85546875" style="45" hidden="1" customWidth="1" outlineLevel="1"/>
    <col min="79" max="82" width="8.140625" style="45" hidden="1" customWidth="1" outlineLevel="1"/>
    <col min="83" max="83" width="7.28515625" style="45" customWidth="1" collapsed="1"/>
    <col min="84" max="84" width="0.85546875" style="45" customWidth="1"/>
    <col min="85" max="88" width="7.28515625" style="45" hidden="1" customWidth="1" outlineLevel="1"/>
    <col min="89" max="89" width="7.28515625" style="45" customWidth="1" collapsed="1"/>
    <col min="90" max="90" width="0.85546875" style="45" customWidth="1"/>
    <col min="91" max="94" width="7.28515625" style="45" hidden="1" customWidth="1" outlineLevel="1"/>
    <col min="95" max="95" width="7.28515625" style="45" customWidth="1" collapsed="1"/>
    <col min="96" max="96" width="0.85546875" style="45" customWidth="1"/>
    <col min="97" max="100" width="7.28515625" style="45" hidden="1" customWidth="1" outlineLevel="1"/>
    <col min="101" max="101" width="7.28515625" style="45" customWidth="1" collapsed="1"/>
    <col min="102" max="102" width="0.85546875" style="45" customWidth="1"/>
    <col min="103" max="106" width="7.28515625" style="45" hidden="1" customWidth="1" outlineLevel="1"/>
    <col min="107" max="107" width="7.28515625" style="45" customWidth="1" collapsed="1"/>
    <col min="108" max="108" width="0.85546875" style="45" customWidth="1"/>
    <col min="109" max="112" width="7.28515625" style="45" customWidth="1" outlineLevel="1"/>
    <col min="113" max="113" width="7.28515625" style="45" customWidth="1"/>
    <col min="114" max="114" width="0.85546875" style="45" customWidth="1"/>
    <col min="115" max="118" width="7.28515625" style="45" customWidth="1" outlineLevel="1"/>
    <col min="119" max="119" width="7.28515625" style="45" customWidth="1"/>
    <col min="120" max="120" width="0.85546875" style="45" customWidth="1"/>
    <col min="121" max="124" width="7.28515625" style="45" hidden="1" customWidth="1" outlineLevel="1"/>
    <col min="125" max="125" width="7.28515625" style="45" customWidth="1" collapsed="1"/>
    <col min="126" max="126" width="0.85546875" style="45" customWidth="1"/>
    <col min="127" max="130" width="7.28515625" style="45" hidden="1" customWidth="1" outlineLevel="1"/>
    <col min="131" max="131" width="7.28515625" style="45" customWidth="1" collapsed="1"/>
    <col min="132" max="132" width="0.85546875" style="45" customWidth="1"/>
    <col min="133" max="136" width="7.28515625" style="45" hidden="1" customWidth="1" outlineLevel="1"/>
    <col min="137" max="137" width="7.28515625" style="45" customWidth="1" collapsed="1"/>
    <col min="138" max="138" width="7.28515625" style="45" customWidth="1"/>
    <col min="139" max="139" width="7.28515625" style="481" customWidth="1"/>
    <col min="140" max="140" width="7.28515625" style="45" customWidth="1"/>
    <col min="141" max="141" width="26.140625" hidden="1" customWidth="1" outlineLevel="1"/>
    <col min="142" max="146" width="8.7109375" hidden="1" customWidth="1" outlineLevel="1"/>
    <col min="147" max="147" width="8.7109375" style="45" collapsed="1"/>
    <col min="148" max="16384" width="8.7109375" style="45"/>
  </cols>
  <sheetData>
    <row r="1" spans="1:140" ht="12.75" customHeight="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V1" s="2"/>
      <c r="DW1" s="2"/>
      <c r="DX1" s="2"/>
      <c r="DY1" s="2"/>
      <c r="DZ1" s="2"/>
      <c r="EB1" s="2"/>
      <c r="EC1" s="2"/>
      <c r="ED1" s="2"/>
      <c r="EE1" s="2"/>
      <c r="EF1" s="2"/>
      <c r="EH1" s="2"/>
    </row>
    <row r="2" spans="1:140" ht="12.75" customHeight="1" x14ac:dyDescent="0.2">
      <c r="A2" s="3" t="s">
        <v>41</v>
      </c>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7"/>
      <c r="BB2" s="2"/>
      <c r="BC2" s="7"/>
      <c r="BD2" s="7"/>
      <c r="BE2" s="7"/>
      <c r="BF2" s="7"/>
      <c r="BG2" s="7"/>
      <c r="BH2" s="2"/>
      <c r="BI2" s="7"/>
      <c r="BJ2" s="7"/>
      <c r="BK2" s="7"/>
      <c r="BL2" s="7"/>
      <c r="BM2" s="7"/>
      <c r="BN2" s="2"/>
      <c r="BO2" s="7"/>
      <c r="BP2" s="7"/>
      <c r="BQ2" s="7"/>
      <c r="BR2" s="7"/>
      <c r="BS2" s="7"/>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7"/>
      <c r="DV2" s="2"/>
      <c r="DW2" s="2"/>
      <c r="DX2" s="2"/>
      <c r="DY2" s="2"/>
      <c r="DZ2" s="2"/>
      <c r="EA2" s="7"/>
      <c r="EB2" s="2"/>
      <c r="EC2" s="2"/>
      <c r="ED2" s="2"/>
      <c r="EE2" s="2"/>
      <c r="EF2" s="2"/>
      <c r="EG2" s="7" t="s">
        <v>222</v>
      </c>
      <c r="EH2" s="2"/>
    </row>
    <row r="3" spans="1:140" ht="12.75" customHeight="1" x14ac:dyDescent="0.2">
      <c r="A3" s="3" t="s">
        <v>292</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7"/>
      <c r="BB3" s="2"/>
      <c r="BC3" s="7"/>
      <c r="BD3" s="7"/>
      <c r="BE3" s="7"/>
      <c r="BF3" s="7"/>
      <c r="BG3" s="7"/>
      <c r="BH3" s="2"/>
      <c r="BI3" s="7"/>
      <c r="BJ3" s="7"/>
      <c r="BK3" s="7"/>
      <c r="BL3" s="7"/>
      <c r="BM3" s="7"/>
      <c r="BN3" s="2"/>
      <c r="BO3" s="7"/>
      <c r="BP3" s="7"/>
      <c r="BQ3" s="7"/>
      <c r="BR3" s="7"/>
      <c r="BS3" s="7"/>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47"/>
      <c r="DC3" s="247"/>
      <c r="DD3" s="2"/>
      <c r="DE3" s="2"/>
      <c r="DF3" s="2"/>
      <c r="DG3" s="2"/>
      <c r="DH3" s="2"/>
      <c r="DI3" s="2"/>
      <c r="DJ3" s="2"/>
      <c r="DK3" s="2"/>
      <c r="DL3" s="2"/>
      <c r="DM3" s="2"/>
      <c r="DN3" s="2"/>
      <c r="DO3" s="2"/>
      <c r="DP3" s="2"/>
      <c r="DQ3" s="2"/>
      <c r="DR3" s="2"/>
      <c r="DS3" s="2"/>
      <c r="DT3" s="2"/>
      <c r="DU3" s="7"/>
      <c r="DV3" s="2"/>
      <c r="DW3" s="2"/>
      <c r="DX3" s="2"/>
      <c r="DY3" s="2"/>
      <c r="DZ3" s="2"/>
      <c r="EA3" s="7"/>
      <c r="EB3" s="2"/>
      <c r="EC3" s="2"/>
      <c r="ED3" s="2"/>
      <c r="EE3" s="2"/>
      <c r="EF3" s="2"/>
      <c r="EG3" s="7" t="s">
        <v>223</v>
      </c>
      <c r="EH3" s="2"/>
    </row>
    <row r="4" spans="1:140" ht="12.75" customHeight="1" x14ac:dyDescent="0.2">
      <c r="A4" s="3"/>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7"/>
      <c r="BB4" s="2"/>
      <c r="BC4" s="7"/>
      <c r="BD4" s="7"/>
      <c r="BE4" s="7"/>
      <c r="BF4" s="7"/>
      <c r="BG4" s="7"/>
      <c r="BH4" s="2"/>
      <c r="BI4" s="7"/>
      <c r="BJ4" s="7"/>
      <c r="BK4" s="7"/>
      <c r="BL4" s="7"/>
      <c r="BM4" s="7"/>
      <c r="BN4" s="2"/>
      <c r="BO4" s="7"/>
      <c r="BP4" s="7"/>
      <c r="BQ4" s="7"/>
      <c r="BR4" s="7"/>
      <c r="BS4" s="7"/>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47"/>
      <c r="DC4" s="247"/>
      <c r="DD4" s="2"/>
      <c r="DE4" s="2"/>
      <c r="DF4" s="2"/>
      <c r="DG4" s="2"/>
      <c r="DH4" s="2"/>
      <c r="DI4" s="2"/>
      <c r="DJ4" s="2"/>
      <c r="DK4" s="2"/>
      <c r="DL4" s="2"/>
      <c r="DM4" s="2"/>
      <c r="DN4" s="2"/>
      <c r="DO4" s="2"/>
      <c r="DP4" s="2"/>
      <c r="DQ4" s="2"/>
      <c r="DR4" s="2"/>
      <c r="DS4" s="2"/>
      <c r="DT4" s="2"/>
      <c r="DU4" s="64"/>
      <c r="DV4" s="2"/>
      <c r="DW4" s="2"/>
      <c r="DX4" s="2"/>
      <c r="DY4" s="2"/>
      <c r="DZ4" s="2"/>
      <c r="EA4" s="64"/>
      <c r="EB4" s="2"/>
      <c r="EC4" s="2"/>
      <c r="ED4" s="2"/>
      <c r="EE4" s="2"/>
      <c r="EF4" s="2"/>
      <c r="EG4" s="64" t="s">
        <v>232</v>
      </c>
      <c r="EH4" s="2"/>
    </row>
    <row r="5" spans="1:140" ht="12.75" customHeight="1" x14ac:dyDescent="0.2">
      <c r="A5" s="2" t="s">
        <v>228</v>
      </c>
      <c r="B5" s="2"/>
      <c r="C5" s="2"/>
      <c r="D5" s="2"/>
      <c r="E5" s="2"/>
      <c r="F5" s="2"/>
      <c r="G5" s="2"/>
      <c r="H5" s="2"/>
      <c r="I5" s="2"/>
      <c r="J5" s="2"/>
      <c r="K5" s="2"/>
      <c r="L5" s="2"/>
      <c r="M5" s="2"/>
      <c r="N5" s="2"/>
      <c r="O5" s="2"/>
      <c r="P5" s="2"/>
      <c r="Q5" s="2"/>
      <c r="R5" s="2"/>
      <c r="S5" s="2"/>
      <c r="T5" s="2"/>
      <c r="U5" s="2"/>
      <c r="V5" s="2"/>
      <c r="W5" s="35"/>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7"/>
      <c r="BB5" s="2"/>
      <c r="BC5" s="7"/>
      <c r="BD5" s="7"/>
      <c r="BE5" s="7"/>
      <c r="BF5" s="7"/>
      <c r="BG5" s="7"/>
      <c r="BH5" s="2"/>
      <c r="BI5" s="7"/>
      <c r="BJ5" s="7"/>
      <c r="BK5" s="7"/>
      <c r="BL5" s="7"/>
      <c r="BM5" s="7"/>
      <c r="BN5" s="2"/>
      <c r="BO5" s="7"/>
      <c r="BP5" s="7"/>
      <c r="BQ5" s="7"/>
      <c r="BR5" s="7"/>
      <c r="BS5" s="7"/>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47"/>
      <c r="DC5" s="247"/>
      <c r="DD5" s="2"/>
      <c r="DE5" s="2"/>
      <c r="DF5" s="2"/>
      <c r="DG5" s="2"/>
      <c r="DH5" s="2"/>
      <c r="DI5" s="2"/>
      <c r="DJ5" s="2"/>
      <c r="DK5" s="2"/>
      <c r="DL5" s="2"/>
      <c r="DM5" s="2"/>
      <c r="DN5" s="2"/>
      <c r="DO5" s="2"/>
      <c r="DP5" s="2"/>
      <c r="DQ5" s="2"/>
      <c r="DR5" s="2"/>
      <c r="DS5" s="2"/>
      <c r="DT5" s="2"/>
      <c r="DV5" s="2"/>
      <c r="DW5" s="2"/>
      <c r="DX5" s="2"/>
      <c r="DY5" s="2"/>
      <c r="DZ5" s="2"/>
      <c r="EB5" s="2"/>
      <c r="EC5" s="2"/>
      <c r="ED5" s="2"/>
      <c r="EE5" s="2"/>
      <c r="EF5" s="2"/>
      <c r="EH5" s="2"/>
    </row>
    <row r="6" spans="1:140" ht="12.75" customHeight="1" x14ac:dyDescent="0.2">
      <c r="A6" s="2" t="s">
        <v>229</v>
      </c>
      <c r="B6" s="4"/>
      <c r="C6" s="4"/>
      <c r="D6" s="4"/>
      <c r="E6" s="2"/>
      <c r="F6" s="2"/>
      <c r="G6" s="2"/>
      <c r="H6" s="2"/>
      <c r="I6" s="2"/>
      <c r="J6" s="2"/>
      <c r="K6" s="2"/>
      <c r="L6" s="2"/>
      <c r="M6" s="2"/>
      <c r="N6" s="2"/>
      <c r="O6" s="2"/>
      <c r="P6" s="2"/>
      <c r="Q6" s="2"/>
      <c r="R6" s="2"/>
      <c r="S6" s="2"/>
      <c r="T6" s="2"/>
      <c r="U6" s="2"/>
      <c r="V6" s="2"/>
      <c r="W6" s="2"/>
      <c r="X6" s="2"/>
      <c r="Y6" s="2"/>
      <c r="Z6" s="2"/>
      <c r="AA6" s="2"/>
      <c r="AB6" s="2"/>
      <c r="AC6" s="2"/>
      <c r="AD6" s="2"/>
      <c r="AE6" s="2"/>
      <c r="AF6" s="4"/>
      <c r="AG6" s="4"/>
      <c r="AH6" s="4"/>
      <c r="AI6" s="4"/>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905"/>
      <c r="DP6" s="2"/>
      <c r="DQ6" s="2"/>
      <c r="DR6" s="2"/>
      <c r="DS6" s="2"/>
      <c r="DT6" s="2"/>
      <c r="DU6" s="2"/>
      <c r="DV6" s="2"/>
      <c r="DW6" s="2"/>
      <c r="DX6" s="2"/>
      <c r="DY6" s="2"/>
      <c r="DZ6" s="2"/>
      <c r="EA6" s="2"/>
      <c r="EB6" s="2"/>
      <c r="EC6" s="2"/>
      <c r="ED6" s="2"/>
      <c r="EE6" s="2"/>
      <c r="EF6" s="2"/>
      <c r="EG6" s="2"/>
      <c r="EH6" s="2"/>
    </row>
    <row r="7" spans="1:140" ht="12.75" customHeight="1" x14ac:dyDescent="0.2">
      <c r="A7" s="2"/>
      <c r="B7" s="55"/>
      <c r="C7" s="55"/>
      <c r="D7" s="55"/>
      <c r="E7" s="57"/>
      <c r="F7" s="57"/>
      <c r="G7" s="57"/>
      <c r="H7" s="57"/>
      <c r="I7" s="57"/>
      <c r="J7" s="57"/>
      <c r="K7" s="57"/>
      <c r="L7" s="57"/>
      <c r="M7" s="57"/>
      <c r="N7" s="57"/>
      <c r="O7" s="57"/>
      <c r="P7" s="57"/>
      <c r="Q7" s="57"/>
      <c r="R7" s="57"/>
      <c r="S7" s="57"/>
      <c r="T7" s="57"/>
      <c r="U7" s="57"/>
      <c r="V7" s="57"/>
      <c r="W7" s="57"/>
      <c r="X7" s="57"/>
      <c r="Y7" s="57"/>
      <c r="Z7" s="57"/>
      <c r="AA7" s="57"/>
      <c r="AB7" s="57"/>
      <c r="AC7" s="57"/>
      <c r="AD7" s="57"/>
      <c r="AE7" s="2"/>
      <c r="AF7" s="57"/>
      <c r="AG7" s="57"/>
      <c r="AH7" s="57"/>
      <c r="AI7" s="57"/>
      <c r="AJ7" s="57"/>
      <c r="AK7" s="57"/>
      <c r="AL7" s="57"/>
      <c r="AM7" s="57"/>
      <c r="AN7" s="57"/>
      <c r="AO7" s="57"/>
      <c r="AP7" s="57"/>
      <c r="AQ7" s="57"/>
      <c r="AR7" s="57"/>
      <c r="AS7" s="57"/>
      <c r="AT7" s="57"/>
      <c r="AU7" s="57"/>
      <c r="AV7" s="57"/>
      <c r="AW7" s="57"/>
      <c r="AX7" s="57"/>
      <c r="AY7" s="57"/>
      <c r="AZ7" s="57"/>
      <c r="BA7" s="57"/>
      <c r="BB7" s="57"/>
      <c r="BC7" s="57"/>
      <c r="BD7" s="57"/>
      <c r="BE7" s="57"/>
      <c r="BF7" s="57"/>
      <c r="BG7" s="57"/>
      <c r="BH7" s="57"/>
      <c r="BI7" s="57"/>
      <c r="BJ7" s="57"/>
      <c r="BK7" s="57"/>
      <c r="BL7" s="57"/>
      <c r="BM7" s="2"/>
      <c r="BN7" s="57"/>
      <c r="BO7" s="2"/>
      <c r="BP7" s="2"/>
      <c r="BQ7" s="2"/>
      <c r="BR7" s="2"/>
      <c r="BS7" s="2"/>
      <c r="BT7" s="57"/>
      <c r="BU7" s="2"/>
      <c r="BV7" s="2"/>
      <c r="BW7" s="2"/>
      <c r="BX7" s="2"/>
      <c r="BY7" s="2"/>
      <c r="BZ7" s="57"/>
      <c r="CA7" s="2"/>
      <c r="CB7" s="2"/>
      <c r="CC7" s="2"/>
      <c r="CD7" s="2"/>
      <c r="CE7" s="17"/>
      <c r="CF7" s="57"/>
      <c r="CG7" s="2"/>
      <c r="CH7" s="2"/>
      <c r="CI7" s="2"/>
      <c r="CJ7" s="2"/>
      <c r="CK7" s="17"/>
      <c r="CL7" s="57"/>
      <c r="CM7" s="2"/>
      <c r="CN7" s="2"/>
      <c r="CO7" s="2"/>
      <c r="CP7" s="2"/>
      <c r="CQ7" s="17"/>
      <c r="CR7" s="57"/>
      <c r="CS7" s="2"/>
      <c r="CT7" s="2"/>
      <c r="CU7" s="2"/>
      <c r="CV7" s="2"/>
      <c r="CW7" s="17"/>
      <c r="CX7" s="57"/>
      <c r="CY7" s="5"/>
      <c r="CZ7" s="5"/>
      <c r="DA7" s="5"/>
      <c r="DB7" s="247"/>
      <c r="DC7" s="17"/>
      <c r="DD7" s="57"/>
      <c r="DE7" s="5"/>
      <c r="DF7" s="5"/>
      <c r="DG7" s="5"/>
      <c r="DI7" s="17"/>
      <c r="DJ7" s="57"/>
      <c r="DK7" s="2"/>
      <c r="DL7" s="2"/>
      <c r="DM7" s="2"/>
      <c r="DN7" s="2"/>
      <c r="DO7" s="905"/>
      <c r="DP7" s="57"/>
      <c r="DQ7" s="2"/>
      <c r="DR7" s="2"/>
      <c r="DS7" s="2"/>
      <c r="DT7" s="2"/>
      <c r="DU7" s="2"/>
      <c r="DV7" s="57"/>
      <c r="DW7" s="2"/>
      <c r="DX7" s="2"/>
      <c r="DY7" s="2"/>
      <c r="DZ7" s="2"/>
      <c r="EA7" s="2"/>
      <c r="EB7" s="57"/>
      <c r="EC7" s="2"/>
      <c r="ED7" s="2"/>
      <c r="EE7" s="2"/>
      <c r="EF7" s="2"/>
      <c r="EG7" s="2"/>
      <c r="EH7" s="2"/>
    </row>
    <row r="8" spans="1:140" ht="11.25" customHeight="1" x14ac:dyDescent="0.2">
      <c r="A8" s="129" t="s">
        <v>453</v>
      </c>
      <c r="B8" s="2" t="s">
        <v>108</v>
      </c>
      <c r="C8" s="2"/>
      <c r="D8" s="2"/>
      <c r="E8" s="46">
        <v>1997</v>
      </c>
      <c r="F8" s="63"/>
      <c r="G8" s="46">
        <v>1998</v>
      </c>
      <c r="H8" s="63"/>
      <c r="I8" s="46">
        <v>1999</v>
      </c>
      <c r="J8" s="63"/>
      <c r="K8" s="46">
        <f>2000</f>
        <v>2000</v>
      </c>
      <c r="L8" s="63"/>
      <c r="M8" s="78">
        <v>2001</v>
      </c>
      <c r="N8" s="48"/>
      <c r="O8" s="48"/>
      <c r="P8" s="48"/>
      <c r="Q8" s="46">
        <f>2000+1</f>
        <v>2001</v>
      </c>
      <c r="R8" s="63"/>
      <c r="S8" s="78">
        <f>M8+1</f>
        <v>2002</v>
      </c>
      <c r="T8" s="48"/>
      <c r="U8" s="48"/>
      <c r="V8" s="48"/>
      <c r="W8" s="46">
        <f>Q8+1</f>
        <v>2002</v>
      </c>
      <c r="X8" s="63"/>
      <c r="Y8" s="78">
        <f>S8+1</f>
        <v>2003</v>
      </c>
      <c r="Z8" s="48"/>
      <c r="AA8" s="48"/>
      <c r="AB8" s="48"/>
      <c r="AC8" s="46">
        <f>W8+1</f>
        <v>2003</v>
      </c>
      <c r="AD8" s="63"/>
      <c r="AE8" s="78">
        <f>Y8+1</f>
        <v>2004</v>
      </c>
      <c r="AF8" s="48"/>
      <c r="AG8" s="48"/>
      <c r="AH8" s="48"/>
      <c r="AI8" s="46">
        <f>AC8+1</f>
        <v>2004</v>
      </c>
      <c r="AJ8" s="63"/>
      <c r="AK8" s="78">
        <f>AE8+1</f>
        <v>2005</v>
      </c>
      <c r="AL8" s="48"/>
      <c r="AM8" s="48"/>
      <c r="AN8" s="48"/>
      <c r="AO8" s="46">
        <f>AI8+1</f>
        <v>2005</v>
      </c>
      <c r="AP8" s="63"/>
      <c r="AQ8" s="78">
        <f>AK8+1</f>
        <v>2006</v>
      </c>
      <c r="AR8" s="48"/>
      <c r="AS8" s="48"/>
      <c r="AT8" s="48"/>
      <c r="AU8" s="46">
        <f>AO8+1</f>
        <v>2006</v>
      </c>
      <c r="AV8" s="63"/>
      <c r="AW8" s="78">
        <f>AQ8+1</f>
        <v>2007</v>
      </c>
      <c r="AX8" s="48"/>
      <c r="AY8" s="48"/>
      <c r="AZ8" s="48"/>
      <c r="BA8" s="46">
        <f>AU8+1</f>
        <v>2007</v>
      </c>
      <c r="BB8" s="63"/>
      <c r="BC8" s="78">
        <f>AW8+1</f>
        <v>2008</v>
      </c>
      <c r="BD8" s="48"/>
      <c r="BE8" s="48"/>
      <c r="BF8" s="48"/>
      <c r="BG8" s="46">
        <f>BA8+1</f>
        <v>2008</v>
      </c>
      <c r="BH8" s="63"/>
      <c r="BI8" s="78">
        <f>BC8+1</f>
        <v>2009</v>
      </c>
      <c r="BJ8" s="48"/>
      <c r="BK8" s="48"/>
      <c r="BL8" s="48"/>
      <c r="BM8" s="46">
        <f>BG8+1</f>
        <v>2009</v>
      </c>
      <c r="BN8" s="63"/>
      <c r="BO8" s="78">
        <f>BI8+1</f>
        <v>2010</v>
      </c>
      <c r="BP8" s="48"/>
      <c r="BQ8" s="48"/>
      <c r="BR8" s="48"/>
      <c r="BS8" s="46">
        <f>BM8+1</f>
        <v>2010</v>
      </c>
      <c r="BT8" s="63"/>
      <c r="BU8" s="78">
        <f>BO8+1</f>
        <v>2011</v>
      </c>
      <c r="BV8" s="48"/>
      <c r="BW8" s="48"/>
      <c r="BX8" s="48"/>
      <c r="BY8" s="46">
        <f>BS8+1</f>
        <v>2011</v>
      </c>
      <c r="BZ8" s="63"/>
      <c r="CA8" s="78">
        <f>BU8+1</f>
        <v>2012</v>
      </c>
      <c r="CB8" s="48"/>
      <c r="CC8" s="48"/>
      <c r="CD8" s="48"/>
      <c r="CE8" s="46">
        <f>BY8+1</f>
        <v>2012</v>
      </c>
      <c r="CF8" s="63"/>
      <c r="CG8" s="78">
        <f>CA8+1</f>
        <v>2013</v>
      </c>
      <c r="CH8" s="48"/>
      <c r="CI8" s="48"/>
      <c r="CJ8" s="48"/>
      <c r="CK8" s="46">
        <f>CE8+1</f>
        <v>2013</v>
      </c>
      <c r="CL8" s="63"/>
      <c r="CM8" s="78">
        <f>CG8+1</f>
        <v>2014</v>
      </c>
      <c r="CN8" s="48"/>
      <c r="CO8" s="48"/>
      <c r="CP8" s="48"/>
      <c r="CQ8" s="46">
        <f>CK8+1</f>
        <v>2014</v>
      </c>
      <c r="CR8" s="63"/>
      <c r="CS8" s="78">
        <f>CM8+1</f>
        <v>2015</v>
      </c>
      <c r="CT8" s="48"/>
      <c r="CU8" s="48"/>
      <c r="CV8" s="48"/>
      <c r="CW8" s="46">
        <f>CQ8+1</f>
        <v>2015</v>
      </c>
      <c r="CX8" s="63"/>
      <c r="CY8" s="78">
        <f>CS8+1</f>
        <v>2016</v>
      </c>
      <c r="CZ8" s="48"/>
      <c r="DA8" s="48"/>
      <c r="DB8" s="48"/>
      <c r="DC8" s="46">
        <f>CW8+1</f>
        <v>2016</v>
      </c>
      <c r="DD8" s="63"/>
      <c r="DE8" s="78">
        <f>CY8+1</f>
        <v>2017</v>
      </c>
      <c r="DF8" s="48"/>
      <c r="DG8" s="48"/>
      <c r="DH8" s="48"/>
      <c r="DI8" s="46">
        <f>DC8+1</f>
        <v>2017</v>
      </c>
      <c r="DJ8" s="63"/>
      <c r="DK8" s="88">
        <f>DE8+1</f>
        <v>2018</v>
      </c>
      <c r="DL8" s="48"/>
      <c r="DM8" s="48"/>
      <c r="DN8" s="48"/>
      <c r="DO8" s="98">
        <f>DI8+1</f>
        <v>2018</v>
      </c>
      <c r="DP8" s="63"/>
      <c r="DQ8" s="88">
        <f>DK8+1</f>
        <v>2019</v>
      </c>
      <c r="DR8" s="48"/>
      <c r="DS8" s="48"/>
      <c r="DT8" s="48"/>
      <c r="DU8" s="98">
        <f>DO8+1</f>
        <v>2019</v>
      </c>
      <c r="DV8" s="63"/>
      <c r="DW8" s="88">
        <f t="shared" ref="DW8" si="0">DQ8+1</f>
        <v>2020</v>
      </c>
      <c r="DX8" s="48"/>
      <c r="DY8" s="48"/>
      <c r="DZ8" s="48"/>
      <c r="EA8" s="98">
        <f t="shared" ref="EA8" si="1">DU8+1</f>
        <v>2020</v>
      </c>
      <c r="EB8" s="63"/>
      <c r="EC8" s="88">
        <f t="shared" ref="EC8" si="2">DW8+1</f>
        <v>2021</v>
      </c>
      <c r="ED8" s="48"/>
      <c r="EE8" s="48"/>
      <c r="EF8" s="48"/>
      <c r="EG8" s="98">
        <f t="shared" ref="EG8" si="3">EA8+1</f>
        <v>2021</v>
      </c>
      <c r="EH8" s="2"/>
    </row>
    <row r="9" spans="1:140" ht="11.25" customHeight="1" x14ac:dyDescent="0.2">
      <c r="A9" s="51"/>
      <c r="B9" s="65"/>
      <c r="C9" s="65"/>
      <c r="D9" s="65"/>
      <c r="E9" s="89"/>
      <c r="F9" s="58"/>
      <c r="G9" s="89"/>
      <c r="H9" s="58"/>
      <c r="I9" s="89"/>
      <c r="J9" s="58"/>
      <c r="K9" s="89"/>
      <c r="L9" s="58"/>
      <c r="M9" s="79">
        <v>36981</v>
      </c>
      <c r="N9" s="66">
        <f>M9+FLOOR(365/4,1)</f>
        <v>37072</v>
      </c>
      <c r="O9" s="66">
        <f>N9+FLOOR(365/4,1)+1</f>
        <v>37164</v>
      </c>
      <c r="P9" s="66">
        <f>O9+FLOOR(365/4,1)+1</f>
        <v>37256</v>
      </c>
      <c r="Q9" s="97"/>
      <c r="R9" s="58"/>
      <c r="S9" s="79">
        <f>M9+365</f>
        <v>37346</v>
      </c>
      <c r="T9" s="66">
        <f>S9+FLOOR(365/4,1)</f>
        <v>37437</v>
      </c>
      <c r="U9" s="66">
        <f>T9+FLOOR(365/4,1)+1</f>
        <v>37529</v>
      </c>
      <c r="V9" s="66">
        <f>U9+FLOOR(365/4,1)+1</f>
        <v>37621</v>
      </c>
      <c r="W9" s="97"/>
      <c r="X9" s="58"/>
      <c r="Y9" s="79">
        <f>S9+365</f>
        <v>37711</v>
      </c>
      <c r="Z9" s="66">
        <f>Y9+FLOOR(365/4,1)</f>
        <v>37802</v>
      </c>
      <c r="AA9" s="66">
        <f>Z9+FLOOR(365/4,1)+1</f>
        <v>37894</v>
      </c>
      <c r="AB9" s="66">
        <f>AA9+FLOOR(365/4,1)+1</f>
        <v>37986</v>
      </c>
      <c r="AC9" s="97"/>
      <c r="AD9" s="58"/>
      <c r="AE9" s="79">
        <f>Y9+365</f>
        <v>38076</v>
      </c>
      <c r="AF9" s="66">
        <f>AE9+FLOOR(365/4,1)</f>
        <v>38167</v>
      </c>
      <c r="AG9" s="66">
        <f>AF9+FLOOR(365/4,1)+1</f>
        <v>38259</v>
      </c>
      <c r="AH9" s="66">
        <f>AG9+FLOOR(365/4,1)+1</f>
        <v>38351</v>
      </c>
      <c r="AI9" s="97"/>
      <c r="AJ9" s="58"/>
      <c r="AK9" s="79">
        <f>AE9+365</f>
        <v>38441</v>
      </c>
      <c r="AL9" s="66">
        <f>AK9+FLOOR(365/4,1)</f>
        <v>38532</v>
      </c>
      <c r="AM9" s="66">
        <f>AL9+FLOOR(365/4,1)+1</f>
        <v>38624</v>
      </c>
      <c r="AN9" s="66">
        <f>AM9+FLOOR(365/4,1)+1</f>
        <v>38716</v>
      </c>
      <c r="AO9" s="97"/>
      <c r="AP9" s="58"/>
      <c r="AQ9" s="79">
        <f>AK9+365</f>
        <v>38806</v>
      </c>
      <c r="AR9" s="66">
        <f>AQ9+FLOOR(365/4,1)</f>
        <v>38897</v>
      </c>
      <c r="AS9" s="66">
        <f>AR9+FLOOR(365/4,1)+1</f>
        <v>38989</v>
      </c>
      <c r="AT9" s="66">
        <f>AS9+FLOOR(365/4,1)+1</f>
        <v>39081</v>
      </c>
      <c r="AU9" s="97"/>
      <c r="AV9" s="58"/>
      <c r="AW9" s="79">
        <f>AQ9+365</f>
        <v>39171</v>
      </c>
      <c r="AX9" s="66">
        <f>AW9+FLOOR(365/4,1)</f>
        <v>39262</v>
      </c>
      <c r="AY9" s="66">
        <f>AX9+FLOOR(365/4,1)+1</f>
        <v>39354</v>
      </c>
      <c r="AZ9" s="66">
        <f>AY9+FLOOR(365/4,1)+1</f>
        <v>39446</v>
      </c>
      <c r="BA9" s="97"/>
      <c r="BB9" s="58"/>
      <c r="BC9" s="79">
        <f>AW9+365</f>
        <v>39536</v>
      </c>
      <c r="BD9" s="66">
        <f>BC9+FLOOR(365/4,1)</f>
        <v>39627</v>
      </c>
      <c r="BE9" s="66">
        <f>BD9+FLOOR(365/4,1)+1</f>
        <v>39719</v>
      </c>
      <c r="BF9" s="66">
        <f>BE9+FLOOR(365/4,1)+1</f>
        <v>39811</v>
      </c>
      <c r="BG9" s="97"/>
      <c r="BH9" s="58"/>
      <c r="BI9" s="79">
        <f>BC9+365</f>
        <v>39901</v>
      </c>
      <c r="BJ9" s="66">
        <f>BI9+FLOOR(365/4,1)</f>
        <v>39992</v>
      </c>
      <c r="BK9" s="66">
        <f>BJ9+FLOOR(365/4,1)+1</f>
        <v>40084</v>
      </c>
      <c r="BL9" s="66">
        <f>BK9+FLOOR(365/4,1)+1</f>
        <v>40176</v>
      </c>
      <c r="BM9" s="97"/>
      <c r="BN9" s="58"/>
      <c r="BO9" s="79">
        <f>BI9+365</f>
        <v>40266</v>
      </c>
      <c r="BP9" s="66">
        <f>BO9+FLOOR(365/4,1)</f>
        <v>40357</v>
      </c>
      <c r="BQ9" s="66">
        <f>BP9+FLOOR(365/4,1)+1</f>
        <v>40449</v>
      </c>
      <c r="BR9" s="66">
        <f>BQ9+FLOOR(365/4,1)+1</f>
        <v>40541</v>
      </c>
      <c r="BS9" s="97"/>
      <c r="BT9" s="58"/>
      <c r="BU9" s="79">
        <f>BO9+365</f>
        <v>40631</v>
      </c>
      <c r="BV9" s="66">
        <f>BU9+FLOOR(365/4,1)</f>
        <v>40722</v>
      </c>
      <c r="BW9" s="66">
        <f>BV9+FLOOR(365/4,1)+1</f>
        <v>40814</v>
      </c>
      <c r="BX9" s="66">
        <f>BW9+FLOOR(365/4,1)+1</f>
        <v>40906</v>
      </c>
      <c r="BY9" s="97"/>
      <c r="BZ9" s="58"/>
      <c r="CA9" s="79">
        <f>BU9+365</f>
        <v>40996</v>
      </c>
      <c r="CB9" s="66">
        <f>CA9+FLOOR(365/4,1)</f>
        <v>41087</v>
      </c>
      <c r="CC9" s="66">
        <f>CB9+FLOOR(365/4,1)+1</f>
        <v>41179</v>
      </c>
      <c r="CD9" s="66">
        <f>CC9+FLOOR(365/4,1)+1</f>
        <v>41271</v>
      </c>
      <c r="CE9" s="97"/>
      <c r="CF9" s="58"/>
      <c r="CG9" s="79">
        <f>CA9+365</f>
        <v>41361</v>
      </c>
      <c r="CH9" s="66">
        <f>CG9+FLOOR(365/4,1)</f>
        <v>41452</v>
      </c>
      <c r="CI9" s="66">
        <f>CH9+FLOOR(365/4,1)+1</f>
        <v>41544</v>
      </c>
      <c r="CJ9" s="66">
        <f>CI9+FLOOR(365/4,1)+1</f>
        <v>41636</v>
      </c>
      <c r="CK9" s="97"/>
      <c r="CL9" s="58"/>
      <c r="CM9" s="79">
        <f>CG9+365</f>
        <v>41726</v>
      </c>
      <c r="CN9" s="66">
        <f>CM9+FLOOR(365/4,1)</f>
        <v>41817</v>
      </c>
      <c r="CO9" s="66">
        <f>CN9+FLOOR(365/4,1)+1</f>
        <v>41909</v>
      </c>
      <c r="CP9" s="66">
        <f>CO9+FLOOR(365/4,1)+1</f>
        <v>42001</v>
      </c>
      <c r="CQ9" s="97"/>
      <c r="CR9" s="58"/>
      <c r="CS9" s="79">
        <f>CM9+365</f>
        <v>42091</v>
      </c>
      <c r="CT9" s="66">
        <f>CS9+FLOOR(365/4,1)</f>
        <v>42182</v>
      </c>
      <c r="CU9" s="66">
        <f>CT9+FLOOR(365/4,1)+1</f>
        <v>42274</v>
      </c>
      <c r="CV9" s="66">
        <f>CU9+FLOOR(365/4,1)+1</f>
        <v>42366</v>
      </c>
      <c r="CW9" s="97"/>
      <c r="CX9" s="58"/>
      <c r="CY9" s="79">
        <f>CS9+365</f>
        <v>42456</v>
      </c>
      <c r="CZ9" s="66">
        <f>CY9+FLOOR(365/4,1)</f>
        <v>42547</v>
      </c>
      <c r="DA9" s="66">
        <f>CZ9+FLOOR(365/4,1)+1</f>
        <v>42639</v>
      </c>
      <c r="DB9" s="66">
        <f>DA9+FLOOR(365/4,1)+1</f>
        <v>42731</v>
      </c>
      <c r="DC9" s="97"/>
      <c r="DD9" s="58"/>
      <c r="DE9" s="79">
        <v>42825</v>
      </c>
      <c r="DF9" s="66">
        <v>42916</v>
      </c>
      <c r="DG9" s="66">
        <v>43008</v>
      </c>
      <c r="DH9" s="66">
        <v>43100</v>
      </c>
      <c r="DI9" s="97"/>
      <c r="DJ9" s="58"/>
      <c r="DK9" s="79">
        <f>DE9+365</f>
        <v>43190</v>
      </c>
      <c r="DL9" s="102">
        <f>DF9+365</f>
        <v>43281</v>
      </c>
      <c r="DM9" s="102">
        <f>DG9+365</f>
        <v>43373</v>
      </c>
      <c r="DN9" s="103">
        <f>DH9+365</f>
        <v>43465</v>
      </c>
      <c r="DO9" s="97"/>
      <c r="DP9" s="58"/>
      <c r="DQ9" s="101">
        <f>DK9+365</f>
        <v>43555</v>
      </c>
      <c r="DR9" s="102">
        <f>DL9+365</f>
        <v>43646</v>
      </c>
      <c r="DS9" s="102">
        <f>DM9+365</f>
        <v>43738</v>
      </c>
      <c r="DT9" s="103">
        <f>DN9+365</f>
        <v>43830</v>
      </c>
      <c r="DU9" s="97"/>
      <c r="DV9" s="58"/>
      <c r="DW9" s="101">
        <f t="shared" ref="DW9:DZ9" si="4">DQ9+365</f>
        <v>43920</v>
      </c>
      <c r="DX9" s="102">
        <f t="shared" si="4"/>
        <v>44011</v>
      </c>
      <c r="DY9" s="102">
        <f t="shared" si="4"/>
        <v>44103</v>
      </c>
      <c r="DZ9" s="103">
        <f t="shared" si="4"/>
        <v>44195</v>
      </c>
      <c r="EA9" s="97"/>
      <c r="EB9" s="58"/>
      <c r="EC9" s="101">
        <f t="shared" ref="EC9" si="5">DW9+365</f>
        <v>44285</v>
      </c>
      <c r="ED9" s="102">
        <f t="shared" ref="ED9" si="6">DX9+365</f>
        <v>44376</v>
      </c>
      <c r="EE9" s="102">
        <f t="shared" ref="EE9" si="7">DY9+365</f>
        <v>44468</v>
      </c>
      <c r="EF9" s="103">
        <f t="shared" ref="EF9" si="8">DZ9+365</f>
        <v>44560</v>
      </c>
      <c r="EG9" s="97"/>
      <c r="EH9" s="2"/>
      <c r="EJ9" s="481"/>
    </row>
    <row r="10" spans="1:140" ht="11.25" hidden="1" customHeight="1" outlineLevel="1" x14ac:dyDescent="0.2">
      <c r="A10" s="51"/>
      <c r="B10" s="30"/>
      <c r="C10" s="30"/>
      <c r="D10" s="30"/>
      <c r="E10" s="90"/>
      <c r="F10" s="7"/>
      <c r="G10" s="90"/>
      <c r="H10" s="7"/>
      <c r="I10" s="90"/>
      <c r="J10" s="7"/>
      <c r="K10" s="90"/>
      <c r="L10" s="7"/>
      <c r="M10" s="80"/>
      <c r="N10" s="7"/>
      <c r="O10" s="7"/>
      <c r="P10" s="7"/>
      <c r="Q10" s="90"/>
      <c r="R10" s="7"/>
      <c r="S10" s="80"/>
      <c r="T10" s="7"/>
      <c r="U10" s="7"/>
      <c r="V10" s="7"/>
      <c r="W10" s="90"/>
      <c r="X10" s="7"/>
      <c r="Y10" s="80"/>
      <c r="Z10" s="7"/>
      <c r="AA10" s="7"/>
      <c r="AB10" s="7"/>
      <c r="AC10" s="90"/>
      <c r="AD10" s="7"/>
      <c r="AE10" s="80"/>
      <c r="AF10" s="7"/>
      <c r="AG10" s="7"/>
      <c r="AH10" s="7"/>
      <c r="AI10" s="90"/>
      <c r="AJ10" s="7"/>
      <c r="AK10" s="80"/>
      <c r="AL10" s="7"/>
      <c r="AM10" s="7"/>
      <c r="AN10" s="7"/>
      <c r="AO10" s="90"/>
      <c r="AP10" s="7"/>
      <c r="AQ10" s="80"/>
      <c r="AR10" s="7"/>
      <c r="AS10" s="7"/>
      <c r="AT10" s="7"/>
      <c r="AU10" s="90"/>
      <c r="AV10" s="7"/>
      <c r="AW10" s="80"/>
      <c r="AX10" s="7"/>
      <c r="AY10" s="7"/>
      <c r="AZ10" s="7"/>
      <c r="BA10" s="90"/>
      <c r="BB10" s="7"/>
      <c r="BC10" s="80"/>
      <c r="BD10" s="7"/>
      <c r="BE10" s="7"/>
      <c r="BF10" s="7"/>
      <c r="BG10" s="90"/>
      <c r="BH10" s="7"/>
      <c r="BI10" s="80"/>
      <c r="BJ10" s="7"/>
      <c r="BK10" s="7"/>
      <c r="BL10" s="7"/>
      <c r="BM10" s="90"/>
      <c r="BN10" s="7"/>
      <c r="BO10" s="80"/>
      <c r="BP10" s="7"/>
      <c r="BQ10" s="7"/>
      <c r="BR10" s="7"/>
      <c r="BS10" s="90"/>
      <c r="BT10" s="7"/>
      <c r="BU10" s="80"/>
      <c r="BV10" s="7"/>
      <c r="BW10" s="7"/>
      <c r="BX10" s="7"/>
      <c r="BY10" s="90"/>
      <c r="BZ10" s="7"/>
      <c r="CA10" s="80"/>
      <c r="CB10" s="7"/>
      <c r="CC10" s="7"/>
      <c r="CD10" s="7"/>
      <c r="CE10" s="548"/>
      <c r="CF10" s="7"/>
      <c r="CG10" s="80"/>
      <c r="CH10" s="7"/>
      <c r="CI10" s="7"/>
      <c r="CJ10" s="7"/>
      <c r="CK10" s="90"/>
      <c r="CL10" s="7"/>
      <c r="CM10" s="80"/>
      <c r="CN10" s="7"/>
      <c r="CO10" s="7"/>
      <c r="CP10" s="7"/>
      <c r="CQ10" s="90"/>
      <c r="CR10" s="7"/>
      <c r="CS10" s="80"/>
      <c r="CT10" s="7"/>
      <c r="CU10" s="7"/>
      <c r="CV10" s="7"/>
      <c r="CW10" s="90"/>
      <c r="CX10" s="7"/>
      <c r="CY10" s="80"/>
      <c r="CZ10" s="7"/>
      <c r="DA10" s="7"/>
      <c r="DB10" s="7"/>
      <c r="DC10" s="90"/>
      <c r="DD10" s="7"/>
      <c r="DE10" s="80"/>
      <c r="DF10" s="7"/>
      <c r="DG10" s="7"/>
      <c r="DH10" s="7"/>
      <c r="DI10" s="90"/>
      <c r="DJ10" s="7"/>
      <c r="DK10" s="80"/>
      <c r="DL10" s="7"/>
      <c r="DM10" s="7"/>
      <c r="DN10" s="7"/>
      <c r="DO10" s="90"/>
      <c r="DP10" s="7"/>
      <c r="DQ10" s="80"/>
      <c r="DR10" s="7"/>
      <c r="DS10" s="7"/>
      <c r="DT10" s="7"/>
      <c r="DU10" s="90"/>
      <c r="DV10" s="7"/>
      <c r="DW10" s="80"/>
      <c r="DX10" s="7"/>
      <c r="DY10" s="7"/>
      <c r="DZ10" s="7"/>
      <c r="EA10" s="90"/>
      <c r="EB10" s="7"/>
      <c r="EC10" s="80"/>
      <c r="ED10" s="7"/>
      <c r="EE10" s="7"/>
      <c r="EF10" s="7"/>
      <c r="EG10" s="90"/>
      <c r="EH10" s="7"/>
      <c r="EJ10" s="481"/>
    </row>
    <row r="11" spans="1:140" ht="11.25" customHeight="1" collapsed="1" x14ac:dyDescent="0.2">
      <c r="A11" s="51" t="s">
        <v>239</v>
      </c>
      <c r="B11" s="14"/>
      <c r="C11" s="14"/>
      <c r="D11" s="14"/>
      <c r="E11" s="91"/>
      <c r="F11" s="67"/>
      <c r="G11" s="91"/>
      <c r="H11" s="67"/>
      <c r="I11" s="91"/>
      <c r="J11" s="67"/>
      <c r="K11" s="91"/>
      <c r="L11" s="67"/>
      <c r="M11" s="81"/>
      <c r="N11" s="69"/>
      <c r="O11" s="69"/>
      <c r="P11" s="69"/>
      <c r="Q11" s="93"/>
      <c r="R11" s="67"/>
      <c r="S11" s="354">
        <f>+DHR!S343</f>
        <v>156.147785</v>
      </c>
      <c r="T11" s="355">
        <f>+DHR!T343</f>
        <v>205.0600718831169</v>
      </c>
      <c r="U11" s="355">
        <f>+DHR!U343</f>
        <v>217.1392228338762</v>
      </c>
      <c r="V11" s="355">
        <f>+DHR!V343</f>
        <v>266.06033028300698</v>
      </c>
      <c r="W11" s="93">
        <f>SUM(S11:V11)</f>
        <v>844.40741000000003</v>
      </c>
      <c r="X11" s="67"/>
      <c r="Y11" s="354">
        <f>+DHR!Y343</f>
        <v>223.654507</v>
      </c>
      <c r="Z11" s="355">
        <f>+DHR!Z343</f>
        <v>244.50004300000001</v>
      </c>
      <c r="AA11" s="355">
        <f>+DHR!AA343</f>
        <v>262.09071899999998</v>
      </c>
      <c r="AB11" s="355">
        <f>+DHR!AB343</f>
        <v>320.27545699999996</v>
      </c>
      <c r="AC11" s="93">
        <f t="shared" ref="AC11" si="9">SUM(Y11:AB11)</f>
        <v>1050.520726</v>
      </c>
      <c r="AD11" s="67"/>
      <c r="AE11" s="354">
        <f>+DHR!AE343</f>
        <v>374.78693160000006</v>
      </c>
      <c r="AF11" s="355">
        <f>+DHR!AF343</f>
        <v>397.55146960000002</v>
      </c>
      <c r="AG11" s="355">
        <f>+DHR!AG343</f>
        <v>531.41052720000005</v>
      </c>
      <c r="AH11" s="355">
        <f>+DHR!AH343</f>
        <v>663.35467160000007</v>
      </c>
      <c r="AI11" s="93">
        <f t="shared" ref="AI11" si="10">SUM(AE11:AH11)</f>
        <v>1967.1036000000004</v>
      </c>
      <c r="AJ11" s="67"/>
      <c r="AK11" s="354">
        <f>+DHR!AK343</f>
        <v>580.52810019000003</v>
      </c>
      <c r="AL11" s="355">
        <f>+DHR!AL343</f>
        <v>612.07239015999994</v>
      </c>
      <c r="AM11" s="355">
        <f>+DHR!AM343</f>
        <v>698.74651801599998</v>
      </c>
      <c r="AN11" s="355">
        <f>+DHR!AN343</f>
        <v>914.99751163399992</v>
      </c>
      <c r="AO11" s="93">
        <f t="shared" ref="AO11" si="11">SUM(AK11:AN11)</f>
        <v>2806.3445199999996</v>
      </c>
      <c r="AP11" s="67"/>
      <c r="AQ11" s="354">
        <f>+DHR!AQ343</f>
        <v>793.97562594850001</v>
      </c>
      <c r="AR11" s="355">
        <f>+DHR!AR343</f>
        <v>917.10867355280004</v>
      </c>
      <c r="AS11" s="355">
        <f>+DHR!AS343</f>
        <v>1064.49084854784</v>
      </c>
      <c r="AT11" s="355">
        <f>+DHR!AT343</f>
        <v>1177.3594519508601</v>
      </c>
      <c r="AU11" s="93">
        <f t="shared" ref="AU11" si="12">SUM(AQ11:AT11)</f>
        <v>3952.9346</v>
      </c>
      <c r="AV11" s="67"/>
      <c r="AW11" s="354">
        <f>+DHR!AW343</f>
        <v>1133.297698668785</v>
      </c>
      <c r="AX11" s="355">
        <f>+DHR!AX343</f>
        <v>1170.310342187156</v>
      </c>
      <c r="AY11" s="355">
        <f>+DHR!AY343</f>
        <v>1279.2776436155905</v>
      </c>
      <c r="AZ11" s="355">
        <f>+DHR!AZ343</f>
        <v>1453.9187475284687</v>
      </c>
      <c r="BA11" s="93">
        <f t="shared" ref="BA11" si="13">SUM(AW11:AZ11)</f>
        <v>5036.8044319999999</v>
      </c>
      <c r="BB11" s="67"/>
      <c r="BC11" s="354">
        <f>+DHR!BC343</f>
        <v>1270.6932926186405</v>
      </c>
      <c r="BD11" s="355">
        <f>+DHR!BD343</f>
        <v>1374.5970106005987</v>
      </c>
      <c r="BE11" s="355">
        <f>+DHR!BE343</f>
        <v>1396.6854842249224</v>
      </c>
      <c r="BF11" s="355">
        <f>+DHR!BF343</f>
        <v>1418.6644135558386</v>
      </c>
      <c r="BG11" s="93">
        <f t="shared" ref="BG11" si="14">SUM(BC11:BF11)</f>
        <v>5460.6402010000002</v>
      </c>
      <c r="BH11" s="67"/>
      <c r="BI11" s="354">
        <f>+DHR!BI343</f>
        <v>1182.6266517368181</v>
      </c>
      <c r="BJ11" s="355">
        <f>+DHR!BJ343</f>
        <v>1219.8267844244151</v>
      </c>
      <c r="BK11" s="355">
        <f>+DHR!BK343</f>
        <v>1289.88488646357</v>
      </c>
      <c r="BL11" s="355">
        <f>+DHR!BL343</f>
        <v>1534.4297321593156</v>
      </c>
      <c r="BM11" s="93">
        <f t="shared" ref="BM11" si="15">SUM(BI11:BL11)</f>
        <v>5226.7680547841192</v>
      </c>
      <c r="BN11" s="67"/>
      <c r="BO11" s="354">
        <f>+DHR!BO343</f>
        <v>1468.6536596595502</v>
      </c>
      <c r="BP11" s="355">
        <f>+DHR!BP343</f>
        <v>1547.8888683911962</v>
      </c>
      <c r="BQ11" s="355">
        <f>+DHR!BQ343</f>
        <v>1584.0443499420053</v>
      </c>
      <c r="BR11" s="355">
        <f>+DHR!BR343</f>
        <v>1833.2606111255113</v>
      </c>
      <c r="BS11" s="93">
        <f t="shared" ref="BS11" si="16">SUM(BO11:BR11)</f>
        <v>6433.8474891182632</v>
      </c>
      <c r="BT11" s="67"/>
      <c r="BU11" s="354">
        <f>+DHR!BU343</f>
        <v>1741.3674587117498</v>
      </c>
      <c r="BV11" s="355">
        <f>+DHR!BV343</f>
        <v>1913.5618555288188</v>
      </c>
      <c r="BW11" s="355">
        <f>+DHR!BW343</f>
        <v>2771.197900866513</v>
      </c>
      <c r="BX11" s="355">
        <f>+DHR!BX343</f>
        <v>3037.0781452571764</v>
      </c>
      <c r="BY11" s="93">
        <f t="shared" ref="BY11" si="17">SUM(BU11:BX11)</f>
        <v>9463.205360364258</v>
      </c>
      <c r="BZ11" s="67"/>
      <c r="CA11" s="354">
        <f>+DHR!CA343</f>
        <v>2739.2851894380619</v>
      </c>
      <c r="CB11" s="355">
        <f>+DHR!CB343</f>
        <v>2879.2599284048788</v>
      </c>
      <c r="CC11" s="355">
        <f>+DHR!CC343</f>
        <v>2820.3650155954101</v>
      </c>
      <c r="CD11" s="355">
        <f>+DHR!CD343</f>
        <v>3281.8800335712622</v>
      </c>
      <c r="CE11" s="93">
        <f t="shared" ref="CE11" si="18">SUM(CA11:CD11)</f>
        <v>11720.790167009614</v>
      </c>
      <c r="CF11" s="67"/>
      <c r="CG11" s="354">
        <f>+DHR!CG343</f>
        <v>2822.9628970617086</v>
      </c>
      <c r="CH11" s="355">
        <f>+DHR!CH343</f>
        <v>3041.6415387446232</v>
      </c>
      <c r="CI11" s="355">
        <f>+DHR!CI343</f>
        <v>3036.4124760985433</v>
      </c>
      <c r="CJ11" s="355">
        <f>+DHR!CJ343</f>
        <v>3459.884404543398</v>
      </c>
      <c r="CK11" s="93">
        <f t="shared" ref="CK11" si="19">SUM(CG11:CJ11)</f>
        <v>12360.901316448273</v>
      </c>
      <c r="CL11" s="67"/>
      <c r="CM11" s="354">
        <f>+DHR!CM343</f>
        <v>2960.2517827254806</v>
      </c>
      <c r="CN11" s="355">
        <f>+DHR!CN343</f>
        <v>3181.9661183308053</v>
      </c>
      <c r="CO11" s="355">
        <f>+DHR!CO343</f>
        <v>3160.5174480486394</v>
      </c>
      <c r="CP11" s="355">
        <f>+DHR!CP343</f>
        <v>3564.1214493992011</v>
      </c>
      <c r="CQ11" s="93">
        <f>SUM(CM11:CP11)</f>
        <v>12866.856798504126</v>
      </c>
      <c r="CR11" s="67"/>
      <c r="CS11" s="84">
        <v>3192.2</v>
      </c>
      <c r="CT11" s="71">
        <v>3406.3</v>
      </c>
      <c r="CU11" s="71">
        <v>3512.2</v>
      </c>
      <c r="CV11" s="71">
        <v>4323</v>
      </c>
      <c r="CW11" s="93">
        <f>SUM(CS11:CV11)</f>
        <v>14433.7</v>
      </c>
      <c r="CX11" s="67"/>
      <c r="CY11" s="84">
        <v>3924.1</v>
      </c>
      <c r="CZ11" s="71">
        <v>4241.8999999999996</v>
      </c>
      <c r="DA11" s="71">
        <v>4132.1000000000004</v>
      </c>
      <c r="DB11" s="71">
        <v>4584.3</v>
      </c>
      <c r="DC11" s="93">
        <f>SUM(CY11:DB11)</f>
        <v>16882.400000000001</v>
      </c>
      <c r="DD11" s="67"/>
      <c r="DE11" s="84">
        <v>4205.7</v>
      </c>
      <c r="DF11" s="71">
        <v>4510.1000000000004</v>
      </c>
      <c r="DG11" s="71">
        <v>4528.2</v>
      </c>
      <c r="DH11" s="71">
        <v>5085.7</v>
      </c>
      <c r="DI11" s="93">
        <f>SUM(DE11:DH11)</f>
        <v>18329.7</v>
      </c>
      <c r="DJ11" s="67"/>
      <c r="DK11" s="84">
        <v>4695.3999999999996</v>
      </c>
      <c r="DL11" s="355">
        <f>+DHR!DL343</f>
        <v>4930.1925000000001</v>
      </c>
      <c r="DM11" s="355">
        <f>+DHR!DM343</f>
        <v>4850.5630000000001</v>
      </c>
      <c r="DN11" s="355">
        <f>+DHR!DN343</f>
        <v>5438.3014999999996</v>
      </c>
      <c r="DO11" s="93">
        <f>SUM(DK11:DN11)</f>
        <v>19914.456999999999</v>
      </c>
      <c r="DP11" s="67"/>
      <c r="DQ11" s="354">
        <f>+DHR!DQ343</f>
        <v>4913.6762500000004</v>
      </c>
      <c r="DR11" s="355">
        <f>+DHR!DR343</f>
        <v>5168.4449199999999</v>
      </c>
      <c r="DS11" s="355">
        <f>+DHR!DS343</f>
        <v>5041.1305800000009</v>
      </c>
      <c r="DT11" s="355">
        <f>+DHR!DT343</f>
        <v>5650.8861350000006</v>
      </c>
      <c r="DU11" s="93">
        <f>SUM(DQ11:DT11)</f>
        <v>20774.137885000004</v>
      </c>
      <c r="DV11" s="67"/>
      <c r="DW11" s="354">
        <f>+DHR!DW343</f>
        <v>5123.9233112499996</v>
      </c>
      <c r="DX11" s="355">
        <f>+DHR!DX343</f>
        <v>5389.6040598500003</v>
      </c>
      <c r="DY11" s="355">
        <f>+DHR!DY343</f>
        <v>5256.8937671500007</v>
      </c>
      <c r="DZ11" s="355">
        <f>+DHR!DZ343</f>
        <v>5892.3971533250015</v>
      </c>
      <c r="EA11" s="93">
        <f t="shared" ref="EA11:EA13" si="20">SUM(DW11:DZ11)</f>
        <v>21662.818291575004</v>
      </c>
      <c r="EB11" s="67"/>
      <c r="EC11" s="354">
        <f>+DHR!EC343</f>
        <v>5343.3766571562501</v>
      </c>
      <c r="ED11" s="355">
        <f>+DHR!ED343</f>
        <v>5620.4517111407504</v>
      </c>
      <c r="EE11" s="355">
        <f>+DHR!EE343</f>
        <v>5482.1094238462501</v>
      </c>
      <c r="EF11" s="355">
        <f>+DHR!EF343</f>
        <v>6144.4747495411257</v>
      </c>
      <c r="EG11" s="93">
        <f t="shared" ref="EG11:EG13" si="21">SUM(EC11:EF11)</f>
        <v>22590.412541684374</v>
      </c>
      <c r="EH11" s="9"/>
      <c r="EJ11" s="481"/>
    </row>
    <row r="12" spans="1:140" ht="11.25" customHeight="1" x14ac:dyDescent="0.2">
      <c r="A12" s="104" t="s">
        <v>461</v>
      </c>
      <c r="B12" s="14"/>
      <c r="C12" s="14"/>
      <c r="D12" s="14"/>
      <c r="E12" s="92"/>
      <c r="F12" s="67"/>
      <c r="G12" s="92"/>
      <c r="H12" s="67"/>
      <c r="I12" s="92"/>
      <c r="J12" s="67"/>
      <c r="K12" s="92"/>
      <c r="L12" s="67"/>
      <c r="M12" s="84"/>
      <c r="N12" s="71"/>
      <c r="O12" s="71"/>
      <c r="P12" s="71"/>
      <c r="Q12" s="93"/>
      <c r="R12" s="67"/>
      <c r="S12" s="84"/>
      <c r="T12" s="71"/>
      <c r="U12" s="71"/>
      <c r="V12" s="71"/>
      <c r="W12" s="93"/>
      <c r="X12" s="67"/>
      <c r="Y12" s="84"/>
      <c r="Z12" s="71"/>
      <c r="AA12" s="71"/>
      <c r="AB12" s="71"/>
      <c r="AC12" s="93"/>
      <c r="AD12" s="67"/>
      <c r="AE12" s="84"/>
      <c r="AF12" s="71"/>
      <c r="AG12" s="71"/>
      <c r="AH12" s="71"/>
      <c r="AI12" s="93"/>
      <c r="AJ12" s="67"/>
      <c r="AK12" s="81"/>
      <c r="AL12" s="69"/>
      <c r="AM12" s="69"/>
      <c r="AN12" s="69"/>
      <c r="AO12" s="93"/>
      <c r="AP12" s="67"/>
      <c r="AQ12" s="81"/>
      <c r="AR12" s="69"/>
      <c r="AS12" s="69"/>
      <c r="AT12" s="69"/>
      <c r="AU12" s="93"/>
      <c r="AV12" s="67"/>
      <c r="AW12" s="81"/>
      <c r="AX12" s="69"/>
      <c r="AY12" s="69"/>
      <c r="AZ12" s="69"/>
      <c r="BA12" s="93"/>
      <c r="BB12" s="67"/>
      <c r="BC12" s="81"/>
      <c r="BD12" s="69"/>
      <c r="BE12" s="69"/>
      <c r="BF12" s="69"/>
      <c r="BG12" s="93"/>
      <c r="BH12" s="67"/>
      <c r="BI12" s="81"/>
      <c r="BJ12" s="69"/>
      <c r="BK12" s="69"/>
      <c r="BL12" s="69"/>
      <c r="BM12" s="93"/>
      <c r="BN12" s="67"/>
      <c r="BO12" s="82">
        <f>+BO11-BO13</f>
        <v>764.88031828674491</v>
      </c>
      <c r="BP12" s="67">
        <f t="shared" ref="BP12:BR12" si="22">+BP11-BP13</f>
        <v>781.07283448906765</v>
      </c>
      <c r="BQ12" s="67">
        <f t="shared" si="22"/>
        <v>755.97214549887735</v>
      </c>
      <c r="BR12" s="67">
        <f t="shared" si="22"/>
        <v>880.31737060547869</v>
      </c>
      <c r="BS12" s="93">
        <f>SUM(BO12:BR12)</f>
        <v>3182.2426688801688</v>
      </c>
      <c r="BT12" s="67"/>
      <c r="BU12" s="82">
        <f>+BU11-BU13</f>
        <v>830.59950498920875</v>
      </c>
      <c r="BV12" s="67">
        <f t="shared" ref="BV12:BX12" si="23">+BV11-BV13</f>
        <v>972.25635662166053</v>
      </c>
      <c r="BW12" s="67">
        <f t="shared" si="23"/>
        <v>1480.9215255085714</v>
      </c>
      <c r="BX12" s="67">
        <f t="shared" si="23"/>
        <v>1491.0418240792524</v>
      </c>
      <c r="BY12" s="93">
        <f>SUM(BU12:BX12)</f>
        <v>4774.8192111986937</v>
      </c>
      <c r="BZ12" s="67"/>
      <c r="CA12" s="82">
        <f>+CA11-CA13</f>
        <v>1345.3156618776097</v>
      </c>
      <c r="CB12" s="67">
        <f t="shared" ref="CB12:CD12" si="24">+CB11-CB13</f>
        <v>1387.5974927097739</v>
      </c>
      <c r="CC12" s="67">
        <f t="shared" si="24"/>
        <v>1366.6597820264728</v>
      </c>
      <c r="CD12" s="67">
        <f t="shared" si="24"/>
        <v>1530.2288194372479</v>
      </c>
      <c r="CE12" s="93">
        <f>SUM(CA12:CD12)</f>
        <v>5629.8017560511043</v>
      </c>
      <c r="CF12" s="67"/>
      <c r="CG12" s="82">
        <f>+CG11-CG13</f>
        <v>1396.1229709372217</v>
      </c>
      <c r="CH12" s="67">
        <f t="shared" ref="CH12:CJ12" si="25">+CH11-CH13</f>
        <v>1439.6156424994401</v>
      </c>
      <c r="CI12" s="67">
        <f t="shared" si="25"/>
        <v>1435.0115613280589</v>
      </c>
      <c r="CJ12" s="67">
        <f t="shared" si="25"/>
        <v>1608.6511416835522</v>
      </c>
      <c r="CK12" s="92">
        <v>5879.4</v>
      </c>
      <c r="CL12" s="67"/>
      <c r="CM12" s="82">
        <f>+CM11-CM13</f>
        <v>1425.4296389793244</v>
      </c>
      <c r="CN12" s="67">
        <f t="shared" ref="CN12:CP12" si="26">+CN11-CN13</f>
        <v>1471.1312809252543</v>
      </c>
      <c r="CO12" s="67">
        <f t="shared" si="26"/>
        <v>1448.7253498846574</v>
      </c>
      <c r="CP12" s="67">
        <f t="shared" si="26"/>
        <v>1664.3660860743471</v>
      </c>
      <c r="CQ12" s="93">
        <f>SUM(CM12:CP12)</f>
        <v>6009.6523558635836</v>
      </c>
      <c r="CR12" s="67"/>
      <c r="CS12" s="84">
        <f>1450.6</f>
        <v>1450.6</v>
      </c>
      <c r="CT12" s="71">
        <f>1527.4</f>
        <v>1527.4</v>
      </c>
      <c r="CU12" s="71">
        <f>1618.8</f>
        <v>1618.8</v>
      </c>
      <c r="CV12" s="71">
        <f>2065.8</f>
        <v>2065.8000000000002</v>
      </c>
      <c r="CW12" s="93">
        <f>SUM(CS12:CV12)</f>
        <v>6662.6</v>
      </c>
      <c r="CX12" s="67"/>
      <c r="CY12" s="84">
        <f>1756.8</f>
        <v>1756.8</v>
      </c>
      <c r="CZ12" s="71">
        <f>1860.6</f>
        <v>1860.6</v>
      </c>
      <c r="DA12" s="71">
        <f>1846.1</f>
        <v>1846.1</v>
      </c>
      <c r="DB12" s="71">
        <f>2084.3</f>
        <v>2084.3000000000002</v>
      </c>
      <c r="DC12" s="93">
        <f>SUM(CY12:DB12)</f>
        <v>7547.8</v>
      </c>
      <c r="DD12" s="67"/>
      <c r="DE12" s="84">
        <v>1871.4</v>
      </c>
      <c r="DF12" s="71">
        <f>2027.8-21</f>
        <v>2006.8</v>
      </c>
      <c r="DG12" s="71">
        <v>1991.4</v>
      </c>
      <c r="DH12" s="71">
        <v>2246.6</v>
      </c>
      <c r="DI12" s="93">
        <f>SUM(DE12:DH12)</f>
        <v>8116.2000000000007</v>
      </c>
      <c r="DJ12" s="67"/>
      <c r="DK12" s="84">
        <v>2051.8000000000002</v>
      </c>
      <c r="DL12" s="67">
        <f t="shared" ref="DL12" si="27">+DL11-DL13</f>
        <v>2186.021837535719</v>
      </c>
      <c r="DM12" s="67">
        <f t="shared" ref="DM12" si="28">+DM11-DM13</f>
        <v>2126.4268297508424</v>
      </c>
      <c r="DN12" s="67">
        <f t="shared" ref="DN12" si="29">+DN11-DN13</f>
        <v>2340.8363348983999</v>
      </c>
      <c r="DO12" s="93">
        <f>SUM(DK12:DN12)</f>
        <v>8705.0850021849619</v>
      </c>
      <c r="DP12" s="67"/>
      <c r="DQ12" s="82">
        <f>+DQ11-DQ13</f>
        <v>2110.9075869921512</v>
      </c>
      <c r="DR12" s="67">
        <f t="shared" ref="DR12" si="30">+DR11-DR13</f>
        <v>2260.6462968641231</v>
      </c>
      <c r="DS12" s="67">
        <f t="shared" ref="DS12" si="31">+DS11-DS13</f>
        <v>2186.4608237242223</v>
      </c>
      <c r="DT12" s="67">
        <f t="shared" ref="DT12" si="32">+DT11-DT13</f>
        <v>2413.9251342076445</v>
      </c>
      <c r="DU12" s="93">
        <f>SUM(DQ12:DT12)</f>
        <v>8971.9398417881403</v>
      </c>
      <c r="DV12" s="67"/>
      <c r="DW12" s="82">
        <f t="shared" ref="DW12:DZ12" si="33">+DW11-DW13</f>
        <v>2170.5991583778869</v>
      </c>
      <c r="DX12" s="67">
        <f t="shared" si="33"/>
        <v>2329.0189793180034</v>
      </c>
      <c r="DY12" s="67">
        <f t="shared" si="33"/>
        <v>2251.804521665762</v>
      </c>
      <c r="DZ12" s="67">
        <f t="shared" si="33"/>
        <v>2493.717477157239</v>
      </c>
      <c r="EA12" s="93">
        <f t="shared" si="20"/>
        <v>9245.1401365188904</v>
      </c>
      <c r="EB12" s="67"/>
      <c r="EC12" s="82">
        <f t="shared" ref="EC12:EF12" si="34">+EC11-EC13</f>
        <v>2239.4199599880922</v>
      </c>
      <c r="ED12" s="67">
        <f t="shared" si="34"/>
        <v>2406.9011877888638</v>
      </c>
      <c r="EE12" s="67">
        <f t="shared" si="34"/>
        <v>2326.5870775707908</v>
      </c>
      <c r="EF12" s="67">
        <f t="shared" si="34"/>
        <v>2589.7325785354597</v>
      </c>
      <c r="EG12" s="93">
        <f t="shared" si="21"/>
        <v>9562.6408038832069</v>
      </c>
      <c r="EH12" s="9"/>
    </row>
    <row r="13" spans="1:140" ht="11.25" customHeight="1" x14ac:dyDescent="0.2">
      <c r="A13" s="50" t="s">
        <v>462</v>
      </c>
      <c r="B13" s="12"/>
      <c r="C13" s="12"/>
      <c r="D13" s="12"/>
      <c r="E13" s="163"/>
      <c r="F13" s="164"/>
      <c r="G13" s="163"/>
      <c r="H13" s="164"/>
      <c r="I13" s="163"/>
      <c r="J13" s="164"/>
      <c r="K13" s="163"/>
      <c r="L13" s="164"/>
      <c r="M13" s="165"/>
      <c r="N13" s="164"/>
      <c r="O13" s="164"/>
      <c r="P13" s="164"/>
      <c r="Q13" s="163"/>
      <c r="R13" s="164"/>
      <c r="S13" s="165"/>
      <c r="T13" s="164"/>
      <c r="U13" s="164"/>
      <c r="V13" s="164"/>
      <c r="W13" s="163"/>
      <c r="X13" s="164"/>
      <c r="Y13" s="165"/>
      <c r="Z13" s="164"/>
      <c r="AA13" s="164"/>
      <c r="AB13" s="164"/>
      <c r="AC13" s="163"/>
      <c r="AD13" s="164"/>
      <c r="AE13" s="165"/>
      <c r="AF13" s="164"/>
      <c r="AG13" s="164"/>
      <c r="AH13" s="164"/>
      <c r="AI13" s="163"/>
      <c r="AJ13" s="164"/>
      <c r="AK13" s="165"/>
      <c r="AL13" s="164"/>
      <c r="AM13" s="164"/>
      <c r="AN13" s="164"/>
      <c r="AO13" s="163"/>
      <c r="AP13" s="164"/>
      <c r="AQ13" s="165"/>
      <c r="AR13" s="164"/>
      <c r="AS13" s="164"/>
      <c r="AT13" s="164"/>
      <c r="AU13" s="163"/>
      <c r="AV13" s="164"/>
      <c r="AW13" s="165"/>
      <c r="AX13" s="164"/>
      <c r="AY13" s="164"/>
      <c r="AZ13" s="164"/>
      <c r="BA13" s="163"/>
      <c r="BB13" s="164"/>
      <c r="BC13" s="165"/>
      <c r="BD13" s="164"/>
      <c r="BE13" s="164"/>
      <c r="BF13" s="164"/>
      <c r="BG13" s="163"/>
      <c r="BH13" s="164"/>
      <c r="BI13" s="165"/>
      <c r="BJ13" s="164"/>
      <c r="BK13" s="164"/>
      <c r="BL13" s="164"/>
      <c r="BM13" s="163"/>
      <c r="BN13" s="164"/>
      <c r="BO13" s="356">
        <f>+DHR!BO350</f>
        <v>703.77334137280525</v>
      </c>
      <c r="BP13" s="357">
        <f>+DHR!BP350</f>
        <v>766.81603390212854</v>
      </c>
      <c r="BQ13" s="357">
        <f>+DHR!BQ350</f>
        <v>828.07220444312793</v>
      </c>
      <c r="BR13" s="357">
        <f>+DHR!BR350</f>
        <v>952.94324052003265</v>
      </c>
      <c r="BS13" s="163">
        <f>SUM(BO13:BR13)</f>
        <v>3251.6048202380948</v>
      </c>
      <c r="BT13" s="164"/>
      <c r="BU13" s="356">
        <f>+DHR!BU350</f>
        <v>910.76795372254105</v>
      </c>
      <c r="BV13" s="357">
        <f>+DHR!BV350</f>
        <v>941.30549890715827</v>
      </c>
      <c r="BW13" s="357">
        <f>+DHR!BW350</f>
        <v>1290.2763753579416</v>
      </c>
      <c r="BX13" s="357">
        <f>+DHR!BX350</f>
        <v>1546.036321177924</v>
      </c>
      <c r="BY13" s="163">
        <f>SUM(BU13:BX13)</f>
        <v>4688.3861491655643</v>
      </c>
      <c r="BZ13" s="164"/>
      <c r="CA13" s="356">
        <f>+DHR!CA350</f>
        <v>1393.9695275604522</v>
      </c>
      <c r="CB13" s="357">
        <f>+DHR!CB350</f>
        <v>1491.6624356951049</v>
      </c>
      <c r="CC13" s="357">
        <f>+DHR!CC350</f>
        <v>1453.7052335689373</v>
      </c>
      <c r="CD13" s="357">
        <f>+DHR!CD350</f>
        <v>1751.6512141340143</v>
      </c>
      <c r="CE13" s="163">
        <f>SUM(CA13:CD13)</f>
        <v>6090.9884109585082</v>
      </c>
      <c r="CF13" s="164"/>
      <c r="CG13" s="356">
        <f>+DHR!CG350</f>
        <v>1426.839926124487</v>
      </c>
      <c r="CH13" s="357">
        <f>+DHR!CH350</f>
        <v>1602.025896245183</v>
      </c>
      <c r="CI13" s="357">
        <f>+DHR!CI350</f>
        <v>1601.4009147704844</v>
      </c>
      <c r="CJ13" s="357">
        <f>+DHR!CJ350</f>
        <v>1851.2332628598458</v>
      </c>
      <c r="CK13" s="163">
        <f>CK11-CK12</f>
        <v>6481.5013164482734</v>
      </c>
      <c r="CL13" s="164"/>
      <c r="CM13" s="356">
        <f>+DHR!CM350</f>
        <v>1534.8221437461561</v>
      </c>
      <c r="CN13" s="357">
        <f>+DHR!CN350</f>
        <v>1710.8348374055511</v>
      </c>
      <c r="CO13" s="357">
        <f>+DHR!CO350</f>
        <v>1711.792098163982</v>
      </c>
      <c r="CP13" s="357">
        <f>+DHR!CP350</f>
        <v>1899.755363324854</v>
      </c>
      <c r="CQ13" s="163">
        <f>CQ11-CQ12</f>
        <v>6857.2044426405428</v>
      </c>
      <c r="CR13" s="164"/>
      <c r="CS13" s="165">
        <f>CS11-CS12</f>
        <v>1741.6</v>
      </c>
      <c r="CT13" s="164">
        <f>CT11-CT12</f>
        <v>1878.9</v>
      </c>
      <c r="CU13" s="164">
        <f>CU11-CU12</f>
        <v>1893.3999999999999</v>
      </c>
      <c r="CV13" s="164">
        <f>CV11-CV12</f>
        <v>2257.1999999999998</v>
      </c>
      <c r="CW13" s="163">
        <f>CW11-CW12</f>
        <v>7771.1</v>
      </c>
      <c r="CX13" s="164"/>
      <c r="CY13" s="165">
        <f>CY11-CY12</f>
        <v>2167.3000000000002</v>
      </c>
      <c r="CZ13" s="164">
        <f>CZ11-CZ12</f>
        <v>2381.2999999999997</v>
      </c>
      <c r="DA13" s="164">
        <f>DA11-DA12</f>
        <v>2286.0000000000005</v>
      </c>
      <c r="DB13" s="164">
        <f>DB11-DB12</f>
        <v>2500</v>
      </c>
      <c r="DC13" s="163">
        <f>DC11-DC12</f>
        <v>9334.6000000000022</v>
      </c>
      <c r="DD13" s="164"/>
      <c r="DE13" s="165">
        <f>DE11-DE12</f>
        <v>2334.2999999999997</v>
      </c>
      <c r="DF13" s="164">
        <f>DF11-DF12</f>
        <v>2503.3000000000002</v>
      </c>
      <c r="DG13" s="164">
        <f>DG11-DG12</f>
        <v>2536.7999999999997</v>
      </c>
      <c r="DH13" s="164">
        <f>DH11-DH12</f>
        <v>2839.1</v>
      </c>
      <c r="DI13" s="163">
        <f>SUM(DE13:DH13)</f>
        <v>10213.5</v>
      </c>
      <c r="DJ13" s="164"/>
      <c r="DK13" s="165">
        <f>DK11-DK12</f>
        <v>2643.5999999999995</v>
      </c>
      <c r="DL13" s="357">
        <f>+DHR!DL350</f>
        <v>2744.1706624642811</v>
      </c>
      <c r="DM13" s="357">
        <f>+DHR!DM350</f>
        <v>2724.1361702491577</v>
      </c>
      <c r="DN13" s="357">
        <f>+DHR!DN350</f>
        <v>3097.4651651015997</v>
      </c>
      <c r="DO13" s="163">
        <f>SUM(DK13:DN13)</f>
        <v>11209.371997815038</v>
      </c>
      <c r="DP13" s="164"/>
      <c r="DQ13" s="356">
        <f>+DHR!DQ350</f>
        <v>2802.7686630078492</v>
      </c>
      <c r="DR13" s="357">
        <f>+DHR!DR350</f>
        <v>2907.7986231358768</v>
      </c>
      <c r="DS13" s="357">
        <f>+DHR!DS350</f>
        <v>2854.6697562757786</v>
      </c>
      <c r="DT13" s="357">
        <f>+DHR!DT350</f>
        <v>3236.9610007923561</v>
      </c>
      <c r="DU13" s="163">
        <f>SUM(DQ13:DT13)</f>
        <v>11802.198043211862</v>
      </c>
      <c r="DV13" s="164"/>
      <c r="DW13" s="356">
        <f>+DHR!DW350</f>
        <v>2953.3241528721128</v>
      </c>
      <c r="DX13" s="357">
        <f>+DHR!DX350</f>
        <v>3060.5850805319969</v>
      </c>
      <c r="DY13" s="357">
        <f>+DHR!DY350</f>
        <v>3005.0892454842387</v>
      </c>
      <c r="DZ13" s="357">
        <f>+DHR!DZ350</f>
        <v>3398.6796761677624</v>
      </c>
      <c r="EA13" s="163">
        <f t="shared" si="20"/>
        <v>12417.67815505611</v>
      </c>
      <c r="EB13" s="164"/>
      <c r="EC13" s="356">
        <f>+DHR!EC350</f>
        <v>3103.9566971681579</v>
      </c>
      <c r="ED13" s="357">
        <f>+DHR!ED350</f>
        <v>3213.5505233518866</v>
      </c>
      <c r="EE13" s="357">
        <f>+DHR!EE350</f>
        <v>3155.5223462754593</v>
      </c>
      <c r="EF13" s="357">
        <f>+DHR!EF350</f>
        <v>3554.742171005666</v>
      </c>
      <c r="EG13" s="163">
        <f t="shared" si="21"/>
        <v>13027.771737801169</v>
      </c>
      <c r="EH13" s="62"/>
      <c r="EI13" s="1326"/>
      <c r="EJ13" s="1326"/>
    </row>
    <row r="14" spans="1:140" ht="11.25" customHeight="1" x14ac:dyDescent="0.2">
      <c r="A14" s="51" t="s">
        <v>240</v>
      </c>
      <c r="B14" s="2"/>
      <c r="C14" s="2"/>
      <c r="D14" s="2"/>
      <c r="E14" s="94"/>
      <c r="F14" s="70"/>
      <c r="G14" s="94"/>
      <c r="H14" s="70"/>
      <c r="I14" s="94"/>
      <c r="J14" s="70"/>
      <c r="K14" s="94"/>
      <c r="L14" s="70"/>
      <c r="M14" s="83"/>
      <c r="N14" s="70"/>
      <c r="O14" s="70"/>
      <c r="P14" s="70"/>
      <c r="Q14" s="94"/>
      <c r="R14" s="70"/>
      <c r="S14" s="83"/>
      <c r="T14" s="70"/>
      <c r="U14" s="70"/>
      <c r="V14" s="70"/>
      <c r="W14" s="94"/>
      <c r="X14" s="70"/>
      <c r="Y14" s="83"/>
      <c r="Z14" s="70"/>
      <c r="AA14" s="70"/>
      <c r="AB14" s="70"/>
      <c r="AC14" s="94"/>
      <c r="AD14" s="70"/>
      <c r="AE14" s="83"/>
      <c r="AF14" s="70"/>
      <c r="AG14" s="70"/>
      <c r="AH14" s="70"/>
      <c r="AI14" s="94"/>
      <c r="AJ14" s="70"/>
      <c r="AK14" s="83"/>
      <c r="AL14" s="70"/>
      <c r="AM14" s="70"/>
      <c r="AN14" s="70"/>
      <c r="AO14" s="94"/>
      <c r="AP14" s="70"/>
      <c r="AQ14" s="83"/>
      <c r="AR14" s="70"/>
      <c r="AS14" s="70"/>
      <c r="AT14" s="70"/>
      <c r="AU14" s="94"/>
      <c r="AV14" s="70"/>
      <c r="AW14" s="83"/>
      <c r="AX14" s="70"/>
      <c r="AY14" s="70"/>
      <c r="AZ14" s="70"/>
      <c r="BA14" s="94"/>
      <c r="BB14" s="70"/>
      <c r="BC14" s="83"/>
      <c r="BD14" s="70"/>
      <c r="BE14" s="70"/>
      <c r="BF14" s="70"/>
      <c r="BG14" s="94"/>
      <c r="BH14" s="70"/>
      <c r="BI14" s="83"/>
      <c r="BJ14" s="70"/>
      <c r="BK14" s="70"/>
      <c r="BL14" s="70"/>
      <c r="BM14" s="94"/>
      <c r="BN14" s="70"/>
      <c r="BO14" s="83"/>
      <c r="BP14" s="70"/>
      <c r="BQ14" s="70"/>
      <c r="BR14" s="70"/>
      <c r="BS14" s="94"/>
      <c r="BT14" s="70"/>
      <c r="BU14" s="83"/>
      <c r="BV14" s="70"/>
      <c r="BW14" s="70"/>
      <c r="BX14" s="70"/>
      <c r="BY14" s="94"/>
      <c r="BZ14" s="70"/>
      <c r="CA14" s="83"/>
      <c r="CB14" s="70"/>
      <c r="CC14" s="70"/>
      <c r="CD14" s="70"/>
      <c r="CE14" s="94"/>
      <c r="CF14" s="70"/>
      <c r="CG14" s="83"/>
      <c r="CH14" s="70"/>
      <c r="CI14" s="70"/>
      <c r="CJ14" s="70"/>
      <c r="CK14" s="94"/>
      <c r="CL14" s="70"/>
      <c r="CM14" s="83"/>
      <c r="CN14" s="70"/>
      <c r="CO14" s="70"/>
      <c r="CP14" s="70"/>
      <c r="CQ14" s="94"/>
      <c r="CR14" s="70"/>
      <c r="CS14" s="83"/>
      <c r="CT14" s="70"/>
      <c r="CU14" s="70"/>
      <c r="CV14" s="70"/>
      <c r="CW14" s="94"/>
      <c r="CX14" s="70"/>
      <c r="CY14" s="83"/>
      <c r="CZ14" s="70"/>
      <c r="DA14" s="70"/>
      <c r="DB14" s="70"/>
      <c r="DC14" s="94"/>
      <c r="DD14" s="70"/>
      <c r="DE14" s="83"/>
      <c r="DF14" s="70"/>
      <c r="DG14" s="70"/>
      <c r="DH14" s="70"/>
      <c r="DI14" s="94"/>
      <c r="DJ14" s="70"/>
      <c r="DK14" s="83"/>
      <c r="DL14" s="70"/>
      <c r="DM14" s="70"/>
      <c r="DN14" s="70"/>
      <c r="DO14" s="94"/>
      <c r="DP14" s="70"/>
      <c r="DQ14" s="83"/>
      <c r="DR14" s="70"/>
      <c r="DS14" s="70"/>
      <c r="DT14" s="70"/>
      <c r="DU14" s="94"/>
      <c r="DV14" s="70"/>
      <c r="DW14" s="83"/>
      <c r="DX14" s="70"/>
      <c r="DY14" s="70"/>
      <c r="DZ14" s="70"/>
      <c r="EA14" s="94"/>
      <c r="EB14" s="70"/>
      <c r="EC14" s="83"/>
      <c r="ED14" s="70"/>
      <c r="EE14" s="70"/>
      <c r="EF14" s="70"/>
      <c r="EG14" s="94"/>
      <c r="EH14" s="62"/>
    </row>
    <row r="15" spans="1:140" ht="11.25" customHeight="1" x14ac:dyDescent="0.2">
      <c r="A15" s="104" t="s">
        <v>47</v>
      </c>
      <c r="B15" s="13"/>
      <c r="C15" s="13"/>
      <c r="D15" s="13"/>
      <c r="E15" s="92"/>
      <c r="F15" s="67"/>
      <c r="G15" s="92"/>
      <c r="H15" s="67"/>
      <c r="I15" s="92"/>
      <c r="J15" s="67"/>
      <c r="K15" s="92"/>
      <c r="L15" s="67"/>
      <c r="M15" s="84"/>
      <c r="N15" s="71"/>
      <c r="O15" s="71"/>
      <c r="P15" s="71"/>
      <c r="Q15" s="93"/>
      <c r="R15" s="67"/>
      <c r="S15" s="84"/>
      <c r="T15" s="71"/>
      <c r="U15" s="71"/>
      <c r="V15" s="71"/>
      <c r="W15" s="93"/>
      <c r="X15" s="67"/>
      <c r="Y15" s="84"/>
      <c r="Z15" s="71"/>
      <c r="AA15" s="71"/>
      <c r="AB15" s="71"/>
      <c r="AC15" s="93"/>
      <c r="AD15" s="67"/>
      <c r="AE15" s="84"/>
      <c r="AF15" s="71"/>
      <c r="AG15" s="71"/>
      <c r="AH15" s="71"/>
      <c r="AI15" s="93"/>
      <c r="AJ15" s="67"/>
      <c r="AK15" s="81"/>
      <c r="AL15" s="69"/>
      <c r="AM15" s="69"/>
      <c r="AN15" s="69"/>
      <c r="AO15" s="93"/>
      <c r="AP15" s="67"/>
      <c r="AQ15" s="81"/>
      <c r="AR15" s="69"/>
      <c r="AS15" s="69"/>
      <c r="AT15" s="69"/>
      <c r="AU15" s="93"/>
      <c r="AV15" s="67"/>
      <c r="AW15" s="81"/>
      <c r="AX15" s="69"/>
      <c r="AY15" s="69"/>
      <c r="AZ15" s="69"/>
      <c r="BA15" s="93"/>
      <c r="BB15" s="67"/>
      <c r="BC15" s="81"/>
      <c r="BD15" s="69"/>
      <c r="BE15" s="69"/>
      <c r="BF15" s="69"/>
      <c r="BG15" s="93"/>
      <c r="BH15" s="67"/>
      <c r="BI15" s="81"/>
      <c r="BJ15" s="69"/>
      <c r="BK15" s="69"/>
      <c r="BL15" s="69"/>
      <c r="BM15" s="93"/>
      <c r="BN15" s="67"/>
      <c r="BO15" s="82">
        <f t="shared" ref="BO15:BR16" si="35">+BO$11*BO52</f>
        <v>455.28263449446052</v>
      </c>
      <c r="BP15" s="67">
        <f t="shared" si="35"/>
        <v>479.84554920127079</v>
      </c>
      <c r="BQ15" s="67">
        <f t="shared" si="35"/>
        <v>491.05374848202166</v>
      </c>
      <c r="BR15" s="67">
        <f t="shared" si="35"/>
        <v>568.31078944890851</v>
      </c>
      <c r="BS15" s="93">
        <f>SUM(BO15:BR15)</f>
        <v>1994.4927216266615</v>
      </c>
      <c r="BT15" s="67"/>
      <c r="BU15" s="82">
        <f>+BU$11*BU52</f>
        <v>539.82391220064244</v>
      </c>
      <c r="BV15" s="67">
        <f t="shared" ref="BV15:BX15" si="36">+BV$11*BV52</f>
        <v>593.20417521393381</v>
      </c>
      <c r="BW15" s="67">
        <f t="shared" si="36"/>
        <v>859.07134926861897</v>
      </c>
      <c r="BX15" s="67">
        <f t="shared" si="36"/>
        <v>941.4942250297247</v>
      </c>
      <c r="BY15" s="93">
        <f>SUM(BU15:BX15)</f>
        <v>2933.59366171292</v>
      </c>
      <c r="BZ15" s="67"/>
      <c r="CA15" s="82">
        <f>+CA$11*CA52</f>
        <v>849.17840872579916</v>
      </c>
      <c r="CB15" s="67">
        <f t="shared" ref="CB15:CD15" si="37">+CB$11*CB52</f>
        <v>892.57057780551247</v>
      </c>
      <c r="CC15" s="67">
        <f t="shared" si="37"/>
        <v>874.31315483457718</v>
      </c>
      <c r="CD15" s="67">
        <f t="shared" si="37"/>
        <v>1017.3828104070913</v>
      </c>
      <c r="CE15" s="93">
        <f>SUM(CA15:CD15)</f>
        <v>3633.4449517729799</v>
      </c>
      <c r="CF15" s="67"/>
      <c r="CG15" s="82">
        <f>+CG$11*CG52</f>
        <v>873.66157905810189</v>
      </c>
      <c r="CH15" s="67">
        <f t="shared" ref="CH15:CJ15" si="38">+CH$11*CH52</f>
        <v>941.33909887171058</v>
      </c>
      <c r="CI15" s="67">
        <f t="shared" si="38"/>
        <v>939.72078814820691</v>
      </c>
      <c r="CJ15" s="67">
        <f t="shared" si="38"/>
        <v>1070.7785339219813</v>
      </c>
      <c r="CK15" s="92">
        <v>3825.5</v>
      </c>
      <c r="CL15" s="67"/>
      <c r="CM15" s="82">
        <f t="shared" ref="CM15:CP16" si="39">+CM$11*CM52</f>
        <v>929.51905977580088</v>
      </c>
      <c r="CN15" s="67">
        <f t="shared" si="39"/>
        <v>999.1373611558729</v>
      </c>
      <c r="CO15" s="67">
        <f t="shared" si="39"/>
        <v>992.40247868727272</v>
      </c>
      <c r="CP15" s="67">
        <f t="shared" si="39"/>
        <v>1119.1341351113492</v>
      </c>
      <c r="CQ15" s="93">
        <f>SUM(CM15:CP15)</f>
        <v>4040.1930347302959</v>
      </c>
      <c r="CR15" s="67"/>
      <c r="CS15" s="84">
        <f>1089.6</f>
        <v>1089.5999999999999</v>
      </c>
      <c r="CT15" s="71">
        <f>1087.2</f>
        <v>1087.2</v>
      </c>
      <c r="CU15" s="71">
        <f>1201.2</f>
        <v>1201.2</v>
      </c>
      <c r="CV15" s="71">
        <f>1369.5</f>
        <v>1369.5</v>
      </c>
      <c r="CW15" s="93">
        <f>SUM(CS15:CV15)</f>
        <v>4747.5</v>
      </c>
      <c r="CX15" s="67"/>
      <c r="CY15" s="84">
        <f>1328.1</f>
        <v>1328.1</v>
      </c>
      <c r="CZ15" s="71">
        <f>1431.3</f>
        <v>1431.3</v>
      </c>
      <c r="DA15" s="71">
        <f>1345.8</f>
        <v>1345.8</v>
      </c>
      <c r="DB15" s="71">
        <f>1503.4</f>
        <v>1503.4</v>
      </c>
      <c r="DC15" s="93">
        <f>SUM(CY15:DB15)</f>
        <v>5608.6</v>
      </c>
      <c r="DD15" s="67"/>
      <c r="DE15" s="84">
        <v>1449.9</v>
      </c>
      <c r="DF15" s="71">
        <f>1515.3-55+8</f>
        <v>1468.3</v>
      </c>
      <c r="DG15" s="71">
        <f>1490.1+7</f>
        <v>1497.1</v>
      </c>
      <c r="DH15" s="71">
        <f>1594.1+8</f>
        <v>1602.1</v>
      </c>
      <c r="DI15" s="93">
        <f>SUM(DE15:DH15)</f>
        <v>6017.4</v>
      </c>
      <c r="DJ15" s="67"/>
      <c r="DK15" s="84">
        <v>1601.9</v>
      </c>
      <c r="DL15" s="67">
        <f t="shared" ref="DL15:DN16" si="40">+DL$11*DL52</f>
        <v>1592.7390733607624</v>
      </c>
      <c r="DM15" s="67">
        <f t="shared" si="40"/>
        <v>1591.5522876327238</v>
      </c>
      <c r="DN15" s="67">
        <f t="shared" si="40"/>
        <v>1699.5809639388133</v>
      </c>
      <c r="DO15" s="93">
        <f>SUM(DK15:DN15)</f>
        <v>6485.7723249322999</v>
      </c>
      <c r="DP15" s="67"/>
      <c r="DQ15" s="82">
        <f t="shared" ref="DQ15:DT16" si="41">+DQ$11*DQ52</f>
        <v>1664.0837407280267</v>
      </c>
      <c r="DR15" s="67">
        <f t="shared" si="41"/>
        <v>1656.7873570137112</v>
      </c>
      <c r="DS15" s="67">
        <f t="shared" si="41"/>
        <v>1641.477928063297</v>
      </c>
      <c r="DT15" s="67">
        <f t="shared" si="41"/>
        <v>1751.8908151876146</v>
      </c>
      <c r="DU15" s="93">
        <f>SUM(DQ15:DT15)</f>
        <v>6714.23984099265</v>
      </c>
      <c r="DV15" s="67"/>
      <c r="DW15" s="82">
        <f t="shared" ref="DW15:DZ15" si="42">+DW$11*DW52</f>
        <v>1722.4769784710907</v>
      </c>
      <c r="DX15" s="67">
        <f t="shared" si="42"/>
        <v>1714.2077207933935</v>
      </c>
      <c r="DY15" s="67">
        <f t="shared" si="42"/>
        <v>1698.5918601491103</v>
      </c>
      <c r="DZ15" s="67">
        <f t="shared" si="42"/>
        <v>1812.0332005076973</v>
      </c>
      <c r="EA15" s="93">
        <f t="shared" ref="EA15:EA16" si="43">SUM(DW15:DZ15)</f>
        <v>6947.3097599212915</v>
      </c>
      <c r="EB15" s="67"/>
      <c r="EC15" s="82">
        <f t="shared" ref="EC15:EF15" si="44">+EC$11*EC52</f>
        <v>1782.8907838370558</v>
      </c>
      <c r="ED15" s="67">
        <f t="shared" si="44"/>
        <v>1773.5795780235037</v>
      </c>
      <c r="EE15" s="67">
        <f t="shared" si="44"/>
        <v>1757.6575989376829</v>
      </c>
      <c r="EF15" s="67">
        <f t="shared" si="44"/>
        <v>1874.191054112988</v>
      </c>
      <c r="EG15" s="93">
        <f t="shared" ref="EG15:EG16" si="45">SUM(EC15:EF15)</f>
        <v>7188.3190149112306</v>
      </c>
      <c r="EH15" s="62"/>
    </row>
    <row r="16" spans="1:140" ht="11.25" customHeight="1" x14ac:dyDescent="0.2">
      <c r="A16" s="104" t="s">
        <v>68</v>
      </c>
      <c r="B16" s="13"/>
      <c r="C16" s="13"/>
      <c r="D16" s="13"/>
      <c r="E16" s="92"/>
      <c r="F16" s="67"/>
      <c r="G16" s="92"/>
      <c r="H16" s="67"/>
      <c r="I16" s="92"/>
      <c r="J16" s="67"/>
      <c r="K16" s="92"/>
      <c r="L16" s="67"/>
      <c r="M16" s="84"/>
      <c r="N16" s="71"/>
      <c r="O16" s="71"/>
      <c r="P16" s="71"/>
      <c r="Q16" s="93"/>
      <c r="R16" s="67"/>
      <c r="S16" s="84"/>
      <c r="T16" s="71"/>
      <c r="U16" s="71"/>
      <c r="V16" s="71"/>
      <c r="W16" s="93"/>
      <c r="X16" s="67"/>
      <c r="Y16" s="84"/>
      <c r="Z16" s="71"/>
      <c r="AA16" s="71"/>
      <c r="AB16" s="71"/>
      <c r="AC16" s="93"/>
      <c r="AD16" s="67"/>
      <c r="AE16" s="84"/>
      <c r="AF16" s="71"/>
      <c r="AG16" s="71"/>
      <c r="AH16" s="71"/>
      <c r="AI16" s="93"/>
      <c r="AJ16" s="67"/>
      <c r="AK16" s="84"/>
      <c r="AL16" s="71"/>
      <c r="AM16" s="71"/>
      <c r="AN16" s="71"/>
      <c r="AO16" s="93"/>
      <c r="AP16" s="67"/>
      <c r="AQ16" s="81"/>
      <c r="AR16" s="69"/>
      <c r="AS16" s="69"/>
      <c r="AT16" s="69"/>
      <c r="AU16" s="93"/>
      <c r="AV16" s="67"/>
      <c r="AW16" s="81"/>
      <c r="AX16" s="69"/>
      <c r="AY16" s="69"/>
      <c r="AZ16" s="69"/>
      <c r="BA16" s="93"/>
      <c r="BB16" s="67"/>
      <c r="BC16" s="81"/>
      <c r="BD16" s="69"/>
      <c r="BE16" s="69"/>
      <c r="BF16" s="69"/>
      <c r="BG16" s="93"/>
      <c r="BH16" s="67"/>
      <c r="BI16" s="81"/>
      <c r="BJ16" s="69"/>
      <c r="BK16" s="69"/>
      <c r="BL16" s="69"/>
      <c r="BM16" s="93"/>
      <c r="BN16" s="67"/>
      <c r="BO16" s="82">
        <f t="shared" si="35"/>
        <v>88.119219579573013</v>
      </c>
      <c r="BP16" s="67">
        <f t="shared" si="35"/>
        <v>92.873332103471768</v>
      </c>
      <c r="BQ16" s="67">
        <f t="shared" si="35"/>
        <v>95.042660996520311</v>
      </c>
      <c r="BR16" s="67">
        <f t="shared" si="35"/>
        <v>109.99563666753068</v>
      </c>
      <c r="BS16" s="93">
        <f>SUM(BO16:BR16)</f>
        <v>386.0308493470958</v>
      </c>
      <c r="BT16" s="67"/>
      <c r="BU16" s="82">
        <f t="shared" ref="BU16:BX16" si="46">+BU$11*BU53</f>
        <v>104.48204752270499</v>
      </c>
      <c r="BV16" s="67">
        <f t="shared" si="46"/>
        <v>114.81371133172912</v>
      </c>
      <c r="BW16" s="67">
        <f t="shared" si="46"/>
        <v>166.27187405199078</v>
      </c>
      <c r="BX16" s="67">
        <f t="shared" si="46"/>
        <v>182.22468871543057</v>
      </c>
      <c r="BY16" s="93">
        <f>SUM(BU16:BX16)</f>
        <v>567.79232162185542</v>
      </c>
      <c r="BZ16" s="67"/>
      <c r="CA16" s="82">
        <f t="shared" ref="CA16:CD16" si="47">+CA$11*CA53</f>
        <v>164.3571113662837</v>
      </c>
      <c r="CB16" s="67">
        <f t="shared" si="47"/>
        <v>172.75559570429272</v>
      </c>
      <c r="CC16" s="67">
        <f t="shared" si="47"/>
        <v>169.22190093572459</v>
      </c>
      <c r="CD16" s="67">
        <f t="shared" si="47"/>
        <v>196.91280201427571</v>
      </c>
      <c r="CE16" s="93">
        <f>SUM(CA16:CD16)</f>
        <v>703.24741002057681</v>
      </c>
      <c r="CF16" s="67"/>
      <c r="CG16" s="82">
        <f t="shared" ref="CG16:CJ16" si="48">+CG$11*CG53</f>
        <v>165.82555811111953</v>
      </c>
      <c r="CH16" s="67">
        <f t="shared" si="48"/>
        <v>178.67110696399138</v>
      </c>
      <c r="CI16" s="67">
        <f t="shared" si="48"/>
        <v>178.36394308571769</v>
      </c>
      <c r="CJ16" s="67">
        <f t="shared" si="48"/>
        <v>203.23939183917153</v>
      </c>
      <c r="CK16" s="92">
        <v>726.1</v>
      </c>
      <c r="CL16" s="67"/>
      <c r="CM16" s="82">
        <f t="shared" si="39"/>
        <v>177.61510696352883</v>
      </c>
      <c r="CN16" s="67">
        <f t="shared" si="39"/>
        <v>190.91796709984831</v>
      </c>
      <c r="CO16" s="67">
        <f t="shared" si="39"/>
        <v>189.63104688291835</v>
      </c>
      <c r="CP16" s="67">
        <f t="shared" si="39"/>
        <v>213.84728696395206</v>
      </c>
      <c r="CQ16" s="93">
        <f>SUM(CM16:CP16)</f>
        <v>772.0114079102475</v>
      </c>
      <c r="CR16" s="67"/>
      <c r="CS16" s="84">
        <v>204.3</v>
      </c>
      <c r="CT16" s="71">
        <v>208.8</v>
      </c>
      <c r="CU16" s="71">
        <v>212.2</v>
      </c>
      <c r="CV16" s="71">
        <v>236.1</v>
      </c>
      <c r="CW16" s="93">
        <f>SUM(CS16:CV16)</f>
        <v>861.4</v>
      </c>
      <c r="CX16" s="67"/>
      <c r="CY16" s="84">
        <v>226.1</v>
      </c>
      <c r="CZ16" s="71">
        <v>239.9</v>
      </c>
      <c r="DA16" s="71">
        <v>241.1</v>
      </c>
      <c r="DB16" s="71">
        <v>268</v>
      </c>
      <c r="DC16" s="93">
        <f>SUM(CY16:DB16)</f>
        <v>975.1</v>
      </c>
      <c r="DD16" s="67"/>
      <c r="DE16" s="84">
        <f>267.4</f>
        <v>267.39999999999998</v>
      </c>
      <c r="DF16" s="71">
        <f>283.3</f>
        <v>283.3</v>
      </c>
      <c r="DG16" s="71">
        <f>279.2</f>
        <v>279.2</v>
      </c>
      <c r="DH16" s="71">
        <f>298.9</f>
        <v>298.89999999999998</v>
      </c>
      <c r="DI16" s="93">
        <f>SUM(DE16:DH16)</f>
        <v>1128.8000000000002</v>
      </c>
      <c r="DJ16" s="67"/>
      <c r="DK16" s="84">
        <v>298.7</v>
      </c>
      <c r="DL16" s="67">
        <f t="shared" si="40"/>
        <v>304.75773797825991</v>
      </c>
      <c r="DM16" s="67">
        <f t="shared" si="40"/>
        <v>294.22571225285986</v>
      </c>
      <c r="DN16" s="67">
        <f t="shared" si="40"/>
        <v>314.18501846578636</v>
      </c>
      <c r="DO16" s="93">
        <f>SUM(DK16:DN16)</f>
        <v>1211.8684686969063</v>
      </c>
      <c r="DP16" s="67"/>
      <c r="DQ16" s="82">
        <f t="shared" si="41"/>
        <v>307.6720663651127</v>
      </c>
      <c r="DR16" s="67">
        <f t="shared" si="41"/>
        <v>314.31676436633688</v>
      </c>
      <c r="DS16" s="67">
        <f t="shared" si="41"/>
        <v>300.74404022598122</v>
      </c>
      <c r="DT16" s="67">
        <f t="shared" si="41"/>
        <v>320.81570728079924</v>
      </c>
      <c r="DU16" s="93">
        <f>SUM(DQ16:DT16)</f>
        <v>1243.54857823823</v>
      </c>
      <c r="DV16" s="67"/>
      <c r="DW16" s="82">
        <f t="shared" ref="DW16:DZ16" si="49">+DW$11*DW53</f>
        <v>315.71285812477925</v>
      </c>
      <c r="DX16" s="67">
        <f t="shared" si="49"/>
        <v>322.37685868262713</v>
      </c>
      <c r="DY16" s="67">
        <f t="shared" si="49"/>
        <v>308.35915832318676</v>
      </c>
      <c r="DZ16" s="67">
        <f t="shared" si="49"/>
        <v>328.63452750277202</v>
      </c>
      <c r="EA16" s="93">
        <f t="shared" si="43"/>
        <v>1275.083402633365</v>
      </c>
      <c r="EB16" s="67"/>
      <c r="EC16" s="82">
        <f t="shared" ref="EC16:EF16" si="50">+EC$11*EC53</f>
        <v>323.89119888072105</v>
      </c>
      <c r="ED16" s="67">
        <f t="shared" si="50"/>
        <v>330.56446037039331</v>
      </c>
      <c r="EE16" s="67">
        <f t="shared" si="50"/>
        <v>316.08776104536696</v>
      </c>
      <c r="EF16" s="67">
        <f t="shared" si="50"/>
        <v>336.5490850232764</v>
      </c>
      <c r="EG16" s="93">
        <f t="shared" si="45"/>
        <v>1307.0925053197577</v>
      </c>
      <c r="EH16" s="62"/>
    </row>
    <row r="17" spans="1:138" ht="11.25" customHeight="1" x14ac:dyDescent="0.2">
      <c r="A17" s="51" t="s">
        <v>241</v>
      </c>
      <c r="B17" s="13"/>
      <c r="C17" s="13"/>
      <c r="D17" s="13"/>
      <c r="E17" s="93"/>
      <c r="F17" s="67"/>
      <c r="G17" s="93"/>
      <c r="H17" s="67"/>
      <c r="I17" s="93"/>
      <c r="J17" s="67"/>
      <c r="K17" s="93"/>
      <c r="L17" s="67"/>
      <c r="M17" s="82"/>
      <c r="N17" s="67"/>
      <c r="O17" s="67"/>
      <c r="P17" s="67"/>
      <c r="Q17" s="93"/>
      <c r="R17" s="67"/>
      <c r="S17" s="82"/>
      <c r="T17" s="67"/>
      <c r="U17" s="67"/>
      <c r="V17" s="67"/>
      <c r="W17" s="93"/>
      <c r="X17" s="67"/>
      <c r="Y17" s="82"/>
      <c r="Z17" s="67"/>
      <c r="AA17" s="67"/>
      <c r="AB17" s="67"/>
      <c r="AC17" s="93"/>
      <c r="AD17" s="67"/>
      <c r="AE17" s="82"/>
      <c r="AF17" s="67"/>
      <c r="AG17" s="67"/>
      <c r="AH17" s="67"/>
      <c r="AI17" s="93"/>
      <c r="AJ17" s="67"/>
      <c r="AK17" s="82"/>
      <c r="AL17" s="67"/>
      <c r="AM17" s="67"/>
      <c r="AN17" s="67"/>
      <c r="AO17" s="93"/>
      <c r="AP17" s="67"/>
      <c r="AQ17" s="82"/>
      <c r="AR17" s="67"/>
      <c r="AS17" s="67"/>
      <c r="AT17" s="67"/>
      <c r="AU17" s="93"/>
      <c r="AV17" s="67"/>
      <c r="AW17" s="82"/>
      <c r="AX17" s="67"/>
      <c r="AY17" s="67"/>
      <c r="AZ17" s="67"/>
      <c r="BA17" s="93"/>
      <c r="BB17" s="67"/>
      <c r="BC17" s="82"/>
      <c r="BD17" s="67"/>
      <c r="BE17" s="67"/>
      <c r="BF17" s="67"/>
      <c r="BG17" s="93"/>
      <c r="BH17" s="67"/>
      <c r="BI17" s="82"/>
      <c r="BJ17" s="67"/>
      <c r="BK17" s="67"/>
      <c r="BL17" s="67"/>
      <c r="BM17" s="93"/>
      <c r="BN17" s="67"/>
      <c r="BO17" s="82">
        <f>+BO15+BO16</f>
        <v>543.40185407403351</v>
      </c>
      <c r="BP17" s="67">
        <f>+BP15+BP16</f>
        <v>572.71888130474258</v>
      </c>
      <c r="BQ17" s="67">
        <f>+BQ15+BQ16</f>
        <v>586.096409478542</v>
      </c>
      <c r="BR17" s="67">
        <f>+BR15+BR16</f>
        <v>678.30642611643918</v>
      </c>
      <c r="BS17" s="93">
        <f>+BS15+BS16</f>
        <v>2380.5235709737572</v>
      </c>
      <c r="BT17" s="67"/>
      <c r="BU17" s="82">
        <f>+BU15+BU16</f>
        <v>644.30595972334743</v>
      </c>
      <c r="BV17" s="67">
        <f>+BV15+BV16</f>
        <v>708.01788654566292</v>
      </c>
      <c r="BW17" s="67">
        <f>+BW15+BW16</f>
        <v>1025.3432233206097</v>
      </c>
      <c r="BX17" s="67">
        <f>+BX15+BX16</f>
        <v>1123.7189137451553</v>
      </c>
      <c r="BY17" s="93">
        <f>+BY15+BY16</f>
        <v>3501.3859833347756</v>
      </c>
      <c r="BZ17" s="67"/>
      <c r="CA17" s="82">
        <f>+CA15+CA16</f>
        <v>1013.5355200920828</v>
      </c>
      <c r="CB17" s="67">
        <f>+CB15+CB16</f>
        <v>1065.3261735098051</v>
      </c>
      <c r="CC17" s="67">
        <f>+CC15+CC16</f>
        <v>1043.5350557703018</v>
      </c>
      <c r="CD17" s="67">
        <f>+CD15+CD16</f>
        <v>1214.295612421367</v>
      </c>
      <c r="CE17" s="93">
        <f>+CE15+CE16</f>
        <v>4336.6923617935572</v>
      </c>
      <c r="CF17" s="67"/>
      <c r="CG17" s="82">
        <f>+CG15+CG16</f>
        <v>1039.4871371692213</v>
      </c>
      <c r="CH17" s="67">
        <f>+CH15+CH16</f>
        <v>1120.010205835702</v>
      </c>
      <c r="CI17" s="67">
        <f>+CI15+CI16</f>
        <v>1118.0847312339247</v>
      </c>
      <c r="CJ17" s="67">
        <f>+CJ15+CJ16</f>
        <v>1274.0179257611528</v>
      </c>
      <c r="CK17" s="93">
        <f>+CK15+CK16</f>
        <v>4551.6000000000004</v>
      </c>
      <c r="CL17" s="67"/>
      <c r="CM17" s="82">
        <f>+CM15+CM16</f>
        <v>1107.1341667393297</v>
      </c>
      <c r="CN17" s="67">
        <f>+CN15+CN16</f>
        <v>1190.0553282557212</v>
      </c>
      <c r="CO17" s="67">
        <f>+CO15+CO16</f>
        <v>1182.0335255701912</v>
      </c>
      <c r="CP17" s="67">
        <f>+CP15+CP16</f>
        <v>1332.9814220753012</v>
      </c>
      <c r="CQ17" s="93">
        <f>+CQ15+CQ16</f>
        <v>4812.2044426405437</v>
      </c>
      <c r="CR17" s="67"/>
      <c r="CS17" s="82">
        <f>+CS15+CS16</f>
        <v>1293.8999999999999</v>
      </c>
      <c r="CT17" s="67">
        <f>+CT15+CT16</f>
        <v>1296</v>
      </c>
      <c r="CU17" s="67">
        <f>+CU15+CU16</f>
        <v>1413.4</v>
      </c>
      <c r="CV17" s="67">
        <f>+CV15+CV16</f>
        <v>1605.6</v>
      </c>
      <c r="CW17" s="93">
        <f>+CW15+CW16</f>
        <v>5608.9</v>
      </c>
      <c r="CX17" s="67"/>
      <c r="CY17" s="82">
        <f>+CY15+CY16</f>
        <v>1554.1999999999998</v>
      </c>
      <c r="CZ17" s="67">
        <f>+CZ15+CZ16</f>
        <v>1671.2</v>
      </c>
      <c r="DA17" s="67">
        <f>+DA15+DA16</f>
        <v>1586.8999999999999</v>
      </c>
      <c r="DB17" s="67">
        <f>+DB15+DB16</f>
        <v>1771.4</v>
      </c>
      <c r="DC17" s="93">
        <f>+DC15+DC16</f>
        <v>6583.7000000000007</v>
      </c>
      <c r="DD17" s="67"/>
      <c r="DE17" s="82">
        <f>+DE15+DE16</f>
        <v>1717.3000000000002</v>
      </c>
      <c r="DF17" s="67">
        <f>+DF15+DF16</f>
        <v>1751.6</v>
      </c>
      <c r="DG17" s="67">
        <f>+DG15+DG16</f>
        <v>1776.3</v>
      </c>
      <c r="DH17" s="67">
        <f>+DH15+DH16</f>
        <v>1901</v>
      </c>
      <c r="DI17" s="93">
        <f>+DI15+DI16</f>
        <v>7146.2</v>
      </c>
      <c r="DJ17" s="67"/>
      <c r="DK17" s="82">
        <f>+DK15+DK16</f>
        <v>1900.6000000000001</v>
      </c>
      <c r="DL17" s="67">
        <f>+DL15+DL16</f>
        <v>1897.4968113390223</v>
      </c>
      <c r="DM17" s="67">
        <f>+DM15+DM16</f>
        <v>1885.7779998855838</v>
      </c>
      <c r="DN17" s="67">
        <f>+DN15+DN16</f>
        <v>2013.7659824045995</v>
      </c>
      <c r="DO17" s="93">
        <f>+DO15+DO16</f>
        <v>7697.6407936292062</v>
      </c>
      <c r="DP17" s="67"/>
      <c r="DQ17" s="82">
        <f>+DQ15+DQ16</f>
        <v>1971.7558070931393</v>
      </c>
      <c r="DR17" s="67">
        <f>+DR15+DR16</f>
        <v>1971.1041213800481</v>
      </c>
      <c r="DS17" s="67">
        <f>+DS15+DS16</f>
        <v>1942.2219682892783</v>
      </c>
      <c r="DT17" s="67">
        <f>+DT15+DT16</f>
        <v>2072.7065224684138</v>
      </c>
      <c r="DU17" s="93">
        <f>+DU15+DU16</f>
        <v>7957.7884192308802</v>
      </c>
      <c r="DV17" s="67"/>
      <c r="DW17" s="82">
        <f t="shared" ref="DW17:EA17" si="51">+DW15+DW16</f>
        <v>2038.18983659587</v>
      </c>
      <c r="DX17" s="67">
        <f t="shared" si="51"/>
        <v>2036.5845794760207</v>
      </c>
      <c r="DY17" s="67">
        <f t="shared" si="51"/>
        <v>2006.9510184722972</v>
      </c>
      <c r="DZ17" s="67">
        <f t="shared" si="51"/>
        <v>2140.6677280104695</v>
      </c>
      <c r="EA17" s="93">
        <f t="shared" si="51"/>
        <v>8222.3931625546575</v>
      </c>
      <c r="EB17" s="67"/>
      <c r="EC17" s="82">
        <f t="shared" ref="EC17:EG17" si="52">+EC15+EC16</f>
        <v>2106.7819827177768</v>
      </c>
      <c r="ED17" s="67">
        <f t="shared" si="52"/>
        <v>2104.1440383938971</v>
      </c>
      <c r="EE17" s="67">
        <f t="shared" si="52"/>
        <v>2073.7453599830496</v>
      </c>
      <c r="EF17" s="67">
        <f t="shared" si="52"/>
        <v>2210.7401391362646</v>
      </c>
      <c r="EG17" s="93">
        <f t="shared" si="52"/>
        <v>8495.4115202309877</v>
      </c>
      <c r="EH17" s="62"/>
    </row>
    <row r="18" spans="1:138" ht="11.25" customHeight="1" x14ac:dyDescent="0.2">
      <c r="A18" s="51" t="s">
        <v>88</v>
      </c>
      <c r="B18" s="13"/>
      <c r="C18" s="13"/>
      <c r="D18" s="13"/>
      <c r="E18" s="92"/>
      <c r="F18" s="67"/>
      <c r="G18" s="92"/>
      <c r="H18" s="67"/>
      <c r="I18" s="92"/>
      <c r="J18" s="67"/>
      <c r="K18" s="92"/>
      <c r="L18" s="67"/>
      <c r="M18" s="84"/>
      <c r="N18" s="71"/>
      <c r="O18" s="71"/>
      <c r="P18" s="71"/>
      <c r="Q18" s="93"/>
      <c r="R18" s="67"/>
      <c r="S18" s="84"/>
      <c r="T18" s="71"/>
      <c r="U18" s="71"/>
      <c r="V18" s="71"/>
      <c r="W18" s="93"/>
      <c r="X18" s="67"/>
      <c r="Y18" s="84"/>
      <c r="Z18" s="71"/>
      <c r="AA18" s="71"/>
      <c r="AB18" s="71"/>
      <c r="AC18" s="93"/>
      <c r="AD18" s="67"/>
      <c r="AE18" s="84"/>
      <c r="AF18" s="71"/>
      <c r="AG18" s="71"/>
      <c r="AH18" s="71"/>
      <c r="AI18" s="93"/>
      <c r="AJ18" s="67"/>
      <c r="AK18" s="84"/>
      <c r="AL18" s="71"/>
      <c r="AM18" s="71"/>
      <c r="AN18" s="71"/>
      <c r="AO18" s="93"/>
      <c r="AP18" s="67"/>
      <c r="AQ18" s="84"/>
      <c r="AR18" s="71"/>
      <c r="AS18" s="71"/>
      <c r="AT18" s="71"/>
      <c r="AU18" s="93"/>
      <c r="AV18" s="67"/>
      <c r="AW18" s="84"/>
      <c r="AX18" s="71"/>
      <c r="AY18" s="71"/>
      <c r="AZ18" s="71"/>
      <c r="BA18" s="93"/>
      <c r="BB18" s="67"/>
      <c r="BC18" s="84"/>
      <c r="BD18" s="71"/>
      <c r="BE18" s="71"/>
      <c r="BF18" s="71"/>
      <c r="BG18" s="93"/>
      <c r="BH18" s="67"/>
      <c r="BI18" s="84"/>
      <c r="BJ18" s="71"/>
      <c r="BK18" s="71"/>
      <c r="BL18" s="71"/>
      <c r="BM18" s="93"/>
      <c r="BN18" s="67"/>
      <c r="BO18" s="81">
        <v>0</v>
      </c>
      <c r="BP18" s="69">
        <v>0</v>
      </c>
      <c r="BQ18" s="69">
        <v>0</v>
      </c>
      <c r="BR18" s="69">
        <v>0</v>
      </c>
      <c r="BS18" s="93">
        <f>SUM(BO18:BR18)</f>
        <v>0</v>
      </c>
      <c r="BT18" s="67"/>
      <c r="BU18" s="81">
        <v>0</v>
      </c>
      <c r="BV18" s="69">
        <v>0</v>
      </c>
      <c r="BW18" s="69">
        <v>0</v>
      </c>
      <c r="BX18" s="69">
        <v>0</v>
      </c>
      <c r="BY18" s="93">
        <f>SUM(BU18:BX18)</f>
        <v>0</v>
      </c>
      <c r="BZ18" s="67"/>
      <c r="CA18" s="81">
        <v>0</v>
      </c>
      <c r="CB18" s="69">
        <v>0</v>
      </c>
      <c r="CC18" s="69">
        <v>0</v>
      </c>
      <c r="CD18" s="69">
        <v>0</v>
      </c>
      <c r="CE18" s="93">
        <f>SUM(CA18:CD18)</f>
        <v>0</v>
      </c>
      <c r="CF18" s="67"/>
      <c r="CG18" s="81">
        <v>0</v>
      </c>
      <c r="CH18" s="69">
        <v>0</v>
      </c>
      <c r="CI18" s="69">
        <v>0</v>
      </c>
      <c r="CJ18" s="69">
        <v>0</v>
      </c>
      <c r="CK18" s="92">
        <v>0</v>
      </c>
      <c r="CL18" s="67"/>
      <c r="CM18" s="81">
        <v>0</v>
      </c>
      <c r="CN18" s="69">
        <v>0</v>
      </c>
      <c r="CO18" s="69">
        <v>0</v>
      </c>
      <c r="CP18" s="69">
        <v>0</v>
      </c>
      <c r="CQ18" s="92">
        <v>0</v>
      </c>
      <c r="CR18" s="67"/>
      <c r="CS18" s="84">
        <v>0</v>
      </c>
      <c r="CT18" s="71">
        <v>0</v>
      </c>
      <c r="CU18" s="71">
        <v>0</v>
      </c>
      <c r="CV18" s="71">
        <v>0</v>
      </c>
      <c r="CW18" s="93">
        <f>SUM(CS18:CV18)</f>
        <v>0</v>
      </c>
      <c r="CX18" s="67"/>
      <c r="CY18" s="84">
        <v>0</v>
      </c>
      <c r="CZ18" s="71">
        <v>0</v>
      </c>
      <c r="DA18" s="71">
        <v>0</v>
      </c>
      <c r="DB18" s="71">
        <v>0</v>
      </c>
      <c r="DC18" s="93">
        <f>SUM(CY18:DB18)</f>
        <v>0</v>
      </c>
      <c r="DD18" s="67"/>
      <c r="DE18" s="84">
        <v>0</v>
      </c>
      <c r="DF18" s="71">
        <v>0</v>
      </c>
      <c r="DG18" s="71">
        <v>0</v>
      </c>
      <c r="DH18" s="71">
        <v>0</v>
      </c>
      <c r="DI18" s="93">
        <f>SUM(DE18:DH18)</f>
        <v>0</v>
      </c>
      <c r="DJ18" s="67"/>
      <c r="DK18" s="84">
        <v>0</v>
      </c>
      <c r="DL18" s="69">
        <v>0</v>
      </c>
      <c r="DM18" s="69">
        <v>0</v>
      </c>
      <c r="DN18" s="69">
        <v>0</v>
      </c>
      <c r="DO18" s="93">
        <f>SUM(DK18:DN18)</f>
        <v>0</v>
      </c>
      <c r="DP18" s="67"/>
      <c r="DQ18" s="81">
        <v>0</v>
      </c>
      <c r="DR18" s="69">
        <v>0</v>
      </c>
      <c r="DS18" s="69">
        <v>0</v>
      </c>
      <c r="DT18" s="69">
        <v>0</v>
      </c>
      <c r="DU18" s="93">
        <f>SUM(DQ18:DT18)</f>
        <v>0</v>
      </c>
      <c r="DV18" s="67"/>
      <c r="DW18" s="81">
        <v>0</v>
      </c>
      <c r="DX18" s="69">
        <v>0</v>
      </c>
      <c r="DY18" s="69">
        <v>0</v>
      </c>
      <c r="DZ18" s="69">
        <v>0</v>
      </c>
      <c r="EA18" s="93">
        <f t="shared" ref="EA18:EA19" si="53">SUM(DW18:DZ18)</f>
        <v>0</v>
      </c>
      <c r="EB18" s="67"/>
      <c r="EC18" s="81">
        <v>0</v>
      </c>
      <c r="ED18" s="69">
        <v>0</v>
      </c>
      <c r="EE18" s="69">
        <v>0</v>
      </c>
      <c r="EF18" s="69">
        <v>0</v>
      </c>
      <c r="EG18" s="93">
        <f t="shared" ref="EG18:EG19" si="54">SUM(EC18:EF18)</f>
        <v>0</v>
      </c>
      <c r="EH18" s="62"/>
    </row>
    <row r="19" spans="1:138" ht="11.25" customHeight="1" x14ac:dyDescent="0.2">
      <c r="A19" s="51" t="s">
        <v>34</v>
      </c>
      <c r="B19" s="13"/>
      <c r="C19" s="13"/>
      <c r="D19" s="13"/>
      <c r="E19" s="92"/>
      <c r="F19" s="67"/>
      <c r="G19" s="92"/>
      <c r="H19" s="67"/>
      <c r="I19" s="92"/>
      <c r="J19" s="67"/>
      <c r="K19" s="92"/>
      <c r="L19" s="67"/>
      <c r="M19" s="84"/>
      <c r="N19" s="71"/>
      <c r="O19" s="71"/>
      <c r="P19" s="71"/>
      <c r="Q19" s="93"/>
      <c r="R19" s="67"/>
      <c r="S19" s="84"/>
      <c r="T19" s="71"/>
      <c r="U19" s="71"/>
      <c r="V19" s="71"/>
      <c r="W19" s="93"/>
      <c r="X19" s="67"/>
      <c r="Y19" s="84"/>
      <c r="Z19" s="71"/>
      <c r="AA19" s="71"/>
      <c r="AB19" s="71"/>
      <c r="AC19" s="93"/>
      <c r="AD19" s="67"/>
      <c r="AE19" s="84"/>
      <c r="AF19" s="71"/>
      <c r="AG19" s="71"/>
      <c r="AH19" s="71"/>
      <c r="AI19" s="93"/>
      <c r="AJ19" s="67"/>
      <c r="AK19" s="84"/>
      <c r="AL19" s="71"/>
      <c r="AM19" s="71"/>
      <c r="AN19" s="71"/>
      <c r="AO19" s="93"/>
      <c r="AP19" s="67"/>
      <c r="AQ19" s="84"/>
      <c r="AR19" s="71"/>
      <c r="AS19" s="71"/>
      <c r="AT19" s="71"/>
      <c r="AU19" s="93"/>
      <c r="AV19" s="67"/>
      <c r="AW19" s="84"/>
      <c r="AX19" s="71"/>
      <c r="AY19" s="71"/>
      <c r="AZ19" s="71"/>
      <c r="BA19" s="93"/>
      <c r="BB19" s="67"/>
      <c r="BC19" s="84"/>
      <c r="BD19" s="71"/>
      <c r="BE19" s="71"/>
      <c r="BF19" s="71"/>
      <c r="BG19" s="93"/>
      <c r="BH19" s="67"/>
      <c r="BI19" s="84"/>
      <c r="BJ19" s="71"/>
      <c r="BK19" s="71"/>
      <c r="BL19" s="71"/>
      <c r="BM19" s="93"/>
      <c r="BN19" s="67"/>
      <c r="BO19" s="81">
        <v>0</v>
      </c>
      <c r="BP19" s="69">
        <v>0</v>
      </c>
      <c r="BQ19" s="69">
        <v>0</v>
      </c>
      <c r="BR19" s="69">
        <v>0</v>
      </c>
      <c r="BS19" s="93">
        <f>SUM(BO19:BR19)</f>
        <v>0</v>
      </c>
      <c r="BT19" s="67"/>
      <c r="BU19" s="81">
        <v>0</v>
      </c>
      <c r="BV19" s="69">
        <v>0</v>
      </c>
      <c r="BW19" s="69">
        <v>0</v>
      </c>
      <c r="BX19" s="69">
        <v>0</v>
      </c>
      <c r="BY19" s="93">
        <f>SUM(BU19:BX19)</f>
        <v>0</v>
      </c>
      <c r="BZ19" s="67"/>
      <c r="CA19" s="81">
        <v>0</v>
      </c>
      <c r="CB19" s="69">
        <v>0</v>
      </c>
      <c r="CC19" s="69">
        <v>0</v>
      </c>
      <c r="CD19" s="69">
        <v>0</v>
      </c>
      <c r="CE19" s="93">
        <f>SUM(CA19:CD19)</f>
        <v>0</v>
      </c>
      <c r="CF19" s="67"/>
      <c r="CG19" s="81">
        <v>0</v>
      </c>
      <c r="CH19" s="69">
        <v>0</v>
      </c>
      <c r="CI19" s="69">
        <v>0</v>
      </c>
      <c r="CJ19" s="69">
        <v>0</v>
      </c>
      <c r="CK19" s="92">
        <v>0</v>
      </c>
      <c r="CL19" s="67"/>
      <c r="CM19" s="81">
        <v>0</v>
      </c>
      <c r="CN19" s="69">
        <v>0</v>
      </c>
      <c r="CO19" s="69">
        <v>0</v>
      </c>
      <c r="CP19" s="69">
        <v>0</v>
      </c>
      <c r="CQ19" s="92">
        <v>0</v>
      </c>
      <c r="CR19" s="67"/>
      <c r="CS19" s="84">
        <v>0</v>
      </c>
      <c r="CT19" s="71">
        <v>0</v>
      </c>
      <c r="CU19" s="71">
        <v>0</v>
      </c>
      <c r="CV19" s="71">
        <v>0</v>
      </c>
      <c r="CW19" s="93">
        <f>SUM(CS19:CV19)</f>
        <v>0</v>
      </c>
      <c r="CX19" s="67"/>
      <c r="CY19" s="84">
        <v>0</v>
      </c>
      <c r="CZ19" s="71">
        <v>0</v>
      </c>
      <c r="DA19" s="71">
        <v>0</v>
      </c>
      <c r="DB19" s="71">
        <v>0</v>
      </c>
      <c r="DC19" s="93">
        <f>SUM(CY19:DB19)</f>
        <v>0</v>
      </c>
      <c r="DD19" s="67"/>
      <c r="DE19" s="84">
        <v>0</v>
      </c>
      <c r="DF19" s="71">
        <v>0</v>
      </c>
      <c r="DG19" s="71">
        <v>0</v>
      </c>
      <c r="DH19" s="71">
        <v>0</v>
      </c>
      <c r="DI19" s="93">
        <f>SUM(DE19:DH19)</f>
        <v>0</v>
      </c>
      <c r="DJ19" s="67"/>
      <c r="DK19" s="84">
        <v>0</v>
      </c>
      <c r="DL19" s="69">
        <v>0</v>
      </c>
      <c r="DM19" s="69">
        <v>0</v>
      </c>
      <c r="DN19" s="69">
        <v>0</v>
      </c>
      <c r="DO19" s="93">
        <f>SUM(DK19:DN19)</f>
        <v>0</v>
      </c>
      <c r="DP19" s="67"/>
      <c r="DQ19" s="81">
        <v>0</v>
      </c>
      <c r="DR19" s="69">
        <v>0</v>
      </c>
      <c r="DS19" s="69">
        <v>0</v>
      </c>
      <c r="DT19" s="69">
        <v>0</v>
      </c>
      <c r="DU19" s="93">
        <f>SUM(DQ19:DT19)</f>
        <v>0</v>
      </c>
      <c r="DV19" s="67"/>
      <c r="DW19" s="81">
        <v>0</v>
      </c>
      <c r="DX19" s="69">
        <v>0</v>
      </c>
      <c r="DY19" s="69">
        <v>0</v>
      </c>
      <c r="DZ19" s="69">
        <v>0</v>
      </c>
      <c r="EA19" s="93">
        <f t="shared" si="53"/>
        <v>0</v>
      </c>
      <c r="EB19" s="67"/>
      <c r="EC19" s="81">
        <v>0</v>
      </c>
      <c r="ED19" s="69">
        <v>0</v>
      </c>
      <c r="EE19" s="69">
        <v>0</v>
      </c>
      <c r="EF19" s="69">
        <v>0</v>
      </c>
      <c r="EG19" s="93">
        <f t="shared" si="54"/>
        <v>0</v>
      </c>
      <c r="EH19" s="13"/>
    </row>
    <row r="20" spans="1:138" ht="11.25" customHeight="1" x14ac:dyDescent="0.2">
      <c r="A20" s="50" t="s">
        <v>463</v>
      </c>
      <c r="B20" s="8"/>
      <c r="C20" s="8"/>
      <c r="D20" s="8"/>
      <c r="E20" s="93"/>
      <c r="F20" s="67"/>
      <c r="G20" s="93"/>
      <c r="H20" s="67"/>
      <c r="I20" s="93"/>
      <c r="J20" s="67"/>
      <c r="K20" s="93"/>
      <c r="L20" s="67"/>
      <c r="M20" s="82"/>
      <c r="N20" s="67"/>
      <c r="O20" s="67"/>
      <c r="P20" s="67"/>
      <c r="Q20" s="93"/>
      <c r="R20" s="67"/>
      <c r="S20" s="82"/>
      <c r="T20" s="67"/>
      <c r="U20" s="67"/>
      <c r="V20" s="67"/>
      <c r="W20" s="93"/>
      <c r="X20" s="67"/>
      <c r="Y20" s="82"/>
      <c r="Z20" s="67"/>
      <c r="AA20" s="67"/>
      <c r="AB20" s="67"/>
      <c r="AC20" s="93"/>
      <c r="AD20" s="67"/>
      <c r="AE20" s="82"/>
      <c r="AF20" s="67"/>
      <c r="AG20" s="67"/>
      <c r="AH20" s="67"/>
      <c r="AI20" s="93"/>
      <c r="AJ20" s="67"/>
      <c r="AK20" s="82"/>
      <c r="AL20" s="67"/>
      <c r="AM20" s="67"/>
      <c r="AN20" s="67"/>
      <c r="AO20" s="93"/>
      <c r="AP20" s="67"/>
      <c r="AQ20" s="82"/>
      <c r="AR20" s="67"/>
      <c r="AS20" s="67"/>
      <c r="AT20" s="67"/>
      <c r="AU20" s="93"/>
      <c r="AV20" s="67"/>
      <c r="AW20" s="82"/>
      <c r="AX20" s="67"/>
      <c r="AY20" s="67"/>
      <c r="AZ20" s="67"/>
      <c r="BA20" s="93"/>
      <c r="BB20" s="67"/>
      <c r="BC20" s="82"/>
      <c r="BD20" s="67"/>
      <c r="BE20" s="67"/>
      <c r="BF20" s="67"/>
      <c r="BG20" s="93"/>
      <c r="BH20" s="67"/>
      <c r="BI20" s="82"/>
      <c r="BJ20" s="67"/>
      <c r="BK20" s="67"/>
      <c r="BL20" s="67"/>
      <c r="BM20" s="93"/>
      <c r="BN20" s="67"/>
      <c r="BO20" s="165">
        <f>BO13-BO17-BO18-BO19</f>
        <v>160.37148729877174</v>
      </c>
      <c r="BP20" s="164">
        <f>BP13-BP17-BP18-BP19</f>
        <v>194.09715259738596</v>
      </c>
      <c r="BQ20" s="164">
        <f>BQ13-BQ17-BQ18-BQ19</f>
        <v>241.97579496458593</v>
      </c>
      <c r="BR20" s="164">
        <f>BR13-BR17-BR18-BR19</f>
        <v>274.63681440359346</v>
      </c>
      <c r="BS20" s="163">
        <f>BS13-BS17-BS18-BS19</f>
        <v>871.08124926433766</v>
      </c>
      <c r="BT20" s="67"/>
      <c r="BU20" s="165">
        <f>BU13-BU17-BU18-BU19</f>
        <v>266.46199399919362</v>
      </c>
      <c r="BV20" s="164">
        <f>BV13-BV17-BV18-BV19</f>
        <v>233.28761236149535</v>
      </c>
      <c r="BW20" s="164">
        <f>BW13-BW17-BW18-BW19</f>
        <v>264.93315203733187</v>
      </c>
      <c r="BX20" s="164">
        <f>BX13-BX17-BX18-BX19</f>
        <v>422.31740743276873</v>
      </c>
      <c r="BY20" s="163">
        <f>BY13-BY17-BY18-BY19</f>
        <v>1187.0001658307888</v>
      </c>
      <c r="BZ20" s="67"/>
      <c r="CA20" s="165">
        <f>CA13-CA17-CA18-CA19</f>
        <v>380.43400746836937</v>
      </c>
      <c r="CB20" s="164">
        <f>CB13-CB17-CB18-CB19</f>
        <v>426.3362621852998</v>
      </c>
      <c r="CC20" s="164">
        <f>CC13-CC17-CC18-CC19</f>
        <v>410.17017779863545</v>
      </c>
      <c r="CD20" s="164">
        <f>CD13-CD17-CD18-CD19</f>
        <v>537.35560171264729</v>
      </c>
      <c r="CE20" s="163">
        <f>CE13-CE17-CE18-CE19</f>
        <v>1754.296049164951</v>
      </c>
      <c r="CF20" s="67"/>
      <c r="CG20" s="165">
        <f>CG13-CG17-CG18-CG19</f>
        <v>387.35278895526562</v>
      </c>
      <c r="CH20" s="164">
        <f>CH13-CH17-CH18-CH19</f>
        <v>482.01569040948107</v>
      </c>
      <c r="CI20" s="164">
        <f>CI13-CI17-CI18-CI19</f>
        <v>483.31618353655972</v>
      </c>
      <c r="CJ20" s="164">
        <f>CJ13-CJ17-CJ18-CJ19</f>
        <v>577.215337098693</v>
      </c>
      <c r="CK20" s="163">
        <f>CK13-CK17-CK18-CK19</f>
        <v>1929.9013164482731</v>
      </c>
      <c r="CL20" s="67"/>
      <c r="CM20" s="165">
        <f>CM13-CM17-CM18-CM19</f>
        <v>427.68797700682649</v>
      </c>
      <c r="CN20" s="164">
        <f>CN13-CN17-CN18-CN19</f>
        <v>520.77950914982989</v>
      </c>
      <c r="CO20" s="164">
        <f>CO13-CO17-CO18-CO19</f>
        <v>529.75857259379086</v>
      </c>
      <c r="CP20" s="164">
        <f>CP13-CP17-CP18-CP19</f>
        <v>566.77394124955276</v>
      </c>
      <c r="CQ20" s="163">
        <v>2045</v>
      </c>
      <c r="CR20" s="67"/>
      <c r="CS20" s="165">
        <f>CS13-CS17-CS18-CS19</f>
        <v>447.70000000000005</v>
      </c>
      <c r="CT20" s="164">
        <f>CT13-CT17-CT18-CT19</f>
        <v>582.90000000000009</v>
      </c>
      <c r="CU20" s="164">
        <f>CU13-CU17-CU18-CU19</f>
        <v>479.99999999999977</v>
      </c>
      <c r="CV20" s="164">
        <f>CV13-CV17-CV18-CV19</f>
        <v>651.59999999999991</v>
      </c>
      <c r="CW20" s="163">
        <f>CW13-CW17-CW18-CW19</f>
        <v>2162.2000000000007</v>
      </c>
      <c r="CX20" s="67"/>
      <c r="CY20" s="165">
        <f>CY13-CY17-CY18-CY19</f>
        <v>613.10000000000036</v>
      </c>
      <c r="CZ20" s="164">
        <f>CZ13-CZ17-CZ18-CZ19</f>
        <v>710.09999999999968</v>
      </c>
      <c r="DA20" s="164">
        <f>DA13-DA17-DA18-DA19</f>
        <v>699.10000000000059</v>
      </c>
      <c r="DB20" s="164">
        <f>DB13-DB17-DB18-DB19</f>
        <v>728.59999999999991</v>
      </c>
      <c r="DC20" s="163">
        <f>DC13-DC17-DC18-DC19</f>
        <v>2750.9000000000015</v>
      </c>
      <c r="DD20" s="67"/>
      <c r="DE20" s="165">
        <f>DE13-DE17-DE18-DE19</f>
        <v>616.99999999999955</v>
      </c>
      <c r="DF20" s="164">
        <f>DF13-DF17-DF18-DF19</f>
        <v>751.70000000000027</v>
      </c>
      <c r="DG20" s="164">
        <f>DG13-DG17-DG18-DG19</f>
        <v>760.49999999999977</v>
      </c>
      <c r="DH20" s="164">
        <f>DH13-DH17-DH18-DH19</f>
        <v>938.09999999999991</v>
      </c>
      <c r="DI20" s="163">
        <f>DI13-DI17-DI18-DI19</f>
        <v>3067.3</v>
      </c>
      <c r="DJ20" s="67"/>
      <c r="DK20" s="165">
        <f>DK13-DK17-DK18-DK19</f>
        <v>742.99999999999932</v>
      </c>
      <c r="DL20" s="164">
        <f t="shared" ref="DL20:DO20" si="55">DL13-DL17-DL18-DL19</f>
        <v>846.67385112525881</v>
      </c>
      <c r="DM20" s="164">
        <f t="shared" si="55"/>
        <v>838.35817036357389</v>
      </c>
      <c r="DN20" s="164">
        <f t="shared" si="55"/>
        <v>1083.6991826970002</v>
      </c>
      <c r="DO20" s="163">
        <f t="shared" si="55"/>
        <v>3511.7312041858322</v>
      </c>
      <c r="DP20" s="67"/>
      <c r="DQ20" s="165">
        <f t="shared" ref="DQ20:DU20" si="56">DQ13-DQ17-DQ18-DQ19</f>
        <v>831.01285591470992</v>
      </c>
      <c r="DR20" s="164">
        <f t="shared" si="56"/>
        <v>936.6945017558287</v>
      </c>
      <c r="DS20" s="164">
        <f t="shared" si="56"/>
        <v>912.44778798650032</v>
      </c>
      <c r="DT20" s="164">
        <f t="shared" si="56"/>
        <v>1164.2544783239423</v>
      </c>
      <c r="DU20" s="163">
        <f t="shared" si="56"/>
        <v>3844.4096239809815</v>
      </c>
      <c r="DV20" s="67"/>
      <c r="DW20" s="165">
        <f t="shared" ref="DW20:EA20" si="57">DW13-DW17-DW18-DW19</f>
        <v>915.13431627624277</v>
      </c>
      <c r="DX20" s="164">
        <f t="shared" si="57"/>
        <v>1024.0005010559762</v>
      </c>
      <c r="DY20" s="164">
        <f t="shared" si="57"/>
        <v>998.13822701194158</v>
      </c>
      <c r="DZ20" s="164">
        <f t="shared" si="57"/>
        <v>1258.0119481572929</v>
      </c>
      <c r="EA20" s="163">
        <f t="shared" si="57"/>
        <v>4195.2849925014525</v>
      </c>
      <c r="EB20" s="67"/>
      <c r="EC20" s="165">
        <f t="shared" ref="EC20:EG20" si="58">EC13-EC17-EC18-EC19</f>
        <v>997.17471445038109</v>
      </c>
      <c r="ED20" s="164">
        <f t="shared" si="58"/>
        <v>1109.4064849579895</v>
      </c>
      <c r="EE20" s="164">
        <f t="shared" si="58"/>
        <v>1081.7769862924097</v>
      </c>
      <c r="EF20" s="164">
        <f t="shared" si="58"/>
        <v>1344.0020318694014</v>
      </c>
      <c r="EG20" s="163">
        <f t="shared" si="58"/>
        <v>4532.3602175701817</v>
      </c>
      <c r="EH20" s="13"/>
    </row>
    <row r="21" spans="1:138" ht="11.25" customHeight="1" x14ac:dyDescent="0.2">
      <c r="A21" s="104" t="s">
        <v>154</v>
      </c>
      <c r="B21" s="14"/>
      <c r="C21" s="14"/>
      <c r="D21" s="14"/>
      <c r="E21" s="92"/>
      <c r="F21" s="70"/>
      <c r="G21" s="92"/>
      <c r="H21" s="70"/>
      <c r="I21" s="92"/>
      <c r="J21" s="70"/>
      <c r="K21" s="92"/>
      <c r="L21" s="70"/>
      <c r="M21" s="84"/>
      <c r="N21" s="71"/>
      <c r="O21" s="71"/>
      <c r="P21" s="71"/>
      <c r="Q21" s="93"/>
      <c r="R21" s="70"/>
      <c r="S21" s="84"/>
      <c r="T21" s="71"/>
      <c r="U21" s="71"/>
      <c r="V21" s="71"/>
      <c r="W21" s="93"/>
      <c r="X21" s="70"/>
      <c r="Y21" s="84"/>
      <c r="Z21" s="71"/>
      <c r="AA21" s="71"/>
      <c r="AB21" s="71"/>
      <c r="AC21" s="93"/>
      <c r="AD21" s="70"/>
      <c r="AE21" s="84"/>
      <c r="AF21" s="71"/>
      <c r="AG21" s="71"/>
      <c r="AH21" s="71"/>
      <c r="AI21" s="93"/>
      <c r="AJ21" s="70"/>
      <c r="AK21" s="84"/>
      <c r="AL21" s="71"/>
      <c r="AM21" s="71"/>
      <c r="AN21" s="71"/>
      <c r="AO21" s="93"/>
      <c r="AP21" s="70"/>
      <c r="AQ21" s="84"/>
      <c r="AR21" s="71"/>
      <c r="AS21" s="71"/>
      <c r="AT21" s="71"/>
      <c r="AU21" s="93"/>
      <c r="AV21" s="70"/>
      <c r="AW21" s="84"/>
      <c r="AX21" s="71"/>
      <c r="AY21" s="71"/>
      <c r="AZ21" s="71"/>
      <c r="BA21" s="93"/>
      <c r="BB21" s="70"/>
      <c r="BC21" s="84"/>
      <c r="BD21" s="71"/>
      <c r="BE21" s="71"/>
      <c r="BF21" s="71"/>
      <c r="BG21" s="93"/>
      <c r="BH21" s="70"/>
      <c r="BI21" s="84"/>
      <c r="BJ21" s="71"/>
      <c r="BK21" s="71"/>
      <c r="BL21" s="71"/>
      <c r="BM21" s="93"/>
      <c r="BN21" s="70"/>
      <c r="BO21" s="84"/>
      <c r="BP21" s="71"/>
      <c r="BQ21" s="71"/>
      <c r="BR21" s="71"/>
      <c r="BS21" s="371">
        <f>+CF!BS14+CF!BS15</f>
        <v>388.262</v>
      </c>
      <c r="BT21" s="70"/>
      <c r="BU21" s="84"/>
      <c r="BV21" s="71"/>
      <c r="BW21" s="71"/>
      <c r="BX21" s="71"/>
      <c r="BY21" s="371">
        <f>+CF!BY14+CF!BY15</f>
        <v>635</v>
      </c>
      <c r="BZ21" s="70"/>
      <c r="CA21" s="84"/>
      <c r="CB21" s="71"/>
      <c r="CC21" s="71"/>
      <c r="CD21" s="71"/>
      <c r="CE21" s="371">
        <f>+CF!CE14+CF!CE15</f>
        <v>839.8</v>
      </c>
      <c r="CF21" s="70"/>
      <c r="CG21" s="84"/>
      <c r="CH21" s="71"/>
      <c r="CI21" s="72"/>
      <c r="CJ21" s="72"/>
      <c r="CK21" s="371">
        <f>+CF!CK14+CF!CK15</f>
        <v>895</v>
      </c>
      <c r="CL21" s="70"/>
      <c r="CM21" s="84"/>
      <c r="CN21" s="71"/>
      <c r="CO21" s="72"/>
      <c r="CP21" s="72"/>
      <c r="CQ21" s="371">
        <f>+CF!CQ14+CF!CQ15</f>
        <v>889.5</v>
      </c>
      <c r="CR21" s="70"/>
      <c r="CS21" s="389">
        <f>+CF!CS14+CF!CS15</f>
        <v>235.5</v>
      </c>
      <c r="CT21" s="390">
        <f>+CF!CT14+CF!CT15</f>
        <v>237</v>
      </c>
      <c r="CU21" s="390">
        <f>+CF!CU14+CF!CU15</f>
        <v>136.29999999999995</v>
      </c>
      <c r="CV21" s="390">
        <f>+CF!CV14+CF!CV15</f>
        <v>272.00000000000006</v>
      </c>
      <c r="CW21" s="93">
        <f>SUM(CS21:CV21)</f>
        <v>880.8</v>
      </c>
      <c r="CX21" s="70"/>
      <c r="CY21" s="389">
        <f>+CF!CY14+CF!CY15</f>
        <v>310.10000000000002</v>
      </c>
      <c r="CZ21" s="390">
        <f>+CF!CZ14+CF!CZ15</f>
        <v>320.79999999999995</v>
      </c>
      <c r="DA21" s="390">
        <f>+CF!DA14+CF!DA15</f>
        <v>191.60000000000002</v>
      </c>
      <c r="DB21" s="390">
        <f>+CF!DB14+CF!DB15</f>
        <v>305.60000000000002</v>
      </c>
      <c r="DC21" s="93">
        <f>SUM(CY21:DB21)</f>
        <v>1128.0999999999999</v>
      </c>
      <c r="DD21" s="70"/>
      <c r="DE21" s="389">
        <f>+CF!DE14+CF!DE15</f>
        <v>305.60000000000002</v>
      </c>
      <c r="DF21" s="390">
        <f>+CF!DF14+CF!DF15</f>
        <v>303.19999999999993</v>
      </c>
      <c r="DG21" s="390">
        <f>+CF!DG14+CF!DG15</f>
        <v>311.40000000000003</v>
      </c>
      <c r="DH21" s="390">
        <f>+CF!DH14+CF!DH15</f>
        <v>318.09999999999997</v>
      </c>
      <c r="DI21" s="93">
        <f>SUM(DE21:DH21)</f>
        <v>1238.3</v>
      </c>
      <c r="DJ21" s="70"/>
      <c r="DK21" s="389">
        <f>+CF!DK14+CF!DK15</f>
        <v>323.30458599999997</v>
      </c>
      <c r="DL21" s="390">
        <f>+CF!DL14+CF!DL15</f>
        <v>324.77936447375004</v>
      </c>
      <c r="DM21" s="390">
        <f>+CF!DM14+CF!DM15</f>
        <v>322.12031785828674</v>
      </c>
      <c r="DN21" s="390">
        <f>+CF!DN14+CF!DN15</f>
        <v>320.57594917890754</v>
      </c>
      <c r="DO21" s="93">
        <f>SUM(DK21:DN21)</f>
        <v>1290.7802175109443</v>
      </c>
      <c r="DP21" s="70"/>
      <c r="DQ21" s="389">
        <f>+CF!DQ14+CF!DQ15</f>
        <v>326.63722982227</v>
      </c>
      <c r="DR21" s="390">
        <f>+CF!DR14+CF!DR15</f>
        <v>324.30003426589212</v>
      </c>
      <c r="DS21" s="390">
        <f>+CF!DS14+CF!DS15</f>
        <v>321.73988157793144</v>
      </c>
      <c r="DT21" s="390">
        <f>+CF!DT14+CF!DT15</f>
        <v>320.32798520321001</v>
      </c>
      <c r="DU21" s="93">
        <f>SUM(DQ21:DT21)</f>
        <v>1293.0051308693037</v>
      </c>
      <c r="DV21" s="70"/>
      <c r="DW21" s="389">
        <f>+CF!DW14+CF!DW15</f>
        <v>329.34501219881929</v>
      </c>
      <c r="DX21" s="390">
        <f>+CF!DX14+CF!DX15</f>
        <v>327.0169556287691</v>
      </c>
      <c r="DY21" s="390">
        <f>+CF!DY14+CF!DY15</f>
        <v>324.45141957986482</v>
      </c>
      <c r="DZ21" s="390">
        <f>+CF!DZ14+CF!DZ15</f>
        <v>323.07798825133898</v>
      </c>
      <c r="EA21" s="93">
        <f t="shared" ref="EA21" si="59">SUM(DW21:DZ21)</f>
        <v>1303.8913756587922</v>
      </c>
      <c r="EB21" s="70"/>
      <c r="EC21" s="389">
        <f>+CF!EC14+CF!EC15</f>
        <v>331.24238348595213</v>
      </c>
      <c r="ED21" s="390">
        <f>+CF!ED14+CF!ED15</f>
        <v>328.92897103957023</v>
      </c>
      <c r="EE21" s="390">
        <f>+CF!EE14+CF!EE15</f>
        <v>326.36460428275825</v>
      </c>
      <c r="EF21" s="390">
        <f>+CF!EF14+CF!EF15</f>
        <v>325.03963596704529</v>
      </c>
      <c r="EG21" s="93">
        <f t="shared" ref="EG21" si="60">SUM(EC21:EF21)</f>
        <v>1311.575594775326</v>
      </c>
      <c r="EH21" s="56"/>
    </row>
    <row r="22" spans="1:138" ht="11.25" customHeight="1" x14ac:dyDescent="0.2">
      <c r="A22" s="50" t="s">
        <v>464</v>
      </c>
      <c r="B22" s="11"/>
      <c r="C22" s="11"/>
      <c r="D22" s="11"/>
      <c r="E22" s="163"/>
      <c r="F22" s="164"/>
      <c r="G22" s="163"/>
      <c r="H22" s="164"/>
      <c r="I22" s="163"/>
      <c r="J22" s="164"/>
      <c r="K22" s="163"/>
      <c r="L22" s="164"/>
      <c r="M22" s="165"/>
      <c r="N22" s="164"/>
      <c r="O22" s="164"/>
      <c r="P22" s="164"/>
      <c r="Q22" s="163"/>
      <c r="R22" s="164"/>
      <c r="S22" s="165"/>
      <c r="T22" s="164"/>
      <c r="U22" s="164"/>
      <c r="V22" s="164"/>
      <c r="W22" s="163"/>
      <c r="X22" s="164"/>
      <c r="Y22" s="165"/>
      <c r="Z22" s="164"/>
      <c r="AA22" s="164"/>
      <c r="AB22" s="164"/>
      <c r="AC22" s="163"/>
      <c r="AD22" s="164"/>
      <c r="AE22" s="165"/>
      <c r="AF22" s="164"/>
      <c r="AG22" s="164"/>
      <c r="AH22" s="164"/>
      <c r="AI22" s="163"/>
      <c r="AJ22" s="164"/>
      <c r="AK22" s="165"/>
      <c r="AL22" s="164"/>
      <c r="AM22" s="164"/>
      <c r="AN22" s="164"/>
      <c r="AO22" s="163"/>
      <c r="AP22" s="164"/>
      <c r="AQ22" s="165"/>
      <c r="AR22" s="164"/>
      <c r="AS22" s="164"/>
      <c r="AT22" s="164"/>
      <c r="AU22" s="163"/>
      <c r="AV22" s="164"/>
      <c r="AW22" s="165"/>
      <c r="AX22" s="164"/>
      <c r="AY22" s="164"/>
      <c r="AZ22" s="164"/>
      <c r="BA22" s="163"/>
      <c r="BB22" s="164"/>
      <c r="BC22" s="165"/>
      <c r="BD22" s="164"/>
      <c r="BE22" s="164"/>
      <c r="BF22" s="164"/>
      <c r="BG22" s="163"/>
      <c r="BH22" s="164"/>
      <c r="BI22" s="165"/>
      <c r="BJ22" s="164"/>
      <c r="BK22" s="164"/>
      <c r="BL22" s="164"/>
      <c r="BM22" s="163"/>
      <c r="BN22" s="164"/>
      <c r="BO22" s="165"/>
      <c r="BP22" s="164"/>
      <c r="BQ22" s="164"/>
      <c r="BR22" s="164"/>
      <c r="BS22" s="163">
        <f>BS20+BS21</f>
        <v>1259.3432492643376</v>
      </c>
      <c r="BT22" s="164"/>
      <c r="BU22" s="165"/>
      <c r="BV22" s="164"/>
      <c r="BW22" s="164"/>
      <c r="BX22" s="164"/>
      <c r="BY22" s="163">
        <f>BY20+BY21</f>
        <v>1822.0001658307888</v>
      </c>
      <c r="BZ22" s="164"/>
      <c r="CA22" s="165"/>
      <c r="CB22" s="164"/>
      <c r="CC22" s="164"/>
      <c r="CD22" s="164"/>
      <c r="CE22" s="163">
        <f>CE20+CE21</f>
        <v>2594.0960491649512</v>
      </c>
      <c r="CF22" s="164"/>
      <c r="CG22" s="165"/>
      <c r="CH22" s="164"/>
      <c r="CI22" s="164"/>
      <c r="CJ22" s="164"/>
      <c r="CK22" s="163">
        <f>CK20+CK21</f>
        <v>2824.9013164482731</v>
      </c>
      <c r="CL22" s="164"/>
      <c r="CM22" s="165"/>
      <c r="CN22" s="164"/>
      <c r="CO22" s="164"/>
      <c r="CP22" s="164"/>
      <c r="CQ22" s="163">
        <f>CQ20+CQ21</f>
        <v>2934.5</v>
      </c>
      <c r="CR22" s="164"/>
      <c r="CS22" s="165">
        <f>CS20+CS21</f>
        <v>683.2</v>
      </c>
      <c r="CT22" s="164">
        <f>CT20+CT21</f>
        <v>819.90000000000009</v>
      </c>
      <c r="CU22" s="164">
        <f>CU20+CU21</f>
        <v>616.29999999999973</v>
      </c>
      <c r="CV22" s="164">
        <f>CV20+CV21</f>
        <v>923.59999999999991</v>
      </c>
      <c r="CW22" s="163">
        <f>CW20+CW21</f>
        <v>3043.0000000000009</v>
      </c>
      <c r="CX22" s="164"/>
      <c r="CY22" s="165">
        <f>CY20+CY21</f>
        <v>923.20000000000039</v>
      </c>
      <c r="CZ22" s="164">
        <f>CZ20+CZ21</f>
        <v>1030.8999999999996</v>
      </c>
      <c r="DA22" s="164">
        <f>DA20+DA21</f>
        <v>890.70000000000061</v>
      </c>
      <c r="DB22" s="164">
        <f>DB20+DB21</f>
        <v>1034.1999999999998</v>
      </c>
      <c r="DC22" s="163">
        <f>DC20+DC21</f>
        <v>3879.0000000000014</v>
      </c>
      <c r="DD22" s="164"/>
      <c r="DE22" s="165">
        <f>DE20+DE21</f>
        <v>922.59999999999957</v>
      </c>
      <c r="DF22" s="164">
        <f>DF20+DF21</f>
        <v>1054.9000000000001</v>
      </c>
      <c r="DG22" s="164">
        <f>DG20+DG21</f>
        <v>1071.8999999999999</v>
      </c>
      <c r="DH22" s="164">
        <f>DH20+DH21</f>
        <v>1256.1999999999998</v>
      </c>
      <c r="DI22" s="163">
        <f>DI20+DI21</f>
        <v>4305.6000000000004</v>
      </c>
      <c r="DJ22" s="164"/>
      <c r="DK22" s="165">
        <f>DK20+DK21</f>
        <v>1066.3045859999993</v>
      </c>
      <c r="DL22" s="164">
        <f>DL20+DL21</f>
        <v>1171.4532155990089</v>
      </c>
      <c r="DM22" s="164">
        <f>DM20+DM21</f>
        <v>1160.4784882218605</v>
      </c>
      <c r="DN22" s="164">
        <f>DN20+DN21</f>
        <v>1404.2751318759078</v>
      </c>
      <c r="DO22" s="163">
        <f>DO20+DO21</f>
        <v>4802.5114216967768</v>
      </c>
      <c r="DP22" s="164"/>
      <c r="DQ22" s="165">
        <f>DQ20+DQ21</f>
        <v>1157.6500857369799</v>
      </c>
      <c r="DR22" s="164">
        <f>DR20+DR21</f>
        <v>1260.9945360217207</v>
      </c>
      <c r="DS22" s="164">
        <f>DS20+DS21</f>
        <v>1234.1876695644319</v>
      </c>
      <c r="DT22" s="164">
        <f>DT20+DT21</f>
        <v>1484.5824635271524</v>
      </c>
      <c r="DU22" s="163">
        <f>DU20+DU21</f>
        <v>5137.4147548502851</v>
      </c>
      <c r="DV22" s="164"/>
      <c r="DW22" s="165">
        <f t="shared" ref="DW22:EA22" si="61">DW20+DW21</f>
        <v>1244.4793284750622</v>
      </c>
      <c r="DX22" s="164">
        <f t="shared" si="61"/>
        <v>1351.0174566847454</v>
      </c>
      <c r="DY22" s="164">
        <f t="shared" si="61"/>
        <v>1322.5896465918063</v>
      </c>
      <c r="DZ22" s="164">
        <f t="shared" si="61"/>
        <v>1581.0899364086317</v>
      </c>
      <c r="EA22" s="163">
        <f t="shared" si="61"/>
        <v>5499.1763681602442</v>
      </c>
      <c r="EB22" s="164"/>
      <c r="EC22" s="165">
        <f t="shared" ref="EC22:EG22" si="62">EC20+EC21</f>
        <v>1328.4170979363332</v>
      </c>
      <c r="ED22" s="164">
        <f t="shared" si="62"/>
        <v>1438.3354559975596</v>
      </c>
      <c r="EE22" s="164">
        <f t="shared" si="62"/>
        <v>1408.1415905751678</v>
      </c>
      <c r="EF22" s="164">
        <f t="shared" si="62"/>
        <v>1669.0416678364468</v>
      </c>
      <c r="EG22" s="163">
        <f t="shared" si="62"/>
        <v>5843.9358123455077</v>
      </c>
      <c r="EH22" s="8"/>
    </row>
    <row r="23" spans="1:138" ht="11.25" customHeight="1" x14ac:dyDescent="0.2">
      <c r="A23" s="104" t="s">
        <v>156</v>
      </c>
      <c r="B23" s="14"/>
      <c r="C23" s="14"/>
      <c r="D23" s="14"/>
      <c r="E23" s="92"/>
      <c r="F23" s="67"/>
      <c r="G23" s="92"/>
      <c r="H23" s="67"/>
      <c r="I23" s="92"/>
      <c r="J23" s="67"/>
      <c r="K23" s="92"/>
      <c r="L23" s="67"/>
      <c r="M23" s="84"/>
      <c r="N23" s="71"/>
      <c r="O23" s="71"/>
      <c r="P23" s="71"/>
      <c r="Q23" s="93"/>
      <c r="R23" s="67"/>
      <c r="S23" s="84"/>
      <c r="T23" s="71"/>
      <c r="U23" s="71"/>
      <c r="V23" s="71"/>
      <c r="W23" s="93"/>
      <c r="X23" s="67"/>
      <c r="Y23" s="84"/>
      <c r="Z23" s="71"/>
      <c r="AA23" s="71"/>
      <c r="AB23" s="71"/>
      <c r="AC23" s="93"/>
      <c r="AD23" s="67"/>
      <c r="AE23" s="84"/>
      <c r="AF23" s="71"/>
      <c r="AG23" s="71"/>
      <c r="AH23" s="71"/>
      <c r="AI23" s="93"/>
      <c r="AJ23" s="67"/>
      <c r="AK23" s="84"/>
      <c r="AL23" s="71"/>
      <c r="AM23" s="71"/>
      <c r="AN23" s="71"/>
      <c r="AO23" s="93"/>
      <c r="AP23" s="67"/>
      <c r="AQ23" s="84"/>
      <c r="AR23" s="71"/>
      <c r="AS23" s="71"/>
      <c r="AT23" s="71"/>
      <c r="AU23" s="93"/>
      <c r="AV23" s="67"/>
      <c r="AW23" s="84"/>
      <c r="AX23" s="71"/>
      <c r="AY23" s="71"/>
      <c r="AZ23" s="71"/>
      <c r="BA23" s="93"/>
      <c r="BB23" s="67"/>
      <c r="BC23" s="84"/>
      <c r="BD23" s="71"/>
      <c r="BE23" s="71"/>
      <c r="BF23" s="71"/>
      <c r="BG23" s="93"/>
      <c r="BH23" s="67"/>
      <c r="BI23" s="84"/>
      <c r="BJ23" s="71"/>
      <c r="BK23" s="71"/>
      <c r="BL23" s="71"/>
      <c r="BM23" s="93"/>
      <c r="BN23" s="67"/>
      <c r="BO23" s="84"/>
      <c r="BP23" s="71"/>
      <c r="BQ23" s="71"/>
      <c r="BR23" s="71"/>
      <c r="BS23" s="93"/>
      <c r="BT23" s="67"/>
      <c r="BU23" s="84"/>
      <c r="BV23" s="71"/>
      <c r="BW23" s="71"/>
      <c r="BX23" s="71"/>
      <c r="BY23" s="93"/>
      <c r="BZ23" s="67"/>
      <c r="CA23" s="84"/>
      <c r="CB23" s="71"/>
      <c r="CC23" s="71"/>
      <c r="CD23" s="71"/>
      <c r="CE23" s="93"/>
      <c r="CF23" s="67"/>
      <c r="CG23" s="84"/>
      <c r="CH23" s="71"/>
      <c r="CI23" s="71"/>
      <c r="CJ23" s="71"/>
      <c r="CK23" s="548">
        <v>0</v>
      </c>
      <c r="CL23" s="67"/>
      <c r="CM23" s="84"/>
      <c r="CN23" s="71"/>
      <c r="CO23" s="71"/>
      <c r="CP23" s="71"/>
      <c r="CQ23" s="548">
        <v>0</v>
      </c>
      <c r="CR23" s="67"/>
      <c r="CS23" s="84">
        <v>0</v>
      </c>
      <c r="CT23" s="71">
        <v>0</v>
      </c>
      <c r="CU23" s="71">
        <v>0</v>
      </c>
      <c r="CV23" s="71">
        <v>0</v>
      </c>
      <c r="CW23" s="93">
        <f>SUM(CS23:CV23)</f>
        <v>0</v>
      </c>
      <c r="CX23" s="67"/>
      <c r="CY23" s="84">
        <v>0</v>
      </c>
      <c r="CZ23" s="71">
        <v>0</v>
      </c>
      <c r="DA23" s="71">
        <v>0.1</v>
      </c>
      <c r="DB23" s="71">
        <v>0.1</v>
      </c>
      <c r="DC23" s="93">
        <f>SUM(CY23:DB23)</f>
        <v>0.2</v>
      </c>
      <c r="DD23" s="67"/>
      <c r="DE23" s="84">
        <v>1.6</v>
      </c>
      <c r="DF23" s="71">
        <v>1.8</v>
      </c>
      <c r="DG23" s="71">
        <v>2.2000000000000002</v>
      </c>
      <c r="DH23" s="71">
        <v>1.9</v>
      </c>
      <c r="DI23" s="93">
        <f>SUM(DE23:DH23)</f>
        <v>7.5</v>
      </c>
      <c r="DJ23" s="67"/>
      <c r="DK23" s="84">
        <v>1.4</v>
      </c>
      <c r="DL23" s="355">
        <f>+Debt!DL72</f>
        <v>3.8931105438714293</v>
      </c>
      <c r="DM23" s="355">
        <f>+Debt!DM72</f>
        <v>6.5806533192548642</v>
      </c>
      <c r="DN23" s="355">
        <f>+Debt!DN72</f>
        <v>8.3574926160816947</v>
      </c>
      <c r="DO23" s="93">
        <f>SUM(DK23:DN23)</f>
        <v>20.231256479207985</v>
      </c>
      <c r="DP23" s="67"/>
      <c r="DQ23" s="354">
        <f>+Debt!DQ72</f>
        <v>16.247986650549642</v>
      </c>
      <c r="DR23" s="355">
        <f>+Debt!DR72</f>
        <v>19.781450865209596</v>
      </c>
      <c r="DS23" s="355">
        <f>+Debt!DS72</f>
        <v>24.158732178900173</v>
      </c>
      <c r="DT23" s="355">
        <f>+Debt!DT72</f>
        <v>27.026954678389504</v>
      </c>
      <c r="DU23" s="93">
        <f>SUM(DQ23:DT23)</f>
        <v>87.215124373048923</v>
      </c>
      <c r="DV23" s="67"/>
      <c r="DW23" s="354">
        <f>+Debt!DW72</f>
        <v>30.997339000716032</v>
      </c>
      <c r="DX23" s="355">
        <f>+Debt!DX72</f>
        <v>35.284502491768343</v>
      </c>
      <c r="DY23" s="355">
        <f>+Debt!DY72</f>
        <v>39.992627946457127</v>
      </c>
      <c r="DZ23" s="355">
        <f>+Debt!DZ72</f>
        <v>229.69366670352574</v>
      </c>
      <c r="EA23" s="93">
        <f t="shared" ref="EA23:EA25" si="63">SUM(DW23:DZ23)</f>
        <v>335.96813614246724</v>
      </c>
      <c r="EB23" s="67"/>
      <c r="EC23" s="354">
        <f>+Debt!EC72</f>
        <v>255.63983896633377</v>
      </c>
      <c r="ED23" s="355">
        <f>+Debt!ED72</f>
        <v>282.87004919149194</v>
      </c>
      <c r="EE23" s="355">
        <f>+Debt!EE72</f>
        <v>313.40985771448265</v>
      </c>
      <c r="EF23" s="355">
        <f>+Debt!EF72</f>
        <v>334.92079153392416</v>
      </c>
      <c r="EG23" s="93">
        <f t="shared" ref="EG23:EG26" si="64">SUM(EC23:EF23)</f>
        <v>1186.8405374062324</v>
      </c>
      <c r="EH23" s="59"/>
    </row>
    <row r="24" spans="1:138" ht="11.25" customHeight="1" x14ac:dyDescent="0.2">
      <c r="A24" s="104" t="s">
        <v>155</v>
      </c>
      <c r="B24" s="13"/>
      <c r="C24" s="13"/>
      <c r="D24" s="13"/>
      <c r="E24" s="92"/>
      <c r="F24" s="67"/>
      <c r="G24" s="92"/>
      <c r="H24" s="67"/>
      <c r="I24" s="92"/>
      <c r="J24" s="67"/>
      <c r="K24" s="92"/>
      <c r="L24" s="67"/>
      <c r="M24" s="84"/>
      <c r="N24" s="71"/>
      <c r="O24" s="71"/>
      <c r="P24" s="71"/>
      <c r="Q24" s="93"/>
      <c r="R24" s="67"/>
      <c r="S24" s="84"/>
      <c r="T24" s="71"/>
      <c r="U24" s="71"/>
      <c r="V24" s="71"/>
      <c r="W24" s="93"/>
      <c r="X24" s="67"/>
      <c r="Y24" s="84"/>
      <c r="Z24" s="71"/>
      <c r="AA24" s="71"/>
      <c r="AB24" s="71"/>
      <c r="AC24" s="93"/>
      <c r="AD24" s="67"/>
      <c r="AE24" s="84"/>
      <c r="AF24" s="71"/>
      <c r="AG24" s="71"/>
      <c r="AH24" s="71"/>
      <c r="AI24" s="93"/>
      <c r="AJ24" s="67"/>
      <c r="AK24" s="84"/>
      <c r="AL24" s="71"/>
      <c r="AM24" s="71"/>
      <c r="AN24" s="71"/>
      <c r="AO24" s="93"/>
      <c r="AP24" s="67"/>
      <c r="AQ24" s="84"/>
      <c r="AR24" s="71"/>
      <c r="AS24" s="71"/>
      <c r="AT24" s="71"/>
      <c r="AU24" s="93"/>
      <c r="AV24" s="67"/>
      <c r="AW24" s="84"/>
      <c r="AX24" s="71"/>
      <c r="AY24" s="71"/>
      <c r="AZ24" s="71"/>
      <c r="BA24" s="93"/>
      <c r="BB24" s="67"/>
      <c r="BC24" s="84"/>
      <c r="BD24" s="71"/>
      <c r="BE24" s="71"/>
      <c r="BF24" s="71"/>
      <c r="BG24" s="93"/>
      <c r="BH24" s="67"/>
      <c r="BI24" s="84"/>
      <c r="BJ24" s="71"/>
      <c r="BK24" s="71"/>
      <c r="BL24" s="71"/>
      <c r="BM24" s="93"/>
      <c r="BN24" s="67"/>
      <c r="BO24" s="84"/>
      <c r="BP24" s="71"/>
      <c r="BQ24" s="71"/>
      <c r="BR24" s="71"/>
      <c r="BS24" s="93"/>
      <c r="BT24" s="67"/>
      <c r="BU24" s="84"/>
      <c r="BV24" s="71"/>
      <c r="BW24" s="71"/>
      <c r="BX24" s="71"/>
      <c r="BY24" s="93"/>
      <c r="BZ24" s="67"/>
      <c r="CA24" s="84"/>
      <c r="CB24" s="71"/>
      <c r="CC24" s="71"/>
      <c r="CD24" s="71"/>
      <c r="CE24" s="93"/>
      <c r="CF24" s="67"/>
      <c r="CG24" s="84"/>
      <c r="CH24" s="71"/>
      <c r="CI24" s="71"/>
      <c r="CJ24" s="71"/>
      <c r="CK24" s="548">
        <v>107.1</v>
      </c>
      <c r="CL24" s="67"/>
      <c r="CM24" s="84"/>
      <c r="CN24" s="71"/>
      <c r="CO24" s="71"/>
      <c r="CP24" s="71"/>
      <c r="CQ24" s="548">
        <v>81.400000000000006</v>
      </c>
      <c r="CR24" s="67"/>
      <c r="CS24" s="84">
        <v>23.2</v>
      </c>
      <c r="CT24" s="71">
        <v>22.8</v>
      </c>
      <c r="CU24" s="71">
        <v>38.5</v>
      </c>
      <c r="CV24" s="71">
        <v>50.7</v>
      </c>
      <c r="CW24" s="93">
        <f>SUM(CS24:CV24)</f>
        <v>135.19999999999999</v>
      </c>
      <c r="CX24" s="67"/>
      <c r="CY24" s="84">
        <v>52.9</v>
      </c>
      <c r="CZ24" s="71">
        <v>55.5</v>
      </c>
      <c r="DA24" s="71">
        <v>43.7</v>
      </c>
      <c r="DB24" s="71">
        <v>32.299999999999997</v>
      </c>
      <c r="DC24" s="93">
        <f>SUM(CY24:DB24)</f>
        <v>184.40000000000003</v>
      </c>
      <c r="DD24" s="67"/>
      <c r="DE24" s="84">
        <v>40.299999999999997</v>
      </c>
      <c r="DF24" s="71">
        <v>40.700000000000003</v>
      </c>
      <c r="DG24" s="71">
        <v>39.9</v>
      </c>
      <c r="DH24" s="71">
        <v>41.8</v>
      </c>
      <c r="DI24" s="93">
        <f>SUM(DE24:DH24)</f>
        <v>162.69999999999999</v>
      </c>
      <c r="DJ24" s="67"/>
      <c r="DK24" s="84">
        <v>39.1</v>
      </c>
      <c r="DL24" s="355">
        <f>+Debt!DL66</f>
        <v>43.372565000000002</v>
      </c>
      <c r="DM24" s="355">
        <f>+Debt!DM66</f>
        <v>43.372565000000002</v>
      </c>
      <c r="DN24" s="355">
        <f>+Debt!DN66</f>
        <v>43.372565000000002</v>
      </c>
      <c r="DO24" s="93">
        <f>SUM(DK24:DN24)</f>
        <v>169.21769500000002</v>
      </c>
      <c r="DP24" s="67"/>
      <c r="DQ24" s="354">
        <f>+Debt!DQ66</f>
        <v>43.372565000000002</v>
      </c>
      <c r="DR24" s="355">
        <f>+Debt!DR66</f>
        <v>43.372565000000002</v>
      </c>
      <c r="DS24" s="355">
        <f>+Debt!DS66</f>
        <v>43.372565000000002</v>
      </c>
      <c r="DT24" s="355">
        <f>+Debt!DT66</f>
        <v>43.372565000000002</v>
      </c>
      <c r="DU24" s="93">
        <f>SUM(DQ24:DT24)</f>
        <v>173.49026000000001</v>
      </c>
      <c r="DV24" s="67"/>
      <c r="DW24" s="354">
        <f>+Debt!DW66</f>
        <v>43.372565000000002</v>
      </c>
      <c r="DX24" s="355">
        <f>+Debt!DX66</f>
        <v>43.372565000000002</v>
      </c>
      <c r="DY24" s="355">
        <f>+Debt!DY66</f>
        <v>43.372565000000002</v>
      </c>
      <c r="DZ24" s="355">
        <f>+Debt!DZ66</f>
        <v>43.372565000000002</v>
      </c>
      <c r="EA24" s="93">
        <f t="shared" si="63"/>
        <v>173.49026000000001</v>
      </c>
      <c r="EB24" s="67"/>
      <c r="EC24" s="354">
        <f>+Debt!EC66</f>
        <v>43.372565000000002</v>
      </c>
      <c r="ED24" s="355">
        <f>+Debt!ED66</f>
        <v>43.372565000000002</v>
      </c>
      <c r="EE24" s="355">
        <f>+Debt!EE66</f>
        <v>43.372565000000002</v>
      </c>
      <c r="EF24" s="355">
        <f>+Debt!EF66</f>
        <v>43.372565000000002</v>
      </c>
      <c r="EG24" s="93">
        <f t="shared" si="64"/>
        <v>173.49026000000001</v>
      </c>
      <c r="EH24" s="13"/>
    </row>
    <row r="25" spans="1:138" ht="11.25" customHeight="1" x14ac:dyDescent="0.2">
      <c r="A25" s="104" t="s">
        <v>48</v>
      </c>
      <c r="B25" s="14"/>
      <c r="C25" s="14"/>
      <c r="D25" s="14"/>
      <c r="E25" s="92"/>
      <c r="F25" s="67"/>
      <c r="G25" s="92"/>
      <c r="H25" s="67"/>
      <c r="I25" s="92"/>
      <c r="J25" s="67"/>
      <c r="K25" s="92"/>
      <c r="L25" s="67"/>
      <c r="M25" s="84"/>
      <c r="N25" s="71"/>
      <c r="O25" s="71"/>
      <c r="P25" s="71"/>
      <c r="Q25" s="93"/>
      <c r="R25" s="67"/>
      <c r="S25" s="84"/>
      <c r="T25" s="71"/>
      <c r="U25" s="71"/>
      <c r="V25" s="71"/>
      <c r="W25" s="93"/>
      <c r="X25" s="67"/>
      <c r="Y25" s="84"/>
      <c r="Z25" s="71"/>
      <c r="AA25" s="71"/>
      <c r="AB25" s="71"/>
      <c r="AC25" s="93"/>
      <c r="AD25" s="67"/>
      <c r="AE25" s="84"/>
      <c r="AF25" s="71"/>
      <c r="AG25" s="71"/>
      <c r="AH25" s="71"/>
      <c r="AI25" s="93"/>
      <c r="AJ25" s="67"/>
      <c r="AK25" s="84"/>
      <c r="AL25" s="71"/>
      <c r="AM25" s="71"/>
      <c r="AN25" s="71"/>
      <c r="AO25" s="93"/>
      <c r="AP25" s="67"/>
      <c r="AQ25" s="84"/>
      <c r="AR25" s="71"/>
      <c r="AS25" s="71"/>
      <c r="AT25" s="71"/>
      <c r="AU25" s="93"/>
      <c r="AV25" s="67"/>
      <c r="AW25" s="84"/>
      <c r="AX25" s="71"/>
      <c r="AY25" s="71"/>
      <c r="AZ25" s="71"/>
      <c r="BA25" s="93"/>
      <c r="BB25" s="67"/>
      <c r="BC25" s="84"/>
      <c r="BD25" s="71"/>
      <c r="BE25" s="71"/>
      <c r="BF25" s="71"/>
      <c r="BG25" s="93"/>
      <c r="BH25" s="67"/>
      <c r="BI25" s="84"/>
      <c r="BJ25" s="71"/>
      <c r="BK25" s="71"/>
      <c r="BL25" s="71"/>
      <c r="BM25" s="93"/>
      <c r="BN25" s="67"/>
      <c r="BO25" s="84"/>
      <c r="BP25" s="71"/>
      <c r="BQ25" s="71"/>
      <c r="BR25" s="71"/>
      <c r="BS25" s="93"/>
      <c r="BT25" s="67"/>
      <c r="BU25" s="84"/>
      <c r="BV25" s="71"/>
      <c r="BW25" s="71"/>
      <c r="BX25" s="71"/>
      <c r="BY25" s="93"/>
      <c r="BZ25" s="67"/>
      <c r="CA25" s="84"/>
      <c r="CB25" s="71"/>
      <c r="CC25" s="71"/>
      <c r="CD25" s="71"/>
      <c r="CE25" s="93"/>
      <c r="CF25" s="67"/>
      <c r="CG25" s="84"/>
      <c r="CH25" s="71"/>
      <c r="CI25" s="71"/>
      <c r="CJ25" s="71"/>
      <c r="CK25" s="548">
        <v>0</v>
      </c>
      <c r="CL25" s="67"/>
      <c r="CM25" s="84"/>
      <c r="CN25" s="71"/>
      <c r="CO25" s="71"/>
      <c r="CP25" s="71"/>
      <c r="CQ25" s="548">
        <v>0</v>
      </c>
      <c r="CR25" s="67"/>
      <c r="CS25" s="84">
        <v>0</v>
      </c>
      <c r="CT25" s="71">
        <v>0</v>
      </c>
      <c r="CU25" s="71">
        <v>0</v>
      </c>
      <c r="CV25" s="71">
        <v>0</v>
      </c>
      <c r="CW25" s="93">
        <f>SUM(CS25:CV25)</f>
        <v>0</v>
      </c>
      <c r="CX25" s="67"/>
      <c r="CY25" s="84">
        <v>0</v>
      </c>
      <c r="CZ25" s="71">
        <v>0</v>
      </c>
      <c r="DA25" s="71">
        <v>0</v>
      </c>
      <c r="DB25" s="71">
        <v>0</v>
      </c>
      <c r="DC25" s="93">
        <f>SUM(CY25:DB25)</f>
        <v>0</v>
      </c>
      <c r="DD25" s="67"/>
      <c r="DE25" s="84">
        <v>0</v>
      </c>
      <c r="DF25" s="71">
        <v>0</v>
      </c>
      <c r="DG25" s="71">
        <v>0</v>
      </c>
      <c r="DH25" s="71">
        <v>0</v>
      </c>
      <c r="DI25" s="93">
        <f>SUM(DE25:DH25)</f>
        <v>0</v>
      </c>
      <c r="DJ25" s="67"/>
      <c r="DK25" s="84">
        <v>0</v>
      </c>
      <c r="DL25" s="69">
        <v>0</v>
      </c>
      <c r="DM25" s="69">
        <v>0</v>
      </c>
      <c r="DN25" s="69">
        <v>0</v>
      </c>
      <c r="DO25" s="93">
        <f>SUM(DK25:DN25)</f>
        <v>0</v>
      </c>
      <c r="DP25" s="67"/>
      <c r="DQ25" s="81">
        <v>0</v>
      </c>
      <c r="DR25" s="69">
        <v>0</v>
      </c>
      <c r="DS25" s="69">
        <v>0</v>
      </c>
      <c r="DT25" s="69">
        <v>0</v>
      </c>
      <c r="DU25" s="93">
        <f>SUM(DQ25:DT25)</f>
        <v>0</v>
      </c>
      <c r="DV25" s="67"/>
      <c r="DW25" s="81">
        <v>0</v>
      </c>
      <c r="DX25" s="69">
        <v>0</v>
      </c>
      <c r="DY25" s="69">
        <v>0</v>
      </c>
      <c r="DZ25" s="69">
        <v>0</v>
      </c>
      <c r="EA25" s="93">
        <f t="shared" si="63"/>
        <v>0</v>
      </c>
      <c r="EB25" s="67"/>
      <c r="EC25" s="81">
        <v>0</v>
      </c>
      <c r="ED25" s="69">
        <v>0</v>
      </c>
      <c r="EE25" s="69">
        <v>0</v>
      </c>
      <c r="EF25" s="69">
        <v>0</v>
      </c>
      <c r="EG25" s="93">
        <f t="shared" si="64"/>
        <v>0</v>
      </c>
      <c r="EH25" s="13"/>
    </row>
    <row r="26" spans="1:138" ht="11.25" customHeight="1" x14ac:dyDescent="0.2">
      <c r="A26" s="104" t="s">
        <v>465</v>
      </c>
      <c r="B26" s="14"/>
      <c r="C26" s="14"/>
      <c r="D26" s="14"/>
      <c r="E26" s="92"/>
      <c r="F26" s="67"/>
      <c r="G26" s="92"/>
      <c r="H26" s="67"/>
      <c r="I26" s="92"/>
      <c r="J26" s="67"/>
      <c r="K26" s="92"/>
      <c r="L26" s="67"/>
      <c r="M26" s="84"/>
      <c r="N26" s="71"/>
      <c r="O26" s="71"/>
      <c r="P26" s="71"/>
      <c r="Q26" s="93"/>
      <c r="R26" s="67"/>
      <c r="S26" s="84"/>
      <c r="T26" s="71"/>
      <c r="U26" s="71"/>
      <c r="V26" s="71"/>
      <c r="W26" s="93"/>
      <c r="X26" s="67"/>
      <c r="Y26" s="84"/>
      <c r="Z26" s="71"/>
      <c r="AA26" s="71"/>
      <c r="AB26" s="71"/>
      <c r="AC26" s="93"/>
      <c r="AD26" s="67"/>
      <c r="AE26" s="84"/>
      <c r="AF26" s="71"/>
      <c r="AG26" s="71"/>
      <c r="AH26" s="71"/>
      <c r="AI26" s="93"/>
      <c r="AJ26" s="67"/>
      <c r="AK26" s="84"/>
      <c r="AL26" s="71"/>
      <c r="AM26" s="71"/>
      <c r="AN26" s="71"/>
      <c r="AO26" s="93"/>
      <c r="AP26" s="67"/>
      <c r="AQ26" s="84"/>
      <c r="AR26" s="71"/>
      <c r="AS26" s="71"/>
      <c r="AT26" s="71"/>
      <c r="AU26" s="93"/>
      <c r="AV26" s="67"/>
      <c r="AW26" s="84"/>
      <c r="AX26" s="71"/>
      <c r="AY26" s="71"/>
      <c r="AZ26" s="71"/>
      <c r="BA26" s="93"/>
      <c r="BB26" s="67"/>
      <c r="BC26" s="84"/>
      <c r="BD26" s="71"/>
      <c r="BE26" s="71"/>
      <c r="BF26" s="71"/>
      <c r="BG26" s="93"/>
      <c r="BH26" s="67"/>
      <c r="BI26" s="84"/>
      <c r="BJ26" s="71"/>
      <c r="BK26" s="71"/>
      <c r="BL26" s="71"/>
      <c r="BM26" s="93"/>
      <c r="BN26" s="67"/>
      <c r="BO26" s="84"/>
      <c r="BP26" s="71"/>
      <c r="BQ26" s="71"/>
      <c r="BR26" s="71"/>
      <c r="BS26" s="93"/>
      <c r="BT26" s="67"/>
      <c r="BU26" s="84"/>
      <c r="BV26" s="71"/>
      <c r="BW26" s="71"/>
      <c r="BX26" s="71"/>
      <c r="BY26" s="93"/>
      <c r="BZ26" s="67"/>
      <c r="CA26" s="84"/>
      <c r="CB26" s="71"/>
      <c r="CC26" s="71"/>
      <c r="CD26" s="71"/>
      <c r="CE26" s="93"/>
      <c r="CF26" s="67"/>
      <c r="CG26" s="84"/>
      <c r="CH26" s="71"/>
      <c r="CI26" s="71"/>
      <c r="CJ26" s="71"/>
      <c r="CK26" s="548">
        <v>431.3</v>
      </c>
      <c r="CL26" s="67"/>
      <c r="CM26" s="84"/>
      <c r="CN26" s="71"/>
      <c r="CO26" s="71"/>
      <c r="CP26" s="71"/>
      <c r="CQ26" s="548">
        <v>122.6</v>
      </c>
      <c r="CR26" s="67"/>
      <c r="CS26" s="84">
        <v>0</v>
      </c>
      <c r="CT26" s="71">
        <v>0</v>
      </c>
      <c r="CU26" s="71">
        <f>12.4</f>
        <v>12.4</v>
      </c>
      <c r="CV26" s="71">
        <v>0</v>
      </c>
      <c r="CW26" s="93">
        <f>SUM(CS26:CV26)</f>
        <v>12.4</v>
      </c>
      <c r="CX26" s="67"/>
      <c r="CY26" s="84">
        <f>223.4</f>
        <v>223.4</v>
      </c>
      <c r="CZ26" s="71">
        <f>0</f>
        <v>0</v>
      </c>
      <c r="DA26" s="71">
        <f>-178.8</f>
        <v>-178.8</v>
      </c>
      <c r="DB26" s="71">
        <f>0</f>
        <v>0</v>
      </c>
      <c r="DC26" s="93">
        <f>SUM(CY26:DB26)</f>
        <v>44.599999999999994</v>
      </c>
      <c r="DD26" s="67"/>
      <c r="DE26" s="84">
        <v>6.9</v>
      </c>
      <c r="DF26" s="71">
        <v>8</v>
      </c>
      <c r="DG26" s="71">
        <v>7</v>
      </c>
      <c r="DH26" s="71">
        <f>72.8+8</f>
        <v>80.8</v>
      </c>
      <c r="DI26" s="93">
        <f>SUM(DE26:DH26)</f>
        <v>102.69999999999999</v>
      </c>
      <c r="DJ26" s="67"/>
      <c r="DK26" s="84">
        <v>7.8</v>
      </c>
      <c r="DL26" s="69">
        <v>8</v>
      </c>
      <c r="DM26" s="69">
        <v>8</v>
      </c>
      <c r="DN26" s="69">
        <v>8</v>
      </c>
      <c r="DO26" s="93">
        <f>SUM(DK26:DN26)</f>
        <v>31.8</v>
      </c>
      <c r="DP26" s="67"/>
      <c r="DQ26" s="81">
        <v>8</v>
      </c>
      <c r="DR26" s="69">
        <v>8</v>
      </c>
      <c r="DS26" s="69">
        <v>8</v>
      </c>
      <c r="DT26" s="69">
        <v>8</v>
      </c>
      <c r="DU26" s="93">
        <f>SUM(DQ26:DT26)</f>
        <v>32</v>
      </c>
      <c r="DV26" s="67"/>
      <c r="DW26" s="81">
        <v>8</v>
      </c>
      <c r="DX26" s="69">
        <v>8</v>
      </c>
      <c r="DY26" s="69">
        <v>8</v>
      </c>
      <c r="DZ26" s="69">
        <v>8</v>
      </c>
      <c r="EA26" s="93">
        <f>SUM(DW26:DZ26)</f>
        <v>32</v>
      </c>
      <c r="EB26" s="67"/>
      <c r="EC26" s="81">
        <v>8</v>
      </c>
      <c r="ED26" s="69">
        <v>8</v>
      </c>
      <c r="EE26" s="69">
        <v>8</v>
      </c>
      <c r="EF26" s="69">
        <v>8</v>
      </c>
      <c r="EG26" s="93">
        <f t="shared" si="64"/>
        <v>32</v>
      </c>
      <c r="EH26" s="13"/>
    </row>
    <row r="27" spans="1:138" ht="11.25" customHeight="1" x14ac:dyDescent="0.2">
      <c r="A27" s="50" t="s">
        <v>573</v>
      </c>
      <c r="B27" s="11"/>
      <c r="C27" s="11"/>
      <c r="D27" s="11"/>
      <c r="E27" s="163"/>
      <c r="F27" s="164"/>
      <c r="G27" s="163"/>
      <c r="H27" s="164"/>
      <c r="I27" s="163"/>
      <c r="J27" s="164"/>
      <c r="K27" s="163"/>
      <c r="L27" s="164"/>
      <c r="M27" s="165"/>
      <c r="N27" s="164"/>
      <c r="O27" s="164"/>
      <c r="P27" s="164"/>
      <c r="Q27" s="163"/>
      <c r="R27" s="164"/>
      <c r="S27" s="165"/>
      <c r="T27" s="164"/>
      <c r="U27" s="164"/>
      <c r="V27" s="164"/>
      <c r="W27" s="163"/>
      <c r="X27" s="164"/>
      <c r="Y27" s="165"/>
      <c r="Z27" s="164"/>
      <c r="AA27" s="164"/>
      <c r="AB27" s="164"/>
      <c r="AC27" s="163"/>
      <c r="AD27" s="164"/>
      <c r="AE27" s="165"/>
      <c r="AF27" s="164"/>
      <c r="AG27" s="164"/>
      <c r="AH27" s="164"/>
      <c r="AI27" s="163"/>
      <c r="AJ27" s="164"/>
      <c r="AK27" s="165"/>
      <c r="AL27" s="164"/>
      <c r="AM27" s="164"/>
      <c r="AN27" s="164"/>
      <c r="AO27" s="163"/>
      <c r="AP27" s="164"/>
      <c r="AQ27" s="165"/>
      <c r="AR27" s="164"/>
      <c r="AS27" s="164"/>
      <c r="AT27" s="164"/>
      <c r="AU27" s="163"/>
      <c r="AV27" s="164"/>
      <c r="AW27" s="165"/>
      <c r="AX27" s="164"/>
      <c r="AY27" s="164"/>
      <c r="AZ27" s="164"/>
      <c r="BA27" s="163"/>
      <c r="BB27" s="164"/>
      <c r="BC27" s="165"/>
      <c r="BD27" s="164"/>
      <c r="BE27" s="164"/>
      <c r="BF27" s="164"/>
      <c r="BG27" s="163"/>
      <c r="BH27" s="164"/>
      <c r="BI27" s="165"/>
      <c r="BJ27" s="164"/>
      <c r="BK27" s="164"/>
      <c r="BL27" s="164"/>
      <c r="BM27" s="163"/>
      <c r="BN27" s="164"/>
      <c r="BO27" s="165"/>
      <c r="BP27" s="164"/>
      <c r="BQ27" s="164"/>
      <c r="BR27" s="164"/>
      <c r="BS27" s="163"/>
      <c r="BT27" s="164"/>
      <c r="BU27" s="165"/>
      <c r="BV27" s="164"/>
      <c r="BW27" s="164"/>
      <c r="BX27" s="164"/>
      <c r="BY27" s="163"/>
      <c r="BZ27" s="164"/>
      <c r="CA27" s="165"/>
      <c r="CB27" s="164"/>
      <c r="CC27" s="164"/>
      <c r="CD27" s="164"/>
      <c r="CE27" s="163"/>
      <c r="CF27" s="164"/>
      <c r="CG27" s="165"/>
      <c r="CH27" s="164"/>
      <c r="CI27" s="164"/>
      <c r="CJ27" s="164"/>
      <c r="CK27" s="163">
        <f>CK20+CK23-CK24+CK25+CK26</f>
        <v>2254.1013164482733</v>
      </c>
      <c r="CL27" s="164"/>
      <c r="CM27" s="165"/>
      <c r="CN27" s="164"/>
      <c r="CO27" s="164"/>
      <c r="CP27" s="164"/>
      <c r="CQ27" s="163">
        <f>CQ20+CQ23-CQ24+CQ25+CQ26</f>
        <v>2086.1999999999998</v>
      </c>
      <c r="CR27" s="164"/>
      <c r="CS27" s="165">
        <f>CS20+CS23-CS24+CS25+CS26</f>
        <v>424.50000000000006</v>
      </c>
      <c r="CT27" s="164">
        <f>CT20+CT23-CT24+CT25+CT26</f>
        <v>560.10000000000014</v>
      </c>
      <c r="CU27" s="164">
        <f>CU20+CU23-CU24+CU25+CU26</f>
        <v>453.89999999999975</v>
      </c>
      <c r="CV27" s="164">
        <f>CV20+CV23-CV24+CV25+CV26</f>
        <v>600.89999999999986</v>
      </c>
      <c r="CW27" s="163">
        <f>CW20+CW23-CW24+CW25+CW26</f>
        <v>2039.4000000000008</v>
      </c>
      <c r="CX27" s="164"/>
      <c r="CY27" s="165">
        <f>CY20+CY23-CY24+CY25+CY26</f>
        <v>783.60000000000036</v>
      </c>
      <c r="CZ27" s="164">
        <f>CZ20+CZ23-CZ24+CZ25+CZ26</f>
        <v>654.59999999999968</v>
      </c>
      <c r="DA27" s="164">
        <f>DA20+DA23-DA24+DA25+DA26</f>
        <v>476.70000000000056</v>
      </c>
      <c r="DB27" s="164">
        <f>DB20+DB23-DB24+DB25+DB26</f>
        <v>696.4</v>
      </c>
      <c r="DC27" s="163">
        <f>DC20+DC23-DC24+DC25+DC26</f>
        <v>2611.3000000000011</v>
      </c>
      <c r="DD27" s="164"/>
      <c r="DE27" s="165">
        <f>DE20+DE23-DE24+DE25+DE26</f>
        <v>585.19999999999959</v>
      </c>
      <c r="DF27" s="164">
        <f>DF20+DF23-DF24+DF25+DF26</f>
        <v>720.80000000000018</v>
      </c>
      <c r="DG27" s="164">
        <f>DG20+DG23-DG24+DG25+DG26</f>
        <v>729.79999999999984</v>
      </c>
      <c r="DH27" s="164">
        <f>DH20+DH23-DH24+DH25+DH26</f>
        <v>978.99999999999989</v>
      </c>
      <c r="DI27" s="163">
        <f t="shared" ref="DI27" si="65">DI20+DI23-DI24+DI25+DI26</f>
        <v>3014.8</v>
      </c>
      <c r="DJ27" s="164"/>
      <c r="DK27" s="165">
        <f>DK20+DK23-DK24+DK25+DK26</f>
        <v>713.09999999999923</v>
      </c>
      <c r="DL27" s="164">
        <f t="shared" ref="DL27:DO27" si="66">DL20+DL23-DL24+DL25+DL26</f>
        <v>815.19439666913024</v>
      </c>
      <c r="DM27" s="164">
        <f t="shared" si="66"/>
        <v>809.56625868282879</v>
      </c>
      <c r="DN27" s="164">
        <f t="shared" si="66"/>
        <v>1056.6841103130821</v>
      </c>
      <c r="DO27" s="163">
        <f t="shared" si="66"/>
        <v>3394.5447656650404</v>
      </c>
      <c r="DP27" s="164"/>
      <c r="DQ27" s="165">
        <f t="shared" ref="DQ27:DU27" si="67">DQ20+DQ23-DQ24+DQ25+DQ26</f>
        <v>811.8882775652595</v>
      </c>
      <c r="DR27" s="164">
        <f t="shared" si="67"/>
        <v>921.10338762103834</v>
      </c>
      <c r="DS27" s="164">
        <f t="shared" si="67"/>
        <v>901.23395516540052</v>
      </c>
      <c r="DT27" s="164">
        <f t="shared" si="67"/>
        <v>1155.9088680023319</v>
      </c>
      <c r="DU27" s="163">
        <f t="shared" si="67"/>
        <v>3790.1344883540305</v>
      </c>
      <c r="DV27" s="164"/>
      <c r="DW27" s="165">
        <f t="shared" ref="DW27:EA27" si="68">DW20+DW23-DW24+DW25+DW26</f>
        <v>910.75909027695877</v>
      </c>
      <c r="DX27" s="164">
        <f t="shared" si="68"/>
        <v>1023.9124385477445</v>
      </c>
      <c r="DY27" s="164">
        <f t="shared" si="68"/>
        <v>1002.7582899583987</v>
      </c>
      <c r="DZ27" s="164">
        <f t="shared" si="68"/>
        <v>1452.3330498608186</v>
      </c>
      <c r="EA27" s="163">
        <f t="shared" si="68"/>
        <v>4389.7628686439202</v>
      </c>
      <c r="EB27" s="164"/>
      <c r="EC27" s="165">
        <f t="shared" ref="EC27:EG27" si="69">EC20+EC23-EC24+EC25+EC26</f>
        <v>1217.441988416715</v>
      </c>
      <c r="ED27" s="164">
        <f t="shared" si="69"/>
        <v>1356.9039691494816</v>
      </c>
      <c r="EE27" s="164">
        <f t="shared" si="69"/>
        <v>1359.8142790068925</v>
      </c>
      <c r="EF27" s="164">
        <f t="shared" si="69"/>
        <v>1643.5502584033256</v>
      </c>
      <c r="EG27" s="163">
        <f t="shared" si="69"/>
        <v>5577.7104949764143</v>
      </c>
      <c r="EH27" s="60"/>
    </row>
    <row r="28" spans="1:138" ht="11.25" customHeight="1" x14ac:dyDescent="0.2">
      <c r="A28" s="104" t="s">
        <v>157</v>
      </c>
      <c r="B28" s="2"/>
      <c r="C28" s="2"/>
      <c r="D28" s="2"/>
      <c r="E28" s="92"/>
      <c r="F28" s="67"/>
      <c r="G28" s="92"/>
      <c r="H28" s="67"/>
      <c r="I28" s="92"/>
      <c r="J28" s="67"/>
      <c r="K28" s="92"/>
      <c r="L28" s="67"/>
      <c r="M28" s="84"/>
      <c r="N28" s="71"/>
      <c r="O28" s="71"/>
      <c r="P28" s="71"/>
      <c r="Q28" s="93"/>
      <c r="R28" s="67"/>
      <c r="S28" s="84"/>
      <c r="T28" s="71"/>
      <c r="U28" s="71"/>
      <c r="V28" s="71"/>
      <c r="W28" s="93"/>
      <c r="X28" s="67"/>
      <c r="Y28" s="84"/>
      <c r="Z28" s="71"/>
      <c r="AA28" s="71"/>
      <c r="AB28" s="71"/>
      <c r="AC28" s="93"/>
      <c r="AD28" s="67"/>
      <c r="AE28" s="84"/>
      <c r="AF28" s="71"/>
      <c r="AG28" s="71"/>
      <c r="AH28" s="71"/>
      <c r="AI28" s="93"/>
      <c r="AJ28" s="67"/>
      <c r="AK28" s="84"/>
      <c r="AL28" s="71"/>
      <c r="AM28" s="71"/>
      <c r="AN28" s="71"/>
      <c r="AO28" s="93"/>
      <c r="AP28" s="67"/>
      <c r="AQ28" s="84"/>
      <c r="AR28" s="71"/>
      <c r="AS28" s="71"/>
      <c r="AT28" s="71"/>
      <c r="AU28" s="93"/>
      <c r="AV28" s="67"/>
      <c r="AW28" s="84"/>
      <c r="AX28" s="71"/>
      <c r="AY28" s="71"/>
      <c r="AZ28" s="71"/>
      <c r="BA28" s="93"/>
      <c r="BB28" s="67"/>
      <c r="BC28" s="84"/>
      <c r="BD28" s="71"/>
      <c r="BE28" s="71"/>
      <c r="BF28" s="71"/>
      <c r="BG28" s="93"/>
      <c r="BH28" s="67"/>
      <c r="BI28" s="84"/>
      <c r="BJ28" s="71"/>
      <c r="BK28" s="71"/>
      <c r="BL28" s="71"/>
      <c r="BM28" s="93"/>
      <c r="BN28" s="67"/>
      <c r="BO28" s="84"/>
      <c r="BP28" s="71"/>
      <c r="BQ28" s="71"/>
      <c r="BR28" s="71"/>
      <c r="BS28" s="93"/>
      <c r="BT28" s="67"/>
      <c r="BU28" s="84"/>
      <c r="BV28" s="71"/>
      <c r="BW28" s="71"/>
      <c r="BX28" s="71"/>
      <c r="BY28" s="93"/>
      <c r="BZ28" s="67"/>
      <c r="CA28" s="84"/>
      <c r="CB28" s="71"/>
      <c r="CC28" s="71"/>
      <c r="CD28" s="71"/>
      <c r="CE28" s="93"/>
      <c r="CF28" s="67"/>
      <c r="CG28" s="84"/>
      <c r="CH28" s="71"/>
      <c r="CI28" s="71"/>
      <c r="CJ28" s="71"/>
      <c r="CK28" s="548">
        <v>511.2</v>
      </c>
      <c r="CL28" s="67"/>
      <c r="CM28" s="84"/>
      <c r="CN28" s="71"/>
      <c r="CO28" s="71"/>
      <c r="CP28" s="71"/>
      <c r="CQ28" s="548">
        <v>447.5</v>
      </c>
      <c r="CR28" s="67"/>
      <c r="CS28" s="84">
        <v>76.599999999999994</v>
      </c>
      <c r="CT28" s="71">
        <v>62.2</v>
      </c>
      <c r="CU28" s="71">
        <v>74</v>
      </c>
      <c r="CV28" s="71">
        <v>79.900000000000006</v>
      </c>
      <c r="CW28" s="93">
        <f>SUM(CS28:CV28)</f>
        <v>292.70000000000005</v>
      </c>
      <c r="CX28" s="67"/>
      <c r="CY28" s="84">
        <v>197.8</v>
      </c>
      <c r="CZ28" s="71">
        <v>236.6</v>
      </c>
      <c r="DA28" s="71">
        <v>74.099999999999994</v>
      </c>
      <c r="DB28" s="71">
        <v>-50.6</v>
      </c>
      <c r="DC28" s="93">
        <f>SUM(CY28:DB28)</f>
        <v>457.9</v>
      </c>
      <c r="DD28" s="67"/>
      <c r="DE28" s="84">
        <f>101.4</f>
        <v>101.4</v>
      </c>
      <c r="DF28" s="71">
        <f>87.5+35</f>
        <v>122.5</v>
      </c>
      <c r="DG28" s="71">
        <v>157.69999999999999</v>
      </c>
      <c r="DH28" s="71">
        <v>122.4</v>
      </c>
      <c r="DI28" s="93">
        <f>SUM(DE28:DH28)</f>
        <v>504</v>
      </c>
      <c r="DJ28" s="67"/>
      <c r="DK28" s="84">
        <v>146.5</v>
      </c>
      <c r="DL28" s="67">
        <f>DL27*DL59</f>
        <v>167.93004571384083</v>
      </c>
      <c r="DM28" s="67">
        <f>DM27*DM59</f>
        <v>166.77064928866272</v>
      </c>
      <c r="DN28" s="67">
        <f>DN27*DN59</f>
        <v>217.6769267244949</v>
      </c>
      <c r="DO28" s="93">
        <f t="shared" ref="DO28" si="70">SUM(DK28:DN28)</f>
        <v>698.87762172699854</v>
      </c>
      <c r="DP28" s="67"/>
      <c r="DQ28" s="82">
        <f>DQ27*DQ59</f>
        <v>167.24898517844346</v>
      </c>
      <c r="DR28" s="67">
        <f>DR27*DR59</f>
        <v>189.74729784993389</v>
      </c>
      <c r="DS28" s="67">
        <f>DS27*DS59</f>
        <v>185.65419476407249</v>
      </c>
      <c r="DT28" s="67">
        <f>DT27*DT59</f>
        <v>238.11722680848035</v>
      </c>
      <c r="DU28" s="93">
        <f t="shared" ref="DU28" si="71">SUM(DQ28:DT28)</f>
        <v>780.76770460093019</v>
      </c>
      <c r="DV28" s="67"/>
      <c r="DW28" s="82">
        <f t="shared" ref="DW28:DZ28" si="72">DW27*DW59</f>
        <v>187.6163725970535</v>
      </c>
      <c r="DX28" s="67">
        <f t="shared" si="72"/>
        <v>210.92596234083535</v>
      </c>
      <c r="DY28" s="67">
        <f t="shared" si="72"/>
        <v>206.56820773143011</v>
      </c>
      <c r="DZ28" s="67">
        <f t="shared" si="72"/>
        <v>299.18060827132859</v>
      </c>
      <c r="EA28" s="93">
        <f t="shared" ref="EA28" si="73">SUM(DW28:DZ28)</f>
        <v>904.29115094064764</v>
      </c>
      <c r="EB28" s="67"/>
      <c r="EC28" s="82">
        <f t="shared" ref="EC28:EF28" si="74">EC27*EC59</f>
        <v>250.79304961384329</v>
      </c>
      <c r="ED28" s="67">
        <f t="shared" si="74"/>
        <v>279.52221764479316</v>
      </c>
      <c r="EE28" s="67">
        <f t="shared" si="74"/>
        <v>280.12174147541987</v>
      </c>
      <c r="EF28" s="67">
        <f t="shared" si="74"/>
        <v>338.57135323108508</v>
      </c>
      <c r="EG28" s="93">
        <f t="shared" ref="EG28" si="75">SUM(EC28:EF28)</f>
        <v>1149.0083619651414</v>
      </c>
      <c r="EH28" s="13"/>
    </row>
    <row r="29" spans="1:138" ht="11.25" customHeight="1" x14ac:dyDescent="0.2">
      <c r="A29" s="50" t="s">
        <v>161</v>
      </c>
      <c r="B29" s="11"/>
      <c r="C29" s="11"/>
      <c r="D29" s="11"/>
      <c r="E29" s="163"/>
      <c r="F29" s="164"/>
      <c r="G29" s="163"/>
      <c r="H29" s="164"/>
      <c r="I29" s="163"/>
      <c r="J29" s="164"/>
      <c r="K29" s="163"/>
      <c r="L29" s="164"/>
      <c r="M29" s="165"/>
      <c r="N29" s="164"/>
      <c r="O29" s="164"/>
      <c r="P29" s="164"/>
      <c r="Q29" s="163"/>
      <c r="R29" s="164"/>
      <c r="S29" s="165"/>
      <c r="T29" s="164"/>
      <c r="U29" s="164"/>
      <c r="V29" s="164"/>
      <c r="W29" s="163"/>
      <c r="X29" s="164"/>
      <c r="Y29" s="165"/>
      <c r="Z29" s="164"/>
      <c r="AA29" s="164"/>
      <c r="AB29" s="164"/>
      <c r="AC29" s="163"/>
      <c r="AD29" s="164"/>
      <c r="AE29" s="165"/>
      <c r="AF29" s="164"/>
      <c r="AG29" s="164"/>
      <c r="AH29" s="164"/>
      <c r="AI29" s="163"/>
      <c r="AJ29" s="164"/>
      <c r="AK29" s="165"/>
      <c r="AL29" s="164"/>
      <c r="AM29" s="164"/>
      <c r="AN29" s="164"/>
      <c r="AO29" s="163"/>
      <c r="AP29" s="164"/>
      <c r="AQ29" s="165"/>
      <c r="AR29" s="164"/>
      <c r="AS29" s="164"/>
      <c r="AT29" s="164"/>
      <c r="AU29" s="163"/>
      <c r="AV29" s="164"/>
      <c r="AW29" s="165"/>
      <c r="AX29" s="164"/>
      <c r="AY29" s="164"/>
      <c r="AZ29" s="164"/>
      <c r="BA29" s="163"/>
      <c r="BB29" s="164"/>
      <c r="BC29" s="165"/>
      <c r="BD29" s="164"/>
      <c r="BE29" s="164"/>
      <c r="BF29" s="164"/>
      <c r="BG29" s="163"/>
      <c r="BH29" s="164"/>
      <c r="BI29" s="165"/>
      <c r="BJ29" s="164"/>
      <c r="BK29" s="164"/>
      <c r="BL29" s="164"/>
      <c r="BM29" s="163"/>
      <c r="BN29" s="164"/>
      <c r="BO29" s="165"/>
      <c r="BP29" s="164"/>
      <c r="BQ29" s="164"/>
      <c r="BR29" s="164"/>
      <c r="BS29" s="163"/>
      <c r="BT29" s="164"/>
      <c r="BU29" s="165"/>
      <c r="BV29" s="164"/>
      <c r="BW29" s="164"/>
      <c r="BX29" s="164"/>
      <c r="BY29" s="163"/>
      <c r="BZ29" s="164"/>
      <c r="CA29" s="165"/>
      <c r="CB29" s="164"/>
      <c r="CC29" s="164"/>
      <c r="CD29" s="164"/>
      <c r="CE29" s="841">
        <v>1404.3</v>
      </c>
      <c r="CF29" s="164"/>
      <c r="CG29" s="165"/>
      <c r="CH29" s="164"/>
      <c r="CI29" s="164"/>
      <c r="CJ29" s="164"/>
      <c r="CK29" s="163">
        <f>+CK27-CK28</f>
        <v>1742.9013164482733</v>
      </c>
      <c r="CL29" s="164"/>
      <c r="CM29" s="165"/>
      <c r="CN29" s="164"/>
      <c r="CO29" s="164"/>
      <c r="CP29" s="164"/>
      <c r="CQ29" s="163">
        <f t="shared" ref="CQ29" si="76">+CQ27-CQ28</f>
        <v>1638.6999999999998</v>
      </c>
      <c r="CR29" s="164"/>
      <c r="CS29" s="165">
        <f t="shared" ref="CS29:CW29" si="77">+CS27-CS28</f>
        <v>347.90000000000009</v>
      </c>
      <c r="CT29" s="164">
        <f t="shared" si="77"/>
        <v>497.90000000000015</v>
      </c>
      <c r="CU29" s="164">
        <f t="shared" si="77"/>
        <v>379.89999999999975</v>
      </c>
      <c r="CV29" s="164">
        <f t="shared" si="77"/>
        <v>520.99999999999989</v>
      </c>
      <c r="CW29" s="163">
        <f t="shared" si="77"/>
        <v>1746.7000000000007</v>
      </c>
      <c r="CX29" s="164"/>
      <c r="CY29" s="165">
        <f t="shared" ref="CY29" si="78">+CY27-CY28</f>
        <v>585.80000000000041</v>
      </c>
      <c r="CZ29" s="164">
        <f t="shared" ref="CZ29" si="79">+CZ27-CZ28</f>
        <v>417.99999999999966</v>
      </c>
      <c r="DA29" s="164">
        <f t="shared" ref="DA29" si="80">+DA27-DA28</f>
        <v>402.60000000000059</v>
      </c>
      <c r="DB29" s="164">
        <f t="shared" ref="DB29" si="81">+DB27-DB28</f>
        <v>747</v>
      </c>
      <c r="DC29" s="163">
        <f t="shared" ref="DC29" si="82">+DC27-DC28</f>
        <v>2153.400000000001</v>
      </c>
      <c r="DD29" s="164"/>
      <c r="DE29" s="165">
        <f t="shared" ref="DE29:DH29" si="83">+DE27-DE28</f>
        <v>483.79999999999961</v>
      </c>
      <c r="DF29" s="164">
        <f t="shared" si="83"/>
        <v>598.30000000000018</v>
      </c>
      <c r="DG29" s="164">
        <f t="shared" si="83"/>
        <v>572.09999999999991</v>
      </c>
      <c r="DH29" s="164">
        <f t="shared" si="83"/>
        <v>856.59999999999991</v>
      </c>
      <c r="DI29" s="163">
        <f t="shared" ref="DI29" si="84">+DI27-DI28</f>
        <v>2510.8000000000002</v>
      </c>
      <c r="DJ29" s="164"/>
      <c r="DK29" s="165">
        <f t="shared" ref="DK29" si="85">+DK27-DK28</f>
        <v>566.59999999999923</v>
      </c>
      <c r="DL29" s="164">
        <f t="shared" ref="DL29" si="86">+DL27-DL28</f>
        <v>647.26435095528939</v>
      </c>
      <c r="DM29" s="164">
        <f t="shared" ref="DM29" si="87">+DM27-DM28</f>
        <v>642.79560939416604</v>
      </c>
      <c r="DN29" s="164">
        <f t="shared" ref="DN29" si="88">+DN27-DN28</f>
        <v>839.00718358858717</v>
      </c>
      <c r="DO29" s="163">
        <f t="shared" ref="DO29" si="89">+DO27-DO28</f>
        <v>2695.6671439380416</v>
      </c>
      <c r="DP29" s="164"/>
      <c r="DQ29" s="165">
        <f t="shared" ref="DQ29" si="90">+DQ27-DQ28</f>
        <v>644.63929238681601</v>
      </c>
      <c r="DR29" s="164">
        <f t="shared" ref="DR29" si="91">+DR27-DR28</f>
        <v>731.35608977110451</v>
      </c>
      <c r="DS29" s="164">
        <f t="shared" ref="DS29" si="92">+DS27-DS28</f>
        <v>715.57976040132803</v>
      </c>
      <c r="DT29" s="164">
        <f t="shared" ref="DT29" si="93">+DT27-DT28</f>
        <v>917.79164119385155</v>
      </c>
      <c r="DU29" s="163">
        <f t="shared" ref="DU29" si="94">+DU27-DU28</f>
        <v>3009.3667837531002</v>
      </c>
      <c r="DV29" s="164"/>
      <c r="DW29" s="165">
        <f t="shared" ref="DW29:EA29" si="95">+DW27-DW28</f>
        <v>723.14271767990522</v>
      </c>
      <c r="DX29" s="164">
        <f t="shared" si="95"/>
        <v>812.98647620690917</v>
      </c>
      <c r="DY29" s="164">
        <f t="shared" si="95"/>
        <v>796.19008222696857</v>
      </c>
      <c r="DZ29" s="164">
        <f t="shared" si="95"/>
        <v>1153.1524415894901</v>
      </c>
      <c r="EA29" s="163">
        <f t="shared" si="95"/>
        <v>3485.4717177032726</v>
      </c>
      <c r="EB29" s="164"/>
      <c r="EC29" s="165">
        <f t="shared" ref="EC29:EG29" si="96">+EC27-EC28</f>
        <v>966.64893880287173</v>
      </c>
      <c r="ED29" s="164">
        <f t="shared" si="96"/>
        <v>1077.3817515046885</v>
      </c>
      <c r="EE29" s="164">
        <f t="shared" si="96"/>
        <v>1079.6925375314727</v>
      </c>
      <c r="EF29" s="164">
        <f t="shared" si="96"/>
        <v>1304.9789051722405</v>
      </c>
      <c r="EG29" s="163">
        <f t="shared" si="96"/>
        <v>4428.702133011273</v>
      </c>
      <c r="EH29" s="8"/>
    </row>
    <row r="30" spans="1:138" ht="11.25" customHeight="1" x14ac:dyDescent="0.2">
      <c r="A30" s="51" t="s">
        <v>162</v>
      </c>
      <c r="B30" s="8"/>
      <c r="C30" s="8"/>
      <c r="D30" s="8"/>
      <c r="E30" s="92"/>
      <c r="F30" s="67"/>
      <c r="G30" s="92"/>
      <c r="H30" s="67"/>
      <c r="I30" s="92"/>
      <c r="J30" s="67"/>
      <c r="K30" s="92"/>
      <c r="L30" s="67"/>
      <c r="M30" s="84"/>
      <c r="N30" s="71"/>
      <c r="O30" s="71"/>
      <c r="P30" s="71"/>
      <c r="Q30" s="93"/>
      <c r="R30" s="67"/>
      <c r="S30" s="84"/>
      <c r="T30" s="71"/>
      <c r="U30" s="71"/>
      <c r="V30" s="71"/>
      <c r="W30" s="93"/>
      <c r="X30" s="67"/>
      <c r="Y30" s="84"/>
      <c r="Z30" s="71"/>
      <c r="AA30" s="71"/>
      <c r="AB30" s="71"/>
      <c r="AC30" s="93"/>
      <c r="AD30" s="67"/>
      <c r="AE30" s="84"/>
      <c r="AF30" s="71"/>
      <c r="AG30" s="71"/>
      <c r="AH30" s="71"/>
      <c r="AI30" s="93"/>
      <c r="AJ30" s="67"/>
      <c r="AK30" s="84"/>
      <c r="AL30" s="71"/>
      <c r="AM30" s="71"/>
      <c r="AN30" s="71"/>
      <c r="AO30" s="93"/>
      <c r="AP30" s="67"/>
      <c r="AQ30" s="84"/>
      <c r="AR30" s="71"/>
      <c r="AS30" s="71"/>
      <c r="AT30" s="71"/>
      <c r="AU30" s="93"/>
      <c r="AV30" s="67"/>
      <c r="AW30" s="84"/>
      <c r="AX30" s="71"/>
      <c r="AY30" s="71"/>
      <c r="AZ30" s="71"/>
      <c r="BA30" s="93"/>
      <c r="BB30" s="67"/>
      <c r="BC30" s="84"/>
      <c r="BD30" s="71"/>
      <c r="BE30" s="71"/>
      <c r="BF30" s="71"/>
      <c r="BG30" s="93"/>
      <c r="BH30" s="67"/>
      <c r="BI30" s="84"/>
      <c r="BJ30" s="71"/>
      <c r="BK30" s="71"/>
      <c r="BL30" s="71"/>
      <c r="BM30" s="93"/>
      <c r="BN30" s="67"/>
      <c r="BO30" s="84"/>
      <c r="BP30" s="71"/>
      <c r="BQ30" s="71"/>
      <c r="BR30" s="71"/>
      <c r="BS30" s="93"/>
      <c r="BT30" s="67"/>
      <c r="BU30" s="84"/>
      <c r="BV30" s="71"/>
      <c r="BW30" s="71"/>
      <c r="BX30" s="71"/>
      <c r="BY30" s="93"/>
      <c r="BZ30" s="67"/>
      <c r="CA30" s="84"/>
      <c r="CB30" s="71"/>
      <c r="CC30" s="71"/>
      <c r="CD30" s="71"/>
      <c r="CE30" s="92">
        <v>987.9</v>
      </c>
      <c r="CF30" s="67"/>
      <c r="CG30" s="84"/>
      <c r="CH30" s="71"/>
      <c r="CI30" s="71"/>
      <c r="CJ30" s="71"/>
      <c r="CK30" s="548">
        <v>952.1</v>
      </c>
      <c r="CL30" s="549"/>
      <c r="CM30" s="550"/>
      <c r="CN30" s="549"/>
      <c r="CO30" s="549"/>
      <c r="CP30" s="549"/>
      <c r="CQ30" s="548">
        <v>959.7</v>
      </c>
      <c r="CR30" s="67"/>
      <c r="CS30" s="84">
        <v>221.9</v>
      </c>
      <c r="CT30" s="71">
        <v>197.7</v>
      </c>
      <c r="CU30" s="71">
        <v>1023.5</v>
      </c>
      <c r="CV30" s="71">
        <v>167.6</v>
      </c>
      <c r="CW30" s="93">
        <f>SUM(CS30:CV30)</f>
        <v>1610.6999999999998</v>
      </c>
      <c r="CX30" s="67"/>
      <c r="CY30" s="84">
        <v>172.6</v>
      </c>
      <c r="CZ30" s="71">
        <v>238.7</v>
      </c>
      <c r="DA30" s="71">
        <v>-11</v>
      </c>
      <c r="DB30" s="71">
        <v>0</v>
      </c>
      <c r="DC30" s="93">
        <f>SUM(CY30:DB30)</f>
        <v>400.29999999999995</v>
      </c>
      <c r="DD30" s="67"/>
      <c r="DE30" s="84">
        <v>22.3</v>
      </c>
      <c r="DF30" s="71">
        <v>-41</v>
      </c>
      <c r="DG30" s="71">
        <v>0</v>
      </c>
      <c r="DH30" s="71">
        <v>0</v>
      </c>
      <c r="DI30" s="93">
        <f>SUM(DE30:DH30)</f>
        <v>-18.7</v>
      </c>
      <c r="DJ30" s="67"/>
      <c r="DK30" s="84">
        <v>0</v>
      </c>
      <c r="DL30" s="67">
        <f t="shared" ref="DL30:DN31" si="97">-DL88</f>
        <v>0</v>
      </c>
      <c r="DM30" s="67">
        <f t="shared" si="97"/>
        <v>0</v>
      </c>
      <c r="DN30" s="67">
        <f t="shared" si="97"/>
        <v>0</v>
      </c>
      <c r="DO30" s="93">
        <f>SUM(DK30:DN30)</f>
        <v>0</v>
      </c>
      <c r="DP30" s="67"/>
      <c r="DQ30" s="82">
        <f t="shared" ref="DQ30:DT31" si="98">-DQ88</f>
        <v>0</v>
      </c>
      <c r="DR30" s="67">
        <f t="shared" si="98"/>
        <v>0</v>
      </c>
      <c r="DS30" s="67">
        <f t="shared" si="98"/>
        <v>0</v>
      </c>
      <c r="DT30" s="67">
        <f t="shared" si="98"/>
        <v>0</v>
      </c>
      <c r="DU30" s="93">
        <f>SUM(DQ30:DT30)</f>
        <v>0</v>
      </c>
      <c r="DV30" s="67"/>
      <c r="DW30" s="82">
        <f t="shared" ref="DW30:DZ30" si="99">-DW88</f>
        <v>0</v>
      </c>
      <c r="DX30" s="67">
        <f t="shared" si="99"/>
        <v>0</v>
      </c>
      <c r="DY30" s="67">
        <f t="shared" si="99"/>
        <v>0</v>
      </c>
      <c r="DZ30" s="67">
        <f t="shared" si="99"/>
        <v>0</v>
      </c>
      <c r="EA30" s="93">
        <f t="shared" ref="EA30:EA31" si="100">SUM(DW30:DZ30)</f>
        <v>0</v>
      </c>
      <c r="EB30" s="67"/>
      <c r="EC30" s="82">
        <f t="shared" ref="EC30:EF30" si="101">-EC88</f>
        <v>0</v>
      </c>
      <c r="ED30" s="67">
        <f t="shared" si="101"/>
        <v>0</v>
      </c>
      <c r="EE30" s="67">
        <f t="shared" si="101"/>
        <v>0</v>
      </c>
      <c r="EF30" s="67">
        <f t="shared" si="101"/>
        <v>0</v>
      </c>
      <c r="EG30" s="93">
        <f t="shared" ref="EG30:EG31" si="102">SUM(EC30:EF30)</f>
        <v>0</v>
      </c>
      <c r="EH30" s="8"/>
    </row>
    <row r="31" spans="1:138" ht="11.25" customHeight="1" x14ac:dyDescent="0.2">
      <c r="A31" s="51" t="s">
        <v>144</v>
      </c>
      <c r="B31" s="8"/>
      <c r="C31" s="8"/>
      <c r="D31" s="8"/>
      <c r="E31" s="92"/>
      <c r="F31" s="67"/>
      <c r="G31" s="92"/>
      <c r="H31" s="67"/>
      <c r="I31" s="92"/>
      <c r="J31" s="67"/>
      <c r="K31" s="92"/>
      <c r="L31" s="67"/>
      <c r="M31" s="84"/>
      <c r="N31" s="71"/>
      <c r="O31" s="71"/>
      <c r="P31" s="71"/>
      <c r="Q31" s="93"/>
      <c r="R31" s="67"/>
      <c r="S31" s="84"/>
      <c r="T31" s="71"/>
      <c r="U31" s="71"/>
      <c r="V31" s="71"/>
      <c r="W31" s="93"/>
      <c r="X31" s="67"/>
      <c r="Y31" s="84"/>
      <c r="Z31" s="71"/>
      <c r="AA31" s="71"/>
      <c r="AB31" s="71"/>
      <c r="AC31" s="93"/>
      <c r="AD31" s="67"/>
      <c r="AE31" s="84"/>
      <c r="AF31" s="71"/>
      <c r="AG31" s="71"/>
      <c r="AH31" s="71"/>
      <c r="AI31" s="93"/>
      <c r="AJ31" s="67"/>
      <c r="AK31" s="84"/>
      <c r="AL31" s="71"/>
      <c r="AM31" s="71"/>
      <c r="AN31" s="71"/>
      <c r="AO31" s="93"/>
      <c r="AP31" s="67"/>
      <c r="AQ31" s="84"/>
      <c r="AR31" s="71"/>
      <c r="AS31" s="71"/>
      <c r="AT31" s="71"/>
      <c r="AU31" s="93"/>
      <c r="AV31" s="67"/>
      <c r="AW31" s="84"/>
      <c r="AX31" s="71"/>
      <c r="AY31" s="71"/>
      <c r="AZ31" s="71"/>
      <c r="BA31" s="93"/>
      <c r="BB31" s="67"/>
      <c r="BC31" s="84"/>
      <c r="BD31" s="71"/>
      <c r="BE31" s="71"/>
      <c r="BF31" s="71"/>
      <c r="BG31" s="93"/>
      <c r="BH31" s="67"/>
      <c r="BI31" s="84"/>
      <c r="BJ31" s="71"/>
      <c r="BK31" s="71"/>
      <c r="BL31" s="71"/>
      <c r="BM31" s="93"/>
      <c r="BN31" s="67"/>
      <c r="BO31" s="84"/>
      <c r="BP31" s="71"/>
      <c r="BQ31" s="71"/>
      <c r="BR31" s="71"/>
      <c r="BS31" s="93"/>
      <c r="BT31" s="67"/>
      <c r="BU31" s="84"/>
      <c r="BV31" s="71"/>
      <c r="BW31" s="71"/>
      <c r="BX31" s="71"/>
      <c r="BY31" s="93"/>
      <c r="BZ31" s="67"/>
      <c r="CA31" s="84"/>
      <c r="CB31" s="71"/>
      <c r="CC31" s="71"/>
      <c r="CD31" s="71"/>
      <c r="CE31" s="92">
        <v>0</v>
      </c>
      <c r="CF31" s="67"/>
      <c r="CG31" s="84"/>
      <c r="CH31" s="71"/>
      <c r="CI31" s="71"/>
      <c r="CJ31" s="71"/>
      <c r="CK31" s="548">
        <v>0</v>
      </c>
      <c r="CL31" s="67"/>
      <c r="CM31" s="84"/>
      <c r="CN31" s="71"/>
      <c r="CO31" s="71"/>
      <c r="CP31" s="71"/>
      <c r="CQ31" s="548">
        <v>0</v>
      </c>
      <c r="CR31" s="67"/>
      <c r="CS31" s="84">
        <v>0</v>
      </c>
      <c r="CT31" s="71">
        <v>0</v>
      </c>
      <c r="CU31" s="71">
        <v>0</v>
      </c>
      <c r="CV31" s="71">
        <v>0</v>
      </c>
      <c r="CW31" s="93">
        <f>SUM(CS31:CV31)</f>
        <v>0</v>
      </c>
      <c r="CX31" s="67"/>
      <c r="CY31" s="84">
        <v>0</v>
      </c>
      <c r="CZ31" s="71">
        <v>0</v>
      </c>
      <c r="DA31" s="71">
        <v>0</v>
      </c>
      <c r="DB31" s="71">
        <v>0</v>
      </c>
      <c r="DC31" s="93">
        <f>SUM(CY31:DB31)</f>
        <v>0</v>
      </c>
      <c r="DD31" s="67"/>
      <c r="DE31" s="84">
        <v>0</v>
      </c>
      <c r="DF31" s="71">
        <v>0</v>
      </c>
      <c r="DG31" s="71">
        <v>0</v>
      </c>
      <c r="DH31" s="71">
        <v>0</v>
      </c>
      <c r="DI31" s="93">
        <f>SUM(DE31:DH31)</f>
        <v>0</v>
      </c>
      <c r="DJ31" s="67"/>
      <c r="DK31" s="84">
        <v>0</v>
      </c>
      <c r="DL31" s="67">
        <f t="shared" si="97"/>
        <v>0</v>
      </c>
      <c r="DM31" s="67">
        <f t="shared" si="97"/>
        <v>0</v>
      </c>
      <c r="DN31" s="67">
        <f t="shared" si="97"/>
        <v>0</v>
      </c>
      <c r="DO31" s="93">
        <f>SUM(DK31:DN31)</f>
        <v>0</v>
      </c>
      <c r="DP31" s="67"/>
      <c r="DQ31" s="82">
        <f t="shared" si="98"/>
        <v>0</v>
      </c>
      <c r="DR31" s="67">
        <f t="shared" si="98"/>
        <v>0</v>
      </c>
      <c r="DS31" s="67">
        <f t="shared" si="98"/>
        <v>0</v>
      </c>
      <c r="DT31" s="67">
        <f t="shared" si="98"/>
        <v>0</v>
      </c>
      <c r="DU31" s="93">
        <f>SUM(DQ31:DT31)</f>
        <v>0</v>
      </c>
      <c r="DV31" s="67"/>
      <c r="DW31" s="82">
        <f t="shared" ref="DW31:DZ31" si="103">-DW89</f>
        <v>0</v>
      </c>
      <c r="DX31" s="67">
        <f t="shared" si="103"/>
        <v>0</v>
      </c>
      <c r="DY31" s="67">
        <f t="shared" si="103"/>
        <v>0</v>
      </c>
      <c r="DZ31" s="67">
        <f t="shared" si="103"/>
        <v>0</v>
      </c>
      <c r="EA31" s="93">
        <f t="shared" si="100"/>
        <v>0</v>
      </c>
      <c r="EB31" s="67"/>
      <c r="EC31" s="82">
        <f t="shared" ref="EC31:EF31" si="104">-EC89</f>
        <v>0</v>
      </c>
      <c r="ED31" s="67">
        <f t="shared" si="104"/>
        <v>0</v>
      </c>
      <c r="EE31" s="67">
        <f t="shared" si="104"/>
        <v>0</v>
      </c>
      <c r="EF31" s="67">
        <f t="shared" si="104"/>
        <v>0</v>
      </c>
      <c r="EG31" s="93">
        <f t="shared" si="102"/>
        <v>0</v>
      </c>
      <c r="EH31" s="8"/>
    </row>
    <row r="32" spans="1:138" ht="11.25" customHeight="1" x14ac:dyDescent="0.2">
      <c r="A32" s="50" t="s">
        <v>4</v>
      </c>
      <c r="B32" s="11"/>
      <c r="C32" s="11"/>
      <c r="D32" s="11"/>
      <c r="E32" s="163"/>
      <c r="F32" s="164"/>
      <c r="G32" s="163"/>
      <c r="H32" s="164"/>
      <c r="I32" s="163"/>
      <c r="J32" s="164"/>
      <c r="K32" s="163"/>
      <c r="L32" s="164"/>
      <c r="M32" s="165"/>
      <c r="N32" s="164"/>
      <c r="O32" s="164"/>
      <c r="P32" s="164"/>
      <c r="Q32" s="163"/>
      <c r="R32" s="164"/>
      <c r="S32" s="165"/>
      <c r="T32" s="164"/>
      <c r="U32" s="164"/>
      <c r="V32" s="164"/>
      <c r="W32" s="163"/>
      <c r="X32" s="164"/>
      <c r="Y32" s="165"/>
      <c r="Z32" s="164"/>
      <c r="AA32" s="164"/>
      <c r="AB32" s="164"/>
      <c r="AC32" s="163"/>
      <c r="AD32" s="164"/>
      <c r="AE32" s="165"/>
      <c r="AF32" s="164"/>
      <c r="AG32" s="164"/>
      <c r="AH32" s="164"/>
      <c r="AI32" s="163"/>
      <c r="AJ32" s="164"/>
      <c r="AK32" s="165"/>
      <c r="AL32" s="164"/>
      <c r="AM32" s="164"/>
      <c r="AN32" s="164"/>
      <c r="AO32" s="163"/>
      <c r="AP32" s="164"/>
      <c r="AQ32" s="165"/>
      <c r="AR32" s="164"/>
      <c r="AS32" s="164"/>
      <c r="AT32" s="164"/>
      <c r="AU32" s="163"/>
      <c r="AV32" s="164"/>
      <c r="AW32" s="165"/>
      <c r="AX32" s="164"/>
      <c r="AY32" s="164"/>
      <c r="AZ32" s="164"/>
      <c r="BA32" s="163"/>
      <c r="BB32" s="164"/>
      <c r="BC32" s="165"/>
      <c r="BD32" s="164"/>
      <c r="BE32" s="164"/>
      <c r="BF32" s="164"/>
      <c r="BG32" s="163"/>
      <c r="BH32" s="164"/>
      <c r="BI32" s="165"/>
      <c r="BJ32" s="164"/>
      <c r="BK32" s="164"/>
      <c r="BL32" s="164"/>
      <c r="BM32" s="163"/>
      <c r="BN32" s="164"/>
      <c r="BO32" s="165"/>
      <c r="BP32" s="164"/>
      <c r="BQ32" s="164"/>
      <c r="BR32" s="164"/>
      <c r="BS32" s="163"/>
      <c r="BT32" s="164"/>
      <c r="BU32" s="165"/>
      <c r="BV32" s="164"/>
      <c r="BW32" s="164"/>
      <c r="BX32" s="164"/>
      <c r="BY32" s="163"/>
      <c r="BZ32" s="164"/>
      <c r="CA32" s="165"/>
      <c r="CB32" s="164"/>
      <c r="CC32" s="164"/>
      <c r="CD32" s="164"/>
      <c r="CE32" s="841">
        <v>2392.1999999999998</v>
      </c>
      <c r="CF32" s="164"/>
      <c r="CG32" s="165"/>
      <c r="CH32" s="164"/>
      <c r="CI32" s="164"/>
      <c r="CJ32" s="164"/>
      <c r="CK32" s="163">
        <f>+CK29+CK30+CK31</f>
        <v>2695.0013164482734</v>
      </c>
      <c r="CL32" s="164"/>
      <c r="CM32" s="165"/>
      <c r="CN32" s="164"/>
      <c r="CO32" s="164"/>
      <c r="CP32" s="164"/>
      <c r="CQ32" s="163">
        <f>+CQ29+CQ30+CQ31</f>
        <v>2598.3999999999996</v>
      </c>
      <c r="CR32" s="164"/>
      <c r="CS32" s="165">
        <f>+CS29+CS30+CS31</f>
        <v>569.80000000000007</v>
      </c>
      <c r="CT32" s="164">
        <f>+CT29+CT30+CT31</f>
        <v>695.60000000000014</v>
      </c>
      <c r="CU32" s="164">
        <f>+CU29+CU30+CU31</f>
        <v>1403.3999999999996</v>
      </c>
      <c r="CV32" s="164">
        <f>+CV29+CV30+CV31</f>
        <v>688.59999999999991</v>
      </c>
      <c r="CW32" s="163">
        <f>+CW29+CW30+CW31</f>
        <v>3357.4000000000005</v>
      </c>
      <c r="CX32" s="164"/>
      <c r="CY32" s="165">
        <f t="shared" ref="CY32:DC32" si="105">+CY29+CY30+CY31</f>
        <v>758.40000000000043</v>
      </c>
      <c r="CZ32" s="164">
        <f t="shared" si="105"/>
        <v>656.69999999999959</v>
      </c>
      <c r="DA32" s="164">
        <f t="shared" si="105"/>
        <v>391.60000000000059</v>
      </c>
      <c r="DB32" s="164">
        <f t="shared" si="105"/>
        <v>747</v>
      </c>
      <c r="DC32" s="163">
        <f t="shared" si="105"/>
        <v>2553.7000000000007</v>
      </c>
      <c r="DD32" s="164"/>
      <c r="DE32" s="165">
        <f t="shared" ref="DE32" si="106">+DE29+DE30+DE31</f>
        <v>506.09999999999962</v>
      </c>
      <c r="DF32" s="164">
        <f>+DF29+DF30+DF31</f>
        <v>557.30000000000018</v>
      </c>
      <c r="DG32" s="164">
        <f t="shared" ref="DG32:DH32" si="107">+DG29+DG30+DG31</f>
        <v>572.09999999999991</v>
      </c>
      <c r="DH32" s="164">
        <f t="shared" si="107"/>
        <v>856.59999999999991</v>
      </c>
      <c r="DI32" s="163">
        <f t="shared" ref="DI32" si="108">+DI29+DI30+DI31</f>
        <v>2492.1000000000004</v>
      </c>
      <c r="DJ32" s="164"/>
      <c r="DK32" s="165">
        <f t="shared" ref="DK32" si="109">+DK29+DK30+DK31</f>
        <v>566.59999999999923</v>
      </c>
      <c r="DL32" s="164">
        <f t="shared" ref="DL32:DO32" si="110">+DL29+DL30+DL31</f>
        <v>647.26435095528939</v>
      </c>
      <c r="DM32" s="164">
        <f t="shared" si="110"/>
        <v>642.79560939416604</v>
      </c>
      <c r="DN32" s="164">
        <f t="shared" si="110"/>
        <v>839.00718358858717</v>
      </c>
      <c r="DO32" s="163">
        <f t="shared" si="110"/>
        <v>2695.6671439380416</v>
      </c>
      <c r="DP32" s="164"/>
      <c r="DQ32" s="165">
        <f t="shared" ref="DQ32:DU32" si="111">+DQ29+DQ30+DQ31</f>
        <v>644.63929238681601</v>
      </c>
      <c r="DR32" s="164">
        <f t="shared" si="111"/>
        <v>731.35608977110451</v>
      </c>
      <c r="DS32" s="164">
        <f t="shared" si="111"/>
        <v>715.57976040132803</v>
      </c>
      <c r="DT32" s="164">
        <f t="shared" si="111"/>
        <v>917.79164119385155</v>
      </c>
      <c r="DU32" s="163">
        <f t="shared" si="111"/>
        <v>3009.3667837531002</v>
      </c>
      <c r="DV32" s="164"/>
      <c r="DW32" s="165">
        <f t="shared" ref="DW32:EA32" si="112">+DW29+DW30+DW31</f>
        <v>723.14271767990522</v>
      </c>
      <c r="DX32" s="164">
        <f t="shared" si="112"/>
        <v>812.98647620690917</v>
      </c>
      <c r="DY32" s="164">
        <f t="shared" si="112"/>
        <v>796.19008222696857</v>
      </c>
      <c r="DZ32" s="164">
        <f t="shared" si="112"/>
        <v>1153.1524415894901</v>
      </c>
      <c r="EA32" s="163">
        <f t="shared" si="112"/>
        <v>3485.4717177032726</v>
      </c>
      <c r="EB32" s="164"/>
      <c r="EC32" s="165">
        <f t="shared" ref="EC32:EG32" si="113">+EC29+EC30+EC31</f>
        <v>966.64893880287173</v>
      </c>
      <c r="ED32" s="164">
        <f t="shared" si="113"/>
        <v>1077.3817515046885</v>
      </c>
      <c r="EE32" s="164">
        <f t="shared" si="113"/>
        <v>1079.6925375314727</v>
      </c>
      <c r="EF32" s="164">
        <f t="shared" si="113"/>
        <v>1304.9789051722405</v>
      </c>
      <c r="EG32" s="163">
        <f t="shared" si="113"/>
        <v>4428.702133011273</v>
      </c>
      <c r="EH32" s="8"/>
    </row>
    <row r="33" spans="1:140" ht="11.25" customHeight="1" x14ac:dyDescent="0.2">
      <c r="A33" s="104" t="s">
        <v>443</v>
      </c>
      <c r="B33" s="2"/>
      <c r="C33" s="2"/>
      <c r="D33" s="2"/>
      <c r="E33" s="92"/>
      <c r="F33" s="67"/>
      <c r="G33" s="92"/>
      <c r="H33" s="67"/>
      <c r="I33" s="92"/>
      <c r="J33" s="67"/>
      <c r="K33" s="92"/>
      <c r="L33" s="67"/>
      <c r="M33" s="84"/>
      <c r="N33" s="71"/>
      <c r="O33" s="71"/>
      <c r="P33" s="71"/>
      <c r="Q33" s="93"/>
      <c r="R33" s="67"/>
      <c r="S33" s="84"/>
      <c r="T33" s="71"/>
      <c r="U33" s="71"/>
      <c r="V33" s="71"/>
      <c r="W33" s="93"/>
      <c r="X33" s="67"/>
      <c r="Y33" s="84"/>
      <c r="Z33" s="71"/>
      <c r="AA33" s="71"/>
      <c r="AB33" s="71"/>
      <c r="AC33" s="93"/>
      <c r="AD33" s="67"/>
      <c r="AE33" s="84"/>
      <c r="AF33" s="71"/>
      <c r="AG33" s="71"/>
      <c r="AH33" s="71"/>
      <c r="AI33" s="93"/>
      <c r="AJ33" s="67"/>
      <c r="AK33" s="84"/>
      <c r="AL33" s="71"/>
      <c r="AM33" s="71"/>
      <c r="AN33" s="71"/>
      <c r="AO33" s="93"/>
      <c r="AP33" s="67"/>
      <c r="AQ33" s="84"/>
      <c r="AR33" s="71"/>
      <c r="AS33" s="71"/>
      <c r="AT33" s="71"/>
      <c r="AU33" s="93"/>
      <c r="AV33" s="67"/>
      <c r="AW33" s="84"/>
      <c r="AX33" s="71"/>
      <c r="AY33" s="71"/>
      <c r="AZ33" s="71"/>
      <c r="BA33" s="93"/>
      <c r="BB33" s="67"/>
      <c r="BC33" s="84"/>
      <c r="BD33" s="71"/>
      <c r="BE33" s="71"/>
      <c r="BF33" s="71"/>
      <c r="BG33" s="93"/>
      <c r="BH33" s="67"/>
      <c r="BI33" s="84"/>
      <c r="BJ33" s="71"/>
      <c r="BK33" s="71"/>
      <c r="BL33" s="71"/>
      <c r="BM33" s="93"/>
      <c r="BN33" s="67"/>
      <c r="BO33" s="84"/>
      <c r="BP33" s="71"/>
      <c r="BQ33" s="71"/>
      <c r="BR33" s="71"/>
      <c r="BS33" s="93"/>
      <c r="BT33" s="67"/>
      <c r="BU33" s="84"/>
      <c r="BV33" s="71"/>
      <c r="BW33" s="71"/>
      <c r="BX33" s="71"/>
      <c r="BY33" s="93"/>
      <c r="BZ33" s="67"/>
      <c r="CA33" s="84"/>
      <c r="CB33" s="71"/>
      <c r="CC33" s="71"/>
      <c r="CD33" s="71"/>
      <c r="CE33" s="93">
        <f>+SUM(CE76:CE89)</f>
        <v>-864.4</v>
      </c>
      <c r="CF33" s="67"/>
      <c r="CG33" s="84"/>
      <c r="CH33" s="71"/>
      <c r="CI33" s="71"/>
      <c r="CJ33" s="71"/>
      <c r="CK33" s="93">
        <f>+SUM(CK76:CK89)</f>
        <v>-1026.25</v>
      </c>
      <c r="CL33" s="67"/>
      <c r="CM33" s="84"/>
      <c r="CN33" s="71"/>
      <c r="CO33" s="71"/>
      <c r="CP33" s="71"/>
      <c r="CQ33" s="93">
        <f t="shared" ref="CQ33" si="114">+SUM(CQ76:CQ89)</f>
        <v>-694.91500000000008</v>
      </c>
      <c r="CR33" s="67"/>
      <c r="CS33" s="82">
        <f>+SUM(CS76:CS89)</f>
        <v>-138.13599999999988</v>
      </c>
      <c r="CT33" s="67">
        <f t="shared" ref="CT33:CW33" si="115">+SUM(CT76:CT89)</f>
        <v>-149.392</v>
      </c>
      <c r="CU33" s="67">
        <f t="shared" si="115"/>
        <v>-901.83500000000004</v>
      </c>
      <c r="CV33" s="67">
        <f t="shared" si="115"/>
        <v>-59.996999999999986</v>
      </c>
      <c r="CW33" s="93">
        <f t="shared" si="115"/>
        <v>-1249.3599999999997</v>
      </c>
      <c r="CX33" s="67"/>
      <c r="CY33" s="82">
        <f>+SUM(CY76:CY89)</f>
        <v>-207.05999999999986</v>
      </c>
      <c r="CZ33" s="67">
        <f>+SUM(CZ76:CZ89)</f>
        <v>-30.444999999999993</v>
      </c>
      <c r="DA33" s="67">
        <f>+SUM(DA76:DA89)</f>
        <v>217.01799999999997</v>
      </c>
      <c r="DB33" s="67">
        <f>+SUM(DB76:DB89)</f>
        <v>-12.670999999999992</v>
      </c>
      <c r="DC33" s="93">
        <f>+SUM(DC76:DC89)</f>
        <v>-33.157999999999902</v>
      </c>
      <c r="DD33" s="67"/>
      <c r="DE33" s="82">
        <f>+SUM(DE76:DE89)</f>
        <v>92.918999999999997</v>
      </c>
      <c r="DF33" s="67">
        <f>+SUM(DF76:DF89)</f>
        <v>142.35700000000003</v>
      </c>
      <c r="DG33" s="67">
        <f>+SUM(DG76:DG89)</f>
        <v>130.44318991504522</v>
      </c>
      <c r="DH33" s="67">
        <f>+SUM(DH76:DH89)</f>
        <v>-12.7127885597548</v>
      </c>
      <c r="DI33" s="93">
        <f>+SUM(DI76:DI89)</f>
        <v>353.00640135529034</v>
      </c>
      <c r="DJ33" s="67"/>
      <c r="DK33" s="82">
        <f>+SUM(DK76:DK89)</f>
        <v>136.90251016687699</v>
      </c>
      <c r="DL33" s="67">
        <f t="shared" ref="DL33:DO33" si="116">+SUM(DL76:DL89)</f>
        <v>138.58560866193753</v>
      </c>
      <c r="DM33" s="67">
        <f t="shared" si="116"/>
        <v>136.24697651576733</v>
      </c>
      <c r="DN33" s="67">
        <f t="shared" si="116"/>
        <v>133.94780878706374</v>
      </c>
      <c r="DO33" s="93">
        <f t="shared" si="116"/>
        <v>545.68290413164561</v>
      </c>
      <c r="DP33" s="67"/>
      <c r="DQ33" s="82">
        <f t="shared" ref="DQ33:DU33" si="117">+SUM(DQ76:DQ89)</f>
        <v>138.51567711820039</v>
      </c>
      <c r="DR33" s="67">
        <f t="shared" si="117"/>
        <v>136.05702384935233</v>
      </c>
      <c r="DS33" s="67">
        <f t="shared" si="117"/>
        <v>133.64201167602633</v>
      </c>
      <c r="DT33" s="67">
        <f t="shared" si="117"/>
        <v>131.26986596877686</v>
      </c>
      <c r="DU33" s="93">
        <f t="shared" si="117"/>
        <v>539.4845786123559</v>
      </c>
      <c r="DV33" s="67"/>
      <c r="DW33" s="82">
        <f t="shared" ref="DW33:EA33" si="118">+SUM(DW76:DW89)</f>
        <v>138.02009527373468</v>
      </c>
      <c r="DX33" s="67">
        <f t="shared" si="118"/>
        <v>135.39771346353371</v>
      </c>
      <c r="DY33" s="67">
        <f t="shared" si="118"/>
        <v>132.82515690772658</v>
      </c>
      <c r="DZ33" s="67">
        <f t="shared" si="118"/>
        <v>130.30147892647977</v>
      </c>
      <c r="EA33" s="93">
        <f t="shared" si="118"/>
        <v>536.54444457147474</v>
      </c>
      <c r="EB33" s="67"/>
      <c r="EC33" s="82">
        <f t="shared" ref="EC33:EG33" si="119">+SUM(EC76:EC89)</f>
        <v>136.23533969706591</v>
      </c>
      <c r="ED33" s="67">
        <f t="shared" si="119"/>
        <v>133.47657406820031</v>
      </c>
      <c r="EE33" s="67">
        <f t="shared" si="119"/>
        <v>130.77367344331924</v>
      </c>
      <c r="EF33" s="67">
        <f t="shared" si="119"/>
        <v>128.12550655609203</v>
      </c>
      <c r="EG33" s="93">
        <f t="shared" si="119"/>
        <v>528.61109376467755</v>
      </c>
      <c r="EH33" s="13"/>
    </row>
    <row r="34" spans="1:140" ht="11.25" customHeight="1" x14ac:dyDescent="0.2">
      <c r="A34" s="50" t="s">
        <v>242</v>
      </c>
      <c r="B34" s="2"/>
      <c r="C34" s="2"/>
      <c r="D34" s="2"/>
      <c r="E34" s="92"/>
      <c r="F34" s="67"/>
      <c r="G34" s="92"/>
      <c r="H34" s="67"/>
      <c r="I34" s="92"/>
      <c r="J34" s="67"/>
      <c r="K34" s="92"/>
      <c r="L34" s="67"/>
      <c r="M34" s="84"/>
      <c r="N34" s="71"/>
      <c r="O34" s="71"/>
      <c r="P34" s="71"/>
      <c r="Q34" s="93"/>
      <c r="R34" s="67"/>
      <c r="S34" s="84"/>
      <c r="T34" s="71"/>
      <c r="U34" s="71"/>
      <c r="V34" s="71"/>
      <c r="W34" s="93"/>
      <c r="X34" s="67"/>
      <c r="Y34" s="84"/>
      <c r="Z34" s="71"/>
      <c r="AA34" s="71"/>
      <c r="AB34" s="71"/>
      <c r="AC34" s="93"/>
      <c r="AD34" s="67"/>
      <c r="AE34" s="84"/>
      <c r="AF34" s="71"/>
      <c r="AG34" s="71"/>
      <c r="AH34" s="71"/>
      <c r="AI34" s="93"/>
      <c r="AJ34" s="67"/>
      <c r="AK34" s="84"/>
      <c r="AL34" s="71"/>
      <c r="AM34" s="71"/>
      <c r="AN34" s="71"/>
      <c r="AO34" s="93"/>
      <c r="AP34" s="67"/>
      <c r="AQ34" s="84"/>
      <c r="AR34" s="71"/>
      <c r="AS34" s="71"/>
      <c r="AT34" s="71"/>
      <c r="AU34" s="93"/>
      <c r="AV34" s="67"/>
      <c r="AW34" s="84"/>
      <c r="AX34" s="71"/>
      <c r="AY34" s="71"/>
      <c r="AZ34" s="71"/>
      <c r="BA34" s="93"/>
      <c r="BB34" s="67"/>
      <c r="BC34" s="84"/>
      <c r="BD34" s="71"/>
      <c r="BE34" s="71"/>
      <c r="BF34" s="71"/>
      <c r="BG34" s="93"/>
      <c r="BH34" s="67"/>
      <c r="BI34" s="84"/>
      <c r="BJ34" s="71"/>
      <c r="BK34" s="71"/>
      <c r="BL34" s="71"/>
      <c r="BM34" s="93"/>
      <c r="BN34" s="67"/>
      <c r="BO34" s="84"/>
      <c r="BP34" s="71"/>
      <c r="BQ34" s="71"/>
      <c r="BR34" s="71"/>
      <c r="BS34" s="93"/>
      <c r="BT34" s="67"/>
      <c r="BU34" s="84"/>
      <c r="BV34" s="71"/>
      <c r="BW34" s="71"/>
      <c r="BX34" s="71"/>
      <c r="BY34" s="93"/>
      <c r="BZ34" s="67"/>
      <c r="CA34" s="84"/>
      <c r="CB34" s="71"/>
      <c r="CC34" s="71"/>
      <c r="CD34" s="71"/>
      <c r="CE34" s="163">
        <f>+CE32+CE33</f>
        <v>1527.7999999999997</v>
      </c>
      <c r="CF34" s="67"/>
      <c r="CG34" s="84"/>
      <c r="CH34" s="71"/>
      <c r="CI34" s="71"/>
      <c r="CJ34" s="71"/>
      <c r="CK34" s="163">
        <f>+CK32+CK33</f>
        <v>1668.7513164482734</v>
      </c>
      <c r="CL34" s="67"/>
      <c r="CM34" s="84"/>
      <c r="CN34" s="71"/>
      <c r="CO34" s="71"/>
      <c r="CP34" s="71"/>
      <c r="CQ34" s="163">
        <f>+CQ32+CQ33</f>
        <v>1903.4849999999997</v>
      </c>
      <c r="CR34" s="67"/>
      <c r="CS34" s="165">
        <f t="shared" ref="CS34:CV34" si="120">+CS32+CS33</f>
        <v>431.66400000000021</v>
      </c>
      <c r="CT34" s="164">
        <f t="shared" si="120"/>
        <v>546.20800000000008</v>
      </c>
      <c r="CU34" s="164">
        <f t="shared" si="120"/>
        <v>501.5649999999996</v>
      </c>
      <c r="CV34" s="164">
        <f t="shared" si="120"/>
        <v>628.60299999999995</v>
      </c>
      <c r="CW34" s="163">
        <f>+CW32+CW33</f>
        <v>2108.0400000000009</v>
      </c>
      <c r="CX34" s="67"/>
      <c r="CY34" s="165">
        <f t="shared" ref="CY34" si="121">+CY32+CY33</f>
        <v>551.3400000000006</v>
      </c>
      <c r="CZ34" s="164">
        <f t="shared" ref="CZ34" si="122">+CZ32+CZ33</f>
        <v>626.25499999999965</v>
      </c>
      <c r="DA34" s="164">
        <f t="shared" ref="DA34" si="123">+DA32+DA33</f>
        <v>608.61800000000062</v>
      </c>
      <c r="DB34" s="164">
        <f t="shared" ref="DB34" si="124">+DB32+DB33</f>
        <v>734.32899999999995</v>
      </c>
      <c r="DC34" s="163">
        <f t="shared" ref="DC34" si="125">+DC32+DC33</f>
        <v>2520.5420000000008</v>
      </c>
      <c r="DD34" s="67"/>
      <c r="DE34" s="165">
        <f>+DE32+DE33</f>
        <v>599.01899999999966</v>
      </c>
      <c r="DF34" s="164">
        <f t="shared" ref="DF34:DH34" si="126">+DF32+DF33</f>
        <v>699.65700000000015</v>
      </c>
      <c r="DG34" s="164">
        <f t="shared" si="126"/>
        <v>702.5431899150451</v>
      </c>
      <c r="DH34" s="164">
        <f t="shared" si="126"/>
        <v>843.8872114402451</v>
      </c>
      <c r="DI34" s="163">
        <f>+DI32+DI33</f>
        <v>2845.1064013552905</v>
      </c>
      <c r="DJ34" s="67"/>
      <c r="DK34" s="165">
        <f>+DK32+DK33</f>
        <v>703.50251016687616</v>
      </c>
      <c r="DL34" s="164">
        <f t="shared" ref="DL34" si="127">+DL32+DL33</f>
        <v>785.84995961722689</v>
      </c>
      <c r="DM34" s="164">
        <f t="shared" ref="DM34" si="128">+DM32+DM33</f>
        <v>779.04258590993334</v>
      </c>
      <c r="DN34" s="164">
        <f t="shared" ref="DN34" si="129">+DN32+DN33</f>
        <v>972.95499237565093</v>
      </c>
      <c r="DO34" s="163">
        <f t="shared" ref="DO34" si="130">+DO32+DO33</f>
        <v>3241.3500480696871</v>
      </c>
      <c r="DP34" s="67"/>
      <c r="DQ34" s="165">
        <f t="shared" ref="DQ34" si="131">+DQ32+DQ33</f>
        <v>783.15496950501642</v>
      </c>
      <c r="DR34" s="164">
        <f t="shared" ref="DR34" si="132">+DR32+DR33</f>
        <v>867.4131136204569</v>
      </c>
      <c r="DS34" s="164">
        <f t="shared" ref="DS34" si="133">+DS32+DS33</f>
        <v>849.22177207735433</v>
      </c>
      <c r="DT34" s="164">
        <f t="shared" ref="DT34" si="134">+DT32+DT33</f>
        <v>1049.0615071626285</v>
      </c>
      <c r="DU34" s="163">
        <f t="shared" ref="DU34" si="135">+DU32+DU33</f>
        <v>3548.8513623654562</v>
      </c>
      <c r="DV34" s="67"/>
      <c r="DW34" s="165">
        <f t="shared" ref="DW34:EA34" si="136">+DW32+DW33</f>
        <v>861.1628129536399</v>
      </c>
      <c r="DX34" s="164">
        <f t="shared" si="136"/>
        <v>948.38418967044288</v>
      </c>
      <c r="DY34" s="164">
        <f t="shared" si="136"/>
        <v>929.01523913469509</v>
      </c>
      <c r="DZ34" s="164">
        <f t="shared" si="136"/>
        <v>1283.4539205159699</v>
      </c>
      <c r="EA34" s="163">
        <f t="shared" si="136"/>
        <v>4022.0161622747473</v>
      </c>
      <c r="EB34" s="67"/>
      <c r="EC34" s="165">
        <f t="shared" ref="EC34:EG34" si="137">+EC32+EC33</f>
        <v>1102.8842784999376</v>
      </c>
      <c r="ED34" s="164">
        <f t="shared" si="137"/>
        <v>1210.8583255728888</v>
      </c>
      <c r="EE34" s="164">
        <f t="shared" si="137"/>
        <v>1210.4662109747919</v>
      </c>
      <c r="EF34" s="164">
        <f t="shared" si="137"/>
        <v>1433.1044117283325</v>
      </c>
      <c r="EG34" s="163">
        <f t="shared" si="137"/>
        <v>4957.3132267759502</v>
      </c>
      <c r="EH34" s="13"/>
    </row>
    <row r="35" spans="1:140" ht="11.25" customHeight="1" x14ac:dyDescent="0.2">
      <c r="A35" s="533" t="s">
        <v>226</v>
      </c>
      <c r="B35" s="534"/>
      <c r="C35" s="534"/>
      <c r="D35" s="534"/>
      <c r="E35" s="535"/>
      <c r="F35" s="536"/>
      <c r="G35" s="535"/>
      <c r="H35" s="536"/>
      <c r="I35" s="535"/>
      <c r="J35" s="536"/>
      <c r="K35" s="535"/>
      <c r="L35" s="536"/>
      <c r="M35" s="537"/>
      <c r="N35" s="536"/>
      <c r="O35" s="536"/>
      <c r="P35" s="536"/>
      <c r="Q35" s="535"/>
      <c r="R35" s="536"/>
      <c r="S35" s="537"/>
      <c r="T35" s="536"/>
      <c r="U35" s="536"/>
      <c r="V35" s="536"/>
      <c r="W35" s="535"/>
      <c r="X35" s="536"/>
      <c r="Y35" s="537"/>
      <c r="Z35" s="536"/>
      <c r="AA35" s="536"/>
      <c r="AB35" s="536"/>
      <c r="AC35" s="535"/>
      <c r="AD35" s="536"/>
      <c r="AE35" s="537"/>
      <c r="AF35" s="536"/>
      <c r="AG35" s="536"/>
      <c r="AH35" s="536"/>
      <c r="AI35" s="535"/>
      <c r="AJ35" s="536"/>
      <c r="AK35" s="537"/>
      <c r="AL35" s="536"/>
      <c r="AM35" s="536"/>
      <c r="AN35" s="536"/>
      <c r="AO35" s="535"/>
      <c r="AP35" s="536"/>
      <c r="AQ35" s="537"/>
      <c r="AR35" s="536"/>
      <c r="AS35" s="536"/>
      <c r="AT35" s="536"/>
      <c r="AU35" s="535"/>
      <c r="AV35" s="536"/>
      <c r="AW35" s="537"/>
      <c r="AX35" s="536"/>
      <c r="AY35" s="536"/>
      <c r="AZ35" s="536"/>
      <c r="BA35" s="535"/>
      <c r="BB35" s="536"/>
      <c r="BC35" s="537"/>
      <c r="BD35" s="536"/>
      <c r="BE35" s="536"/>
      <c r="BF35" s="536"/>
      <c r="BG35" s="535"/>
      <c r="BH35" s="536"/>
      <c r="BI35" s="537"/>
      <c r="BJ35" s="536"/>
      <c r="BK35" s="536"/>
      <c r="BL35" s="536"/>
      <c r="BM35" s="535"/>
      <c r="BN35" s="536"/>
      <c r="BO35" s="537"/>
      <c r="BP35" s="536"/>
      <c r="BQ35" s="536"/>
      <c r="BR35" s="536"/>
      <c r="BS35" s="535"/>
      <c r="BT35" s="536"/>
      <c r="BU35" s="537"/>
      <c r="BV35" s="536"/>
      <c r="BW35" s="536"/>
      <c r="BX35" s="536"/>
      <c r="BY35" s="535"/>
      <c r="BZ35" s="536"/>
      <c r="CA35" s="537"/>
      <c r="CB35" s="536"/>
      <c r="CC35" s="536"/>
      <c r="CD35" s="536"/>
      <c r="CE35" s="535">
        <f>CE34/CE41</f>
        <v>2.1518309859154927</v>
      </c>
      <c r="CF35" s="536"/>
      <c r="CG35" s="537"/>
      <c r="CH35" s="536"/>
      <c r="CI35" s="536"/>
      <c r="CJ35" s="536"/>
      <c r="CK35" s="535">
        <f>CK34/CK41</f>
        <v>2.3470482650467979</v>
      </c>
      <c r="CL35" s="536"/>
      <c r="CM35" s="537"/>
      <c r="CN35" s="536"/>
      <c r="CO35" s="536"/>
      <c r="CP35" s="536"/>
      <c r="CQ35" s="535">
        <f>CQ34/CQ41</f>
        <v>2.6581273565144525</v>
      </c>
      <c r="CR35" s="536"/>
      <c r="CS35" s="537">
        <f>CS34/CS41</f>
        <v>0.60061778210658157</v>
      </c>
      <c r="CT35" s="536">
        <f>CT34/CT41</f>
        <v>0.75904391328515852</v>
      </c>
      <c r="CU35" s="536">
        <f>CU34/CU41</f>
        <v>0.71785458709030991</v>
      </c>
      <c r="CV35" s="536">
        <f>CV34/CV41</f>
        <v>0.9017400659876631</v>
      </c>
      <c r="CW35" s="535">
        <f>CW34/CW41</f>
        <v>2.9753563867325346</v>
      </c>
      <c r="CX35" s="536"/>
      <c r="CY35" s="537">
        <f>CY34/CY41</f>
        <v>0.79090517859704579</v>
      </c>
      <c r="CZ35" s="536">
        <f>CZ34/CZ41</f>
        <v>0.89605809128630654</v>
      </c>
      <c r="DA35" s="536">
        <f>DA34/DA41</f>
        <v>0.86784257806930076</v>
      </c>
      <c r="DB35" s="536">
        <f>DB34/DB41</f>
        <v>1.046201738139336</v>
      </c>
      <c r="DC35" s="535">
        <f>DC34/DC41</f>
        <v>3.6018033723921135</v>
      </c>
      <c r="DD35" s="536"/>
      <c r="DE35" s="537">
        <f>DE34/DE41</f>
        <v>0.84882953096216474</v>
      </c>
      <c r="DF35" s="536">
        <f>DF34/DF41</f>
        <v>0.99185851998865915</v>
      </c>
      <c r="DG35" s="536">
        <f>DG34/DG41</f>
        <v>0.99566778616077822</v>
      </c>
      <c r="DH35" s="536">
        <f>DH34/DH41</f>
        <v>1.1926048776713469</v>
      </c>
      <c r="DI35" s="535">
        <f>DI34/DI41</f>
        <v>4.029325026703428</v>
      </c>
      <c r="DJ35" s="536"/>
      <c r="DK35" s="537">
        <f>DK34/DK41</f>
        <v>0.99154687831835964</v>
      </c>
      <c r="DL35" s="536">
        <f>DL34/DL41</f>
        <v>1.1055851992363912</v>
      </c>
      <c r="DM35" s="536">
        <f>DM34/DM41</f>
        <v>1.092626347699766</v>
      </c>
      <c r="DN35" s="536">
        <f>DN34/DN41</f>
        <v>1.3603956828518606</v>
      </c>
      <c r="DO35" s="535">
        <f>DO34/DO41</f>
        <v>4.5530974126558323</v>
      </c>
      <c r="DP35" s="536"/>
      <c r="DQ35" s="537">
        <f>DQ34/DQ41</f>
        <v>1.0916573313423703</v>
      </c>
      <c r="DR35" s="536">
        <f>DR34/DR41</f>
        <v>1.2054101078661157</v>
      </c>
      <c r="DS35" s="536">
        <f>DS34/DS41</f>
        <v>1.1765333500656059</v>
      </c>
      <c r="DT35" s="536">
        <f>DT34/DT41</f>
        <v>1.4489799822688236</v>
      </c>
      <c r="DU35" s="535">
        <f>DU34/DU41</f>
        <v>4.924172835251083</v>
      </c>
      <c r="DV35" s="536"/>
      <c r="DW35" s="537">
        <f t="shared" ref="DW35:EA35" si="138">DW34/DW41</f>
        <v>1.1858479936018174</v>
      </c>
      <c r="DX35" s="536">
        <f t="shared" si="138"/>
        <v>1.302010145071997</v>
      </c>
      <c r="DY35" s="536">
        <f t="shared" si="138"/>
        <v>1.2715784822538938</v>
      </c>
      <c r="DZ35" s="536">
        <f t="shared" si="138"/>
        <v>1.7514382103110937</v>
      </c>
      <c r="EA35" s="535">
        <f t="shared" si="138"/>
        <v>5.5133874739886863</v>
      </c>
      <c r="EB35" s="536"/>
      <c r="EC35" s="537">
        <f t="shared" ref="EC35:EG35" si="139">EC34/EC41</f>
        <v>1.5005228278910714</v>
      </c>
      <c r="ED35" s="536">
        <f t="shared" si="139"/>
        <v>1.6425099370223664</v>
      </c>
      <c r="EE35" s="536">
        <f t="shared" si="139"/>
        <v>1.6370925222812978</v>
      </c>
      <c r="EF35" s="536">
        <f t="shared" si="139"/>
        <v>1.9324493146282793</v>
      </c>
      <c r="EG35" s="535">
        <f t="shared" si="139"/>
        <v>6.7144971241716753</v>
      </c>
      <c r="EH35" s="8"/>
      <c r="EI35" s="1325"/>
      <c r="EJ35" s="1325"/>
    </row>
    <row r="36" spans="1:140" ht="11.25" customHeight="1" x14ac:dyDescent="0.2">
      <c r="A36" s="51" t="s">
        <v>145</v>
      </c>
      <c r="B36" s="17"/>
      <c r="C36" s="17"/>
      <c r="D36" s="17"/>
      <c r="E36" s="95"/>
      <c r="F36" s="73"/>
      <c r="G36" s="95"/>
      <c r="H36" s="73"/>
      <c r="I36" s="95"/>
      <c r="J36" s="73"/>
      <c r="K36" s="95"/>
      <c r="L36" s="73"/>
      <c r="M36" s="85"/>
      <c r="N36" s="73"/>
      <c r="O36" s="73"/>
      <c r="P36" s="73"/>
      <c r="Q36" s="95"/>
      <c r="R36" s="73"/>
      <c r="S36" s="85"/>
      <c r="T36" s="73"/>
      <c r="U36" s="73"/>
      <c r="V36" s="73"/>
      <c r="W36" s="95"/>
      <c r="X36" s="73"/>
      <c r="Y36" s="85"/>
      <c r="Z36" s="73"/>
      <c r="AA36" s="73"/>
      <c r="AB36" s="73"/>
      <c r="AC36" s="95"/>
      <c r="AD36" s="73"/>
      <c r="AE36" s="85"/>
      <c r="AF36" s="73"/>
      <c r="AG36" s="73"/>
      <c r="AH36" s="73"/>
      <c r="AI36" s="95"/>
      <c r="AJ36" s="73"/>
      <c r="AK36" s="85"/>
      <c r="AL36" s="73"/>
      <c r="AM36" s="73"/>
      <c r="AN36" s="73"/>
      <c r="AO36" s="95"/>
      <c r="AP36" s="73"/>
      <c r="AQ36" s="85"/>
      <c r="AR36" s="73"/>
      <c r="AS36" s="73"/>
      <c r="AT36" s="73"/>
      <c r="AU36" s="95"/>
      <c r="AV36" s="73"/>
      <c r="AW36" s="85"/>
      <c r="AX36" s="73"/>
      <c r="AY36" s="73"/>
      <c r="AZ36" s="73"/>
      <c r="BA36" s="95"/>
      <c r="BB36" s="73"/>
      <c r="BC36" s="85"/>
      <c r="BD36" s="73"/>
      <c r="BE36" s="73"/>
      <c r="BF36" s="73"/>
      <c r="BG36" s="95"/>
      <c r="BH36" s="73"/>
      <c r="BI36" s="85"/>
      <c r="BJ36" s="73"/>
      <c r="BK36" s="73"/>
      <c r="BL36" s="73"/>
      <c r="BM36" s="95"/>
      <c r="BN36" s="73"/>
      <c r="BO36" s="85"/>
      <c r="BP36" s="73"/>
      <c r="BQ36" s="73"/>
      <c r="BR36" s="73"/>
      <c r="BS36" s="95"/>
      <c r="BT36" s="73"/>
      <c r="BU36" s="85"/>
      <c r="BV36" s="73"/>
      <c r="BW36" s="73"/>
      <c r="BX36" s="73"/>
      <c r="BY36" s="95"/>
      <c r="BZ36" s="73"/>
      <c r="CA36" s="85"/>
      <c r="CB36" s="73"/>
      <c r="CC36" s="73"/>
      <c r="CD36" s="73"/>
      <c r="CE36" s="95">
        <f>CE29/CE41</f>
        <v>1.9778873239436618</v>
      </c>
      <c r="CF36" s="73"/>
      <c r="CG36" s="85"/>
      <c r="CH36" s="73"/>
      <c r="CI36" s="73"/>
      <c r="CJ36" s="73"/>
      <c r="CK36" s="95">
        <f>CK29/CK41</f>
        <v>2.4513379978175434</v>
      </c>
      <c r="CL36" s="73"/>
      <c r="CM36" s="85"/>
      <c r="CN36" s="73"/>
      <c r="CO36" s="73"/>
      <c r="CP36" s="73"/>
      <c r="CQ36" s="95">
        <f>CQ29/CQ41</f>
        <v>2.2883675464320623</v>
      </c>
      <c r="CR36" s="73"/>
      <c r="CS36" s="85">
        <f>CS29/CS41</f>
        <v>0.48406845693613476</v>
      </c>
      <c r="CT36" s="73">
        <f>CT29/CT41</f>
        <v>0.69191217342968336</v>
      </c>
      <c r="CU36" s="73">
        <f>CU29/CU41</f>
        <v>0.54372405896665199</v>
      </c>
      <c r="CV36" s="73">
        <f>CV29/CV41</f>
        <v>0.74738201118921221</v>
      </c>
      <c r="CW36" s="95">
        <f>CW29/CW41</f>
        <v>2.4653493295695141</v>
      </c>
      <c r="CX36" s="73"/>
      <c r="CY36" s="85">
        <f>CY29/CY41</f>
        <v>0.84033854540238184</v>
      </c>
      <c r="CZ36" s="73">
        <f>CZ29/CZ41</f>
        <v>0.59808270138789477</v>
      </c>
      <c r="DA36" s="73">
        <f>DA29/DA41</f>
        <v>0.57407671467275145</v>
      </c>
      <c r="DB36" s="73">
        <f>DB29/DB41</f>
        <v>1.0642541672602934</v>
      </c>
      <c r="DC36" s="95">
        <f>DC29/DC41</f>
        <v>3.0771649042583613</v>
      </c>
      <c r="DD36" s="73"/>
      <c r="DE36" s="85">
        <f>DE29/DE41</f>
        <v>0.68556043644608133</v>
      </c>
      <c r="DF36" s="73">
        <f>DF29/DF41</f>
        <v>0.8481712503544091</v>
      </c>
      <c r="DG36" s="73">
        <f>DG29/DG41</f>
        <v>0.81079931972789099</v>
      </c>
      <c r="DH36" s="73">
        <f>DH29/DH41</f>
        <v>1.2105709440361785</v>
      </c>
      <c r="DI36" s="95">
        <f>DI29/DI41</f>
        <v>3.5558702733323893</v>
      </c>
      <c r="DJ36" s="73"/>
      <c r="DK36" s="85">
        <f>DK29/DK41</f>
        <v>0.7985905567300905</v>
      </c>
      <c r="DL36" s="73">
        <f>DL29/DL41</f>
        <v>0.91061388710648472</v>
      </c>
      <c r="DM36" s="73">
        <f>DM29/DM41</f>
        <v>0.90153661906615135</v>
      </c>
      <c r="DN36" s="73">
        <f>DN29/DN41</f>
        <v>1.1731084781719616</v>
      </c>
      <c r="DO36" s="95">
        <f>DO29/DO41</f>
        <v>3.7865811826633538</v>
      </c>
      <c r="DP36" s="73"/>
      <c r="DQ36" s="85">
        <f>DQ29/DQ41</f>
        <v>0.89857721269419577</v>
      </c>
      <c r="DR36" s="73">
        <f>DR29/DR41</f>
        <v>1.0163369785590668</v>
      </c>
      <c r="DS36" s="73">
        <f>DS29/DS41</f>
        <v>0.99138232252885561</v>
      </c>
      <c r="DT36" s="73">
        <f>DT29/DT41</f>
        <v>1.2676680126986897</v>
      </c>
      <c r="DU36" s="95">
        <f>DU29/DU41</f>
        <v>4.1756164614306917</v>
      </c>
      <c r="DV36" s="73"/>
      <c r="DW36" s="85">
        <f t="shared" ref="DW36:EA36" si="140">DW29/DW41</f>
        <v>0.99579002709984177</v>
      </c>
      <c r="DX36" s="73">
        <f t="shared" si="140"/>
        <v>1.1161264088507812</v>
      </c>
      <c r="DY36" s="73">
        <f t="shared" si="140"/>
        <v>1.0897756395113172</v>
      </c>
      <c r="DZ36" s="73">
        <f t="shared" si="140"/>
        <v>1.5736250567542163</v>
      </c>
      <c r="EA36" s="95">
        <f t="shared" si="140"/>
        <v>4.7778913196754926</v>
      </c>
      <c r="EB36" s="73"/>
      <c r="EC36" s="85">
        <f t="shared" ref="EC36:EG36" si="141">EC29/EC41</f>
        <v>1.3151686242215941</v>
      </c>
      <c r="ED36" s="73">
        <f t="shared" si="141"/>
        <v>1.4614511007931204</v>
      </c>
      <c r="EE36" s="73">
        <f t="shared" si="141"/>
        <v>1.4602279382356944</v>
      </c>
      <c r="EF36" s="73">
        <f t="shared" si="141"/>
        <v>1.7596802928428263</v>
      </c>
      <c r="EG36" s="95">
        <f t="shared" si="141"/>
        <v>5.9985129798337686</v>
      </c>
      <c r="EH36" s="17"/>
    </row>
    <row r="37" spans="1:140" ht="11.25" customHeight="1" x14ac:dyDescent="0.2">
      <c r="A37" s="51" t="s">
        <v>146</v>
      </c>
      <c r="B37" s="17"/>
      <c r="C37" s="17"/>
      <c r="D37" s="17"/>
      <c r="E37" s="95"/>
      <c r="F37" s="73"/>
      <c r="G37" s="95"/>
      <c r="H37" s="73"/>
      <c r="I37" s="95"/>
      <c r="J37" s="73"/>
      <c r="K37" s="95"/>
      <c r="L37" s="73"/>
      <c r="M37" s="85"/>
      <c r="N37" s="73"/>
      <c r="O37" s="73"/>
      <c r="P37" s="73"/>
      <c r="Q37" s="95"/>
      <c r="R37" s="73"/>
      <c r="S37" s="85"/>
      <c r="T37" s="73"/>
      <c r="U37" s="73"/>
      <c r="V37" s="73"/>
      <c r="W37" s="95"/>
      <c r="X37" s="73"/>
      <c r="Y37" s="85"/>
      <c r="Z37" s="73"/>
      <c r="AA37" s="73"/>
      <c r="AB37" s="73"/>
      <c r="AC37" s="95"/>
      <c r="AD37" s="73"/>
      <c r="AE37" s="85"/>
      <c r="AF37" s="73"/>
      <c r="AG37" s="73"/>
      <c r="AH37" s="73"/>
      <c r="AI37" s="95"/>
      <c r="AJ37" s="73"/>
      <c r="AK37" s="85"/>
      <c r="AL37" s="73"/>
      <c r="AM37" s="73"/>
      <c r="AN37" s="73"/>
      <c r="AO37" s="95"/>
      <c r="AP37" s="73"/>
      <c r="AQ37" s="85"/>
      <c r="AR37" s="73"/>
      <c r="AS37" s="73"/>
      <c r="AT37" s="73"/>
      <c r="AU37" s="95"/>
      <c r="AV37" s="73"/>
      <c r="AW37" s="85"/>
      <c r="AX37" s="73"/>
      <c r="AY37" s="73"/>
      <c r="AZ37" s="73"/>
      <c r="BA37" s="95"/>
      <c r="BB37" s="73"/>
      <c r="BC37" s="85"/>
      <c r="BD37" s="73"/>
      <c r="BE37" s="73"/>
      <c r="BF37" s="73"/>
      <c r="BG37" s="95"/>
      <c r="BH37" s="73"/>
      <c r="BI37" s="85"/>
      <c r="BJ37" s="73"/>
      <c r="BK37" s="73"/>
      <c r="BL37" s="73"/>
      <c r="BM37" s="95"/>
      <c r="BN37" s="73"/>
      <c r="BO37" s="85"/>
      <c r="BP37" s="73"/>
      <c r="BQ37" s="73"/>
      <c r="BR37" s="73"/>
      <c r="BS37" s="95"/>
      <c r="BT37" s="73"/>
      <c r="BU37" s="85"/>
      <c r="BV37" s="73"/>
      <c r="BW37" s="73"/>
      <c r="BX37" s="73"/>
      <c r="BY37" s="95"/>
      <c r="BZ37" s="73"/>
      <c r="CA37" s="85"/>
      <c r="CB37" s="73"/>
      <c r="CC37" s="73"/>
      <c r="CD37" s="73"/>
      <c r="CE37" s="95">
        <f>CE32/CE41</f>
        <v>3.3692957746478869</v>
      </c>
      <c r="CF37" s="73"/>
      <c r="CG37" s="85"/>
      <c r="CH37" s="73"/>
      <c r="CI37" s="73"/>
      <c r="CJ37" s="73"/>
      <c r="CK37" s="95">
        <f>CK32/CK41</f>
        <v>3.7904378571705672</v>
      </c>
      <c r="CL37" s="73"/>
      <c r="CM37" s="85"/>
      <c r="CN37" s="73"/>
      <c r="CO37" s="73"/>
      <c r="CP37" s="73"/>
      <c r="CQ37" s="95">
        <f>CQ32/CQ41</f>
        <v>3.6285434995112409</v>
      </c>
      <c r="CR37" s="73"/>
      <c r="CS37" s="85">
        <f>CS32/CS41</f>
        <v>0.79282037011270357</v>
      </c>
      <c r="CT37" s="73">
        <f>CT32/CT41</f>
        <v>0.96664813785436365</v>
      </c>
      <c r="CU37" s="73">
        <f>CU32/CU41</f>
        <v>2.0085873765564615</v>
      </c>
      <c r="CV37" s="73">
        <f>CV32/CV41</f>
        <v>0.98780662745660575</v>
      </c>
      <c r="CW37" s="95">
        <f>CW32/CW41</f>
        <v>4.7387438249823575</v>
      </c>
      <c r="CX37" s="73"/>
      <c r="CY37" s="85">
        <f>CY32/CY41</f>
        <v>1.0879357337541249</v>
      </c>
      <c r="CZ37" s="73">
        <f>CZ32/CZ41</f>
        <v>0.93961940191729809</v>
      </c>
      <c r="DA37" s="73">
        <f>DA32/DA41</f>
        <v>0.55839155853415179</v>
      </c>
      <c r="DB37" s="73">
        <f>DB32/DB41</f>
        <v>1.0642541672602934</v>
      </c>
      <c r="DC37" s="95">
        <f>DC32/DC41</f>
        <v>3.6491854815661631</v>
      </c>
      <c r="DD37" s="73"/>
      <c r="DE37" s="85">
        <f>DE32/DE41</f>
        <v>0.71716026640215336</v>
      </c>
      <c r="DF37" s="73">
        <f>DF32/DF41</f>
        <v>0.79004819960306238</v>
      </c>
      <c r="DG37" s="73">
        <f>DG32/DG41</f>
        <v>0.81079931972789099</v>
      </c>
      <c r="DH37" s="73">
        <f>DH32/DH41</f>
        <v>1.2105709440361785</v>
      </c>
      <c r="DI37" s="95">
        <f>DI32/DI41</f>
        <v>3.52938677241184</v>
      </c>
      <c r="DJ37" s="73"/>
      <c r="DK37" s="85">
        <f>DK32/DK41</f>
        <v>0.7985905567300905</v>
      </c>
      <c r="DL37" s="73">
        <f>DL32/DL41</f>
        <v>0.91061388710648472</v>
      </c>
      <c r="DM37" s="73">
        <f>DM32/DM41</f>
        <v>0.90153661906615135</v>
      </c>
      <c r="DN37" s="73">
        <f>DN32/DN41</f>
        <v>1.1731084781719616</v>
      </c>
      <c r="DO37" s="95">
        <f>DO32/DO41</f>
        <v>3.7865811826633538</v>
      </c>
      <c r="DP37" s="73"/>
      <c r="DQ37" s="85">
        <f>DQ32/DQ41</f>
        <v>0.89857721269419577</v>
      </c>
      <c r="DR37" s="73">
        <f>DR32/DR41</f>
        <v>1.0163369785590668</v>
      </c>
      <c r="DS37" s="73">
        <f>DS32/DS41</f>
        <v>0.99138232252885561</v>
      </c>
      <c r="DT37" s="73">
        <f>DT32/DT41</f>
        <v>1.2676680126986897</v>
      </c>
      <c r="DU37" s="95">
        <f>DU32/DU41</f>
        <v>4.1756164614306917</v>
      </c>
      <c r="DV37" s="73"/>
      <c r="DW37" s="85">
        <f t="shared" ref="DW37:EA37" si="142">DW32/DW41</f>
        <v>0.99579002709984177</v>
      </c>
      <c r="DX37" s="73">
        <f t="shared" si="142"/>
        <v>1.1161264088507812</v>
      </c>
      <c r="DY37" s="73">
        <f t="shared" si="142"/>
        <v>1.0897756395113172</v>
      </c>
      <c r="DZ37" s="73">
        <f t="shared" si="142"/>
        <v>1.5736250567542163</v>
      </c>
      <c r="EA37" s="95">
        <f t="shared" si="142"/>
        <v>4.7778913196754926</v>
      </c>
      <c r="EB37" s="73"/>
      <c r="EC37" s="85">
        <f t="shared" ref="EC37:EG37" si="143">EC32/EC41</f>
        <v>1.3151686242215941</v>
      </c>
      <c r="ED37" s="73">
        <f t="shared" si="143"/>
        <v>1.4614511007931204</v>
      </c>
      <c r="EE37" s="73">
        <f t="shared" si="143"/>
        <v>1.4602279382356944</v>
      </c>
      <c r="EF37" s="73">
        <f t="shared" si="143"/>
        <v>1.7596802928428263</v>
      </c>
      <c r="EG37" s="95">
        <f t="shared" si="143"/>
        <v>5.9985129798337686</v>
      </c>
      <c r="EH37" s="17"/>
    </row>
    <row r="38" spans="1:140" ht="11.25" customHeight="1" x14ac:dyDescent="0.2">
      <c r="A38" s="51" t="s">
        <v>147</v>
      </c>
      <c r="B38" s="17"/>
      <c r="C38" s="17"/>
      <c r="D38" s="17"/>
      <c r="E38" s="95"/>
      <c r="F38" s="73"/>
      <c r="G38" s="95"/>
      <c r="H38" s="73"/>
      <c r="I38" s="95"/>
      <c r="J38" s="73"/>
      <c r="K38" s="95"/>
      <c r="L38" s="73"/>
      <c r="M38" s="85"/>
      <c r="N38" s="73"/>
      <c r="O38" s="73"/>
      <c r="P38" s="73"/>
      <c r="Q38" s="95"/>
      <c r="R38" s="73"/>
      <c r="S38" s="85"/>
      <c r="T38" s="73"/>
      <c r="U38" s="73"/>
      <c r="V38" s="73"/>
      <c r="W38" s="95"/>
      <c r="X38" s="73"/>
      <c r="Y38" s="85"/>
      <c r="Z38" s="73"/>
      <c r="AA38" s="73"/>
      <c r="AB38" s="73"/>
      <c r="AC38" s="95"/>
      <c r="AD38" s="73"/>
      <c r="AE38" s="85"/>
      <c r="AF38" s="73"/>
      <c r="AG38" s="73"/>
      <c r="AH38" s="73"/>
      <c r="AI38" s="95"/>
      <c r="AJ38" s="73"/>
      <c r="AK38" s="85"/>
      <c r="AL38" s="73"/>
      <c r="AM38" s="73"/>
      <c r="AN38" s="73"/>
      <c r="AO38" s="95"/>
      <c r="AP38" s="73"/>
      <c r="AQ38" s="85"/>
      <c r="AR38" s="73"/>
      <c r="AS38" s="73"/>
      <c r="AT38" s="73"/>
      <c r="AU38" s="95"/>
      <c r="AV38" s="73"/>
      <c r="AW38" s="85"/>
      <c r="AX38" s="73"/>
      <c r="AY38" s="73"/>
      <c r="AZ38" s="73"/>
      <c r="BA38" s="95"/>
      <c r="BB38" s="73"/>
      <c r="BC38" s="85"/>
      <c r="BD38" s="73"/>
      <c r="BE38" s="73"/>
      <c r="BF38" s="73"/>
      <c r="BG38" s="95"/>
      <c r="BH38" s="73"/>
      <c r="BI38" s="85"/>
      <c r="BJ38" s="73"/>
      <c r="BK38" s="73"/>
      <c r="BL38" s="73"/>
      <c r="BM38" s="95"/>
      <c r="BN38" s="73"/>
      <c r="BO38" s="85"/>
      <c r="BP38" s="73"/>
      <c r="BQ38" s="73"/>
      <c r="BR38" s="73"/>
      <c r="BS38" s="95"/>
      <c r="BT38" s="73"/>
      <c r="BU38" s="85"/>
      <c r="BV38" s="73"/>
      <c r="BW38" s="73"/>
      <c r="BX38" s="73"/>
      <c r="BY38" s="95"/>
      <c r="BZ38" s="73"/>
      <c r="CA38" s="85"/>
      <c r="CB38" s="73"/>
      <c r="CC38" s="73"/>
      <c r="CD38" s="73"/>
      <c r="CE38" s="95">
        <f>CE32/CE39</f>
        <v>3.4420143884892083</v>
      </c>
      <c r="CF38" s="73"/>
      <c r="CG38" s="85"/>
      <c r="CH38" s="73"/>
      <c r="CI38" s="73"/>
      <c r="CJ38" s="73"/>
      <c r="CK38" s="95">
        <f>CK32/CK39</f>
        <v>3.8721283282302781</v>
      </c>
      <c r="CL38" s="73"/>
      <c r="CM38" s="85"/>
      <c r="CN38" s="73"/>
      <c r="CO38" s="73"/>
      <c r="CP38" s="73"/>
      <c r="CQ38" s="95">
        <f>CQ32/CQ39</f>
        <v>3.7003702648817991</v>
      </c>
      <c r="CR38" s="73"/>
      <c r="CS38" s="85">
        <f>CS32/CS39</f>
        <v>0.80571266968325794</v>
      </c>
      <c r="CT38" s="73">
        <f>CT32/CT39</f>
        <v>0.9804087385482736</v>
      </c>
      <c r="CU38" s="73">
        <f>CU32/CU39</f>
        <v>2.03834422657952</v>
      </c>
      <c r="CV38" s="73">
        <f>CV32/CV39</f>
        <v>1.0017457084666859</v>
      </c>
      <c r="CW38" s="95">
        <f>CW32/CW39</f>
        <v>4.8093396361552792</v>
      </c>
      <c r="CX38" s="73"/>
      <c r="CY38" s="85">
        <f>CY32/CY39</f>
        <v>1.1013650885855364</v>
      </c>
      <c r="CZ38" s="73">
        <f>CZ32/CZ39</f>
        <v>0.9504993486756399</v>
      </c>
      <c r="DA38" s="73">
        <f>DA32/DA39</f>
        <v>0.56573244726957606</v>
      </c>
      <c r="DB38" s="73">
        <f>DB32/DB39</f>
        <v>1.0779220779220779</v>
      </c>
      <c r="DC38" s="95">
        <f>DC32/DC39</f>
        <v>3.6945891203703711</v>
      </c>
      <c r="DD38" s="73"/>
      <c r="DE38" s="85">
        <f>DE32/DE39</f>
        <v>0.72893561860867007</v>
      </c>
      <c r="DF38" s="73">
        <f>DF32/DF39</f>
        <v>0.80140926085706099</v>
      </c>
      <c r="DG38" s="73">
        <f>DG32/DG39</f>
        <v>0.82174662453317993</v>
      </c>
      <c r="DH38" s="73">
        <f>DH32/DH39</f>
        <v>1.2286288009179573</v>
      </c>
      <c r="DI38" s="95">
        <f>DI32/DI39</f>
        <v>3.5816326530612255</v>
      </c>
      <c r="DJ38" s="73"/>
      <c r="DK38" s="85">
        <f>DK32/DK39</f>
        <v>0.81105067277411858</v>
      </c>
      <c r="DL38" s="73">
        <f>DL32/DL39</f>
        <v>0.92479547214643421</v>
      </c>
      <c r="DM38" s="73">
        <f>DM32/DM39</f>
        <v>0.91553284346128172</v>
      </c>
      <c r="DN38" s="73">
        <f>DN32/DN39</f>
        <v>1.1912639267195613</v>
      </c>
      <c r="DO38" s="95">
        <f>DO32/DO39</f>
        <v>3.8454595491270207</v>
      </c>
      <c r="DP38" s="73"/>
      <c r="DQ38" s="85">
        <f>DQ32/DQ39</f>
        <v>0.91244061201247839</v>
      </c>
      <c r="DR38" s="73">
        <f>DR32/DR39</f>
        <v>1.0319685195020523</v>
      </c>
      <c r="DS38" s="73">
        <f>DS32/DS39</f>
        <v>1.006582867353113</v>
      </c>
      <c r="DT38" s="73">
        <f>DT32/DT39</f>
        <v>1.2870447920261554</v>
      </c>
      <c r="DU38" s="95">
        <f>DU32/DU39</f>
        <v>4.239739058541983</v>
      </c>
      <c r="DV38" s="73"/>
      <c r="DW38" s="85">
        <f t="shared" ref="DW38:EA38" si="144">DW32/DW39</f>
        <v>1.010964235537404</v>
      </c>
      <c r="DX38" s="73">
        <f t="shared" si="144"/>
        <v>1.1330821968040543</v>
      </c>
      <c r="DY38" s="73">
        <f t="shared" si="144"/>
        <v>1.1062805088605923</v>
      </c>
      <c r="DZ38" s="73">
        <f t="shared" si="144"/>
        <v>1.5973852910229804</v>
      </c>
      <c r="EA38" s="95">
        <f t="shared" si="144"/>
        <v>4.8503642049864624</v>
      </c>
      <c r="EB38" s="73"/>
      <c r="EC38" s="85">
        <f t="shared" ref="EC38:EG38" si="145">EC32/EC39</f>
        <v>1.3349660803796044</v>
      </c>
      <c r="ED38" s="73">
        <f t="shared" si="145"/>
        <v>1.4833839343311142</v>
      </c>
      <c r="EE38" s="73">
        <f t="shared" si="145"/>
        <v>1.4820762354584383</v>
      </c>
      <c r="EF38" s="73">
        <f t="shared" si="145"/>
        <v>1.7859298004273163</v>
      </c>
      <c r="EG38" s="95">
        <f t="shared" si="145"/>
        <v>6.0883999628969905</v>
      </c>
      <c r="EH38" s="17"/>
    </row>
    <row r="39" spans="1:140" ht="11.25" customHeight="1" x14ac:dyDescent="0.2">
      <c r="A39" s="51" t="s">
        <v>148</v>
      </c>
      <c r="B39" s="8"/>
      <c r="C39" s="8"/>
      <c r="D39" s="8"/>
      <c r="E39" s="92"/>
      <c r="F39" s="71"/>
      <c r="G39" s="92"/>
      <c r="H39" s="71"/>
      <c r="I39" s="92"/>
      <c r="J39" s="71"/>
      <c r="K39" s="92"/>
      <c r="L39" s="67"/>
      <c r="M39" s="84"/>
      <c r="N39" s="71"/>
      <c r="O39" s="71"/>
      <c r="P39" s="71"/>
      <c r="Q39" s="92"/>
      <c r="R39" s="67"/>
      <c r="S39" s="84"/>
      <c r="T39" s="71"/>
      <c r="U39" s="71"/>
      <c r="V39" s="71"/>
      <c r="W39" s="92"/>
      <c r="X39" s="67"/>
      <c r="Y39" s="84"/>
      <c r="Z39" s="71"/>
      <c r="AA39" s="71"/>
      <c r="AB39" s="71"/>
      <c r="AC39" s="92"/>
      <c r="AD39" s="67"/>
      <c r="AE39" s="84"/>
      <c r="AF39" s="71"/>
      <c r="AG39" s="71"/>
      <c r="AH39" s="71"/>
      <c r="AI39" s="92"/>
      <c r="AJ39" s="67"/>
      <c r="AK39" s="84"/>
      <c r="AL39" s="71"/>
      <c r="AM39" s="71"/>
      <c r="AN39" s="71"/>
      <c r="AO39" s="92"/>
      <c r="AP39" s="67"/>
      <c r="AQ39" s="84"/>
      <c r="AR39" s="71"/>
      <c r="AS39" s="71"/>
      <c r="AT39" s="71"/>
      <c r="AU39" s="92"/>
      <c r="AV39" s="67"/>
      <c r="AW39" s="84"/>
      <c r="AX39" s="71"/>
      <c r="AY39" s="71"/>
      <c r="AZ39" s="71"/>
      <c r="BA39" s="92"/>
      <c r="BB39" s="67"/>
      <c r="BC39" s="84"/>
      <c r="BD39" s="71"/>
      <c r="BE39" s="71"/>
      <c r="BF39" s="71"/>
      <c r="BG39" s="92"/>
      <c r="BH39" s="67"/>
      <c r="BI39" s="84"/>
      <c r="BJ39" s="71"/>
      <c r="BK39" s="71"/>
      <c r="BL39" s="71"/>
      <c r="BM39" s="92"/>
      <c r="BN39" s="67"/>
      <c r="BO39" s="84"/>
      <c r="BP39" s="71"/>
      <c r="BQ39" s="71"/>
      <c r="BR39" s="71"/>
      <c r="BS39" s="92"/>
      <c r="BT39" s="67"/>
      <c r="BU39" s="84"/>
      <c r="BV39" s="71"/>
      <c r="BW39" s="71"/>
      <c r="BX39" s="71"/>
      <c r="BY39" s="92"/>
      <c r="BZ39" s="67"/>
      <c r="CA39" s="84"/>
      <c r="CB39" s="71"/>
      <c r="CC39" s="71"/>
      <c r="CD39" s="71"/>
      <c r="CE39" s="92">
        <v>695</v>
      </c>
      <c r="CF39" s="67"/>
      <c r="CG39" s="84"/>
      <c r="CH39" s="71"/>
      <c r="CI39" s="71"/>
      <c r="CJ39" s="71"/>
      <c r="CK39" s="92">
        <v>696</v>
      </c>
      <c r="CL39" s="67"/>
      <c r="CM39" s="84"/>
      <c r="CN39" s="71"/>
      <c r="CO39" s="71"/>
      <c r="CP39" s="71"/>
      <c r="CQ39" s="92">
        <v>702.2</v>
      </c>
      <c r="CR39" s="67"/>
      <c r="CS39" s="84">
        <v>707.2</v>
      </c>
      <c r="CT39" s="71">
        <v>709.5</v>
      </c>
      <c r="CU39" s="71">
        <v>688.5</v>
      </c>
      <c r="CV39" s="71">
        <v>687.4</v>
      </c>
      <c r="CW39" s="92">
        <v>698.1</v>
      </c>
      <c r="CX39" s="67"/>
      <c r="CY39" s="84">
        <v>688.6</v>
      </c>
      <c r="CZ39" s="71">
        <v>690.9</v>
      </c>
      <c r="DA39" s="71">
        <v>692.2</v>
      </c>
      <c r="DB39" s="71">
        <v>693</v>
      </c>
      <c r="DC39" s="92">
        <v>691.2</v>
      </c>
      <c r="DD39" s="67"/>
      <c r="DE39" s="84">
        <v>694.3</v>
      </c>
      <c r="DF39" s="71">
        <v>695.4</v>
      </c>
      <c r="DG39" s="71">
        <v>696.2</v>
      </c>
      <c r="DH39" s="71">
        <v>697.2</v>
      </c>
      <c r="DI39" s="92">
        <v>695.8</v>
      </c>
      <c r="DJ39" s="67"/>
      <c r="DK39" s="84">
        <v>698.6</v>
      </c>
      <c r="DL39" s="67">
        <f>AVERAGE(CF!DL103,CF!DK103)</f>
        <v>699.90000000000009</v>
      </c>
      <c r="DM39" s="67">
        <f>AVERAGE(CF!DM103,CF!DL103)</f>
        <v>702.10000000000014</v>
      </c>
      <c r="DN39" s="67">
        <f>AVERAGE(CF!DN103,CF!DM103)</f>
        <v>704.30000000000018</v>
      </c>
      <c r="DO39" s="99">
        <f>+AVERAGE(CF!DO101,CF!DO99)</f>
        <v>701</v>
      </c>
      <c r="DP39" s="67"/>
      <c r="DQ39" s="82">
        <f>AVERAGE(CF!DQ103,CF!DO103)</f>
        <v>706.5</v>
      </c>
      <c r="DR39" s="67">
        <f>AVERAGE(CF!DR103,CF!DQ103)</f>
        <v>708.7</v>
      </c>
      <c r="DS39" s="67">
        <f>AVERAGE(CF!DS103,CF!DR103)</f>
        <v>710.90000000000009</v>
      </c>
      <c r="DT39" s="67">
        <f>AVERAGE(CF!DT103,CF!DS103)</f>
        <v>713.10000000000014</v>
      </c>
      <c r="DU39" s="99">
        <f>+AVERAGE(CF!DU101,CF!DU99)</f>
        <v>709.80000000000018</v>
      </c>
      <c r="DV39" s="67"/>
      <c r="DW39" s="82">
        <f>AVERAGE(CF!DW103,CF!DU103)</f>
        <v>715.30000000000018</v>
      </c>
      <c r="DX39" s="67">
        <f>AVERAGE(CF!DX103,CF!DW103)</f>
        <v>717.50000000000023</v>
      </c>
      <c r="DY39" s="67">
        <f>AVERAGE(CF!DY103,CF!DX103)</f>
        <v>719.70000000000027</v>
      </c>
      <c r="DZ39" s="67">
        <f>AVERAGE(CF!DZ103,CF!DY103)</f>
        <v>721.90000000000032</v>
      </c>
      <c r="EA39" s="99">
        <f>+AVERAGE(CF!EA101,CF!EA99)</f>
        <v>718.60000000000014</v>
      </c>
      <c r="EB39" s="67"/>
      <c r="EC39" s="82">
        <f>AVERAGE(CF!EC103,CF!EA103)</f>
        <v>724.10000000000014</v>
      </c>
      <c r="ED39" s="67">
        <f>AVERAGE(CF!ED103,CF!EC103)</f>
        <v>726.30000000000018</v>
      </c>
      <c r="EE39" s="67">
        <f>AVERAGE(CF!EE103,CF!ED103)</f>
        <v>728.50000000000023</v>
      </c>
      <c r="EF39" s="67">
        <f>AVERAGE(CF!EF103,CF!EE103)</f>
        <v>730.70000000000027</v>
      </c>
      <c r="EG39" s="99">
        <f>+AVERAGE(CF!EG101,CF!EG99)</f>
        <v>727.40000000000032</v>
      </c>
      <c r="EH39" s="61"/>
    </row>
    <row r="40" spans="1:140" ht="11.25" customHeight="1" x14ac:dyDescent="0.2">
      <c r="A40" s="51" t="s">
        <v>149</v>
      </c>
      <c r="B40" s="8"/>
      <c r="C40" s="8"/>
      <c r="D40" s="8"/>
      <c r="E40" s="93"/>
      <c r="F40" s="67"/>
      <c r="G40" s="93"/>
      <c r="H40" s="67"/>
      <c r="I40" s="93"/>
      <c r="J40" s="67"/>
      <c r="K40" s="93"/>
      <c r="L40" s="67"/>
      <c r="M40" s="82"/>
      <c r="N40" s="67"/>
      <c r="O40" s="67"/>
      <c r="P40" s="67"/>
      <c r="Q40" s="93"/>
      <c r="R40" s="67"/>
      <c r="S40" s="82"/>
      <c r="T40" s="67"/>
      <c r="U40" s="67"/>
      <c r="V40" s="67"/>
      <c r="W40" s="93"/>
      <c r="X40" s="67"/>
      <c r="Y40" s="82"/>
      <c r="Z40" s="67"/>
      <c r="AA40" s="67"/>
      <c r="AB40" s="67"/>
      <c r="AC40" s="93"/>
      <c r="AD40" s="67"/>
      <c r="AE40" s="82"/>
      <c r="AF40" s="67"/>
      <c r="AG40" s="67"/>
      <c r="AH40" s="67"/>
      <c r="AI40" s="93"/>
      <c r="AJ40" s="67"/>
      <c r="AK40" s="82"/>
      <c r="AL40" s="67"/>
      <c r="AM40" s="67"/>
      <c r="AN40" s="67"/>
      <c r="AO40" s="93"/>
      <c r="AP40" s="67"/>
      <c r="AQ40" s="82"/>
      <c r="AR40" s="67"/>
      <c r="AS40" s="67"/>
      <c r="AT40" s="67"/>
      <c r="AU40" s="93"/>
      <c r="AV40" s="67"/>
      <c r="AW40" s="82"/>
      <c r="AX40" s="67"/>
      <c r="AY40" s="67"/>
      <c r="AZ40" s="67"/>
      <c r="BA40" s="93"/>
      <c r="BB40" s="67"/>
      <c r="BC40" s="82"/>
      <c r="BD40" s="67"/>
      <c r="BE40" s="67"/>
      <c r="BF40" s="67"/>
      <c r="BG40" s="93"/>
      <c r="BH40" s="67"/>
      <c r="BI40" s="82"/>
      <c r="BJ40" s="67"/>
      <c r="BK40" s="67"/>
      <c r="BL40" s="67"/>
      <c r="BM40" s="93"/>
      <c r="BN40" s="67"/>
      <c r="BO40" s="82"/>
      <c r="BP40" s="67"/>
      <c r="BQ40" s="67"/>
      <c r="BR40" s="67"/>
      <c r="BS40" s="93"/>
      <c r="BT40" s="67"/>
      <c r="BU40" s="82"/>
      <c r="BV40" s="67"/>
      <c r="BW40" s="67"/>
      <c r="BX40" s="67"/>
      <c r="BY40" s="93"/>
      <c r="BZ40" s="67"/>
      <c r="CA40" s="82"/>
      <c r="CB40" s="67"/>
      <c r="CC40" s="67"/>
      <c r="CD40" s="67"/>
      <c r="CE40" s="93">
        <f>CE41-CE39</f>
        <v>15</v>
      </c>
      <c r="CF40" s="67"/>
      <c r="CG40" s="82"/>
      <c r="CH40" s="67"/>
      <c r="CI40" s="67"/>
      <c r="CJ40" s="67"/>
      <c r="CK40" s="93">
        <f>CK41-CK39</f>
        <v>15</v>
      </c>
      <c r="CL40" s="67"/>
      <c r="CM40" s="82"/>
      <c r="CN40" s="67"/>
      <c r="CO40" s="67"/>
      <c r="CP40" s="67"/>
      <c r="CQ40" s="93">
        <f>CQ41-CQ39</f>
        <v>13.899999999999977</v>
      </c>
      <c r="CR40" s="67"/>
      <c r="CS40" s="82">
        <f>CS41-CS39</f>
        <v>11.5</v>
      </c>
      <c r="CT40" s="67">
        <f>CT41-CT39</f>
        <v>10.100000000000023</v>
      </c>
      <c r="CU40" s="67">
        <f>CU41-CU39</f>
        <v>10.200000000000045</v>
      </c>
      <c r="CV40" s="67">
        <f>CV41-CV39</f>
        <v>9.7000000000000455</v>
      </c>
      <c r="CW40" s="93">
        <f>CW41-CW39</f>
        <v>10.399999999999977</v>
      </c>
      <c r="CX40" s="67"/>
      <c r="CY40" s="82">
        <f>CY41-CY39</f>
        <v>8.5</v>
      </c>
      <c r="CZ40" s="67">
        <f>CZ41-CZ39</f>
        <v>8</v>
      </c>
      <c r="DA40" s="67">
        <f>DA41-DA39</f>
        <v>9.0999999999999091</v>
      </c>
      <c r="DB40" s="67">
        <f>DB41-DB39</f>
        <v>8.8999999999999773</v>
      </c>
      <c r="DC40" s="93">
        <f>DC41-DC39</f>
        <v>8.5999999999999091</v>
      </c>
      <c r="DD40" s="67"/>
      <c r="DE40" s="82">
        <f>DE41-DE39</f>
        <v>11.400000000000091</v>
      </c>
      <c r="DF40" s="67">
        <f>DF41-DF39</f>
        <v>10</v>
      </c>
      <c r="DG40" s="67">
        <f>DG41-DG39</f>
        <v>9.3999999999999773</v>
      </c>
      <c r="DH40" s="67">
        <f>DH41-DH39</f>
        <v>10.399999999999977</v>
      </c>
      <c r="DI40" s="93">
        <f>DI41-DI39</f>
        <v>10.300000000000068</v>
      </c>
      <c r="DJ40" s="67"/>
      <c r="DK40" s="82">
        <f>DK41-DK39</f>
        <v>10.899999999999977</v>
      </c>
      <c r="DL40" s="67">
        <f>DL41-DL39</f>
        <v>10.899999999999977</v>
      </c>
      <c r="DM40" s="67">
        <f>DM41-DM39</f>
        <v>10.899999999999977</v>
      </c>
      <c r="DN40" s="67">
        <f>DN41-DN39</f>
        <v>10.899999999999977</v>
      </c>
      <c r="DO40" s="99">
        <f>AVERAGE(DK40:DN40)</f>
        <v>10.899999999999977</v>
      </c>
      <c r="DP40" s="67"/>
      <c r="DQ40" s="82">
        <f>DQ41-DQ39</f>
        <v>10.899999999999977</v>
      </c>
      <c r="DR40" s="67">
        <f>DR41-DR39</f>
        <v>10.899999999999977</v>
      </c>
      <c r="DS40" s="67">
        <f>DS41-DS39</f>
        <v>10.899999999999977</v>
      </c>
      <c r="DT40" s="67">
        <f>DT41-DT39</f>
        <v>10.899999999999977</v>
      </c>
      <c r="DU40" s="99">
        <f>AVERAGE(DQ40:DT40)</f>
        <v>10.899999999999977</v>
      </c>
      <c r="DV40" s="67"/>
      <c r="DW40" s="82">
        <f t="shared" ref="DW40:DZ40" si="146">DW41-DW39</f>
        <v>10.899999999999977</v>
      </c>
      <c r="DX40" s="67">
        <f t="shared" si="146"/>
        <v>10.899999999999977</v>
      </c>
      <c r="DY40" s="67">
        <f t="shared" si="146"/>
        <v>10.899999999999977</v>
      </c>
      <c r="DZ40" s="67">
        <f t="shared" si="146"/>
        <v>10.899999999999977</v>
      </c>
      <c r="EA40" s="99">
        <f t="shared" ref="EA40" si="147">AVERAGE(DW40:DZ40)</f>
        <v>10.899999999999977</v>
      </c>
      <c r="EB40" s="67"/>
      <c r="EC40" s="82">
        <f t="shared" ref="EC40:EF40" si="148">EC41-EC39</f>
        <v>10.899999999999977</v>
      </c>
      <c r="ED40" s="67">
        <f t="shared" si="148"/>
        <v>10.899999999999977</v>
      </c>
      <c r="EE40" s="67">
        <f t="shared" si="148"/>
        <v>10.899999999999977</v>
      </c>
      <c r="EF40" s="67">
        <f t="shared" si="148"/>
        <v>10.899999999999977</v>
      </c>
      <c r="EG40" s="99">
        <f t="shared" ref="EG40" si="149">AVERAGE(EC40:EF40)</f>
        <v>10.899999999999977</v>
      </c>
      <c r="EH40" s="61"/>
    </row>
    <row r="41" spans="1:140" ht="11.25" customHeight="1" x14ac:dyDescent="0.2">
      <c r="A41" s="105" t="s">
        <v>87</v>
      </c>
      <c r="B41" s="8"/>
      <c r="C41" s="8"/>
      <c r="D41" s="8"/>
      <c r="E41" s="245"/>
      <c r="F41" s="71"/>
      <c r="G41" s="245"/>
      <c r="H41" s="71"/>
      <c r="I41" s="245"/>
      <c r="J41" s="71"/>
      <c r="K41" s="245"/>
      <c r="L41" s="67"/>
      <c r="M41" s="246"/>
      <c r="N41" s="222"/>
      <c r="O41" s="222"/>
      <c r="P41" s="222"/>
      <c r="Q41" s="245"/>
      <c r="R41" s="67"/>
      <c r="S41" s="246"/>
      <c r="T41" s="222"/>
      <c r="U41" s="222"/>
      <c r="V41" s="222"/>
      <c r="W41" s="245"/>
      <c r="X41" s="67"/>
      <c r="Y41" s="246"/>
      <c r="Z41" s="222"/>
      <c r="AA41" s="222"/>
      <c r="AB41" s="222"/>
      <c r="AC41" s="245"/>
      <c r="AD41" s="67"/>
      <c r="AE41" s="246"/>
      <c r="AF41" s="222"/>
      <c r="AG41" s="222"/>
      <c r="AH41" s="222"/>
      <c r="AI41" s="245"/>
      <c r="AJ41" s="67"/>
      <c r="AK41" s="246"/>
      <c r="AL41" s="222"/>
      <c r="AM41" s="222"/>
      <c r="AN41" s="222"/>
      <c r="AO41" s="245"/>
      <c r="AP41" s="67"/>
      <c r="AQ41" s="246"/>
      <c r="AR41" s="222"/>
      <c r="AS41" s="222"/>
      <c r="AT41" s="222"/>
      <c r="AU41" s="245"/>
      <c r="AV41" s="67"/>
      <c r="AW41" s="246"/>
      <c r="AX41" s="222"/>
      <c r="AY41" s="222"/>
      <c r="AZ41" s="222"/>
      <c r="BA41" s="245"/>
      <c r="BB41" s="67"/>
      <c r="BC41" s="246"/>
      <c r="BD41" s="222"/>
      <c r="BE41" s="222"/>
      <c r="BF41" s="222"/>
      <c r="BG41" s="245"/>
      <c r="BH41" s="67"/>
      <c r="BI41" s="246"/>
      <c r="BJ41" s="222"/>
      <c r="BK41" s="222"/>
      <c r="BL41" s="222"/>
      <c r="BM41" s="245"/>
      <c r="BN41" s="67"/>
      <c r="BO41" s="246"/>
      <c r="BP41" s="222"/>
      <c r="BQ41" s="222"/>
      <c r="BR41" s="222"/>
      <c r="BS41" s="245"/>
      <c r="BT41" s="67"/>
      <c r="BU41" s="246"/>
      <c r="BV41" s="222"/>
      <c r="BW41" s="222"/>
      <c r="BX41" s="222"/>
      <c r="BY41" s="245"/>
      <c r="BZ41" s="67"/>
      <c r="CA41" s="246"/>
      <c r="CB41" s="222"/>
      <c r="CC41" s="222"/>
      <c r="CD41" s="222"/>
      <c r="CE41" s="245">
        <v>710</v>
      </c>
      <c r="CF41" s="67"/>
      <c r="CG41" s="246"/>
      <c r="CH41" s="222"/>
      <c r="CI41" s="222"/>
      <c r="CJ41" s="222"/>
      <c r="CK41" s="245">
        <v>711</v>
      </c>
      <c r="CL41" s="67"/>
      <c r="CM41" s="246"/>
      <c r="CN41" s="222"/>
      <c r="CO41" s="222"/>
      <c r="CP41" s="222"/>
      <c r="CQ41" s="245">
        <v>716.1</v>
      </c>
      <c r="CR41" s="67"/>
      <c r="CS41" s="246">
        <v>718.7</v>
      </c>
      <c r="CT41" s="222">
        <v>719.6</v>
      </c>
      <c r="CU41" s="222">
        <v>698.7</v>
      </c>
      <c r="CV41" s="222">
        <v>697.1</v>
      </c>
      <c r="CW41" s="245">
        <v>708.5</v>
      </c>
      <c r="CX41" s="67"/>
      <c r="CY41" s="246">
        <v>697.1</v>
      </c>
      <c r="CZ41" s="222">
        <v>698.9</v>
      </c>
      <c r="DA41" s="222">
        <v>701.3</v>
      </c>
      <c r="DB41" s="222">
        <v>701.9</v>
      </c>
      <c r="DC41" s="245">
        <v>699.8</v>
      </c>
      <c r="DD41" s="67"/>
      <c r="DE41" s="1070">
        <v>705.7</v>
      </c>
      <c r="DF41" s="1136">
        <v>705.4</v>
      </c>
      <c r="DG41" s="222">
        <v>705.6</v>
      </c>
      <c r="DH41" s="222">
        <v>707.6</v>
      </c>
      <c r="DI41" s="245">
        <v>706.1</v>
      </c>
      <c r="DJ41" s="67"/>
      <c r="DK41" s="1070">
        <v>709.5</v>
      </c>
      <c r="DL41" s="87">
        <f>DK41-DK39+DL39</f>
        <v>710.80000000000007</v>
      </c>
      <c r="DM41" s="87">
        <f>DL41-DL39+DM39</f>
        <v>713.00000000000011</v>
      </c>
      <c r="DN41" s="87">
        <f>DM41-DM39+DN39</f>
        <v>715.20000000000016</v>
      </c>
      <c r="DO41" s="100">
        <f>SUM(DO39:DO40)</f>
        <v>711.9</v>
      </c>
      <c r="DP41" s="67"/>
      <c r="DQ41" s="86">
        <f>DN41-DN39+DQ39</f>
        <v>717.4</v>
      </c>
      <c r="DR41" s="87">
        <f>DQ41-DQ39+DR39</f>
        <v>719.6</v>
      </c>
      <c r="DS41" s="87">
        <f>DR41-DR39+DS39</f>
        <v>721.80000000000007</v>
      </c>
      <c r="DT41" s="87">
        <f>DS41-DS39+DT39</f>
        <v>724.00000000000011</v>
      </c>
      <c r="DU41" s="100">
        <f>SUM(DU39:DU40)</f>
        <v>720.70000000000016</v>
      </c>
      <c r="DV41" s="67"/>
      <c r="DW41" s="86">
        <f t="shared" ref="DW41" si="150">DT41-DT39+DW39</f>
        <v>726.20000000000016</v>
      </c>
      <c r="DX41" s="87">
        <f t="shared" ref="DX41:DZ41" si="151">DW41-DW39+DX39</f>
        <v>728.4000000000002</v>
      </c>
      <c r="DY41" s="87">
        <f t="shared" si="151"/>
        <v>730.60000000000025</v>
      </c>
      <c r="DZ41" s="87">
        <f t="shared" si="151"/>
        <v>732.8000000000003</v>
      </c>
      <c r="EA41" s="100">
        <f t="shared" ref="EA41" si="152">SUM(EA39:EA40)</f>
        <v>729.50000000000011</v>
      </c>
      <c r="EB41" s="67"/>
      <c r="EC41" s="86">
        <f t="shared" ref="EC41" si="153">DZ41-DZ39+EC39</f>
        <v>735.00000000000011</v>
      </c>
      <c r="ED41" s="87">
        <f t="shared" ref="ED41" si="154">EC41-EC39+ED39</f>
        <v>737.20000000000016</v>
      </c>
      <c r="EE41" s="87">
        <f t="shared" ref="EE41" si="155">ED41-ED39+EE39</f>
        <v>739.4000000000002</v>
      </c>
      <c r="EF41" s="87">
        <f t="shared" ref="EF41" si="156">EE41-EE39+EF39</f>
        <v>741.60000000000025</v>
      </c>
      <c r="EG41" s="100">
        <f t="shared" ref="EG41" si="157">SUM(EG39:EG40)</f>
        <v>738.3000000000003</v>
      </c>
      <c r="EH41" s="61"/>
    </row>
    <row r="42" spans="1:140" ht="11.25" hidden="1" customHeight="1" outlineLevel="1" x14ac:dyDescent="0.2">
      <c r="A42" s="2"/>
      <c r="B42" s="8"/>
      <c r="C42" s="8"/>
      <c r="D42" s="8"/>
      <c r="E42" s="71"/>
      <c r="F42" s="71"/>
      <c r="G42" s="71"/>
      <c r="H42" s="71"/>
      <c r="I42" s="71"/>
      <c r="J42" s="71"/>
      <c r="K42" s="71"/>
      <c r="L42" s="67"/>
      <c r="M42" s="71"/>
      <c r="N42" s="71"/>
      <c r="O42" s="71"/>
      <c r="P42" s="71"/>
      <c r="Q42" s="71"/>
      <c r="R42" s="67"/>
      <c r="S42" s="71"/>
      <c r="T42" s="71"/>
      <c r="U42" s="71"/>
      <c r="V42" s="71"/>
      <c r="W42" s="71"/>
      <c r="X42" s="67"/>
      <c r="Y42" s="71"/>
      <c r="Z42" s="71"/>
      <c r="AA42" s="71"/>
      <c r="AB42" s="71"/>
      <c r="AC42" s="71"/>
      <c r="AD42" s="67"/>
      <c r="AE42" s="71"/>
      <c r="AF42" s="71"/>
      <c r="AG42" s="71"/>
      <c r="AH42" s="71"/>
      <c r="AI42" s="71"/>
      <c r="AJ42" s="67"/>
      <c r="AK42" s="71"/>
      <c r="AL42" s="71"/>
      <c r="AM42" s="71"/>
      <c r="AN42" s="71"/>
      <c r="AO42" s="71"/>
      <c r="AP42" s="67"/>
      <c r="AQ42" s="71"/>
      <c r="AR42" s="71"/>
      <c r="AS42" s="71"/>
      <c r="AT42" s="71"/>
      <c r="AU42" s="71"/>
      <c r="AV42" s="67"/>
      <c r="AW42" s="71"/>
      <c r="AX42" s="71"/>
      <c r="AY42" s="71"/>
      <c r="AZ42" s="71"/>
      <c r="BA42" s="71"/>
      <c r="BB42" s="67"/>
      <c r="BC42" s="71"/>
      <c r="BD42" s="71"/>
      <c r="BE42" s="71"/>
      <c r="BF42" s="71"/>
      <c r="BG42" s="71"/>
      <c r="BH42" s="67"/>
      <c r="BI42" s="71"/>
      <c r="BJ42" s="71"/>
      <c r="BK42" s="71"/>
      <c r="BL42" s="71"/>
      <c r="BM42" s="71"/>
      <c r="BN42" s="67"/>
      <c r="BO42" s="71"/>
      <c r="BP42" s="71"/>
      <c r="BQ42" s="71"/>
      <c r="BR42" s="71"/>
      <c r="BS42" s="71"/>
      <c r="BT42" s="67"/>
      <c r="BU42" s="71"/>
      <c r="BV42" s="71"/>
      <c r="BW42" s="71"/>
      <c r="BX42" s="71"/>
      <c r="BY42" s="71"/>
      <c r="BZ42" s="67"/>
      <c r="CA42" s="71"/>
      <c r="CB42" s="71"/>
      <c r="CC42" s="71"/>
      <c r="CD42" s="71"/>
      <c r="CE42" s="71"/>
      <c r="CF42" s="67"/>
      <c r="CG42" s="71"/>
      <c r="CH42" s="71"/>
      <c r="CI42" s="71"/>
      <c r="CJ42" s="71"/>
      <c r="CK42" s="67"/>
      <c r="CL42" s="67"/>
      <c r="CM42" s="71"/>
      <c r="CN42" s="71"/>
      <c r="CO42" s="71"/>
      <c r="CP42" s="71"/>
      <c r="CQ42" s="67"/>
      <c r="CR42" s="67"/>
      <c r="CS42" s="71"/>
      <c r="CT42" s="71"/>
      <c r="CU42" s="71"/>
      <c r="CV42" s="71"/>
      <c r="CW42" s="71"/>
      <c r="CX42" s="67"/>
      <c r="CY42" s="71"/>
      <c r="CZ42" s="71"/>
      <c r="DA42" s="71"/>
      <c r="DB42" s="71"/>
      <c r="DC42" s="71"/>
      <c r="DD42" s="67"/>
      <c r="DE42" s="1048">
        <f>+DE35/$DI$35</f>
        <v>0.21066295851953903</v>
      </c>
      <c r="DF42" s="1048">
        <f>+DF35/$DI$35</f>
        <v>0.24615996808779242</v>
      </c>
      <c r="DG42" s="1048">
        <f>+DG35/$DI$35</f>
        <v>0.24710535376575932</v>
      </c>
      <c r="DH42" s="1048">
        <f>+DH35/$DI$35</f>
        <v>0.29598130450326826</v>
      </c>
      <c r="DI42" s="18"/>
      <c r="DJ42" s="67"/>
      <c r="DK42" s="1048"/>
      <c r="DL42" s="67"/>
      <c r="DM42" s="67"/>
      <c r="DN42" s="67"/>
      <c r="DO42" s="68"/>
      <c r="DP42" s="67"/>
      <c r="DQ42" s="67"/>
      <c r="DR42" s="67"/>
      <c r="DS42" s="67"/>
      <c r="DT42" s="67"/>
      <c r="DU42" s="68"/>
      <c r="DV42" s="67"/>
      <c r="DW42" s="67"/>
      <c r="DX42" s="67"/>
      <c r="DY42" s="67"/>
      <c r="DZ42" s="67"/>
      <c r="EA42" s="68"/>
      <c r="EB42" s="67"/>
      <c r="EC42" s="67"/>
      <c r="ED42" s="67"/>
      <c r="EE42" s="67"/>
      <c r="EF42" s="67"/>
      <c r="EG42" s="68"/>
      <c r="EH42" s="61"/>
    </row>
    <row r="43" spans="1:140" ht="11.25" hidden="1" customHeight="1" outlineLevel="1" x14ac:dyDescent="0.2">
      <c r="A43" s="173" t="s">
        <v>170</v>
      </c>
      <c r="B43" s="8"/>
      <c r="C43" s="8"/>
      <c r="D43" s="8"/>
      <c r="E43" s="338"/>
      <c r="F43" s="338"/>
      <c r="G43" s="338"/>
      <c r="H43" s="338"/>
      <c r="I43" s="338"/>
      <c r="J43" s="338"/>
      <c r="K43" s="338"/>
      <c r="L43" s="338"/>
      <c r="M43" s="338"/>
      <c r="N43" s="338"/>
      <c r="O43" s="338"/>
      <c r="P43" s="338"/>
      <c r="Q43" s="338"/>
      <c r="R43" s="338"/>
      <c r="S43" s="338"/>
      <c r="T43" s="338"/>
      <c r="U43" s="338"/>
      <c r="V43" s="338"/>
      <c r="W43" s="338"/>
      <c r="X43" s="338"/>
      <c r="Y43" s="338"/>
      <c r="Z43" s="338"/>
      <c r="AA43" s="338"/>
      <c r="AB43" s="338"/>
      <c r="AC43" s="338"/>
      <c r="AD43" s="338"/>
      <c r="AE43" s="338"/>
      <c r="AF43" s="338"/>
      <c r="AG43" s="338"/>
      <c r="AH43" s="338"/>
      <c r="AI43" s="338"/>
      <c r="AJ43" s="338"/>
      <c r="AK43" s="338"/>
      <c r="AL43" s="338"/>
      <c r="AM43" s="338"/>
      <c r="AN43" s="338"/>
      <c r="AO43" s="338"/>
      <c r="AP43" s="338"/>
      <c r="AQ43" s="338"/>
      <c r="AR43" s="338"/>
      <c r="AS43" s="338"/>
      <c r="AT43" s="338"/>
      <c r="AU43" s="338"/>
      <c r="AV43" s="338"/>
      <c r="AW43" s="338"/>
      <c r="AX43" s="338"/>
      <c r="AY43" s="338"/>
      <c r="AZ43" s="338"/>
      <c r="BA43" s="338"/>
      <c r="BB43" s="338"/>
      <c r="BC43" s="338"/>
      <c r="BD43" s="338"/>
      <c r="BE43" s="338"/>
      <c r="BF43" s="338"/>
      <c r="BG43" s="338"/>
      <c r="BH43" s="338"/>
      <c r="BI43" s="338"/>
      <c r="BJ43" s="338"/>
      <c r="BK43" s="338"/>
      <c r="BL43" s="338"/>
      <c r="BM43" s="338"/>
      <c r="BN43" s="338"/>
      <c r="BO43" s="338"/>
      <c r="BP43" s="338"/>
      <c r="BQ43" s="338"/>
      <c r="BR43" s="338"/>
      <c r="BS43" s="338"/>
      <c r="BT43" s="338"/>
      <c r="BU43" s="338"/>
      <c r="BV43" s="338"/>
      <c r="BW43" s="338"/>
      <c r="BX43" s="338"/>
      <c r="BY43" s="338"/>
      <c r="BZ43" s="338"/>
      <c r="CA43" s="338"/>
      <c r="CB43" s="338"/>
      <c r="CC43" s="338"/>
      <c r="CD43" s="338"/>
      <c r="CE43" s="338"/>
      <c r="CF43" s="338"/>
      <c r="CG43" s="338"/>
      <c r="CH43" s="338"/>
      <c r="CI43" s="338"/>
      <c r="CJ43" s="338"/>
      <c r="CK43" s="338"/>
      <c r="CL43" s="338"/>
      <c r="CM43" s="338"/>
      <c r="CN43" s="338"/>
      <c r="CO43" s="338"/>
      <c r="CP43" s="338"/>
      <c r="CQ43" s="338"/>
      <c r="CR43" s="338"/>
      <c r="CS43" s="338">
        <f>0.59-CS35</f>
        <v>-1.0617782106581597E-2</v>
      </c>
      <c r="CT43" s="338">
        <f>0.76-CT35</f>
        <v>9.5608671484148644E-4</v>
      </c>
      <c r="CU43" s="338">
        <f>0.71-CU35</f>
        <v>-7.8545870903099502E-3</v>
      </c>
      <c r="CV43" s="338">
        <f>0.91-CV35</f>
        <v>8.2599340123369336E-3</v>
      </c>
      <c r="CW43" s="338">
        <f>2.98-CW35</f>
        <v>4.6436132674654296E-3</v>
      </c>
      <c r="CX43" s="338"/>
      <c r="CY43" s="338">
        <f>0.79-CY35</f>
        <v>-9.0517859704575265E-4</v>
      </c>
      <c r="CZ43" s="338">
        <f>0.9-CZ35</f>
        <v>3.9419087136934872E-3</v>
      </c>
      <c r="DA43" s="338">
        <f>0.87-DA35</f>
        <v>2.1574219306992326E-3</v>
      </c>
      <c r="DB43" s="338">
        <f>1.05-DB35</f>
        <v>3.7982618606640095E-3</v>
      </c>
      <c r="DC43" s="338">
        <f>3.61-DC35</f>
        <v>8.1966276078864198E-3</v>
      </c>
      <c r="DD43" s="338"/>
      <c r="DE43" s="338"/>
      <c r="DF43" s="338"/>
      <c r="DG43" s="338"/>
      <c r="DH43" s="338"/>
      <c r="DI43" s="338"/>
      <c r="DJ43" s="67"/>
      <c r="DK43" s="338"/>
      <c r="DL43" s="338"/>
      <c r="DM43" s="338"/>
      <c r="DN43" s="338"/>
      <c r="DO43" s="338"/>
      <c r="DP43" s="67"/>
      <c r="DQ43" s="338"/>
      <c r="DR43" s="338"/>
      <c r="DS43" s="338"/>
      <c r="DT43" s="338"/>
      <c r="DU43" s="338"/>
      <c r="DV43" s="67"/>
      <c r="DW43" s="338"/>
      <c r="DX43" s="338"/>
      <c r="DY43" s="338"/>
      <c r="DZ43" s="338"/>
      <c r="EA43" s="338"/>
      <c r="EB43" s="67"/>
      <c r="EC43" s="338"/>
      <c r="ED43" s="338"/>
      <c r="EE43" s="338"/>
      <c r="EF43" s="338"/>
      <c r="EG43" s="338"/>
      <c r="EH43" s="61"/>
    </row>
    <row r="44" spans="1:140" ht="11.25" hidden="1" customHeight="1" outlineLevel="1" x14ac:dyDescent="0.2">
      <c r="A44" s="173" t="s">
        <v>170</v>
      </c>
      <c r="B44" s="8"/>
      <c r="C44" s="8"/>
      <c r="D44" s="8"/>
      <c r="E44" s="338"/>
      <c r="F44" s="338"/>
      <c r="G44" s="338"/>
      <c r="H44" s="338"/>
      <c r="I44" s="338"/>
      <c r="J44" s="338"/>
      <c r="K44" s="338"/>
      <c r="L44" s="338"/>
      <c r="M44" s="338"/>
      <c r="N44" s="338"/>
      <c r="O44" s="338"/>
      <c r="P44" s="338"/>
      <c r="Q44" s="338"/>
      <c r="R44" s="338"/>
      <c r="S44" s="338"/>
      <c r="T44" s="338"/>
      <c r="U44" s="338"/>
      <c r="V44" s="338"/>
      <c r="W44" s="338"/>
      <c r="X44" s="338"/>
      <c r="Y44" s="338"/>
      <c r="Z44" s="338"/>
      <c r="AA44" s="338"/>
      <c r="AB44" s="338"/>
      <c r="AC44" s="338"/>
      <c r="AD44" s="338"/>
      <c r="AE44" s="338"/>
      <c r="AF44" s="338"/>
      <c r="AG44" s="338"/>
      <c r="AH44" s="338"/>
      <c r="AI44" s="338"/>
      <c r="AJ44" s="338"/>
      <c r="AK44" s="338"/>
      <c r="AL44" s="338"/>
      <c r="AM44" s="338"/>
      <c r="AN44" s="338"/>
      <c r="AO44" s="338"/>
      <c r="AP44" s="338"/>
      <c r="AQ44" s="338"/>
      <c r="AR44" s="338"/>
      <c r="AS44" s="338"/>
      <c r="AT44" s="338"/>
      <c r="AU44" s="338"/>
      <c r="AV44" s="338"/>
      <c r="AW44" s="338"/>
      <c r="AX44" s="338"/>
      <c r="AY44" s="338"/>
      <c r="AZ44" s="338"/>
      <c r="BA44" s="338"/>
      <c r="BB44" s="338"/>
      <c r="BC44" s="338"/>
      <c r="BD44" s="338"/>
      <c r="BE44" s="338"/>
      <c r="BF44" s="338"/>
      <c r="BG44" s="338"/>
      <c r="BH44" s="338"/>
      <c r="BI44" s="338"/>
      <c r="BJ44" s="338"/>
      <c r="BK44" s="338"/>
      <c r="BL44" s="338"/>
      <c r="BM44" s="338"/>
      <c r="BN44" s="338"/>
      <c r="BO44" s="338"/>
      <c r="BP44" s="338"/>
      <c r="BQ44" s="338"/>
      <c r="BR44" s="338"/>
      <c r="BS44" s="338"/>
      <c r="BT44" s="338"/>
      <c r="BU44" s="338"/>
      <c r="BV44" s="338"/>
      <c r="BW44" s="338"/>
      <c r="BX44" s="338"/>
      <c r="BY44" s="338"/>
      <c r="BZ44" s="338"/>
      <c r="CA44" s="338"/>
      <c r="CB44" s="338"/>
      <c r="CC44" s="338"/>
      <c r="CD44" s="338"/>
      <c r="CE44" s="338"/>
      <c r="CF44" s="338"/>
      <c r="CG44" s="338"/>
      <c r="CH44" s="338"/>
      <c r="CI44" s="338"/>
      <c r="CJ44" s="338"/>
      <c r="CK44" s="338"/>
      <c r="CL44" s="338"/>
      <c r="CM44" s="338"/>
      <c r="CN44" s="338"/>
      <c r="CO44" s="338"/>
      <c r="CP44" s="338"/>
      <c r="CQ44" s="338"/>
      <c r="CR44" s="338"/>
      <c r="CS44" s="338">
        <f>569.8-CS32</f>
        <v>0</v>
      </c>
      <c r="CT44" s="338">
        <f>695.7-CT32</f>
        <v>9.9999999999909051E-2</v>
      </c>
      <c r="CU44" s="338">
        <f>1403.3-CU32</f>
        <v>-9.9999999999681677E-2</v>
      </c>
      <c r="CV44" s="338"/>
      <c r="CW44" s="338">
        <f>3357.4-CW32</f>
        <v>0</v>
      </c>
      <c r="CX44" s="338"/>
      <c r="CY44" s="338">
        <f>758.4-CY32</f>
        <v>0</v>
      </c>
      <c r="CZ44" s="338">
        <f>656.7-CZ32</f>
        <v>0</v>
      </c>
      <c r="DA44" s="338">
        <f>391.6-DA32</f>
        <v>-5.6843418860808015E-13</v>
      </c>
      <c r="DB44" s="338"/>
      <c r="DC44" s="338"/>
      <c r="DD44" s="338"/>
      <c r="DE44" s="338"/>
      <c r="DF44" s="338"/>
      <c r="DG44" s="338"/>
      <c r="DH44" s="338"/>
      <c r="DI44" s="338"/>
      <c r="DJ44" s="67"/>
      <c r="DK44" s="338"/>
      <c r="DL44" s="338"/>
      <c r="DM44" s="338"/>
      <c r="DN44" s="338"/>
      <c r="DO44" s="338"/>
      <c r="DP44" s="67"/>
      <c r="DQ44" s="338"/>
      <c r="DR44" s="338"/>
      <c r="DS44" s="338"/>
      <c r="DT44" s="338"/>
      <c r="DU44" s="338"/>
      <c r="DV44" s="67"/>
      <c r="DW44" s="338"/>
      <c r="DX44" s="338"/>
      <c r="DY44" s="338"/>
      <c r="DZ44" s="338"/>
      <c r="EA44" s="338"/>
      <c r="EB44" s="67"/>
      <c r="EC44" s="338"/>
      <c r="ED44" s="338"/>
      <c r="EE44" s="338"/>
      <c r="EF44" s="338"/>
      <c r="EG44" s="338"/>
      <c r="EH44" s="61"/>
    </row>
    <row r="45" spans="1:140" ht="11.25" hidden="1" customHeight="1" outlineLevel="1" x14ac:dyDescent="0.2">
      <c r="A45" s="173" t="s">
        <v>170</v>
      </c>
      <c r="B45" s="8"/>
      <c r="C45" s="8"/>
      <c r="D45" s="8"/>
      <c r="E45" s="338"/>
      <c r="F45" s="338"/>
      <c r="G45" s="338"/>
      <c r="H45" s="338"/>
      <c r="I45" s="338"/>
      <c r="J45" s="338"/>
      <c r="K45" s="338"/>
      <c r="L45" s="338"/>
      <c r="M45" s="338"/>
      <c r="N45" s="338"/>
      <c r="O45" s="338"/>
      <c r="P45" s="338"/>
      <c r="Q45" s="338"/>
      <c r="R45" s="338"/>
      <c r="S45" s="338"/>
      <c r="T45" s="338"/>
      <c r="U45" s="338"/>
      <c r="V45" s="338"/>
      <c r="W45" s="338"/>
      <c r="X45" s="338"/>
      <c r="Y45" s="338"/>
      <c r="Z45" s="338"/>
      <c r="AA45" s="338"/>
      <c r="AB45" s="338"/>
      <c r="AC45" s="338"/>
      <c r="AD45" s="338"/>
      <c r="AE45" s="338"/>
      <c r="AF45" s="338"/>
      <c r="AG45" s="338"/>
      <c r="AH45" s="338"/>
      <c r="AI45" s="338"/>
      <c r="AJ45" s="338"/>
      <c r="AK45" s="338"/>
      <c r="AL45" s="338"/>
      <c r="AM45" s="338"/>
      <c r="AN45" s="338"/>
      <c r="AO45" s="338"/>
      <c r="AP45" s="338"/>
      <c r="AQ45" s="338"/>
      <c r="AR45" s="338"/>
      <c r="AS45" s="338"/>
      <c r="AT45" s="338"/>
      <c r="AU45" s="338"/>
      <c r="AV45" s="338"/>
      <c r="AW45" s="338"/>
      <c r="AX45" s="338"/>
      <c r="AY45" s="338"/>
      <c r="AZ45" s="338"/>
      <c r="BA45" s="338"/>
      <c r="BB45" s="338"/>
      <c r="BC45" s="338"/>
      <c r="BD45" s="338"/>
      <c r="BE45" s="338"/>
      <c r="BF45" s="338"/>
      <c r="BG45" s="338"/>
      <c r="BH45" s="338"/>
      <c r="BI45" s="338"/>
      <c r="BJ45" s="338"/>
      <c r="BK45" s="338"/>
      <c r="BL45" s="338"/>
      <c r="BM45" s="338"/>
      <c r="BN45" s="338"/>
      <c r="BO45" s="338"/>
      <c r="BP45" s="338"/>
      <c r="BQ45" s="338"/>
      <c r="BR45" s="338"/>
      <c r="BS45" s="338"/>
      <c r="BT45" s="338"/>
      <c r="BU45" s="338"/>
      <c r="BV45" s="338"/>
      <c r="BW45" s="338"/>
      <c r="BX45" s="338"/>
      <c r="BY45" s="338"/>
      <c r="BZ45" s="338"/>
      <c r="CA45" s="338"/>
      <c r="CB45" s="338"/>
      <c r="CC45" s="338"/>
      <c r="CD45" s="338"/>
      <c r="CE45" s="338"/>
      <c r="CF45" s="338"/>
      <c r="CG45" s="338"/>
      <c r="CH45" s="338"/>
      <c r="CI45" s="338"/>
      <c r="CJ45" s="338"/>
      <c r="CK45" s="338"/>
      <c r="CL45" s="338"/>
      <c r="CM45" s="338"/>
      <c r="CN45" s="338"/>
      <c r="CO45" s="338"/>
      <c r="CP45" s="338"/>
      <c r="CQ45" s="338"/>
      <c r="CR45" s="338"/>
      <c r="CS45" s="338">
        <f>0.81-CS38</f>
        <v>4.2873303167421106E-3</v>
      </c>
      <c r="CT45" s="338">
        <f>0.98-CT38</f>
        <v>-4.0873854827361278E-4</v>
      </c>
      <c r="CU45" s="338">
        <f>2.04-CU38</f>
        <v>1.6557734204800667E-3</v>
      </c>
      <c r="CV45" s="338"/>
      <c r="CW45" s="338">
        <f>4.81-CW38</f>
        <v>6.6036384472045739E-4</v>
      </c>
      <c r="CX45" s="338"/>
      <c r="CY45" s="338">
        <f>1.1-CY38</f>
        <v>-1.3650885855363004E-3</v>
      </c>
      <c r="CZ45" s="338">
        <f>0.95-CZ38</f>
        <v>-4.9934867563994345E-4</v>
      </c>
      <c r="DA45" s="338">
        <f>0.57-DA38</f>
        <v>4.2675527304238958E-3</v>
      </c>
      <c r="DB45" s="338"/>
      <c r="DC45" s="338"/>
      <c r="DD45" s="338"/>
      <c r="DE45" s="338"/>
      <c r="DF45" s="338"/>
      <c r="DG45" s="338"/>
      <c r="DH45" s="338"/>
      <c r="DI45" s="338"/>
      <c r="DJ45" s="67"/>
      <c r="DK45" s="338"/>
      <c r="DL45" s="338"/>
      <c r="DM45" s="338"/>
      <c r="DN45" s="338"/>
      <c r="DO45" s="338"/>
      <c r="DP45" s="67"/>
      <c r="DQ45" s="338"/>
      <c r="DR45" s="338"/>
      <c r="DS45" s="338"/>
      <c r="DT45" s="338"/>
      <c r="DU45" s="338"/>
      <c r="DV45" s="67"/>
      <c r="DW45" s="338"/>
      <c r="DX45" s="338"/>
      <c r="DY45" s="338"/>
      <c r="DZ45" s="338"/>
      <c r="EA45" s="338"/>
      <c r="EB45" s="67"/>
      <c r="EC45" s="338"/>
      <c r="ED45" s="338"/>
      <c r="EE45" s="338"/>
      <c r="EF45" s="338"/>
      <c r="EG45" s="338"/>
      <c r="EH45" s="61"/>
    </row>
    <row r="46" spans="1:140" ht="11.25" hidden="1" customHeight="1" outlineLevel="1" x14ac:dyDescent="0.2">
      <c r="A46" s="173" t="s">
        <v>170</v>
      </c>
      <c r="B46" s="8"/>
      <c r="C46" s="8"/>
      <c r="D46" s="8"/>
      <c r="E46" s="338"/>
      <c r="F46" s="338"/>
      <c r="G46" s="338"/>
      <c r="H46" s="338"/>
      <c r="I46" s="338"/>
      <c r="J46" s="338"/>
      <c r="K46" s="338"/>
      <c r="L46" s="338"/>
      <c r="M46" s="338"/>
      <c r="N46" s="338"/>
      <c r="O46" s="338"/>
      <c r="P46" s="338"/>
      <c r="Q46" s="338"/>
      <c r="R46" s="338"/>
      <c r="S46" s="338"/>
      <c r="T46" s="338"/>
      <c r="U46" s="338"/>
      <c r="V46" s="338"/>
      <c r="W46" s="338"/>
      <c r="X46" s="338"/>
      <c r="Y46" s="338"/>
      <c r="Z46" s="338"/>
      <c r="AA46" s="338"/>
      <c r="AB46" s="338"/>
      <c r="AC46" s="338"/>
      <c r="AD46" s="338"/>
      <c r="AE46" s="338"/>
      <c r="AF46" s="338"/>
      <c r="AG46" s="338"/>
      <c r="AH46" s="338"/>
      <c r="AI46" s="338"/>
      <c r="AJ46" s="338"/>
      <c r="AK46" s="338"/>
      <c r="AL46" s="338"/>
      <c r="AM46" s="338"/>
      <c r="AN46" s="338"/>
      <c r="AO46" s="338"/>
      <c r="AP46" s="338"/>
      <c r="AQ46" s="338"/>
      <c r="AR46" s="338"/>
      <c r="AS46" s="338"/>
      <c r="AT46" s="338"/>
      <c r="AU46" s="338"/>
      <c r="AV46" s="338"/>
      <c r="AW46" s="338"/>
      <c r="AX46" s="338"/>
      <c r="AY46" s="338"/>
      <c r="AZ46" s="338"/>
      <c r="BA46" s="338"/>
      <c r="BB46" s="338"/>
      <c r="BC46" s="338"/>
      <c r="BD46" s="338"/>
      <c r="BE46" s="338"/>
      <c r="BF46" s="338"/>
      <c r="BG46" s="338"/>
      <c r="BH46" s="338"/>
      <c r="BI46" s="338"/>
      <c r="BJ46" s="338"/>
      <c r="BK46" s="338"/>
      <c r="BL46" s="338"/>
      <c r="BM46" s="338"/>
      <c r="BN46" s="338"/>
      <c r="BO46" s="338"/>
      <c r="BP46" s="338"/>
      <c r="BQ46" s="338"/>
      <c r="BR46" s="338"/>
      <c r="BS46" s="338"/>
      <c r="BT46" s="338"/>
      <c r="BU46" s="338"/>
      <c r="BV46" s="338"/>
      <c r="BW46" s="338"/>
      <c r="BX46" s="338"/>
      <c r="BY46" s="338"/>
      <c r="BZ46" s="338"/>
      <c r="CA46" s="338"/>
      <c r="CB46" s="338"/>
      <c r="CC46" s="338"/>
      <c r="CD46" s="338"/>
      <c r="CE46" s="338"/>
      <c r="CF46" s="338"/>
      <c r="CG46" s="338"/>
      <c r="CH46" s="338"/>
      <c r="CI46" s="338"/>
      <c r="CJ46" s="338"/>
      <c r="CK46" s="338"/>
      <c r="CL46" s="338"/>
      <c r="CM46" s="338"/>
      <c r="CN46" s="338"/>
      <c r="CO46" s="338"/>
      <c r="CP46" s="338"/>
      <c r="CQ46" s="338"/>
      <c r="CR46" s="338"/>
      <c r="CS46" s="338">
        <f>0.79-CS37</f>
        <v>-2.8203701127035297E-3</v>
      </c>
      <c r="CT46" s="338">
        <f>0.97-CT37</f>
        <v>3.3518621456363196E-3</v>
      </c>
      <c r="CU46" s="338">
        <f>2.01-CU37</f>
        <v>1.4126234435383189E-3</v>
      </c>
      <c r="CV46" s="338"/>
      <c r="CW46" s="338">
        <f>4.74-CW37</f>
        <v>1.2561750176427466E-3</v>
      </c>
      <c r="CX46" s="338"/>
      <c r="CY46" s="338">
        <f>1.09-CY37</f>
        <v>2.0642662458751904E-3</v>
      </c>
      <c r="CZ46" s="338">
        <f>0.94-CZ37</f>
        <v>3.8059808270185513E-4</v>
      </c>
      <c r="DA46" s="338">
        <f>0.56-DA37</f>
        <v>1.6084414658482649E-3</v>
      </c>
      <c r="DB46" s="338"/>
      <c r="DC46" s="338"/>
      <c r="DD46" s="338"/>
      <c r="DE46" s="338"/>
      <c r="DF46" s="338"/>
      <c r="DG46" s="338"/>
      <c r="DH46" s="338"/>
      <c r="DI46" s="338"/>
      <c r="DJ46" s="67"/>
      <c r="DK46" s="338"/>
      <c r="DL46" s="338"/>
      <c r="DM46" s="338"/>
      <c r="DN46" s="338"/>
      <c r="DO46" s="338"/>
      <c r="DP46" s="67"/>
      <c r="DQ46" s="338"/>
      <c r="DR46" s="338"/>
      <c r="DS46" s="338"/>
      <c r="DT46" s="338"/>
      <c r="DU46" s="338"/>
      <c r="DV46" s="67"/>
      <c r="DW46" s="338"/>
      <c r="DX46" s="338"/>
      <c r="DY46" s="338"/>
      <c r="DZ46" s="338"/>
      <c r="EA46" s="338"/>
      <c r="EB46" s="67"/>
      <c r="EC46" s="338"/>
      <c r="ED46" s="338"/>
      <c r="EE46" s="338"/>
      <c r="EF46" s="338"/>
      <c r="EG46" s="338"/>
      <c r="EH46" s="61"/>
    </row>
    <row r="47" spans="1:140" ht="11.25" customHeight="1" collapsed="1" x14ac:dyDescent="0.2">
      <c r="A47" s="2"/>
      <c r="B47" s="8"/>
      <c r="C47" s="8"/>
      <c r="D47" s="8"/>
      <c r="E47" s="67"/>
      <c r="F47" s="67"/>
      <c r="G47" s="67"/>
      <c r="H47" s="67"/>
      <c r="I47" s="67"/>
      <c r="J47" s="67"/>
      <c r="K47" s="67"/>
      <c r="L47" s="67"/>
      <c r="M47" s="67"/>
      <c r="N47" s="67"/>
      <c r="O47" s="67"/>
      <c r="P47" s="67"/>
      <c r="Q47" s="67"/>
      <c r="R47" s="67"/>
      <c r="S47" s="67"/>
      <c r="T47" s="67"/>
      <c r="U47" s="67"/>
      <c r="V47" s="67"/>
      <c r="W47" s="67"/>
      <c r="X47" s="67"/>
      <c r="Y47" s="67"/>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67"/>
      <c r="BA47" s="67"/>
      <c r="BB47" s="67"/>
      <c r="BC47" s="67"/>
      <c r="BD47" s="67"/>
      <c r="BE47" s="67"/>
      <c r="BF47" s="67"/>
      <c r="BG47" s="67"/>
      <c r="BH47" s="67"/>
      <c r="BI47" s="67"/>
      <c r="BJ47" s="67"/>
      <c r="BK47" s="67"/>
      <c r="BL47" s="67"/>
      <c r="BM47" s="67"/>
      <c r="BN47" s="67"/>
      <c r="BO47" s="67"/>
      <c r="BP47" s="67"/>
      <c r="BQ47" s="67"/>
      <c r="BR47" s="67"/>
      <c r="BS47" s="67"/>
      <c r="BT47" s="67"/>
      <c r="BU47" s="67"/>
      <c r="BV47" s="67"/>
      <c r="BW47" s="67"/>
      <c r="BX47" s="67"/>
      <c r="BY47" s="67"/>
      <c r="BZ47" s="67"/>
      <c r="CA47" s="67"/>
      <c r="CB47" s="67"/>
      <c r="CC47" s="67"/>
      <c r="CD47" s="67"/>
      <c r="CE47" s="67"/>
      <c r="CF47" s="67"/>
      <c r="CG47" s="67"/>
      <c r="CH47" s="67"/>
      <c r="CI47" s="67"/>
      <c r="CJ47" s="67"/>
      <c r="CK47" s="67"/>
      <c r="CL47" s="67"/>
      <c r="CM47" s="67"/>
      <c r="CN47" s="67"/>
      <c r="CO47" s="67"/>
      <c r="CP47" s="67"/>
      <c r="CQ47" s="67"/>
      <c r="CR47" s="67"/>
      <c r="CS47" s="67"/>
      <c r="CT47" s="67"/>
      <c r="CU47" s="67"/>
      <c r="CV47" s="67"/>
      <c r="CW47" s="67"/>
      <c r="CX47" s="67"/>
      <c r="CY47" s="67"/>
      <c r="CZ47" s="67"/>
      <c r="DA47" s="67"/>
      <c r="DB47" s="67"/>
      <c r="DC47" s="67"/>
      <c r="DD47" s="67"/>
      <c r="DE47" s="1090">
        <f>+DE35/$DI$35</f>
        <v>0.21066295851953903</v>
      </c>
      <c r="DF47" s="1090">
        <f>+DF35/$DI$35</f>
        <v>0.24615996808779242</v>
      </c>
      <c r="DG47" s="1090">
        <f>+DG35/$DI$35</f>
        <v>0.24710535376575932</v>
      </c>
      <c r="DH47" s="1090">
        <f>+DH35/$DI$35</f>
        <v>0.29598130450326826</v>
      </c>
      <c r="DI47" s="18"/>
      <c r="DJ47" s="67"/>
      <c r="DK47" s="1090">
        <f>+DK35/$DO$35</f>
        <v>0.21777414108519766</v>
      </c>
      <c r="DL47" s="1090">
        <f t="shared" ref="DL47:DN47" si="158">+DL35/$DO$35</f>
        <v>0.24282045803880589</v>
      </c>
      <c r="DM47" s="1090">
        <f t="shared" si="158"/>
        <v>0.23997429632467154</v>
      </c>
      <c r="DN47" s="1090">
        <f t="shared" si="158"/>
        <v>0.29878466449465635</v>
      </c>
      <c r="DO47" s="18"/>
      <c r="DP47" s="67"/>
      <c r="DQ47" s="67"/>
      <c r="DR47" s="67"/>
      <c r="DS47" s="67"/>
      <c r="DT47" s="67"/>
      <c r="DU47" s="901"/>
      <c r="DV47" s="67"/>
      <c r="DW47" s="67"/>
      <c r="DX47" s="67"/>
      <c r="DY47" s="67"/>
      <c r="DZ47" s="67"/>
      <c r="EA47" s="68"/>
      <c r="EB47" s="67"/>
      <c r="EC47" s="67"/>
      <c r="ED47" s="67"/>
      <c r="EE47" s="67"/>
      <c r="EF47" s="67"/>
      <c r="EG47" s="68"/>
      <c r="EH47" s="61"/>
    </row>
    <row r="48" spans="1:140" ht="11.25" customHeight="1" x14ac:dyDescent="0.2">
      <c r="A48" s="106" t="s">
        <v>236</v>
      </c>
      <c r="B48" s="74"/>
      <c r="C48" s="74"/>
      <c r="D48" s="74"/>
      <c r="E48" s="107"/>
      <c r="F48" s="75"/>
      <c r="G48" s="107"/>
      <c r="H48" s="75"/>
      <c r="I48" s="107"/>
      <c r="J48" s="75"/>
      <c r="K48" s="107"/>
      <c r="L48" s="75"/>
      <c r="M48" s="109"/>
      <c r="N48" s="110"/>
      <c r="O48" s="110"/>
      <c r="P48" s="110"/>
      <c r="Q48" s="107"/>
      <c r="R48" s="75"/>
      <c r="S48" s="109"/>
      <c r="T48" s="110"/>
      <c r="U48" s="110"/>
      <c r="V48" s="110"/>
      <c r="W48" s="107"/>
      <c r="X48" s="75"/>
      <c r="Y48" s="109"/>
      <c r="Z48" s="110"/>
      <c r="AA48" s="110"/>
      <c r="AB48" s="110"/>
      <c r="AC48" s="107"/>
      <c r="AD48" s="75"/>
      <c r="AE48" s="109"/>
      <c r="AF48" s="110"/>
      <c r="AG48" s="110"/>
      <c r="AH48" s="110"/>
      <c r="AI48" s="107"/>
      <c r="AJ48" s="75"/>
      <c r="AK48" s="109"/>
      <c r="AL48" s="110"/>
      <c r="AM48" s="110"/>
      <c r="AN48" s="110"/>
      <c r="AO48" s="107"/>
      <c r="AP48" s="75"/>
      <c r="AQ48" s="109"/>
      <c r="AR48" s="110"/>
      <c r="AS48" s="110"/>
      <c r="AT48" s="110"/>
      <c r="AU48" s="107"/>
      <c r="AV48" s="75"/>
      <c r="AW48" s="109"/>
      <c r="AX48" s="110"/>
      <c r="AY48" s="110"/>
      <c r="AZ48" s="110"/>
      <c r="BA48" s="107"/>
      <c r="BB48" s="75"/>
      <c r="BC48" s="109"/>
      <c r="BD48" s="110"/>
      <c r="BE48" s="110"/>
      <c r="BF48" s="110"/>
      <c r="BG48" s="107"/>
      <c r="BH48" s="75"/>
      <c r="BI48" s="109"/>
      <c r="BJ48" s="110"/>
      <c r="BK48" s="110"/>
      <c r="BL48" s="110"/>
      <c r="BM48" s="107"/>
      <c r="BN48" s="75"/>
      <c r="BO48" s="109"/>
      <c r="BP48" s="110"/>
      <c r="BQ48" s="110"/>
      <c r="BR48" s="110"/>
      <c r="BS48" s="107"/>
      <c r="BT48" s="75"/>
      <c r="BU48" s="109"/>
      <c r="BV48" s="110"/>
      <c r="BW48" s="110"/>
      <c r="BX48" s="110"/>
      <c r="BY48" s="107"/>
      <c r="BZ48" s="75"/>
      <c r="CA48" s="109"/>
      <c r="CB48" s="110"/>
      <c r="CC48" s="110"/>
      <c r="CD48" s="110"/>
      <c r="CE48" s="107"/>
      <c r="CF48" s="75"/>
      <c r="CG48" s="109"/>
      <c r="CH48" s="110"/>
      <c r="CI48" s="110"/>
      <c r="CJ48" s="110"/>
      <c r="CK48" s="107"/>
      <c r="CL48" s="75"/>
      <c r="CM48" s="109"/>
      <c r="CN48" s="110"/>
      <c r="CO48" s="110"/>
      <c r="CP48" s="110"/>
      <c r="CQ48" s="107"/>
      <c r="CR48" s="75"/>
      <c r="CS48" s="109"/>
      <c r="CT48" s="110"/>
      <c r="CU48" s="110"/>
      <c r="CV48" s="110"/>
      <c r="CW48" s="107"/>
      <c r="CX48" s="75"/>
      <c r="CY48" s="109"/>
      <c r="CZ48" s="110"/>
      <c r="DA48" s="110"/>
      <c r="DB48" s="110"/>
      <c r="DC48" s="107"/>
      <c r="DD48" s="75"/>
      <c r="DE48" s="109"/>
      <c r="DF48" s="110"/>
      <c r="DG48" s="110"/>
      <c r="DH48" s="110"/>
      <c r="DI48" s="107"/>
      <c r="DJ48" s="75"/>
      <c r="DK48" s="109"/>
      <c r="DL48" s="110"/>
      <c r="DM48" s="110"/>
      <c r="DN48" s="110"/>
      <c r="DO48" s="107"/>
      <c r="DP48" s="75"/>
      <c r="DQ48" s="109"/>
      <c r="DR48" s="110"/>
      <c r="DS48" s="110"/>
      <c r="DT48" s="110"/>
      <c r="DU48" s="107"/>
      <c r="DV48" s="75"/>
      <c r="DW48" s="109"/>
      <c r="DX48" s="110"/>
      <c r="DY48" s="110"/>
      <c r="DZ48" s="110"/>
      <c r="EA48" s="107"/>
      <c r="EB48" s="75"/>
      <c r="EC48" s="109"/>
      <c r="ED48" s="110"/>
      <c r="EE48" s="110"/>
      <c r="EF48" s="110"/>
      <c r="EG48" s="107"/>
      <c r="EH48" s="61"/>
    </row>
    <row r="49" spans="1:146" ht="11.25" customHeight="1" x14ac:dyDescent="0.2">
      <c r="A49" s="51" t="s">
        <v>238</v>
      </c>
      <c r="B49" s="17"/>
      <c r="C49" s="17"/>
      <c r="D49" s="17"/>
      <c r="E49" s="47"/>
      <c r="F49" s="15"/>
      <c r="G49" s="47"/>
      <c r="H49" s="15"/>
      <c r="I49" s="47"/>
      <c r="J49" s="15"/>
      <c r="K49" s="47"/>
      <c r="L49" s="15"/>
      <c r="M49" s="111"/>
      <c r="N49" s="15"/>
      <c r="O49" s="15"/>
      <c r="P49" s="15"/>
      <c r="Q49" s="47"/>
      <c r="R49" s="15"/>
      <c r="S49" s="111"/>
      <c r="T49" s="15"/>
      <c r="U49" s="15"/>
      <c r="V49" s="15"/>
      <c r="W49" s="47"/>
      <c r="X49" s="15"/>
      <c r="Y49" s="111"/>
      <c r="Z49" s="15"/>
      <c r="AA49" s="15"/>
      <c r="AB49" s="15"/>
      <c r="AC49" s="47"/>
      <c r="AD49" s="15"/>
      <c r="AE49" s="111"/>
      <c r="AF49" s="15"/>
      <c r="AG49" s="15"/>
      <c r="AH49" s="15"/>
      <c r="AI49" s="47"/>
      <c r="AJ49" s="15"/>
      <c r="AK49" s="111"/>
      <c r="AL49" s="15"/>
      <c r="AM49" s="15"/>
      <c r="AN49" s="15"/>
      <c r="AO49" s="47"/>
      <c r="AP49" s="15"/>
      <c r="AQ49" s="111"/>
      <c r="AR49" s="15"/>
      <c r="AS49" s="15"/>
      <c r="AT49" s="15"/>
      <c r="AU49" s="47"/>
      <c r="AV49" s="15"/>
      <c r="AW49" s="111"/>
      <c r="AX49" s="15"/>
      <c r="AY49" s="15"/>
      <c r="AZ49" s="15"/>
      <c r="BA49" s="47"/>
      <c r="BB49" s="15"/>
      <c r="BC49" s="111"/>
      <c r="BD49" s="15"/>
      <c r="BE49" s="15"/>
      <c r="BF49" s="15"/>
      <c r="BG49" s="47"/>
      <c r="BH49" s="15"/>
      <c r="BI49" s="111"/>
      <c r="BJ49" s="15"/>
      <c r="BK49" s="15"/>
      <c r="BL49" s="15"/>
      <c r="BM49" s="47"/>
      <c r="BN49" s="15"/>
      <c r="BO49" s="111">
        <f t="shared" ref="BO49:BS49" si="159">BO12/BO$11</f>
        <v>0.52080373970814364</v>
      </c>
      <c r="BP49" s="15">
        <f t="shared" si="159"/>
        <v>0.50460524036255816</v>
      </c>
      <c r="BQ49" s="15">
        <f t="shared" si="159"/>
        <v>0.47724178021060765</v>
      </c>
      <c r="BR49" s="15">
        <f t="shared" si="159"/>
        <v>0.48019215885788163</v>
      </c>
      <c r="BS49" s="47">
        <f t="shared" si="159"/>
        <v>0.4946095900256231</v>
      </c>
      <c r="BT49" s="15"/>
      <c r="BU49" s="111">
        <f t="shared" ref="BU49:BY49" si="160">BU12/BU$11</f>
        <v>0.47698117983879168</v>
      </c>
      <c r="BV49" s="15">
        <f t="shared" si="160"/>
        <v>0.50808723732265992</v>
      </c>
      <c r="BW49" s="15">
        <f t="shared" si="160"/>
        <v>0.53439760655329194</v>
      </c>
      <c r="BX49" s="15">
        <f t="shared" si="160"/>
        <v>0.49094615046627083</v>
      </c>
      <c r="BY49" s="47">
        <f t="shared" si="160"/>
        <v>0.50456679627788414</v>
      </c>
      <c r="BZ49" s="15"/>
      <c r="CA49" s="111">
        <f t="shared" ref="CA49:CE49" si="161">CA12/CA$11</f>
        <v>0.49111924054668743</v>
      </c>
      <c r="CB49" s="15">
        <f t="shared" si="161"/>
        <v>0.48192852580645895</v>
      </c>
      <c r="CC49" s="15">
        <f t="shared" si="161"/>
        <v>0.48456840673793278</v>
      </c>
      <c r="CD49" s="15">
        <f t="shared" si="161"/>
        <v>0.46626592190577121</v>
      </c>
      <c r="CE49" s="47">
        <f t="shared" si="161"/>
        <v>0.48032612783199963</v>
      </c>
      <c r="CF49" s="15"/>
      <c r="CG49" s="111">
        <f t="shared" ref="CG49:CK49" si="162">CG12/CG$11</f>
        <v>0.49455944758975806</v>
      </c>
      <c r="CH49" s="15">
        <f t="shared" si="162"/>
        <v>0.47330220348503421</v>
      </c>
      <c r="CI49" s="15">
        <f t="shared" si="162"/>
        <v>0.4726009962822611</v>
      </c>
      <c r="CJ49" s="15">
        <f t="shared" si="162"/>
        <v>0.46494360897466064</v>
      </c>
      <c r="CK49" s="47">
        <f t="shared" si="162"/>
        <v>0.47564492665081487</v>
      </c>
      <c r="CL49" s="15"/>
      <c r="CM49" s="111">
        <f t="shared" ref="CM49:CQ49" si="163">CM12/CM$11</f>
        <v>0.481523108033379</v>
      </c>
      <c r="CN49" s="15">
        <f t="shared" si="163"/>
        <v>0.46233404952060891</v>
      </c>
      <c r="CO49" s="15">
        <f t="shared" si="163"/>
        <v>0.45838232938062928</v>
      </c>
      <c r="CP49" s="15">
        <f t="shared" si="163"/>
        <v>0.46697793823914358</v>
      </c>
      <c r="CQ49" s="47">
        <f t="shared" si="163"/>
        <v>0.46706452476895938</v>
      </c>
      <c r="CR49" s="15"/>
      <c r="CS49" s="111">
        <f t="shared" ref="CS49:CW50" si="164">CS12/CS$11</f>
        <v>0.45442014911346407</v>
      </c>
      <c r="CT49" s="15">
        <f t="shared" si="164"/>
        <v>0.4484044270909785</v>
      </c>
      <c r="CU49" s="15">
        <f t="shared" si="164"/>
        <v>0.46090769318375946</v>
      </c>
      <c r="CV49" s="15">
        <f t="shared" si="164"/>
        <v>0.47786259541984738</v>
      </c>
      <c r="CW49" s="47">
        <f t="shared" si="164"/>
        <v>0.46160028267180281</v>
      </c>
      <c r="CX49" s="15"/>
      <c r="CY49" s="111">
        <f t="shared" ref="CY49:DC50" si="165">CY12/CY$11</f>
        <v>0.44769501286919294</v>
      </c>
      <c r="CZ49" s="15">
        <f t="shared" si="165"/>
        <v>0.43862420141917541</v>
      </c>
      <c r="DA49" s="15">
        <f t="shared" si="165"/>
        <v>0.44677040729895207</v>
      </c>
      <c r="DB49" s="15">
        <f t="shared" si="165"/>
        <v>0.45466047160962419</v>
      </c>
      <c r="DC49" s="47">
        <f t="shared" si="165"/>
        <v>0.44708098374638672</v>
      </c>
      <c r="DD49" s="15"/>
      <c r="DE49" s="111">
        <f t="shared" ref="DE49:DH49" si="166">DE12/DE$11</f>
        <v>0.44496754404736433</v>
      </c>
      <c r="DF49" s="15">
        <f t="shared" si="166"/>
        <v>0.44495687457040861</v>
      </c>
      <c r="DG49" s="15">
        <f t="shared" si="166"/>
        <v>0.43977739499138735</v>
      </c>
      <c r="DH49" s="15">
        <f t="shared" si="166"/>
        <v>0.44174843187761764</v>
      </c>
      <c r="DI49" s="47">
        <f t="shared" ref="DI49:DI50" si="167">DI12/DI$11</f>
        <v>0.44278957102407568</v>
      </c>
      <c r="DJ49" s="15"/>
      <c r="DK49" s="111">
        <f t="shared" ref="DK49" si="168">DK12/DK$11</f>
        <v>0.43698087489883725</v>
      </c>
      <c r="DL49" s="15">
        <f t="shared" ref="DL49:DO50" si="169">DL12/DL$11</f>
        <v>0.44339482434726818</v>
      </c>
      <c r="DM49" s="15">
        <f t="shared" si="169"/>
        <v>0.43838763247706347</v>
      </c>
      <c r="DN49" s="15">
        <f t="shared" si="169"/>
        <v>0.43043518916676465</v>
      </c>
      <c r="DO49" s="47">
        <f t="shared" si="169"/>
        <v>0.43712389457492928</v>
      </c>
      <c r="DP49" s="15"/>
      <c r="DQ49" s="111">
        <f t="shared" ref="DQ49:DU50" si="170">DQ12/DQ$11</f>
        <v>0.42959842683818478</v>
      </c>
      <c r="DR49" s="15">
        <f t="shared" si="170"/>
        <v>0.43739390316732313</v>
      </c>
      <c r="DS49" s="15">
        <f t="shared" si="170"/>
        <v>0.43372429835456117</v>
      </c>
      <c r="DT49" s="15">
        <f t="shared" si="170"/>
        <v>0.42717638907223254</v>
      </c>
      <c r="DU49" s="47">
        <f t="shared" si="170"/>
        <v>0.43188024896409022</v>
      </c>
      <c r="DV49" s="15"/>
      <c r="DW49" s="111">
        <f t="shared" ref="DW49:EA49" si="171">DW12/DW$11</f>
        <v>0.42362053967750762</v>
      </c>
      <c r="DX49" s="15">
        <f t="shared" si="171"/>
        <v>0.43213173981890296</v>
      </c>
      <c r="DY49" s="15">
        <f t="shared" si="171"/>
        <v>0.42835267772332536</v>
      </c>
      <c r="DZ49" s="15">
        <f t="shared" si="171"/>
        <v>0.42320933437931407</v>
      </c>
      <c r="EA49" s="47">
        <f t="shared" si="171"/>
        <v>0.42677457808499758</v>
      </c>
      <c r="EB49" s="15"/>
      <c r="EC49" s="111">
        <f t="shared" ref="EC49:EG49" si="172">EC12/EC$11</f>
        <v>0.41910202175040256</v>
      </c>
      <c r="ED49" s="15">
        <f t="shared" si="172"/>
        <v>0.42823981265028055</v>
      </c>
      <c r="EE49" s="15">
        <f t="shared" si="172"/>
        <v>0.42439632223511081</v>
      </c>
      <c r="EF49" s="15">
        <f t="shared" si="172"/>
        <v>0.42147338610657697</v>
      </c>
      <c r="EG49" s="47">
        <f t="shared" si="172"/>
        <v>0.42330527546754587</v>
      </c>
      <c r="EH49" s="17"/>
    </row>
    <row r="50" spans="1:146" ht="11.25" customHeight="1" x14ac:dyDescent="0.2">
      <c r="A50" s="51" t="s">
        <v>153</v>
      </c>
      <c r="B50" s="8"/>
      <c r="C50" s="8"/>
      <c r="D50" s="8"/>
      <c r="E50" s="47"/>
      <c r="F50" s="15"/>
      <c r="G50" s="47"/>
      <c r="H50" s="15"/>
      <c r="I50" s="47"/>
      <c r="J50" s="15"/>
      <c r="K50" s="47"/>
      <c r="L50" s="15"/>
      <c r="M50" s="111"/>
      <c r="N50" s="15"/>
      <c r="O50" s="15"/>
      <c r="P50" s="15"/>
      <c r="Q50" s="47"/>
      <c r="R50" s="15"/>
      <c r="S50" s="111"/>
      <c r="T50" s="15"/>
      <c r="U50" s="15"/>
      <c r="V50" s="15"/>
      <c r="W50" s="47"/>
      <c r="X50" s="15"/>
      <c r="Y50" s="111"/>
      <c r="Z50" s="15"/>
      <c r="AA50" s="15"/>
      <c r="AB50" s="15"/>
      <c r="AC50" s="47"/>
      <c r="AD50" s="15"/>
      <c r="AE50" s="111"/>
      <c r="AF50" s="15"/>
      <c r="AG50" s="15"/>
      <c r="AH50" s="15"/>
      <c r="AI50" s="47"/>
      <c r="AJ50" s="15"/>
      <c r="AK50" s="111"/>
      <c r="AL50" s="15"/>
      <c r="AM50" s="15"/>
      <c r="AN50" s="15"/>
      <c r="AO50" s="47"/>
      <c r="AP50" s="15"/>
      <c r="AQ50" s="111"/>
      <c r="AR50" s="15"/>
      <c r="AS50" s="15"/>
      <c r="AT50" s="15"/>
      <c r="AU50" s="47"/>
      <c r="AV50" s="15"/>
      <c r="AW50" s="111"/>
      <c r="AX50" s="15"/>
      <c r="AY50" s="15"/>
      <c r="AZ50" s="15"/>
      <c r="BA50" s="47"/>
      <c r="BB50" s="15"/>
      <c r="BC50" s="111"/>
      <c r="BD50" s="15"/>
      <c r="BE50" s="15"/>
      <c r="BF50" s="15"/>
      <c r="BG50" s="47"/>
      <c r="BH50" s="15"/>
      <c r="BI50" s="111"/>
      <c r="BJ50" s="15"/>
      <c r="BK50" s="15"/>
      <c r="BL50" s="15"/>
      <c r="BM50" s="47"/>
      <c r="BN50" s="15"/>
      <c r="BO50" s="111">
        <f t="shared" ref="BO50:BS50" si="173">BO13/BO$11</f>
        <v>0.47919626029185636</v>
      </c>
      <c r="BP50" s="15">
        <f t="shared" si="173"/>
        <v>0.49539475963744189</v>
      </c>
      <c r="BQ50" s="15">
        <f t="shared" si="173"/>
        <v>0.5227582197893923</v>
      </c>
      <c r="BR50" s="15">
        <f t="shared" si="173"/>
        <v>0.51980784114211842</v>
      </c>
      <c r="BS50" s="47">
        <f t="shared" si="173"/>
        <v>0.50539040997437701</v>
      </c>
      <c r="BT50" s="15"/>
      <c r="BU50" s="111">
        <f t="shared" ref="BU50:BY50" si="174">BU13/BU$11</f>
        <v>0.52301882016120838</v>
      </c>
      <c r="BV50" s="15">
        <f t="shared" si="174"/>
        <v>0.49191276267734002</v>
      </c>
      <c r="BW50" s="15">
        <f t="shared" si="174"/>
        <v>0.46560239344670801</v>
      </c>
      <c r="BX50" s="15">
        <f t="shared" si="174"/>
        <v>0.50905384953372923</v>
      </c>
      <c r="BY50" s="47">
        <f t="shared" si="174"/>
        <v>0.49543320372211586</v>
      </c>
      <c r="BZ50" s="15"/>
      <c r="CA50" s="111">
        <f t="shared" ref="CA50:CE50" si="175">CA13/CA$11</f>
        <v>0.50888075945331257</v>
      </c>
      <c r="CB50" s="15">
        <f t="shared" si="175"/>
        <v>0.51807147419354105</v>
      </c>
      <c r="CC50" s="15">
        <f t="shared" si="175"/>
        <v>0.51543159326206722</v>
      </c>
      <c r="CD50" s="15">
        <f t="shared" si="175"/>
        <v>0.53373407809422879</v>
      </c>
      <c r="CE50" s="47">
        <f t="shared" si="175"/>
        <v>0.51967387216800021</v>
      </c>
      <c r="CF50" s="15"/>
      <c r="CG50" s="111">
        <f t="shared" ref="CG50:CK50" si="176">CG13/CG$11</f>
        <v>0.50544055241024188</v>
      </c>
      <c r="CH50" s="15">
        <f t="shared" si="176"/>
        <v>0.52669779651496584</v>
      </c>
      <c r="CI50" s="15">
        <f t="shared" si="176"/>
        <v>0.52739900371773896</v>
      </c>
      <c r="CJ50" s="15">
        <f t="shared" si="176"/>
        <v>0.53505639102533942</v>
      </c>
      <c r="CK50" s="47">
        <f t="shared" si="176"/>
        <v>0.52435507334918519</v>
      </c>
      <c r="CL50" s="15"/>
      <c r="CM50" s="111">
        <f t="shared" ref="CM50:CQ50" si="177">CM13/CM$11</f>
        <v>0.51847689196662095</v>
      </c>
      <c r="CN50" s="15">
        <f t="shared" si="177"/>
        <v>0.53766595047939114</v>
      </c>
      <c r="CO50" s="15">
        <f t="shared" si="177"/>
        <v>0.54161767061937072</v>
      </c>
      <c r="CP50" s="15">
        <f t="shared" si="177"/>
        <v>0.53302206176085642</v>
      </c>
      <c r="CQ50" s="47">
        <f t="shared" si="177"/>
        <v>0.53293547523104068</v>
      </c>
      <c r="CR50" s="15"/>
      <c r="CS50" s="111">
        <f t="shared" si="164"/>
        <v>0.54557985088653593</v>
      </c>
      <c r="CT50" s="15">
        <f t="shared" si="164"/>
        <v>0.5515955729090215</v>
      </c>
      <c r="CU50" s="15">
        <f t="shared" si="164"/>
        <v>0.53909230681624054</v>
      </c>
      <c r="CV50" s="15">
        <f t="shared" si="164"/>
        <v>0.52213740458015268</v>
      </c>
      <c r="CW50" s="47">
        <f t="shared" si="164"/>
        <v>0.53839971732819725</v>
      </c>
      <c r="CX50" s="15"/>
      <c r="CY50" s="111">
        <f t="shared" si="165"/>
        <v>0.55230498713080711</v>
      </c>
      <c r="CZ50" s="15">
        <f t="shared" si="165"/>
        <v>0.56137579858082465</v>
      </c>
      <c r="DA50" s="15">
        <f t="shared" si="165"/>
        <v>0.55322959270104799</v>
      </c>
      <c r="DB50" s="15">
        <f t="shared" si="165"/>
        <v>0.54533952839037581</v>
      </c>
      <c r="DC50" s="47">
        <f t="shared" si="165"/>
        <v>0.55291901625361328</v>
      </c>
      <c r="DD50" s="15"/>
      <c r="DE50" s="111">
        <f t="shared" ref="DE50:DH50" si="178">DE13/DE$11</f>
        <v>0.55503245595263562</v>
      </c>
      <c r="DF50" s="15">
        <f t="shared" si="178"/>
        <v>0.55504312542959133</v>
      </c>
      <c r="DG50" s="15">
        <f t="shared" si="178"/>
        <v>0.56022260500861265</v>
      </c>
      <c r="DH50" s="15">
        <f t="shared" si="178"/>
        <v>0.55825156812238241</v>
      </c>
      <c r="DI50" s="47">
        <f t="shared" si="167"/>
        <v>0.55721042897592432</v>
      </c>
      <c r="DJ50" s="15"/>
      <c r="DK50" s="111">
        <f t="shared" ref="DK50" si="179">DK13/DK$11</f>
        <v>0.56301912510116281</v>
      </c>
      <c r="DL50" s="15">
        <f t="shared" si="169"/>
        <v>0.55660517565273182</v>
      </c>
      <c r="DM50" s="15">
        <f t="shared" si="169"/>
        <v>0.56161236752293653</v>
      </c>
      <c r="DN50" s="15">
        <f t="shared" si="169"/>
        <v>0.56956481083323529</v>
      </c>
      <c r="DO50" s="47">
        <f t="shared" si="169"/>
        <v>0.56287610542507083</v>
      </c>
      <c r="DP50" s="15"/>
      <c r="DQ50" s="111">
        <f t="shared" si="170"/>
        <v>0.57040157316181528</v>
      </c>
      <c r="DR50" s="15">
        <f t="shared" si="170"/>
        <v>0.56260609683267693</v>
      </c>
      <c r="DS50" s="15">
        <f t="shared" si="170"/>
        <v>0.56627570164543883</v>
      </c>
      <c r="DT50" s="15">
        <f t="shared" si="170"/>
        <v>0.57282361092776746</v>
      </c>
      <c r="DU50" s="47">
        <f t="shared" si="170"/>
        <v>0.56811975103590973</v>
      </c>
      <c r="DV50" s="15"/>
      <c r="DW50" s="111">
        <f t="shared" ref="DW50:EA50" si="180">DW13/DW$11</f>
        <v>0.57637946032249232</v>
      </c>
      <c r="DX50" s="15">
        <f t="shared" si="180"/>
        <v>0.56786826018109704</v>
      </c>
      <c r="DY50" s="15">
        <f t="shared" si="180"/>
        <v>0.5716473222766747</v>
      </c>
      <c r="DZ50" s="15">
        <f t="shared" si="180"/>
        <v>0.57679066562068593</v>
      </c>
      <c r="EA50" s="47">
        <f t="shared" si="180"/>
        <v>0.57322542191500225</v>
      </c>
      <c r="EB50" s="15"/>
      <c r="EC50" s="111">
        <f t="shared" ref="EC50:EG50" si="181">EC13/EC$11</f>
        <v>0.58089797824959744</v>
      </c>
      <c r="ED50" s="15">
        <f t="shared" si="181"/>
        <v>0.57176018734971945</v>
      </c>
      <c r="EE50" s="15">
        <f t="shared" si="181"/>
        <v>0.57560367776488919</v>
      </c>
      <c r="EF50" s="15">
        <f t="shared" si="181"/>
        <v>0.57852661389342308</v>
      </c>
      <c r="EG50" s="47">
        <f t="shared" si="181"/>
        <v>0.57669472453245418</v>
      </c>
      <c r="EH50" s="2"/>
    </row>
    <row r="51" spans="1:146" ht="11.25" customHeight="1" x14ac:dyDescent="0.2">
      <c r="A51" s="51" t="s">
        <v>243</v>
      </c>
      <c r="B51" s="8"/>
      <c r="C51" s="8"/>
      <c r="D51" s="8"/>
      <c r="E51" s="47"/>
      <c r="F51" s="76"/>
      <c r="G51" s="47"/>
      <c r="H51" s="76"/>
      <c r="I51" s="47"/>
      <c r="J51" s="76"/>
      <c r="K51" s="47"/>
      <c r="L51" s="76"/>
      <c r="M51" s="111"/>
      <c r="N51" s="15"/>
      <c r="O51" s="15"/>
      <c r="P51" s="15"/>
      <c r="Q51" s="47"/>
      <c r="R51" s="76"/>
      <c r="S51" s="111"/>
      <c r="T51" s="15"/>
      <c r="U51" s="15"/>
      <c r="V51" s="15"/>
      <c r="W51" s="47"/>
      <c r="X51" s="76"/>
      <c r="Y51" s="111"/>
      <c r="Z51" s="15"/>
      <c r="AA51" s="15"/>
      <c r="AB51" s="15"/>
      <c r="AC51" s="47"/>
      <c r="AD51" s="76"/>
      <c r="AE51" s="111"/>
      <c r="AF51" s="15"/>
      <c r="AG51" s="15"/>
      <c r="AH51" s="15"/>
      <c r="AI51" s="47"/>
      <c r="AJ51" s="76"/>
      <c r="AK51" s="111"/>
      <c r="AL51" s="15"/>
      <c r="AM51" s="15"/>
      <c r="AN51" s="15"/>
      <c r="AO51" s="47"/>
      <c r="AP51" s="76"/>
      <c r="AQ51" s="111"/>
      <c r="AR51" s="15"/>
      <c r="AS51" s="15"/>
      <c r="AT51" s="15"/>
      <c r="AU51" s="47"/>
      <c r="AV51" s="76"/>
      <c r="AW51" s="111"/>
      <c r="AX51" s="15"/>
      <c r="AY51" s="15"/>
      <c r="AZ51" s="15"/>
      <c r="BA51" s="47"/>
      <c r="BB51" s="76"/>
      <c r="BC51" s="111"/>
      <c r="BD51" s="15"/>
      <c r="BE51" s="15"/>
      <c r="BF51" s="15"/>
      <c r="BG51" s="47"/>
      <c r="BH51" s="76"/>
      <c r="BI51" s="111"/>
      <c r="BJ51" s="15"/>
      <c r="BK51" s="15"/>
      <c r="BL51" s="15"/>
      <c r="BM51" s="47"/>
      <c r="BN51" s="76"/>
      <c r="BO51" s="111">
        <f>(BO13-BI13)/(BO$11-BI$11)</f>
        <v>2.4605135944467316</v>
      </c>
      <c r="BP51" s="15">
        <f>(BP13-BJ13)/(BP$11-BJ$11)</f>
        <v>2.3374113357756237</v>
      </c>
      <c r="BQ51" s="15">
        <f>(BQ13-BK13)/(BQ$11-BK$11)</f>
        <v>2.8150452637191239</v>
      </c>
      <c r="BR51" s="15">
        <f>(BR13-BL13)/(BR$11-BL$11)</f>
        <v>3.1889048541995928</v>
      </c>
      <c r="BS51" s="47">
        <f>(BS13-BM13)/(BS$11-BM$11)</f>
        <v>2.6937786592576347</v>
      </c>
      <c r="BT51" s="76"/>
      <c r="BU51" s="111">
        <f>(BU13-BO13)/(BU$11-BO$11)</f>
        <v>0.75901774339667849</v>
      </c>
      <c r="BV51" s="15">
        <f>(BV13-BP13)/(BV$11-BP$11)</f>
        <v>0.47717351607205227</v>
      </c>
      <c r="BW51" s="15">
        <f>(BW13-BQ13)/(BW$11-BQ$11)</f>
        <v>0.38933815305936414</v>
      </c>
      <c r="BX51" s="15">
        <f>(BX13-BR13)/(BX$11-BR$11)</f>
        <v>0.49267689150723326</v>
      </c>
      <c r="BY51" s="47">
        <f>(BY13-BS13)/(BY$11-BS$11)</f>
        <v>0.47428576945797163</v>
      </c>
      <c r="BZ51" s="76"/>
      <c r="CA51" s="111">
        <f>(CA13-BU13)/(CA$11-BU$11)</f>
        <v>0.48420982908703675</v>
      </c>
      <c r="CB51" s="15">
        <f>(CB13-BV13)/(CB$11-BV$11)</f>
        <v>0.56990580414938941</v>
      </c>
      <c r="CC51" s="15">
        <f>(CC13-BW13)/(CC$11-BW$11)</f>
        <v>3.3239464856159899</v>
      </c>
      <c r="CD51" s="15">
        <f>(CD13-BX13)/(CD$11-BX$11)</f>
        <v>0.83992363936458758</v>
      </c>
      <c r="CE51" s="47">
        <f>(CE13-BY13)/(CE$11-BY$11)</f>
        <v>0.62128441760605735</v>
      </c>
      <c r="CF51" s="76"/>
      <c r="CG51" s="111">
        <f>(CG13-CA13)/(CG$11-CA$11)</f>
        <v>0.39282145146559705</v>
      </c>
      <c r="CH51" s="15">
        <f>(CH13-CB13)/(CH$11-CB$11)</f>
        <v>0.67965492101703617</v>
      </c>
      <c r="CI51" s="15">
        <f>(CI13-CC13)/(CI$11-CC$11)</f>
        <v>0.68362609242243433</v>
      </c>
      <c r="CJ51" s="15">
        <f>(CJ13-CD13)/(CJ$11-CD$11)</f>
        <v>0.55943597442008763</v>
      </c>
      <c r="CK51" s="47">
        <f>(CK13-CE13)/(CK$11-CE$11)</f>
        <v>0.61007046328160819</v>
      </c>
      <c r="CL51" s="76"/>
      <c r="CM51" s="111">
        <f>(CM13-CG13)/(CM$11-CG$11)</f>
        <v>0.78653284349705932</v>
      </c>
      <c r="CN51" s="15">
        <f>(CN13-CH13)/(CN$11-CH$11)</f>
        <v>0.77540899449865519</v>
      </c>
      <c r="CO51" s="15">
        <f>(CO13-CI13)/(CO$11-CI$11)</f>
        <v>0.88949847583775321</v>
      </c>
      <c r="CP51" s="15">
        <f>(CP13-CJ13)/(CP$11-CJ$11)</f>
        <v>0.46549765999344567</v>
      </c>
      <c r="CQ51" s="47">
        <f>(CQ13-CK13)/(CQ$11-CK$11)</f>
        <v>0.74256162748878929</v>
      </c>
      <c r="CR51" s="76"/>
      <c r="CS51" s="111">
        <f>(CS13-CM13)/(CS$11-CM$11)</f>
        <v>0.89148284338445483</v>
      </c>
      <c r="CT51" s="15">
        <f>(CT13-CN13)/(CT$11-CN$11)</f>
        <v>0.74917422791390786</v>
      </c>
      <c r="CU51" s="15">
        <f>(CU13-CO13)/(CU$11-CO$11)</f>
        <v>0.51639724754139971</v>
      </c>
      <c r="CV51" s="15">
        <f>(CV13-CP13)/(CV$11-CP$11)</f>
        <v>0.47101691883656399</v>
      </c>
      <c r="CW51" s="47">
        <f>(CW13-CQ13)/(CW$11-CQ$11)</f>
        <v>0.58327186567676725</v>
      </c>
      <c r="CX51" s="76"/>
      <c r="CY51" s="111">
        <f>(CY13-CS13)/(CY$11-CS$11)</f>
        <v>0.5816368356332835</v>
      </c>
      <c r="CZ51" s="15">
        <f>(CZ13-CT13)/(CZ$11-CT$11)</f>
        <v>0.60124461464815693</v>
      </c>
      <c r="DA51" s="15">
        <f>(DA13-CU13)/(DA$11-CU$11)</f>
        <v>0.63332795612195558</v>
      </c>
      <c r="DB51" s="15">
        <f>(DB13-CV13)/(DB$11-CV$11)</f>
        <v>0.9292001530807501</v>
      </c>
      <c r="DC51" s="47">
        <f>(DC13-CW13)/(DC$11-CW$11)</f>
        <v>0.63850206231878193</v>
      </c>
      <c r="DD51" s="76"/>
      <c r="DE51" s="111">
        <f>(DE13-CY13)/(DE$11-CY$11)</f>
        <v>0.59303977272727126</v>
      </c>
      <c r="DF51" s="15">
        <f>(DF13-CZ13)/(DF$11-CZ$11)</f>
        <v>0.45488441461595869</v>
      </c>
      <c r="DG51" s="15">
        <f>(DG13-DA13)/(DG$11-DA$11)</f>
        <v>0.63317344105023887</v>
      </c>
      <c r="DH51" s="15">
        <f>(DH13-DB13)/(DH$11-DB$11)</f>
        <v>0.67630634224172348</v>
      </c>
      <c r="DI51" s="47">
        <f>(DI13-DC13)/(DI$11-DC$11)</f>
        <v>0.60726870724797777</v>
      </c>
      <c r="DJ51" s="76"/>
      <c r="DK51" s="111">
        <f>(DK13-DE13)/(DK$11-DE$11)</f>
        <v>0.63161119052481074</v>
      </c>
      <c r="DL51" s="15">
        <f>(DL13-DF13)/(DL$11-DF$11)</f>
        <v>0.57337529821237243</v>
      </c>
      <c r="DM51" s="15">
        <f>(DM13-DG13)/(DM$11-DG$11)</f>
        <v>0.58113421902996865</v>
      </c>
      <c r="DN51" s="15">
        <f>(DN13-DH13)/(DN$11-DH$11)</f>
        <v>0.73273983548453425</v>
      </c>
      <c r="DO51" s="47">
        <f>(DO13-DI13)/(DO$11-DI$11)</f>
        <v>0.62840675120225986</v>
      </c>
      <c r="DP51" s="76"/>
      <c r="DQ51" s="111">
        <f>(DQ13-DK13)/(DQ$11-DK$11)</f>
        <v>0.72920742869574307</v>
      </c>
      <c r="DR51" s="15">
        <f>(DR13-DL13)/(DR$11-DL$11)</f>
        <v>0.68678404471860488</v>
      </c>
      <c r="DS51" s="15">
        <f>(DS13-DM13)/(DS$11-DM$11)</f>
        <v>0.68497268017267343</v>
      </c>
      <c r="DT51" s="15">
        <f>(DT13-DN13)/(DT$11-DN$11)</f>
        <v>0.65618964273102653</v>
      </c>
      <c r="DU51" s="47">
        <f>(DU13-DO13)/(DU$11-DO$11)</f>
        <v>0.68958849235878916</v>
      </c>
      <c r="DV51" s="76"/>
      <c r="DW51" s="111">
        <f t="shared" ref="DW51:EA51" si="182">(DW13-DQ13)/(DW$11-DQ$11)</f>
        <v>0.71608843885452467</v>
      </c>
      <c r="DX51" s="15">
        <f t="shared" si="182"/>
        <v>0.69084396647475843</v>
      </c>
      <c r="DY51" s="15">
        <f t="shared" si="182"/>
        <v>0.69715084948150896</v>
      </c>
      <c r="DZ51" s="15">
        <f t="shared" si="182"/>
        <v>0.66961199740287569</v>
      </c>
      <c r="EA51" s="47">
        <f t="shared" si="182"/>
        <v>0.69257756476968624</v>
      </c>
      <c r="EB51" s="76"/>
      <c r="EC51" s="111">
        <f t="shared" ref="EC51" si="183">(EC13-DW13)/(EC$11-DW$11)</f>
        <v>0.68639894130570567</v>
      </c>
      <c r="ED51" s="15">
        <f t="shared" ref="ED51" si="184">(ED13-DX13)/(ED$11-DX$11)</f>
        <v>0.66262507746821897</v>
      </c>
      <c r="EE51" s="15">
        <f t="shared" ref="EE51" si="185">(EE13-DY13)/(EE$11-DY$11)</f>
        <v>0.66795134493740449</v>
      </c>
      <c r="EF51" s="15">
        <f t="shared" ref="EF51" si="186">(EF13-DZ13)/(EF$11-DZ$11)</f>
        <v>0.61910497870703285</v>
      </c>
      <c r="EG51" s="47">
        <f t="shared" ref="EG51" si="187">(EG13-EA13)/(EG$11-EA$11)</f>
        <v>0.65771600316962364</v>
      </c>
      <c r="EH51" s="61"/>
    </row>
    <row r="52" spans="1:146" ht="11.25" customHeight="1" x14ac:dyDescent="0.2">
      <c r="A52" s="51" t="s">
        <v>123</v>
      </c>
      <c r="B52" s="8"/>
      <c r="C52" s="8"/>
      <c r="D52" s="8"/>
      <c r="E52" s="47"/>
      <c r="F52" s="15"/>
      <c r="G52" s="47"/>
      <c r="H52" s="15"/>
      <c r="I52" s="47"/>
      <c r="J52" s="15"/>
      <c r="K52" s="47"/>
      <c r="L52" s="15"/>
      <c r="M52" s="111"/>
      <c r="N52" s="15"/>
      <c r="O52" s="15"/>
      <c r="P52" s="15"/>
      <c r="Q52" s="47"/>
      <c r="R52" s="15"/>
      <c r="S52" s="111"/>
      <c r="T52" s="15"/>
      <c r="U52" s="15"/>
      <c r="V52" s="15"/>
      <c r="W52" s="47"/>
      <c r="X52" s="15"/>
      <c r="Y52" s="111"/>
      <c r="Z52" s="15"/>
      <c r="AA52" s="15"/>
      <c r="AB52" s="15"/>
      <c r="AC52" s="47"/>
      <c r="AD52" s="15"/>
      <c r="AE52" s="111"/>
      <c r="AF52" s="15"/>
      <c r="AG52" s="15"/>
      <c r="AH52" s="15"/>
      <c r="AI52" s="47"/>
      <c r="AJ52" s="15"/>
      <c r="AK52" s="111"/>
      <c r="AL52" s="15"/>
      <c r="AM52" s="15"/>
      <c r="AN52" s="15"/>
      <c r="AO52" s="47"/>
      <c r="AP52" s="15"/>
      <c r="AQ52" s="111"/>
      <c r="AR52" s="15"/>
      <c r="AS52" s="15"/>
      <c r="AT52" s="15"/>
      <c r="AU52" s="47"/>
      <c r="AV52" s="15"/>
      <c r="AW52" s="111"/>
      <c r="AX52" s="15"/>
      <c r="AY52" s="15"/>
      <c r="AZ52" s="15"/>
      <c r="BA52" s="47"/>
      <c r="BB52" s="15"/>
      <c r="BC52" s="111"/>
      <c r="BD52" s="15"/>
      <c r="BE52" s="15"/>
      <c r="BF52" s="15"/>
      <c r="BG52" s="47"/>
      <c r="BH52" s="15"/>
      <c r="BI52" s="111"/>
      <c r="BJ52" s="15"/>
      <c r="BK52" s="15"/>
      <c r="BL52" s="15"/>
      <c r="BM52" s="47"/>
      <c r="BN52" s="15"/>
      <c r="BO52" s="366">
        <f>+DHR!BO363</f>
        <v>0.31</v>
      </c>
      <c r="BP52" s="367">
        <f>+DHR!BP363</f>
        <v>0.31</v>
      </c>
      <c r="BQ52" s="367">
        <f>+DHR!BQ363</f>
        <v>0.31</v>
      </c>
      <c r="BR52" s="367">
        <f>+DHR!BR363</f>
        <v>0.31</v>
      </c>
      <c r="BS52" s="47">
        <f>BS15/BS$11</f>
        <v>0.31</v>
      </c>
      <c r="BT52" s="15"/>
      <c r="BU52" s="366">
        <f>+DHR!BU363</f>
        <v>0.31</v>
      </c>
      <c r="BV52" s="367">
        <f>+DHR!BV363</f>
        <v>0.31</v>
      </c>
      <c r="BW52" s="367">
        <f>+DHR!BW363</f>
        <v>0.31</v>
      </c>
      <c r="BX52" s="367">
        <f>+DHR!BX363</f>
        <v>0.31</v>
      </c>
      <c r="BY52" s="47">
        <f t="shared" ref="BY52" si="188">BY15/BY$11</f>
        <v>0.31</v>
      </c>
      <c r="BZ52" s="15"/>
      <c r="CA52" s="366">
        <f>+DHR!CA363</f>
        <v>0.31</v>
      </c>
      <c r="CB52" s="367">
        <f>+DHR!CB363</f>
        <v>0.31</v>
      </c>
      <c r="CC52" s="367">
        <f>+DHR!CC363</f>
        <v>0.31</v>
      </c>
      <c r="CD52" s="367">
        <f>+DHR!CD363</f>
        <v>0.31</v>
      </c>
      <c r="CE52" s="47">
        <f t="shared" ref="CE52" si="189">CE15/CE$11</f>
        <v>0.30999999999999994</v>
      </c>
      <c r="CF52" s="15"/>
      <c r="CG52" s="366">
        <f>+DHR!CG363</f>
        <v>0.30948390429341305</v>
      </c>
      <c r="CH52" s="367">
        <f>+DHR!CH363</f>
        <v>0.30948390429341305</v>
      </c>
      <c r="CI52" s="367">
        <f>+DHR!CI363</f>
        <v>0.30948390429341305</v>
      </c>
      <c r="CJ52" s="367">
        <f>+DHR!CJ363</f>
        <v>0.30948390429341305</v>
      </c>
      <c r="CK52" s="47">
        <f t="shared" ref="CK52" si="190">CK15/CK$11</f>
        <v>0.30948390429341299</v>
      </c>
      <c r="CL52" s="15"/>
      <c r="CM52" s="366">
        <f>+DHR!CM363</f>
        <v>0.314</v>
      </c>
      <c r="CN52" s="367">
        <f>+DHR!CN363</f>
        <v>0.314</v>
      </c>
      <c r="CO52" s="367">
        <f>+DHR!CO363</f>
        <v>0.314</v>
      </c>
      <c r="CP52" s="367">
        <f>+DHR!CP363</f>
        <v>0.314</v>
      </c>
      <c r="CQ52" s="47">
        <f t="shared" ref="CQ52:CQ54" si="191">CQ15/CQ$11</f>
        <v>0.314</v>
      </c>
      <c r="CR52" s="15"/>
      <c r="CS52" s="111">
        <f t="shared" ref="CS52:CW53" si="192">CS15/CS$11</f>
        <v>0.34133199674205877</v>
      </c>
      <c r="CT52" s="15">
        <f t="shared" si="192"/>
        <v>0.31917329653876642</v>
      </c>
      <c r="CU52" s="15">
        <f t="shared" si="192"/>
        <v>0.34200785832241903</v>
      </c>
      <c r="CV52" s="15">
        <f t="shared" si="192"/>
        <v>0.31679389312977096</v>
      </c>
      <c r="CW52" s="47">
        <f t="shared" si="192"/>
        <v>0.32891774111974059</v>
      </c>
      <c r="CX52" s="15"/>
      <c r="CY52" s="111">
        <f t="shared" ref="CY52:DC53" si="193">CY15/CY$11</f>
        <v>0.33844703244055963</v>
      </c>
      <c r="CZ52" s="15">
        <f t="shared" si="193"/>
        <v>0.33741955255899481</v>
      </c>
      <c r="DA52" s="15">
        <f t="shared" si="193"/>
        <v>0.32569395706783472</v>
      </c>
      <c r="DB52" s="15">
        <f t="shared" si="193"/>
        <v>0.32794537879283642</v>
      </c>
      <c r="DC52" s="47">
        <f t="shared" si="193"/>
        <v>0.33221579870160639</v>
      </c>
      <c r="DD52" s="15"/>
      <c r="DE52" s="111">
        <f t="shared" ref="DE52:DH52" si="194">DE15/DE$11</f>
        <v>0.34474641557885732</v>
      </c>
      <c r="DF52" s="15">
        <f t="shared" si="194"/>
        <v>0.3255581916143766</v>
      </c>
      <c r="DG52" s="15">
        <f t="shared" si="194"/>
        <v>0.33061702221633321</v>
      </c>
      <c r="DH52" s="15">
        <f t="shared" si="194"/>
        <v>0.31502054781052757</v>
      </c>
      <c r="DI52" s="47">
        <f>DI15/DI$11</f>
        <v>0.32828687867231865</v>
      </c>
      <c r="DJ52" s="15"/>
      <c r="DK52" s="111">
        <f t="shared" ref="DK52" si="195">DK15/DK$11</f>
        <v>0.34116369212420672</v>
      </c>
      <c r="DL52" s="367">
        <f>+DHR!DL363</f>
        <v>0.3230581916143766</v>
      </c>
      <c r="DM52" s="367">
        <f>+DHR!DM363</f>
        <v>0.32811702221633321</v>
      </c>
      <c r="DN52" s="367">
        <f>+DHR!DN363</f>
        <v>0.31252054781052752</v>
      </c>
      <c r="DO52" s="47">
        <f t="shared" ref="DO52" si="196">DO15/DO$11</f>
        <v>0.32568160532483009</v>
      </c>
      <c r="DP52" s="15"/>
      <c r="DQ52" s="366">
        <f>+DHR!DQ363</f>
        <v>0.33866369212420672</v>
      </c>
      <c r="DR52" s="367">
        <f>+DHR!DR363</f>
        <v>0.3205581916143766</v>
      </c>
      <c r="DS52" s="367">
        <f>+DHR!DS363</f>
        <v>0.32561702221633321</v>
      </c>
      <c r="DT52" s="367">
        <f>+DHR!DT363</f>
        <v>0.31002054781052751</v>
      </c>
      <c r="DU52" s="47">
        <f t="shared" ref="DU52:DU54" si="197">DU15/DU$11</f>
        <v>0.32320185213754055</v>
      </c>
      <c r="DV52" s="15"/>
      <c r="DW52" s="366">
        <f>+DHR!DW363</f>
        <v>0.33616369212420671</v>
      </c>
      <c r="DX52" s="367">
        <f>+DHR!DX363</f>
        <v>0.3180581916143766</v>
      </c>
      <c r="DY52" s="367">
        <f>+DHR!DY363</f>
        <v>0.32311702221633321</v>
      </c>
      <c r="DZ52" s="367">
        <f>+DHR!DZ363</f>
        <v>0.30752054781052751</v>
      </c>
      <c r="EA52" s="47">
        <f t="shared" ref="EA52:EA54" si="198">EA15/EA$11</f>
        <v>0.32070202807467602</v>
      </c>
      <c r="EB52" s="15"/>
      <c r="EC52" s="366">
        <f>+DHR!EC363</f>
        <v>0.33366369212420671</v>
      </c>
      <c r="ED52" s="367">
        <f>+DHR!ED363</f>
        <v>0.31555819161437659</v>
      </c>
      <c r="EE52" s="367">
        <f>+DHR!EE363</f>
        <v>0.3206170222163332</v>
      </c>
      <c r="EF52" s="367">
        <f>+DHR!EF363</f>
        <v>0.30502054781052751</v>
      </c>
      <c r="EG52" s="47">
        <f t="shared" ref="EG52:EG54" si="199">EG15/EG$11</f>
        <v>0.31820220200260491</v>
      </c>
      <c r="EH52" s="2"/>
    </row>
    <row r="53" spans="1:146" ht="11.25" customHeight="1" x14ac:dyDescent="0.2">
      <c r="A53" s="51" t="s">
        <v>124</v>
      </c>
      <c r="B53" s="8"/>
      <c r="C53" s="8"/>
      <c r="D53" s="8"/>
      <c r="E53" s="47"/>
      <c r="F53" s="15"/>
      <c r="G53" s="47"/>
      <c r="H53" s="15"/>
      <c r="I53" s="47"/>
      <c r="J53" s="15"/>
      <c r="K53" s="47"/>
      <c r="L53" s="15"/>
      <c r="M53" s="111"/>
      <c r="N53" s="15"/>
      <c r="O53" s="15"/>
      <c r="P53" s="15"/>
      <c r="Q53" s="47"/>
      <c r="R53" s="15"/>
      <c r="S53" s="111"/>
      <c r="T53" s="15"/>
      <c r="U53" s="15"/>
      <c r="V53" s="15"/>
      <c r="W53" s="47"/>
      <c r="X53" s="15"/>
      <c r="Y53" s="111"/>
      <c r="Z53" s="15"/>
      <c r="AA53" s="15"/>
      <c r="AB53" s="15"/>
      <c r="AC53" s="47"/>
      <c r="AD53" s="15"/>
      <c r="AE53" s="111"/>
      <c r="AF53" s="15"/>
      <c r="AG53" s="15"/>
      <c r="AH53" s="15"/>
      <c r="AI53" s="47"/>
      <c r="AJ53" s="15"/>
      <c r="AK53" s="111"/>
      <c r="AL53" s="15"/>
      <c r="AM53" s="15"/>
      <c r="AN53" s="15"/>
      <c r="AO53" s="47"/>
      <c r="AP53" s="15"/>
      <c r="AQ53" s="111"/>
      <c r="AR53" s="15"/>
      <c r="AS53" s="15"/>
      <c r="AT53" s="15"/>
      <c r="AU53" s="47"/>
      <c r="AV53" s="15"/>
      <c r="AW53" s="111"/>
      <c r="AX53" s="15"/>
      <c r="AY53" s="15"/>
      <c r="AZ53" s="15"/>
      <c r="BA53" s="47"/>
      <c r="BB53" s="15"/>
      <c r="BC53" s="111"/>
      <c r="BD53" s="15"/>
      <c r="BE53" s="15"/>
      <c r="BF53" s="15"/>
      <c r="BG53" s="47"/>
      <c r="BH53" s="15"/>
      <c r="BI53" s="111"/>
      <c r="BJ53" s="15"/>
      <c r="BK53" s="15"/>
      <c r="BL53" s="15"/>
      <c r="BM53" s="47"/>
      <c r="BN53" s="15"/>
      <c r="BO53" s="366">
        <f>+DHR!BO365</f>
        <v>0.06</v>
      </c>
      <c r="BP53" s="367">
        <f>+DHR!BP365</f>
        <v>0.06</v>
      </c>
      <c r="BQ53" s="367">
        <f>+DHR!BQ365</f>
        <v>0.06</v>
      </c>
      <c r="BR53" s="367">
        <f>+DHR!BR365</f>
        <v>0.06</v>
      </c>
      <c r="BS53" s="47">
        <f>BS16/BS$11</f>
        <v>0.06</v>
      </c>
      <c r="BT53" s="15"/>
      <c r="BU53" s="366">
        <f>+DHR!BU365</f>
        <v>0.06</v>
      </c>
      <c r="BV53" s="367">
        <f>+DHR!BV365</f>
        <v>0.06</v>
      </c>
      <c r="BW53" s="367">
        <f>+DHR!BW365</f>
        <v>0.06</v>
      </c>
      <c r="BX53" s="367">
        <f>+DHR!BX365</f>
        <v>0.06</v>
      </c>
      <c r="BY53" s="47">
        <f t="shared" ref="BY53" si="200">BY16/BY$11</f>
        <v>5.9999999999999991E-2</v>
      </c>
      <c r="BZ53" s="15"/>
      <c r="CA53" s="366">
        <f>+DHR!CA365</f>
        <v>0.06</v>
      </c>
      <c r="CB53" s="367">
        <f>+DHR!CB365</f>
        <v>0.06</v>
      </c>
      <c r="CC53" s="367">
        <f>+DHR!CC365</f>
        <v>0.06</v>
      </c>
      <c r="CD53" s="367">
        <f>+DHR!CD365</f>
        <v>0.06</v>
      </c>
      <c r="CE53" s="47">
        <f t="shared" ref="CE53:CE54" si="201">CE16/CE$11</f>
        <v>0.06</v>
      </c>
      <c r="CF53" s="15"/>
      <c r="CG53" s="366">
        <f>+DHR!CG365</f>
        <v>5.8741671129903861E-2</v>
      </c>
      <c r="CH53" s="367">
        <f>+DHR!CH365</f>
        <v>5.8741671129903861E-2</v>
      </c>
      <c r="CI53" s="367">
        <f>+DHR!CI365</f>
        <v>5.8741671129903861E-2</v>
      </c>
      <c r="CJ53" s="367">
        <f>+DHR!CJ365</f>
        <v>5.8741671129903861E-2</v>
      </c>
      <c r="CK53" s="47">
        <f t="shared" ref="CK53:CK54" si="202">CK16/CK$11</f>
        <v>5.8741671129903854E-2</v>
      </c>
      <c r="CL53" s="15"/>
      <c r="CM53" s="366">
        <f>+DHR!CM365</f>
        <v>0.06</v>
      </c>
      <c r="CN53" s="367">
        <f>+DHR!CN365</f>
        <v>0.06</v>
      </c>
      <c r="CO53" s="367">
        <f>+DHR!CO365</f>
        <v>0.06</v>
      </c>
      <c r="CP53" s="367">
        <f>+DHR!CP365</f>
        <v>0.06</v>
      </c>
      <c r="CQ53" s="47">
        <f t="shared" si="191"/>
        <v>5.9999999999999991E-2</v>
      </c>
      <c r="CR53" s="15"/>
      <c r="CS53" s="111">
        <f t="shared" si="192"/>
        <v>6.3999749389136024E-2</v>
      </c>
      <c r="CT53" s="15">
        <f t="shared" si="192"/>
        <v>6.1298182778968383E-2</v>
      </c>
      <c r="CU53" s="15">
        <f t="shared" si="192"/>
        <v>6.041797164170605E-2</v>
      </c>
      <c r="CV53" s="15">
        <f t="shared" si="192"/>
        <v>5.4614850798056905E-2</v>
      </c>
      <c r="CW53" s="47">
        <f t="shared" si="192"/>
        <v>5.9679777188108379E-2</v>
      </c>
      <c r="CX53" s="15"/>
      <c r="CY53" s="111">
        <f t="shared" si="193"/>
        <v>5.7618307382584541E-2</v>
      </c>
      <c r="CZ53" s="15">
        <f t="shared" si="193"/>
        <v>5.6554845705933665E-2</v>
      </c>
      <c r="DA53" s="15">
        <f t="shared" si="193"/>
        <v>5.8348055468163879E-2</v>
      </c>
      <c r="DB53" s="15">
        <f t="shared" si="193"/>
        <v>5.8460397443448289E-2</v>
      </c>
      <c r="DC53" s="47">
        <f t="shared" si="193"/>
        <v>5.7758375586409512E-2</v>
      </c>
      <c r="DD53" s="15"/>
      <c r="DE53" s="111">
        <f t="shared" ref="DE53:DH53" si="203">DE16/DE$11</f>
        <v>6.3580379009439567E-2</v>
      </c>
      <c r="DF53" s="15">
        <f t="shared" si="203"/>
        <v>6.281457173898583E-2</v>
      </c>
      <c r="DG53" s="15">
        <f t="shared" si="203"/>
        <v>6.1658053972881058E-2</v>
      </c>
      <c r="DH53" s="15">
        <f t="shared" si="203"/>
        <v>5.8772637001789328E-2</v>
      </c>
      <c r="DI53" s="47">
        <f>DI16/DI$11</f>
        <v>6.1583113744360256E-2</v>
      </c>
      <c r="DJ53" s="15"/>
      <c r="DK53" s="111">
        <f t="shared" ref="DK53" si="204">DK16/DK$11</f>
        <v>6.3615453422498622E-2</v>
      </c>
      <c r="DL53" s="367">
        <f>+DHR!DL365</f>
        <v>6.181457173898583E-2</v>
      </c>
      <c r="DM53" s="367">
        <f>+DHR!DM365</f>
        <v>6.0658053972881057E-2</v>
      </c>
      <c r="DN53" s="367">
        <f>+DHR!DN365</f>
        <v>5.777263700178932E-2</v>
      </c>
      <c r="DO53" s="47">
        <f t="shared" ref="DO53:DO54" si="205">DO16/DO$11</f>
        <v>6.0853703854285679E-2</v>
      </c>
      <c r="DP53" s="15"/>
      <c r="DQ53" s="366">
        <f>+DHR!DQ365</f>
        <v>6.2615453422498621E-2</v>
      </c>
      <c r="DR53" s="367">
        <f>+DHR!DR365</f>
        <v>6.0814571738985829E-2</v>
      </c>
      <c r="DS53" s="367">
        <f>+DHR!DS365</f>
        <v>5.9658053972881056E-2</v>
      </c>
      <c r="DT53" s="367">
        <f>+DHR!DT365</f>
        <v>5.6772637001789319E-2</v>
      </c>
      <c r="DU53" s="47">
        <f t="shared" si="197"/>
        <v>5.9860418041036305E-2</v>
      </c>
      <c r="DV53" s="15"/>
      <c r="DW53" s="366">
        <f>+DHR!DW365</f>
        <v>6.161545342249862E-2</v>
      </c>
      <c r="DX53" s="367">
        <f>+DHR!DX365</f>
        <v>5.9814571738985828E-2</v>
      </c>
      <c r="DY53" s="367">
        <f>+DHR!DY365</f>
        <v>5.8658053972881055E-2</v>
      </c>
      <c r="DZ53" s="367">
        <f>+DHR!DZ365</f>
        <v>5.5772637001789319E-2</v>
      </c>
      <c r="EA53" s="47">
        <f t="shared" si="198"/>
        <v>5.886045783476216E-2</v>
      </c>
      <c r="EB53" s="15"/>
      <c r="EC53" s="366">
        <f>+DHR!EC365</f>
        <v>6.0615453422498619E-2</v>
      </c>
      <c r="ED53" s="367">
        <f>+DHR!ED365</f>
        <v>5.8814571738985827E-2</v>
      </c>
      <c r="EE53" s="367">
        <f>+DHR!EE365</f>
        <v>5.7658053972881054E-2</v>
      </c>
      <c r="EF53" s="367">
        <f>+DHR!EF365</f>
        <v>5.4772637001789318E-2</v>
      </c>
      <c r="EG53" s="47">
        <f t="shared" si="199"/>
        <v>5.7860497363998072E-2</v>
      </c>
      <c r="EH53" s="2"/>
    </row>
    <row r="54" spans="1:146" ht="11.25" customHeight="1" x14ac:dyDescent="0.2">
      <c r="A54" s="51" t="s">
        <v>606</v>
      </c>
      <c r="B54" s="8"/>
      <c r="C54" s="8"/>
      <c r="D54" s="8"/>
      <c r="E54" s="47"/>
      <c r="F54" s="15"/>
      <c r="G54" s="47"/>
      <c r="H54" s="15"/>
      <c r="I54" s="47"/>
      <c r="J54" s="15"/>
      <c r="K54" s="47"/>
      <c r="L54" s="15"/>
      <c r="M54" s="111"/>
      <c r="N54" s="15"/>
      <c r="O54" s="15"/>
      <c r="P54" s="15"/>
      <c r="Q54" s="47"/>
      <c r="R54" s="15"/>
      <c r="S54" s="111"/>
      <c r="T54" s="15"/>
      <c r="U54" s="15"/>
      <c r="V54" s="15"/>
      <c r="W54" s="47"/>
      <c r="X54" s="15"/>
      <c r="Y54" s="111"/>
      <c r="Z54" s="15"/>
      <c r="AA54" s="15"/>
      <c r="AB54" s="15"/>
      <c r="AC54" s="47"/>
      <c r="AD54" s="15"/>
      <c r="AE54" s="111"/>
      <c r="AF54" s="15"/>
      <c r="AG54" s="15"/>
      <c r="AH54" s="15"/>
      <c r="AI54" s="47"/>
      <c r="AJ54" s="15"/>
      <c r="AK54" s="111"/>
      <c r="AL54" s="15"/>
      <c r="AM54" s="15"/>
      <c r="AN54" s="15"/>
      <c r="AO54" s="47"/>
      <c r="AP54" s="15"/>
      <c r="AQ54" s="111"/>
      <c r="AR54" s="15"/>
      <c r="AS54" s="15"/>
      <c r="AT54" s="15"/>
      <c r="AU54" s="47"/>
      <c r="AV54" s="15"/>
      <c r="AW54" s="111"/>
      <c r="AX54" s="15"/>
      <c r="AY54" s="15"/>
      <c r="AZ54" s="15"/>
      <c r="BA54" s="47"/>
      <c r="BB54" s="15"/>
      <c r="BC54" s="111"/>
      <c r="BD54" s="15"/>
      <c r="BE54" s="15"/>
      <c r="BF54" s="15"/>
      <c r="BG54" s="47"/>
      <c r="BH54" s="15"/>
      <c r="BI54" s="111"/>
      <c r="BJ54" s="15"/>
      <c r="BK54" s="15"/>
      <c r="BL54" s="15"/>
      <c r="BM54" s="47"/>
      <c r="BN54" s="15"/>
      <c r="BO54" s="366"/>
      <c r="BP54" s="367"/>
      <c r="BQ54" s="367"/>
      <c r="BR54" s="367"/>
      <c r="BS54" s="47">
        <f>BS17/BS$11</f>
        <v>0.36999999999999994</v>
      </c>
      <c r="BT54" s="15"/>
      <c r="BU54" s="111">
        <f t="shared" ref="BU54:DT54" si="206">BU17/BU$11</f>
        <v>0.37</v>
      </c>
      <c r="BV54" s="15">
        <f t="shared" si="206"/>
        <v>0.37</v>
      </c>
      <c r="BW54" s="15">
        <f t="shared" si="206"/>
        <v>0.36999999999999994</v>
      </c>
      <c r="BX54" s="15">
        <f t="shared" si="206"/>
        <v>0.37</v>
      </c>
      <c r="BY54" s="47">
        <f>BY17/BY$11</f>
        <v>0.37</v>
      </c>
      <c r="BZ54" s="15"/>
      <c r="CA54" s="111">
        <f t="shared" si="206"/>
        <v>0.37</v>
      </c>
      <c r="CB54" s="15">
        <f t="shared" si="206"/>
        <v>0.37</v>
      </c>
      <c r="CC54" s="15">
        <f t="shared" si="206"/>
        <v>0.37000000000000005</v>
      </c>
      <c r="CD54" s="15">
        <f t="shared" si="206"/>
        <v>0.37</v>
      </c>
      <c r="CE54" s="47">
        <f t="shared" si="201"/>
        <v>0.37</v>
      </c>
      <c r="CF54" s="15"/>
      <c r="CG54" s="111">
        <f t="shared" si="206"/>
        <v>0.36822557542331691</v>
      </c>
      <c r="CH54" s="15">
        <f t="shared" si="206"/>
        <v>0.36822557542331691</v>
      </c>
      <c r="CI54" s="15">
        <f t="shared" si="206"/>
        <v>0.36822557542331696</v>
      </c>
      <c r="CJ54" s="15">
        <f t="shared" si="206"/>
        <v>0.36822557542331691</v>
      </c>
      <c r="CK54" s="47">
        <f t="shared" si="202"/>
        <v>0.36822557542331685</v>
      </c>
      <c r="CL54" s="15"/>
      <c r="CM54" s="111">
        <f t="shared" si="206"/>
        <v>0.374</v>
      </c>
      <c r="CN54" s="15">
        <f t="shared" si="206"/>
        <v>0.374</v>
      </c>
      <c r="CO54" s="15">
        <f t="shared" si="206"/>
        <v>0.374</v>
      </c>
      <c r="CP54" s="15">
        <f t="shared" si="206"/>
        <v>0.374</v>
      </c>
      <c r="CQ54" s="47">
        <f t="shared" si="191"/>
        <v>0.37400000000000005</v>
      </c>
      <c r="CR54" s="15"/>
      <c r="CS54" s="111">
        <f t="shared" si="206"/>
        <v>0.40533174613119477</v>
      </c>
      <c r="CT54" s="15">
        <f t="shared" si="206"/>
        <v>0.38047147931773478</v>
      </c>
      <c r="CU54" s="15">
        <f t="shared" si="206"/>
        <v>0.40242582996412507</v>
      </c>
      <c r="CV54" s="15">
        <f t="shared" si="206"/>
        <v>0.37140874392782786</v>
      </c>
      <c r="CW54" s="47">
        <f t="shared" si="206"/>
        <v>0.38859751830784894</v>
      </c>
      <c r="CX54" s="15"/>
      <c r="CY54" s="111">
        <f t="shared" si="206"/>
        <v>0.39606533982314412</v>
      </c>
      <c r="CZ54" s="15">
        <f t="shared" si="206"/>
        <v>0.39397439826492847</v>
      </c>
      <c r="DA54" s="15">
        <f t="shared" si="206"/>
        <v>0.38404201253599857</v>
      </c>
      <c r="DB54" s="15">
        <f t="shared" si="206"/>
        <v>0.38640577623628469</v>
      </c>
      <c r="DC54" s="47">
        <f>DC17/DC$11</f>
        <v>0.38997417428801595</v>
      </c>
      <c r="DD54" s="15"/>
      <c r="DE54" s="111">
        <f t="shared" ref="DE54:DH54" si="207">DE17/DE$11</f>
        <v>0.4083267945882969</v>
      </c>
      <c r="DF54" s="15">
        <f t="shared" si="207"/>
        <v>0.3883727633533624</v>
      </c>
      <c r="DG54" s="15">
        <f t="shared" si="207"/>
        <v>0.39227507618921426</v>
      </c>
      <c r="DH54" s="15">
        <f t="shared" si="207"/>
        <v>0.37379318481231688</v>
      </c>
      <c r="DI54" s="47">
        <f t="shared" si="206"/>
        <v>0.38986999241667891</v>
      </c>
      <c r="DJ54" s="15"/>
      <c r="DK54" s="111">
        <f t="shared" ref="DK54" si="208">DK17/DK$11</f>
        <v>0.40477914554670535</v>
      </c>
      <c r="DL54" s="15">
        <f t="shared" si="206"/>
        <v>0.3848727633533624</v>
      </c>
      <c r="DM54" s="15">
        <f t="shared" si="206"/>
        <v>0.38877507618921425</v>
      </c>
      <c r="DN54" s="15">
        <f t="shared" si="206"/>
        <v>0.37029318481231682</v>
      </c>
      <c r="DO54" s="47">
        <f t="shared" si="205"/>
        <v>0.38653530917911577</v>
      </c>
      <c r="DP54" s="15"/>
      <c r="DQ54" s="111">
        <f t="shared" si="206"/>
        <v>0.4012791455467053</v>
      </c>
      <c r="DR54" s="15">
        <f t="shared" si="206"/>
        <v>0.3813727633533624</v>
      </c>
      <c r="DS54" s="15">
        <f t="shared" si="206"/>
        <v>0.38527507618921425</v>
      </c>
      <c r="DT54" s="15">
        <f t="shared" si="206"/>
        <v>0.36679318481231682</v>
      </c>
      <c r="DU54" s="47">
        <f t="shared" si="197"/>
        <v>0.38306227017857686</v>
      </c>
      <c r="DV54" s="15"/>
      <c r="DW54" s="111">
        <f t="shared" ref="DW54:DZ54" si="209">DW17/DW$11</f>
        <v>0.39777914554670535</v>
      </c>
      <c r="DX54" s="15">
        <f t="shared" si="209"/>
        <v>0.37787276335336245</v>
      </c>
      <c r="DY54" s="15">
        <f t="shared" si="209"/>
        <v>0.3817750761892143</v>
      </c>
      <c r="DZ54" s="15">
        <f t="shared" si="209"/>
        <v>0.36329318481231687</v>
      </c>
      <c r="EA54" s="47">
        <f t="shared" si="198"/>
        <v>0.3795624859094382</v>
      </c>
      <c r="EB54" s="15"/>
      <c r="EC54" s="111">
        <f t="shared" ref="EC54:EF54" si="210">EC17/EC$11</f>
        <v>0.39427914554670529</v>
      </c>
      <c r="ED54" s="15">
        <f t="shared" si="210"/>
        <v>0.37437276335336245</v>
      </c>
      <c r="EE54" s="15">
        <f t="shared" si="210"/>
        <v>0.37827507618921424</v>
      </c>
      <c r="EF54" s="15">
        <f t="shared" si="210"/>
        <v>0.35979318481231687</v>
      </c>
      <c r="EG54" s="47">
        <f t="shared" si="199"/>
        <v>0.37606269936660297</v>
      </c>
      <c r="EH54" s="2"/>
    </row>
    <row r="55" spans="1:146" ht="11.25" customHeight="1" x14ac:dyDescent="0.2">
      <c r="A55" s="51" t="s">
        <v>166</v>
      </c>
      <c r="B55" s="8"/>
      <c r="C55" s="8"/>
      <c r="D55" s="8"/>
      <c r="E55" s="47"/>
      <c r="F55" s="15"/>
      <c r="G55" s="47"/>
      <c r="H55" s="15"/>
      <c r="I55" s="47"/>
      <c r="J55" s="15"/>
      <c r="K55" s="47"/>
      <c r="L55" s="15"/>
      <c r="M55" s="111"/>
      <c r="N55" s="15"/>
      <c r="O55" s="15"/>
      <c r="P55" s="15"/>
      <c r="Q55" s="47"/>
      <c r="R55" s="15"/>
      <c r="S55" s="111"/>
      <c r="T55" s="15"/>
      <c r="U55" s="15"/>
      <c r="V55" s="15"/>
      <c r="W55" s="47"/>
      <c r="X55" s="15"/>
      <c r="Y55" s="111"/>
      <c r="Z55" s="15"/>
      <c r="AA55" s="15"/>
      <c r="AB55" s="15"/>
      <c r="AC55" s="47"/>
      <c r="AD55" s="15"/>
      <c r="AE55" s="111"/>
      <c r="AF55" s="15"/>
      <c r="AG55" s="15"/>
      <c r="AH55" s="15"/>
      <c r="AI55" s="47"/>
      <c r="AJ55" s="15"/>
      <c r="AK55" s="111"/>
      <c r="AL55" s="15"/>
      <c r="AM55" s="15"/>
      <c r="AN55" s="15"/>
      <c r="AO55" s="47"/>
      <c r="AP55" s="15"/>
      <c r="AQ55" s="111"/>
      <c r="AR55" s="15"/>
      <c r="AS55" s="15"/>
      <c r="AT55" s="15"/>
      <c r="AU55" s="47"/>
      <c r="AV55" s="15"/>
      <c r="AW55" s="111"/>
      <c r="AX55" s="15"/>
      <c r="AY55" s="15"/>
      <c r="AZ55" s="15"/>
      <c r="BA55" s="47"/>
      <c r="BB55" s="15"/>
      <c r="BC55" s="111"/>
      <c r="BD55" s="15"/>
      <c r="BE55" s="15"/>
      <c r="BF55" s="15"/>
      <c r="BG55" s="47"/>
      <c r="BH55" s="15"/>
      <c r="BI55" s="111"/>
      <c r="BJ55" s="15"/>
      <c r="BK55" s="15"/>
      <c r="BL55" s="15"/>
      <c r="BM55" s="47"/>
      <c r="BN55" s="15"/>
      <c r="BO55" s="111">
        <f>BO20/BO$11</f>
        <v>0.10919626029185642</v>
      </c>
      <c r="BP55" s="15">
        <f>BP20/BP$11</f>
        <v>0.12539475963744187</v>
      </c>
      <c r="BQ55" s="15">
        <f>BQ20/BQ$11</f>
        <v>0.15275821978939233</v>
      </c>
      <c r="BR55" s="15">
        <f>BR20/BR$11</f>
        <v>0.14980784114211837</v>
      </c>
      <c r="BS55" s="47">
        <f>BS20/BS$11</f>
        <v>0.13539040997437699</v>
      </c>
      <c r="BT55" s="15"/>
      <c r="BU55" s="111">
        <f>BU20/BU$11</f>
        <v>0.15301882016120832</v>
      </c>
      <c r="BV55" s="15">
        <f>BV20/BV$11</f>
        <v>0.12191276267734005</v>
      </c>
      <c r="BW55" s="15">
        <f>BW20/BW$11</f>
        <v>9.5602393446708067E-2</v>
      </c>
      <c r="BX55" s="15">
        <f>BX20/BX$11</f>
        <v>0.13905384953372918</v>
      </c>
      <c r="BY55" s="47">
        <f>BY20/BY$11</f>
        <v>0.12543320372211586</v>
      </c>
      <c r="BZ55" s="15"/>
      <c r="CA55" s="111">
        <f>CA20/CA$11</f>
        <v>0.13888075945331263</v>
      </c>
      <c r="CB55" s="15">
        <f>CB20/CB$11</f>
        <v>0.14807147419354103</v>
      </c>
      <c r="CC55" s="15">
        <f>CC20/CC$11</f>
        <v>0.14543159326206717</v>
      </c>
      <c r="CD55" s="15">
        <f>CD20/CD$11</f>
        <v>0.1637340780942288</v>
      </c>
      <c r="CE55" s="47">
        <f>CE20/CE$11</f>
        <v>0.14967387216800021</v>
      </c>
      <c r="CF55" s="15"/>
      <c r="CG55" s="111">
        <f>CG20/CG$11</f>
        <v>0.13721497698692506</v>
      </c>
      <c r="CH55" s="15">
        <f>CH20/CH$11</f>
        <v>0.15847222109164888</v>
      </c>
      <c r="CI55" s="15">
        <f>CI20/CI$11</f>
        <v>0.15917342829442196</v>
      </c>
      <c r="CJ55" s="15">
        <f>CJ20/CJ$11</f>
        <v>0.16683081560202248</v>
      </c>
      <c r="CK55" s="47">
        <f>CK20/CK$11</f>
        <v>0.15612949792586828</v>
      </c>
      <c r="CL55" s="15"/>
      <c r="CM55" s="111">
        <f>CM20/CM$11</f>
        <v>0.144476891966621</v>
      </c>
      <c r="CN55" s="15">
        <f>CN20/CN$11</f>
        <v>0.16366595047939109</v>
      </c>
      <c r="CO55" s="15">
        <f>CO20/CO$11</f>
        <v>0.16761767061937069</v>
      </c>
      <c r="CP55" s="15">
        <f>CP20/CP$11</f>
        <v>0.1590220617608564</v>
      </c>
      <c r="CQ55" s="47">
        <f>CQ20/CQ$11</f>
        <v>0.15893547523104068</v>
      </c>
      <c r="CR55" s="15"/>
      <c r="CS55" s="111">
        <f>CS20/CS$11</f>
        <v>0.14024810475534116</v>
      </c>
      <c r="CT55" s="15">
        <f>CT20/CT$11</f>
        <v>0.17112409359128675</v>
      </c>
      <c r="CU55" s="15">
        <f>CU20/CU$11</f>
        <v>0.13666647685211541</v>
      </c>
      <c r="CV55" s="15">
        <f>CV20/CV$11</f>
        <v>0.15072866065232476</v>
      </c>
      <c r="CW55" s="47">
        <f>CW20/CW$11</f>
        <v>0.14980219902034825</v>
      </c>
      <c r="CX55" s="15"/>
      <c r="CY55" s="111">
        <f>CY20/CY$11</f>
        <v>0.15623964730766299</v>
      </c>
      <c r="CZ55" s="15">
        <f>CZ20/CZ$11</f>
        <v>0.16740140031589612</v>
      </c>
      <c r="DA55" s="15">
        <f>DA20/DA$11</f>
        <v>0.16918758016504937</v>
      </c>
      <c r="DB55" s="15">
        <f>DB20/DB$11</f>
        <v>0.15893375215409111</v>
      </c>
      <c r="DC55" s="47">
        <f>DC20/DC$11</f>
        <v>0.16294484196559739</v>
      </c>
      <c r="DD55" s="15"/>
      <c r="DE55" s="111">
        <f>DE20/DE$11</f>
        <v>0.14670566136433877</v>
      </c>
      <c r="DF55" s="15">
        <f>DF20/DF$11</f>
        <v>0.16667036207622896</v>
      </c>
      <c r="DG55" s="15">
        <f>DG20/DG$11</f>
        <v>0.1679475288193984</v>
      </c>
      <c r="DH55" s="15">
        <f>DH20/DH$11</f>
        <v>0.18445838331006548</v>
      </c>
      <c r="DI55" s="47">
        <f>DI20/DI$11</f>
        <v>0.16734043655924538</v>
      </c>
      <c r="DJ55" s="15"/>
      <c r="DK55" s="111">
        <f>DK20/DK$11</f>
        <v>0.15823997955445743</v>
      </c>
      <c r="DL55" s="15">
        <f>DL20/DL$11</f>
        <v>0.17173241229936939</v>
      </c>
      <c r="DM55" s="15">
        <f>DM20/DM$11</f>
        <v>0.17283729133372228</v>
      </c>
      <c r="DN55" s="15">
        <f>DN20/DN$11</f>
        <v>0.19927162602091852</v>
      </c>
      <c r="DO55" s="47">
        <f>DO20/DO$11</f>
        <v>0.176340796245955</v>
      </c>
      <c r="DP55" s="15"/>
      <c r="DQ55" s="111">
        <f>DQ20/DQ$11</f>
        <v>0.16912242761510993</v>
      </c>
      <c r="DR55" s="15">
        <f>DR20/DR$11</f>
        <v>0.18123333347931445</v>
      </c>
      <c r="DS55" s="15">
        <f>DS20/DS$11</f>
        <v>0.18100062545622458</v>
      </c>
      <c r="DT55" s="15">
        <f>DT20/DT$11</f>
        <v>0.20603042611545069</v>
      </c>
      <c r="DU55" s="47">
        <f>DU20/DU$11</f>
        <v>0.18505748085733287</v>
      </c>
      <c r="DV55" s="15"/>
      <c r="DW55" s="111">
        <f t="shared" ref="DW55:EA55" si="211">DW20/DW$11</f>
        <v>0.178600314775787</v>
      </c>
      <c r="DX55" s="15">
        <f t="shared" si="211"/>
        <v>0.18999549682773459</v>
      </c>
      <c r="DY55" s="15">
        <f t="shared" si="211"/>
        <v>0.18987224608746037</v>
      </c>
      <c r="DZ55" s="15">
        <f t="shared" si="211"/>
        <v>0.21349748080836903</v>
      </c>
      <c r="EA55" s="47">
        <f t="shared" si="211"/>
        <v>0.19366293600556406</v>
      </c>
      <c r="EB55" s="15"/>
      <c r="EC55" s="111">
        <f t="shared" ref="EC55:EG55" si="212">EC20/EC$11</f>
        <v>0.18661883270289209</v>
      </c>
      <c r="ED55" s="15">
        <f t="shared" si="212"/>
        <v>0.197387423996357</v>
      </c>
      <c r="EE55" s="15">
        <f t="shared" si="212"/>
        <v>0.19732860157567494</v>
      </c>
      <c r="EF55" s="15">
        <f t="shared" si="212"/>
        <v>0.21873342908110618</v>
      </c>
      <c r="EG55" s="47">
        <f t="shared" si="212"/>
        <v>0.20063202516585127</v>
      </c>
      <c r="EH55" s="13"/>
    </row>
    <row r="56" spans="1:146" ht="11.25" customHeight="1" x14ac:dyDescent="0.2">
      <c r="A56" s="51" t="s">
        <v>244</v>
      </c>
      <c r="B56" s="8"/>
      <c r="C56" s="8"/>
      <c r="D56" s="8"/>
      <c r="E56" s="47"/>
      <c r="F56" s="76"/>
      <c r="G56" s="47"/>
      <c r="H56" s="76"/>
      <c r="I56" s="47"/>
      <c r="J56" s="76"/>
      <c r="K56" s="47"/>
      <c r="L56" s="76"/>
      <c r="M56" s="111"/>
      <c r="N56" s="15"/>
      <c r="O56" s="15"/>
      <c r="P56" s="15"/>
      <c r="Q56" s="47"/>
      <c r="R56" s="76"/>
      <c r="S56" s="111"/>
      <c r="T56" s="15"/>
      <c r="U56" s="15"/>
      <c r="V56" s="15"/>
      <c r="W56" s="47"/>
      <c r="X56" s="76"/>
      <c r="Y56" s="111"/>
      <c r="Z56" s="15"/>
      <c r="AA56" s="15"/>
      <c r="AB56" s="15"/>
      <c r="AC56" s="47"/>
      <c r="AD56" s="76"/>
      <c r="AE56" s="111"/>
      <c r="AF56" s="15"/>
      <c r="AG56" s="15"/>
      <c r="AH56" s="15"/>
      <c r="AI56" s="47"/>
      <c r="AJ56" s="76"/>
      <c r="AK56" s="111"/>
      <c r="AL56" s="15"/>
      <c r="AM56" s="15"/>
      <c r="AN56" s="15"/>
      <c r="AO56" s="47"/>
      <c r="AP56" s="76"/>
      <c r="AQ56" s="111"/>
      <c r="AR56" s="15"/>
      <c r="AS56" s="15"/>
      <c r="AT56" s="15"/>
      <c r="AU56" s="47"/>
      <c r="AV56" s="76"/>
      <c r="AW56" s="111"/>
      <c r="AX56" s="15"/>
      <c r="AY56" s="15"/>
      <c r="AZ56" s="15"/>
      <c r="BA56" s="47"/>
      <c r="BB56" s="76"/>
      <c r="BC56" s="111"/>
      <c r="BD56" s="15"/>
      <c r="BE56" s="15"/>
      <c r="BF56" s="15"/>
      <c r="BG56" s="47"/>
      <c r="BH56" s="76"/>
      <c r="BI56" s="111"/>
      <c r="BJ56" s="15"/>
      <c r="BK56" s="15"/>
      <c r="BL56" s="15"/>
      <c r="BM56" s="47"/>
      <c r="BN56" s="76"/>
      <c r="BO56" s="111">
        <f>(BO20-BI20)/(BO$11-BI$11)</f>
        <v>0.56068651860349783</v>
      </c>
      <c r="BP56" s="15">
        <f>(BP20-BJ20)/(BP$11-BJ$11)</f>
        <v>0.59164762428638307</v>
      </c>
      <c r="BQ56" s="15">
        <f>(BQ20-BK20)/(BQ$11-BK$11)</f>
        <v>0.82260074893808421</v>
      </c>
      <c r="BR56" s="15">
        <f>(BR20-BL20)/(BR$11-BL$11)</f>
        <v>0.91903760198309636</v>
      </c>
      <c r="BS56" s="47">
        <f>(BS20-BM20)/(BS$11-BM$11)</f>
        <v>0.72164368349531893</v>
      </c>
      <c r="BT56" s="76"/>
      <c r="BU56" s="111">
        <f>(BU20-BO20)/(BU$11-BO$11)</f>
        <v>0.38901774339667827</v>
      </c>
      <c r="BV56" s="15">
        <f>(BV20-BP20)/(BV$11-BP$11)</f>
        <v>0.10717351607205236</v>
      </c>
      <c r="BW56" s="15">
        <f>(BW20-BQ20)/(BW$11-BQ$11)</f>
        <v>1.9338153059364278E-2</v>
      </c>
      <c r="BX56" s="15">
        <f>(BX20-BR20)/(BX$11-BR$11)</f>
        <v>0.1226768915072332</v>
      </c>
      <c r="BY56" s="47">
        <f>(BY20-BS20)/(BY$11-BS$11)</f>
        <v>0.10428576945797149</v>
      </c>
      <c r="BZ56" s="76"/>
      <c r="CA56" s="111">
        <f>(CA20-BU20)/(CA$11-BU$11)</f>
        <v>0.11420982908703683</v>
      </c>
      <c r="CB56" s="15">
        <f>(CB20-BV20)/(CB$11-BV$11)</f>
        <v>0.19990580414938944</v>
      </c>
      <c r="CC56" s="15">
        <f>(CC20-BW20)/(CC$11-BW$11)</f>
        <v>2.9539464856159858</v>
      </c>
      <c r="CD56" s="15">
        <f>(CD20-BX20)/(CD$11-BX$11)</f>
        <v>0.46992363936458786</v>
      </c>
      <c r="CE56" s="47">
        <f>(CE20-BY20)/(CE$11-BY$11)</f>
        <v>0.25128441760605746</v>
      </c>
      <c r="CF56" s="76"/>
      <c r="CG56" s="111">
        <f>(CG20-CA20)/(CG$11-CA$11)</f>
        <v>8.2683688205400271E-2</v>
      </c>
      <c r="CH56" s="15">
        <f>(CH20-CB20)/(CH$11-CB$11)</f>
        <v>0.34289245012218739</v>
      </c>
      <c r="CI56" s="15">
        <f>(CI20-CC20)/(CI$11-CC$11)</f>
        <v>0.33856452451503588</v>
      </c>
      <c r="CJ56" s="15">
        <f>(CJ20-CD20)/(CJ$11-CD$11)</f>
        <v>0.22392559895220338</v>
      </c>
      <c r="CK56" s="47">
        <f>(CK20-CE20)/(CK$11-CE$11)</f>
        <v>0.2743355859952103</v>
      </c>
      <c r="CL56" s="76"/>
      <c r="CM56" s="111">
        <f>(CM20-CG20)/(CM$11-CG$11)</f>
        <v>0.293797912748334</v>
      </c>
      <c r="CN56" s="15">
        <f>(CN20-CH20)/(CN$11-CH$11)</f>
        <v>0.27624396848124189</v>
      </c>
      <c r="CO56" s="15">
        <f>(CO20-CI20)/(CO$11-CI$11)</f>
        <v>0.37421860161981346</v>
      </c>
      <c r="CP56" s="15">
        <f>(CP20-CJ20)/(CP$11-CJ$11)</f>
        <v>-0.10016972242051181</v>
      </c>
      <c r="CQ56" s="47">
        <f>(CQ20-CK20)/(CQ$11-CK$11)</f>
        <v>0.22748776845750432</v>
      </c>
      <c r="CR56" s="76"/>
      <c r="CS56" s="111">
        <f>(CS20-CM20)/(CS$11-CM$11)</f>
        <v>8.6277977163707165E-2</v>
      </c>
      <c r="CT56" s="15">
        <f>(CT20-CN20)/(CT$11-CN$11)</f>
        <v>0.27691087225858169</v>
      </c>
      <c r="CU56" s="15">
        <f>(CU20-CO20)/(CU$11-CO$11)</f>
        <v>-0.14148718017910925</v>
      </c>
      <c r="CV56" s="15">
        <f>(CV20-CP20)/(CV$11-CP$11)</f>
        <v>0.11177817410083726</v>
      </c>
      <c r="CW56" s="47">
        <f>(CW20-CQ20)/(CW$11-CQ$11)</f>
        <v>7.4800082029975429E-2</v>
      </c>
      <c r="CX56" s="76"/>
      <c r="CY56" s="111">
        <f>(CY20-CS20)/(CY$11-CS$11)</f>
        <v>0.22598715671539868</v>
      </c>
      <c r="CZ56" s="15">
        <f>(CZ20-CT20)/(CZ$11-CT$11)</f>
        <v>0.15222594542843426</v>
      </c>
      <c r="DA56" s="15">
        <f>(DA20-CU20)/(DA$11-CU$11)</f>
        <v>0.35344410388772485</v>
      </c>
      <c r="DB56" s="15">
        <f>(DB20-CV20)/(DB$11-CV$11)</f>
        <v>0.29468044393417508</v>
      </c>
      <c r="DC56" s="47">
        <f>(DC20-CW20)/(DC$11-CW$11)</f>
        <v>0.24041328051619248</v>
      </c>
      <c r="DD56" s="76"/>
      <c r="DE56" s="111">
        <f>(DE20-CY20)/(DE$11-CY$11)</f>
        <v>1.3849431818178916E-2</v>
      </c>
      <c r="DF56" s="15">
        <f>(DF20-CZ20)/(DF$11-CZ$11)</f>
        <v>0.15510812826249246</v>
      </c>
      <c r="DG56" s="15">
        <f>(DG20-DA20)/(DG$11-DA$11)</f>
        <v>0.15501136076748109</v>
      </c>
      <c r="DH56" s="15">
        <f>(DH20-DB20)/(DH$11-DB$11)</f>
        <v>0.41783007578779446</v>
      </c>
      <c r="DI56" s="47">
        <f>(DI20-DC20)/(DI$11-DC$11)</f>
        <v>0.21861397084225723</v>
      </c>
      <c r="DJ56" s="76"/>
      <c r="DK56" s="111">
        <f>(DK20-DE20)/(DK$11-DE$11)</f>
        <v>0.25730038799264821</v>
      </c>
      <c r="DL56" s="15">
        <f>(DL20-DF20)/(DL$11-DF$11)</f>
        <v>0.2260784258830105</v>
      </c>
      <c r="DM56" s="15">
        <f>(DM20-DG20)/(DM$11-DG$11)</f>
        <v>0.24152328388671793</v>
      </c>
      <c r="DN56" s="15">
        <f>(DN20-DH20)/(DN$11-DH$11)</f>
        <v>0.41292842684163394</v>
      </c>
      <c r="DO56" s="47">
        <f>(DO20-DI20)/(DO$11-DI$11)</f>
        <v>0.28044123117035147</v>
      </c>
      <c r="DP56" s="76"/>
      <c r="DQ56" s="111">
        <f>(DQ20-DK20)/(DQ$11-DK$11)</f>
        <v>0.40321773859826837</v>
      </c>
      <c r="DR56" s="15">
        <f>(DR20-DL20)/(DR$11-DL$11)</f>
        <v>0.37783729806635319</v>
      </c>
      <c r="DS56" s="15">
        <f>(DS20-DM20)/(DS$11-DM$11)</f>
        <v>0.38878395592223036</v>
      </c>
      <c r="DT56" s="15">
        <f>(DT20-DN20)/(DT$11-DN$11)</f>
        <v>0.37893282187088306</v>
      </c>
      <c r="DU56" s="47">
        <f>(DU20-DO20)/(DU$11-DO$11)</f>
        <v>0.38697896579978885</v>
      </c>
      <c r="DV56" s="76"/>
      <c r="DW56" s="111">
        <f t="shared" ref="DW56:EA56" si="213">(DW20-DQ20)/(DW$11-DQ$11)</f>
        <v>0.40010766315304763</v>
      </c>
      <c r="DX56" s="15">
        <f t="shared" si="213"/>
        <v>0.3947655039686</v>
      </c>
      <c r="DY56" s="15">
        <f t="shared" si="213"/>
        <v>0.39715041364247544</v>
      </c>
      <c r="DZ56" s="15">
        <f t="shared" si="213"/>
        <v>0.38821197676033714</v>
      </c>
      <c r="EA56" s="47">
        <f t="shared" si="213"/>
        <v>0.39482739343016998</v>
      </c>
      <c r="EB56" s="76"/>
      <c r="EC56" s="111">
        <f t="shared" ref="EC56" si="214">(EC20-DW20)/(EC$11-DW$11)</f>
        <v>0.37383981472392608</v>
      </c>
      <c r="ED56" s="15">
        <f t="shared" ref="ED56" si="215">(ED20-DX20)/(ED$11-DX$11)</f>
        <v>0.3699668739295312</v>
      </c>
      <c r="EE56" s="15">
        <f t="shared" ref="EE56" si="216">(EE20-DY20)/(EE$11-DY$11)</f>
        <v>0.37137186866751681</v>
      </c>
      <c r="EF56" s="15">
        <f t="shared" ref="EF56" si="217">(EF20-DZ20)/(EF$11-DZ$11)</f>
        <v>0.34112545106302544</v>
      </c>
      <c r="EG56" s="47">
        <f t="shared" ref="EG56" si="218">(EG20-EA20)/(EG$11-EA$11)</f>
        <v>0.36338649687509972</v>
      </c>
      <c r="EH56" s="61"/>
    </row>
    <row r="57" spans="1:146" ht="11.25" customHeight="1" x14ac:dyDescent="0.2">
      <c r="A57" s="1006" t="s">
        <v>643</v>
      </c>
      <c r="B57" s="1007"/>
      <c r="C57" s="1007"/>
      <c r="D57" s="1007"/>
      <c r="E57" s="375"/>
      <c r="F57" s="1190"/>
      <c r="G57" s="375"/>
      <c r="H57" s="1190"/>
      <c r="I57" s="375"/>
      <c r="J57" s="1190"/>
      <c r="K57" s="375"/>
      <c r="L57" s="1190"/>
      <c r="M57" s="366"/>
      <c r="N57" s="367"/>
      <c r="O57" s="367"/>
      <c r="P57" s="367"/>
      <c r="Q57" s="375"/>
      <c r="R57" s="1190"/>
      <c r="S57" s="366"/>
      <c r="T57" s="367"/>
      <c r="U57" s="367"/>
      <c r="V57" s="367"/>
      <c r="W57" s="375"/>
      <c r="X57" s="1190"/>
      <c r="Y57" s="366"/>
      <c r="Z57" s="367"/>
      <c r="AA57" s="367"/>
      <c r="AB57" s="367"/>
      <c r="AC57" s="375"/>
      <c r="AD57" s="1190"/>
      <c r="AE57" s="366"/>
      <c r="AF57" s="367"/>
      <c r="AG57" s="367"/>
      <c r="AH57" s="367"/>
      <c r="AI57" s="375"/>
      <c r="AJ57" s="1190"/>
      <c r="AK57" s="366"/>
      <c r="AL57" s="367"/>
      <c r="AM57" s="367"/>
      <c r="AN57" s="367"/>
      <c r="AO57" s="375"/>
      <c r="AP57" s="1190"/>
      <c r="AQ57" s="366"/>
      <c r="AR57" s="367"/>
      <c r="AS57" s="367"/>
      <c r="AT57" s="367"/>
      <c r="AU57" s="375"/>
      <c r="AV57" s="1190"/>
      <c r="AW57" s="366"/>
      <c r="AX57" s="367"/>
      <c r="AY57" s="367"/>
      <c r="AZ57" s="367"/>
      <c r="BA57" s="375"/>
      <c r="BB57" s="1190"/>
      <c r="BC57" s="366"/>
      <c r="BD57" s="367"/>
      <c r="BE57" s="367"/>
      <c r="BF57" s="367"/>
      <c r="BG57" s="375"/>
      <c r="BH57" s="1190"/>
      <c r="BI57" s="366"/>
      <c r="BJ57" s="367"/>
      <c r="BK57" s="367"/>
      <c r="BL57" s="367"/>
      <c r="BM57" s="375"/>
      <c r="BN57" s="1190"/>
      <c r="BO57" s="366"/>
      <c r="BP57" s="367"/>
      <c r="BQ57" s="367"/>
      <c r="BR57" s="367"/>
      <c r="BS57" s="375"/>
      <c r="BT57" s="1190"/>
      <c r="BU57" s="366"/>
      <c r="BV57" s="367"/>
      <c r="BW57" s="367"/>
      <c r="BX57" s="367"/>
      <c r="BY57" s="375"/>
      <c r="BZ57" s="1190"/>
      <c r="CA57" s="366"/>
      <c r="CB57" s="367"/>
      <c r="CC57" s="367"/>
      <c r="CD57" s="367"/>
      <c r="CE57" s="375">
        <f>+DHR!CE379</f>
        <v>0.54951400808147266</v>
      </c>
      <c r="CF57" s="1190"/>
      <c r="CG57" s="366">
        <f>+DHR!CG379</f>
        <v>0.12706219601833957</v>
      </c>
      <c r="CH57" s="367">
        <f>+DHR!CH379</f>
        <v>0.33631709162160223</v>
      </c>
      <c r="CI57" s="367">
        <f>+DHR!CI379</f>
        <v>0.41956474847335612</v>
      </c>
      <c r="CJ57" s="367">
        <f>+DHR!CJ379</f>
        <v>0.25154772071236831</v>
      </c>
      <c r="CK57" s="375">
        <f>+DHR!CK379</f>
        <v>0.3160148886674915</v>
      </c>
      <c r="CL57" s="1190"/>
      <c r="CM57" s="366">
        <f>+DHR!CM379</f>
        <v>0.40728018758051526</v>
      </c>
      <c r="CN57" s="367">
        <f>+DHR!CN379</f>
        <v>0.12326565812432516</v>
      </c>
      <c r="CO57" s="367">
        <f>+DHR!CO379</f>
        <v>0.49825807803619826</v>
      </c>
      <c r="CP57" s="367">
        <f>+DHR!CP379</f>
        <v>0.63826535831765985</v>
      </c>
      <c r="CQ57" s="375">
        <f>+DHR!CQ379</f>
        <v>0.42774518353403451</v>
      </c>
      <c r="CR57" s="1190"/>
      <c r="CS57" s="366">
        <f>+DHR!CS379</f>
        <v>0.59862330510242878</v>
      </c>
      <c r="CT57" s="367">
        <f>+DHR!CT379</f>
        <v>0.73078063738214472</v>
      </c>
      <c r="CU57" s="367">
        <f>+DHR!CU379</f>
        <v>0.29000194469644047</v>
      </c>
      <c r="CV57" s="367">
        <f>+DHR!CV379</f>
        <v>0.57951395814140072</v>
      </c>
      <c r="CW57" s="375">
        <f>+DHR!CW379</f>
        <v>0.56750553079760302</v>
      </c>
      <c r="CX57" s="1190"/>
      <c r="CY57" s="366">
        <f>+DHR!CY379</f>
        <v>0.58156401494283061</v>
      </c>
      <c r="CZ57" s="367">
        <f>+DHR!CZ379</f>
        <v>-7.4304599255113291E-2</v>
      </c>
      <c r="DA57" s="367">
        <f>+DHR!DA379</f>
        <v>0.24549889515448345</v>
      </c>
      <c r="DB57" s="367">
        <f>+DHR!DB379</f>
        <v>0.56329767774963324</v>
      </c>
      <c r="DC57" s="375">
        <f>+DHR!DC379</f>
        <v>0.3252296442531743</v>
      </c>
      <c r="DD57" s="1190"/>
      <c r="DE57" s="366">
        <f>+DHR!DE379</f>
        <v>-7.8558787149610537E-2</v>
      </c>
      <c r="DF57" s="367">
        <f>+DHR!DF379</f>
        <v>0.28603317595240496</v>
      </c>
      <c r="DG57" s="367">
        <f>+DHR!DG379</f>
        <v>2.625120277119506E-2</v>
      </c>
      <c r="DH57" s="367">
        <f>+DHR!DH379</f>
        <v>8.4724717387803988E-2</v>
      </c>
      <c r="DI57" s="375">
        <f>+DHR!DI379</f>
        <v>0.19353430757836937</v>
      </c>
      <c r="DJ57" s="1190"/>
      <c r="DK57" s="366">
        <f>+DHR!DK379</f>
        <v>0.26204035816396681</v>
      </c>
      <c r="DL57" s="367">
        <f>+DHR!DL379</f>
        <v>0.40015663334913693</v>
      </c>
      <c r="DM57" s="367">
        <f>+DHR!DM379</f>
        <v>0.16395957345881831</v>
      </c>
      <c r="DN57" s="367">
        <f>+DHR!DN379</f>
        <v>0.4254371173553092</v>
      </c>
      <c r="DO57" s="375">
        <f>+DHR!DO379</f>
        <v>0.21224411524229245</v>
      </c>
      <c r="DP57" s="1190"/>
      <c r="DQ57" s="366">
        <f>+DHR!DQ379</f>
        <v>0.38883132987827823</v>
      </c>
      <c r="DR57" s="367">
        <f>+DHR!DR379</f>
        <v>0.31573749940494988</v>
      </c>
      <c r="DS57" s="367">
        <f>+DHR!DS379</f>
        <v>0.27844682496721862</v>
      </c>
      <c r="DT57" s="367">
        <f>+DHR!DT379</f>
        <v>0.27973680426123948</v>
      </c>
      <c r="DU57" s="375">
        <f>+DHR!DU379</f>
        <v>0.30740918171743331</v>
      </c>
      <c r="DV57" s="1190"/>
      <c r="DW57" s="366">
        <f>+DHR!DW379</f>
        <v>0.29938187950484502</v>
      </c>
      <c r="DX57" s="367">
        <f>+DHR!DX379</f>
        <v>0.29899181370665306</v>
      </c>
      <c r="DY57" s="367">
        <f>+DHR!DY379</f>
        <v>0.29885199531453338</v>
      </c>
      <c r="DZ57" s="367">
        <f>+DHR!DZ379</f>
        <v>0.29994457867288354</v>
      </c>
      <c r="EA57" s="375">
        <f>+DHR!EA379</f>
        <v>0.2993090771018963</v>
      </c>
      <c r="EB57" s="1190"/>
      <c r="EC57" s="366">
        <f>+DHR!EC379</f>
        <v>0.2993556462736936</v>
      </c>
      <c r="ED57" s="367">
        <f>+DHR!ED379</f>
        <v>0.29896726845818594</v>
      </c>
      <c r="EE57" s="367">
        <f>+DHR!EE379</f>
        <v>0.29882682398141569</v>
      </c>
      <c r="EF57" s="367">
        <f>+DHR!EF379</f>
        <v>0.2999188774883742</v>
      </c>
      <c r="EG57" s="375">
        <f>+DHR!EG379</f>
        <v>0.29928365661265754</v>
      </c>
      <c r="EH57" s="61"/>
    </row>
    <row r="58" spans="1:146" ht="11.25" customHeight="1" x14ac:dyDescent="0.2">
      <c r="A58" s="51" t="s">
        <v>464</v>
      </c>
      <c r="B58" s="8"/>
      <c r="C58" s="8"/>
      <c r="D58" s="8"/>
      <c r="E58" s="47"/>
      <c r="F58" s="15"/>
      <c r="G58" s="47"/>
      <c r="H58" s="15"/>
      <c r="I58" s="47"/>
      <c r="J58" s="15"/>
      <c r="K58" s="47"/>
      <c r="L58" s="15"/>
      <c r="M58" s="111"/>
      <c r="N58" s="15"/>
      <c r="O58" s="15"/>
      <c r="P58" s="15"/>
      <c r="Q58" s="47"/>
      <c r="R58" s="15"/>
      <c r="S58" s="111"/>
      <c r="T58" s="15"/>
      <c r="U58" s="15"/>
      <c r="V58" s="15"/>
      <c r="W58" s="47"/>
      <c r="X58" s="15"/>
      <c r="Y58" s="111"/>
      <c r="Z58" s="15"/>
      <c r="AA58" s="15"/>
      <c r="AB58" s="15"/>
      <c r="AC58" s="47"/>
      <c r="AD58" s="15"/>
      <c r="AE58" s="111"/>
      <c r="AF58" s="15"/>
      <c r="AG58" s="15"/>
      <c r="AH58" s="15"/>
      <c r="AI58" s="47"/>
      <c r="AJ58" s="15"/>
      <c r="AK58" s="111"/>
      <c r="AL58" s="15"/>
      <c r="AM58" s="15"/>
      <c r="AN58" s="15"/>
      <c r="AO58" s="47"/>
      <c r="AP58" s="15"/>
      <c r="AQ58" s="111"/>
      <c r="AR58" s="15"/>
      <c r="AS58" s="15"/>
      <c r="AT58" s="15"/>
      <c r="AU58" s="47"/>
      <c r="AV58" s="15"/>
      <c r="AW58" s="111"/>
      <c r="AX58" s="15"/>
      <c r="AY58" s="15"/>
      <c r="AZ58" s="15"/>
      <c r="BA58" s="47"/>
      <c r="BB58" s="15"/>
      <c r="BC58" s="111"/>
      <c r="BD58" s="15"/>
      <c r="BE58" s="15"/>
      <c r="BF58" s="15"/>
      <c r="BG58" s="47"/>
      <c r="BH58" s="15"/>
      <c r="BI58" s="111"/>
      <c r="BJ58" s="15"/>
      <c r="BK58" s="15"/>
      <c r="BL58" s="15"/>
      <c r="BM58" s="47"/>
      <c r="BN58" s="15"/>
      <c r="BO58" s="111"/>
      <c r="BP58" s="15"/>
      <c r="BQ58" s="15"/>
      <c r="BR58" s="15"/>
      <c r="BS58" s="47">
        <f>BS22/BS$11</f>
        <v>0.19573719324157096</v>
      </c>
      <c r="BT58" s="15"/>
      <c r="BU58" s="111"/>
      <c r="BV58" s="15"/>
      <c r="BW58" s="15"/>
      <c r="BX58" s="15"/>
      <c r="BY58" s="47">
        <f>BY22/BY$11</f>
        <v>0.19253520307844785</v>
      </c>
      <c r="BZ58" s="15"/>
      <c r="CA58" s="111"/>
      <c r="CB58" s="15"/>
      <c r="CC58" s="15"/>
      <c r="CD58" s="15"/>
      <c r="CE58" s="47">
        <f>CE22/CE$11</f>
        <v>0.22132433156823558</v>
      </c>
      <c r="CF58" s="15"/>
      <c r="CG58" s="111"/>
      <c r="CH58" s="15"/>
      <c r="CI58" s="15"/>
      <c r="CJ58" s="15"/>
      <c r="CK58" s="47">
        <f>CK22/CK$11</f>
        <v>0.22853522118886779</v>
      </c>
      <c r="CL58" s="15"/>
      <c r="CM58" s="111"/>
      <c r="CN58" s="15"/>
      <c r="CO58" s="15"/>
      <c r="CP58" s="15"/>
      <c r="CQ58" s="47">
        <f>CQ22/CQ$11</f>
        <v>0.22806657802713393</v>
      </c>
      <c r="CR58" s="15"/>
      <c r="CS58" s="111">
        <f>CS22/CS$11</f>
        <v>0.21402167783973439</v>
      </c>
      <c r="CT58" s="15">
        <f>CT22/CT$11</f>
        <v>0.24070105392948363</v>
      </c>
      <c r="CU58" s="15">
        <f>CU22/CU$11</f>
        <v>0.17547406184158071</v>
      </c>
      <c r="CV58" s="15">
        <f>CV22/CV$11</f>
        <v>0.21364792967846402</v>
      </c>
      <c r="CW58" s="47">
        <f>CW22/CW$11</f>
        <v>0.2108260529178243</v>
      </c>
      <c r="CX58" s="15"/>
      <c r="CY58" s="111">
        <f>CY22/CY$11</f>
        <v>0.23526413699956689</v>
      </c>
      <c r="CZ58" s="15">
        <f>CZ22/CZ$11</f>
        <v>0.24302788844621506</v>
      </c>
      <c r="DA58" s="15">
        <f>DA22/DA$11</f>
        <v>0.21555625468889925</v>
      </c>
      <c r="DB58" s="15">
        <f>DB22/DB$11</f>
        <v>0.22559605610453062</v>
      </c>
      <c r="DC58" s="47">
        <f>DC22/DC$11</f>
        <v>0.22976591006018107</v>
      </c>
      <c r="DD58" s="15"/>
      <c r="DE58" s="111">
        <f>DE22/DE$11</f>
        <v>0.21936895166084114</v>
      </c>
      <c r="DF58" s="15">
        <f>DF22/DF$11</f>
        <v>0.23389725283253143</v>
      </c>
      <c r="DG58" s="15">
        <f>DG22/DG$11</f>
        <v>0.23671657612296274</v>
      </c>
      <c r="DH58" s="15">
        <f>DH22/DH$11</f>
        <v>0.2470063118154826</v>
      </c>
      <c r="DI58" s="47">
        <f>DI22/DI$11</f>
        <v>0.23489746149691484</v>
      </c>
      <c r="DJ58" s="15"/>
      <c r="DK58" s="111">
        <f>DK22/DK$11</f>
        <v>0.22709557992929236</v>
      </c>
      <c r="DL58" s="15">
        <f>DL22/DL$11</f>
        <v>0.23760800731391499</v>
      </c>
      <c r="DM58" s="15">
        <f>DM22/DM$11</f>
        <v>0.23924614281308387</v>
      </c>
      <c r="DN58" s="15">
        <f>DN22/DN$11</f>
        <v>0.25821943337932035</v>
      </c>
      <c r="DO58" s="47">
        <f>DO22/DO$11</f>
        <v>0.24115703590094256</v>
      </c>
      <c r="DP58" s="15"/>
      <c r="DQ58" s="111">
        <f>DQ22/DQ$11</f>
        <v>0.23559754994785825</v>
      </c>
      <c r="DR58" s="15">
        <f>DR22/DR$11</f>
        <v>0.24397948619750809</v>
      </c>
      <c r="DS58" s="15">
        <f>DS22/DS$11</f>
        <v>0.24482358668924456</v>
      </c>
      <c r="DT58" s="15">
        <f>DT22/DT$11</f>
        <v>0.26271675416215978</v>
      </c>
      <c r="DU58" s="47">
        <f>DU22/DU$11</f>
        <v>0.24729857784181566</v>
      </c>
      <c r="DV58" s="15"/>
      <c r="DW58" s="111">
        <f t="shared" ref="DW58:EA58" si="219">DW22/DW$11</f>
        <v>0.24287625963150236</v>
      </c>
      <c r="DX58" s="15">
        <f t="shared" si="219"/>
        <v>0.25067100322808239</v>
      </c>
      <c r="DY58" s="15">
        <f t="shared" si="219"/>
        <v>0.25159147305897372</v>
      </c>
      <c r="DZ58" s="15">
        <f t="shared" si="219"/>
        <v>0.26832711632759576</v>
      </c>
      <c r="EA58" s="47">
        <f t="shared" si="219"/>
        <v>0.25385322879705624</v>
      </c>
      <c r="EB58" s="15"/>
      <c r="EC58" s="111">
        <f t="shared" ref="EC58:EG58" si="220">EC22/EC$11</f>
        <v>0.24861004252006408</v>
      </c>
      <c r="ED58" s="15">
        <f t="shared" si="220"/>
        <v>0.25591100678732265</v>
      </c>
      <c r="EE58" s="15">
        <f t="shared" si="220"/>
        <v>0.2568612703077377</v>
      </c>
      <c r="EF58" s="15">
        <f t="shared" si="220"/>
        <v>0.271632928097083</v>
      </c>
      <c r="EG58" s="47">
        <f t="shared" si="220"/>
        <v>0.25869097350755044</v>
      </c>
      <c r="EH58" s="2"/>
    </row>
    <row r="59" spans="1:146" ht="11.25" customHeight="1" x14ac:dyDescent="0.2">
      <c r="A59" s="51" t="s">
        <v>245</v>
      </c>
      <c r="B59" s="2"/>
      <c r="C59" s="2"/>
      <c r="D59" s="2"/>
      <c r="E59" s="47"/>
      <c r="F59" s="15"/>
      <c r="G59" s="47"/>
      <c r="H59" s="15"/>
      <c r="I59" s="47"/>
      <c r="J59" s="15"/>
      <c r="K59" s="47"/>
      <c r="L59" s="15"/>
      <c r="M59" s="111"/>
      <c r="N59" s="15"/>
      <c r="O59" s="15"/>
      <c r="P59" s="15"/>
      <c r="Q59" s="47"/>
      <c r="R59" s="15"/>
      <c r="S59" s="111"/>
      <c r="T59" s="15"/>
      <c r="U59" s="15"/>
      <c r="V59" s="15"/>
      <c r="W59" s="47"/>
      <c r="X59" s="15"/>
      <c r="Y59" s="111"/>
      <c r="Z59" s="15"/>
      <c r="AA59" s="15"/>
      <c r="AB59" s="15"/>
      <c r="AC59" s="47"/>
      <c r="AD59" s="15"/>
      <c r="AE59" s="111"/>
      <c r="AF59" s="15"/>
      <c r="AG59" s="15"/>
      <c r="AH59" s="15"/>
      <c r="AI59" s="47"/>
      <c r="AJ59" s="15"/>
      <c r="AK59" s="111"/>
      <c r="AL59" s="15"/>
      <c r="AM59" s="15"/>
      <c r="AN59" s="15"/>
      <c r="AO59" s="47"/>
      <c r="AP59" s="15"/>
      <c r="AQ59" s="111"/>
      <c r="AR59" s="15"/>
      <c r="AS59" s="15"/>
      <c r="AT59" s="15"/>
      <c r="AU59" s="47"/>
      <c r="AV59" s="15"/>
      <c r="AW59" s="111"/>
      <c r="AX59" s="15"/>
      <c r="AY59" s="15"/>
      <c r="AZ59" s="15"/>
      <c r="BA59" s="47"/>
      <c r="BB59" s="15"/>
      <c r="BC59" s="111"/>
      <c r="BD59" s="15"/>
      <c r="BE59" s="15"/>
      <c r="BF59" s="15"/>
      <c r="BG59" s="47"/>
      <c r="BH59" s="15"/>
      <c r="BI59" s="111"/>
      <c r="BJ59" s="15"/>
      <c r="BK59" s="15"/>
      <c r="BL59" s="15"/>
      <c r="BM59" s="47"/>
      <c r="BN59" s="15"/>
      <c r="BO59" s="111"/>
      <c r="BP59" s="15"/>
      <c r="BQ59" s="15"/>
      <c r="BR59" s="15"/>
      <c r="BS59" s="47"/>
      <c r="BT59" s="15"/>
      <c r="BU59" s="111"/>
      <c r="BV59" s="15"/>
      <c r="BW59" s="15"/>
      <c r="BX59" s="15"/>
      <c r="BY59" s="47"/>
      <c r="BZ59" s="15"/>
      <c r="CA59" s="111"/>
      <c r="CB59" s="15"/>
      <c r="CC59" s="15"/>
      <c r="CD59" s="15"/>
      <c r="CE59" s="47"/>
      <c r="CF59" s="15"/>
      <c r="CG59" s="111"/>
      <c r="CH59" s="15"/>
      <c r="CI59" s="15"/>
      <c r="CJ59" s="15"/>
      <c r="CK59" s="47">
        <f>CK28/CK27</f>
        <v>0.22678661170629369</v>
      </c>
      <c r="CL59" s="15"/>
      <c r="CM59" s="111"/>
      <c r="CN59" s="15"/>
      <c r="CO59" s="15"/>
      <c r="CP59" s="15"/>
      <c r="CQ59" s="47">
        <f>CQ28/CQ27</f>
        <v>0.21450484133831849</v>
      </c>
      <c r="CR59" s="15"/>
      <c r="CS59" s="111">
        <f>CS28/CS27</f>
        <v>0.18044758539458183</v>
      </c>
      <c r="CT59" s="15">
        <f>CT28/CT27</f>
        <v>0.11105159792894125</v>
      </c>
      <c r="CU59" s="15">
        <f>CU28/CU27</f>
        <v>0.16303150473672623</v>
      </c>
      <c r="CV59" s="15">
        <f>CV28/CV27</f>
        <v>0.13296721584290236</v>
      </c>
      <c r="CW59" s="47">
        <f>CW28/CW27</f>
        <v>0.14352260468765321</v>
      </c>
      <c r="CX59" s="15"/>
      <c r="CY59" s="111">
        <f>CY28/CY27</f>
        <v>0.25242470648289933</v>
      </c>
      <c r="CZ59" s="15">
        <f>CZ28/CZ27</f>
        <v>0.36144210204705179</v>
      </c>
      <c r="DA59" s="15">
        <f>DA28/DA27</f>
        <v>0.15544367526746361</v>
      </c>
      <c r="DB59" s="15">
        <f>DB28/DB27</f>
        <v>-7.2659391154508909E-2</v>
      </c>
      <c r="DC59" s="47">
        <f>DC28/DC27</f>
        <v>0.17535327231647063</v>
      </c>
      <c r="DD59" s="15"/>
      <c r="DE59" s="111">
        <f>DE28/DE27</f>
        <v>0.17327409432672602</v>
      </c>
      <c r="DF59" s="15">
        <f>DF28/DF27</f>
        <v>0.16995005549389564</v>
      </c>
      <c r="DG59" s="15">
        <f>DG28/DG27</f>
        <v>0.21608659906823791</v>
      </c>
      <c r="DH59" s="15">
        <f>DH28/DH27</f>
        <v>0.12502553626149135</v>
      </c>
      <c r="DI59" s="47">
        <f>DI28/DI27</f>
        <v>0.16717526867453894</v>
      </c>
      <c r="DJ59" s="15"/>
      <c r="DK59" s="111">
        <f>DK28/DK27</f>
        <v>0.2054410321133083</v>
      </c>
      <c r="DL59" s="367">
        <f>+CF!DL138</f>
        <v>0.20599999999999999</v>
      </c>
      <c r="DM59" s="367">
        <f>+CF!DM138</f>
        <v>0.20599999999999999</v>
      </c>
      <c r="DN59" s="367">
        <f>+CF!DN138</f>
        <v>0.20599999999999999</v>
      </c>
      <c r="DO59" s="47">
        <f>DO28/DO27</f>
        <v>0.20588257630182652</v>
      </c>
      <c r="DP59" s="15"/>
      <c r="DQ59" s="366">
        <f>+CF!DQ138</f>
        <v>0.20599999999999999</v>
      </c>
      <c r="DR59" s="367">
        <f>+CF!DR138</f>
        <v>0.20599999999999999</v>
      </c>
      <c r="DS59" s="367">
        <f>+CF!DS138</f>
        <v>0.20599999999999999</v>
      </c>
      <c r="DT59" s="367">
        <f>+CF!DT138</f>
        <v>0.20599999999999999</v>
      </c>
      <c r="DU59" s="47">
        <f>DU28/DU27</f>
        <v>0.20599999999999996</v>
      </c>
      <c r="DV59" s="15"/>
      <c r="DW59" s="366">
        <f>+CF!DW138</f>
        <v>0.20599999999999999</v>
      </c>
      <c r="DX59" s="367">
        <f>+CF!DX138</f>
        <v>0.20599999999999999</v>
      </c>
      <c r="DY59" s="367">
        <f>+CF!DY138</f>
        <v>0.20599999999999999</v>
      </c>
      <c r="DZ59" s="367">
        <f>+CF!DZ138</f>
        <v>0.20599999999999999</v>
      </c>
      <c r="EA59" s="47">
        <f t="shared" ref="EA59" si="221">EA28/EA27</f>
        <v>0.20600000000000002</v>
      </c>
      <c r="EB59" s="15"/>
      <c r="EC59" s="366">
        <f>+CF!EC138</f>
        <v>0.20599999999999999</v>
      </c>
      <c r="ED59" s="367">
        <f>+CF!ED138</f>
        <v>0.20599999999999999</v>
      </c>
      <c r="EE59" s="367">
        <f>+CF!EE138</f>
        <v>0.20599999999999999</v>
      </c>
      <c r="EF59" s="367">
        <f>+CF!EF138</f>
        <v>0.20599999999999999</v>
      </c>
      <c r="EG59" s="47">
        <f t="shared" ref="EG59" si="222">EG28/EG27</f>
        <v>0.20600000000000002</v>
      </c>
      <c r="EH59" s="2"/>
    </row>
    <row r="60" spans="1:146" ht="11.25" customHeight="1" x14ac:dyDescent="0.2">
      <c r="A60" s="105" t="s">
        <v>246</v>
      </c>
      <c r="B60" s="8"/>
      <c r="C60" s="8"/>
      <c r="D60" s="8"/>
      <c r="E60" s="108"/>
      <c r="F60" s="15"/>
      <c r="G60" s="108"/>
      <c r="H60" s="15"/>
      <c r="I60" s="108"/>
      <c r="J60" s="15"/>
      <c r="K60" s="108"/>
      <c r="L60" s="15"/>
      <c r="M60" s="112"/>
      <c r="N60" s="113"/>
      <c r="O60" s="113"/>
      <c r="P60" s="113"/>
      <c r="Q60" s="108"/>
      <c r="R60" s="15"/>
      <c r="S60" s="112"/>
      <c r="T60" s="113"/>
      <c r="U60" s="113"/>
      <c r="V60" s="113"/>
      <c r="W60" s="108"/>
      <c r="X60" s="15"/>
      <c r="Y60" s="112"/>
      <c r="Z60" s="113"/>
      <c r="AA60" s="113"/>
      <c r="AB60" s="113"/>
      <c r="AC60" s="108"/>
      <c r="AD60" s="15"/>
      <c r="AE60" s="112"/>
      <c r="AF60" s="113"/>
      <c r="AG60" s="113"/>
      <c r="AH60" s="113"/>
      <c r="AI60" s="108"/>
      <c r="AJ60" s="15"/>
      <c r="AK60" s="112"/>
      <c r="AL60" s="113"/>
      <c r="AM60" s="113"/>
      <c r="AN60" s="113"/>
      <c r="AO60" s="108"/>
      <c r="AP60" s="15"/>
      <c r="AQ60" s="112"/>
      <c r="AR60" s="113"/>
      <c r="AS60" s="113"/>
      <c r="AT60" s="113"/>
      <c r="AU60" s="108"/>
      <c r="AV60" s="15"/>
      <c r="AW60" s="112"/>
      <c r="AX60" s="113"/>
      <c r="AY60" s="113"/>
      <c r="AZ60" s="113"/>
      <c r="BA60" s="108"/>
      <c r="BB60" s="15"/>
      <c r="BC60" s="112"/>
      <c r="BD60" s="113"/>
      <c r="BE60" s="113"/>
      <c r="BF60" s="113"/>
      <c r="BG60" s="108"/>
      <c r="BH60" s="15"/>
      <c r="BI60" s="112"/>
      <c r="BJ60" s="113"/>
      <c r="BK60" s="113"/>
      <c r="BL60" s="113"/>
      <c r="BM60" s="108"/>
      <c r="BN60" s="15"/>
      <c r="BO60" s="112"/>
      <c r="BP60" s="113"/>
      <c r="BQ60" s="113"/>
      <c r="BR60" s="113"/>
      <c r="BS60" s="108"/>
      <c r="BT60" s="15"/>
      <c r="BU60" s="112"/>
      <c r="BV60" s="113"/>
      <c r="BW60" s="113"/>
      <c r="BX60" s="113"/>
      <c r="BY60" s="108"/>
      <c r="BZ60" s="15"/>
      <c r="CA60" s="112"/>
      <c r="CB60" s="113"/>
      <c r="CC60" s="113"/>
      <c r="CD60" s="113"/>
      <c r="CE60" s="108">
        <f>CE34/CE$11</f>
        <v>0.13034957355522689</v>
      </c>
      <c r="CF60" s="15"/>
      <c r="CG60" s="112"/>
      <c r="CH60" s="113"/>
      <c r="CI60" s="113"/>
      <c r="CJ60" s="113"/>
      <c r="CK60" s="108">
        <f>CK34/CK$11</f>
        <v>0.13500239778046905</v>
      </c>
      <c r="CL60" s="15"/>
      <c r="CM60" s="112"/>
      <c r="CN60" s="113"/>
      <c r="CO60" s="113"/>
      <c r="CP60" s="113"/>
      <c r="CQ60" s="108">
        <f>CQ34/CQ$11</f>
        <v>0.14793706262599385</v>
      </c>
      <c r="CR60" s="15"/>
      <c r="CS60" s="112">
        <f>CS34/CS$11</f>
        <v>0.13522460998684299</v>
      </c>
      <c r="CT60" s="113">
        <f>CT34/CT$11</f>
        <v>0.16035228840677571</v>
      </c>
      <c r="CU60" s="113">
        <f>CU34/CU$11</f>
        <v>0.14280650304652345</v>
      </c>
      <c r="CV60" s="113">
        <f>CV34/CV$11</f>
        <v>0.14540897524866989</v>
      </c>
      <c r="CW60" s="108">
        <f>CW34/CW$11</f>
        <v>0.14604986940285586</v>
      </c>
      <c r="CX60" s="15"/>
      <c r="CY60" s="112">
        <f>CY34/CY$11</f>
        <v>0.1405010066002397</v>
      </c>
      <c r="CZ60" s="113">
        <f>CZ34/CZ$11</f>
        <v>0.14763549352884314</v>
      </c>
      <c r="DA60" s="113">
        <f>DA34/DA$11</f>
        <v>0.14729023982962672</v>
      </c>
      <c r="DB60" s="113">
        <f>DB34/DB$11</f>
        <v>0.1601834522173505</v>
      </c>
      <c r="DC60" s="108">
        <f>DC34/DC$11</f>
        <v>0.14929998104534903</v>
      </c>
      <c r="DD60" s="15"/>
      <c r="DE60" s="112">
        <f>DE34/DE$11</f>
        <v>0.14243027320065618</v>
      </c>
      <c r="DF60" s="113">
        <f>DF34/DF$11</f>
        <v>0.15513115008536399</v>
      </c>
      <c r="DG60" s="113">
        <f>DG34/DG$11</f>
        <v>0.15514844527959126</v>
      </c>
      <c r="DH60" s="113">
        <f>DH34/DH$11</f>
        <v>0.1659333447588818</v>
      </c>
      <c r="DI60" s="108">
        <f>DI34/DI$11</f>
        <v>0.15521838335353499</v>
      </c>
      <c r="DJ60" s="15"/>
      <c r="DK60" s="112">
        <f>DK34/DK$11</f>
        <v>0.14982802533689915</v>
      </c>
      <c r="DL60" s="113">
        <f>DL34/DL$11</f>
        <v>0.1593953906702886</v>
      </c>
      <c r="DM60" s="113">
        <f>DM34/DM$11</f>
        <v>0.16060869344649958</v>
      </c>
      <c r="DN60" s="113">
        <f>DN34/DN$11</f>
        <v>0.17890788003858393</v>
      </c>
      <c r="DO60" s="108">
        <f>DO34/DO$11</f>
        <v>0.16276366702188702</v>
      </c>
      <c r="DP60" s="15"/>
      <c r="DQ60" s="112">
        <f>DQ34/DQ$11</f>
        <v>0.15938269630707078</v>
      </c>
      <c r="DR60" s="113">
        <f>DR34/DR$11</f>
        <v>0.16782864614922838</v>
      </c>
      <c r="DS60" s="113">
        <f>DS34/DS$11</f>
        <v>0.16845859447611336</v>
      </c>
      <c r="DT60" s="113">
        <f>DT34/DT$11</f>
        <v>0.18564548676092343</v>
      </c>
      <c r="DU60" s="108">
        <f>DU34/DU$11</f>
        <v>0.17083025933547449</v>
      </c>
      <c r="DV60" s="15"/>
      <c r="DW60" s="112">
        <f t="shared" ref="DW60:EA60" si="223">DW34/DW$11</f>
        <v>0.16806707685551917</v>
      </c>
      <c r="DX60" s="113">
        <f t="shared" si="223"/>
        <v>0.17596546594868745</v>
      </c>
      <c r="DY60" s="113">
        <f t="shared" si="223"/>
        <v>0.17672322863742332</v>
      </c>
      <c r="DZ60" s="113">
        <f t="shared" si="223"/>
        <v>0.21781524346025011</v>
      </c>
      <c r="EA60" s="108">
        <f t="shared" si="223"/>
        <v>0.18566449240997279</v>
      </c>
      <c r="EB60" s="15"/>
      <c r="EC60" s="112">
        <f t="shared" ref="EC60:EG60" si="224">EC34/EC$11</f>
        <v>0.20640212159157309</v>
      </c>
      <c r="ED60" s="113">
        <f t="shared" si="224"/>
        <v>0.2154379021125204</v>
      </c>
      <c r="EE60" s="113">
        <f t="shared" si="224"/>
        <v>0.22080300070433989</v>
      </c>
      <c r="EF60" s="113">
        <f t="shared" si="224"/>
        <v>0.23323464903739052</v>
      </c>
      <c r="EG60" s="108">
        <f t="shared" si="224"/>
        <v>0.21944323582531289</v>
      </c>
      <c r="EH60" s="2"/>
    </row>
    <row r="61" spans="1:146" ht="11.25" customHeight="1" x14ac:dyDescent="0.2">
      <c r="A61" s="2"/>
      <c r="B61" s="8"/>
      <c r="C61" s="8"/>
      <c r="D61" s="8"/>
      <c r="E61" s="67"/>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67"/>
      <c r="BN61" s="67"/>
      <c r="BO61" s="67"/>
      <c r="BP61" s="67"/>
      <c r="BQ61" s="67"/>
      <c r="BR61" s="67"/>
      <c r="BS61" s="67"/>
      <c r="BT61" s="67"/>
      <c r="BU61" s="67"/>
      <c r="BV61" s="67"/>
      <c r="BW61" s="67"/>
      <c r="BX61" s="67"/>
      <c r="BY61" s="67"/>
      <c r="BZ61" s="67"/>
      <c r="CA61" s="67"/>
      <c r="CB61" s="67"/>
      <c r="CC61" s="67"/>
      <c r="CD61" s="67"/>
      <c r="CE61" s="67"/>
      <c r="CF61" s="67"/>
      <c r="CG61" s="67"/>
      <c r="CH61" s="67"/>
      <c r="CI61" s="67"/>
      <c r="CJ61" s="67"/>
      <c r="CK61" s="67"/>
      <c r="CL61" s="67"/>
      <c r="CM61" s="67"/>
      <c r="CN61" s="67"/>
      <c r="CO61" s="67"/>
      <c r="CP61" s="67"/>
      <c r="CQ61" s="67"/>
      <c r="CR61" s="67"/>
      <c r="CS61" s="67"/>
      <c r="CT61" s="67"/>
      <c r="CU61" s="67"/>
      <c r="CV61" s="67"/>
      <c r="CW61" s="67"/>
      <c r="CX61" s="67"/>
      <c r="CY61" s="67"/>
      <c r="CZ61" s="67"/>
      <c r="DA61" s="67"/>
      <c r="DB61" s="67"/>
      <c r="DC61" s="67"/>
      <c r="DD61" s="67"/>
      <c r="DE61" s="67"/>
      <c r="DF61" s="67"/>
      <c r="DG61" s="67"/>
      <c r="DH61" s="67"/>
      <c r="DI61" s="68"/>
      <c r="DJ61" s="67"/>
      <c r="DK61" s="67"/>
      <c r="DL61" s="67"/>
      <c r="DM61" s="67"/>
      <c r="DN61" s="67"/>
      <c r="DO61" s="68"/>
      <c r="DP61" s="67"/>
      <c r="DQ61" s="67"/>
      <c r="DR61" s="67"/>
      <c r="DS61" s="67"/>
      <c r="DT61" s="67"/>
      <c r="DU61" s="1088"/>
      <c r="DV61" s="67"/>
      <c r="DW61" s="67"/>
      <c r="DX61" s="67"/>
      <c r="DY61" s="67"/>
      <c r="DZ61" s="67"/>
      <c r="EA61" s="68"/>
      <c r="EB61" s="67"/>
      <c r="EC61" s="67"/>
      <c r="ED61" s="67"/>
      <c r="EE61" s="67"/>
      <c r="EF61" s="67"/>
      <c r="EG61" s="68"/>
      <c r="EH61" s="61"/>
    </row>
    <row r="62" spans="1:146" ht="11.25" customHeight="1" x14ac:dyDescent="0.2">
      <c r="A62" s="106" t="s">
        <v>237</v>
      </c>
      <c r="B62" s="74"/>
      <c r="C62" s="74"/>
      <c r="D62" s="74"/>
      <c r="E62" s="107"/>
      <c r="F62" s="75"/>
      <c r="G62" s="107"/>
      <c r="H62" s="75"/>
      <c r="I62" s="107"/>
      <c r="J62" s="75"/>
      <c r="K62" s="107"/>
      <c r="L62" s="75"/>
      <c r="M62" s="109"/>
      <c r="N62" s="110"/>
      <c r="O62" s="110"/>
      <c r="P62" s="110"/>
      <c r="Q62" s="107"/>
      <c r="R62" s="75"/>
      <c r="S62" s="109"/>
      <c r="T62" s="110"/>
      <c r="U62" s="110"/>
      <c r="V62" s="110"/>
      <c r="W62" s="107"/>
      <c r="X62" s="75"/>
      <c r="Y62" s="109"/>
      <c r="Z62" s="110"/>
      <c r="AA62" s="110"/>
      <c r="AB62" s="110"/>
      <c r="AC62" s="107"/>
      <c r="AD62" s="75"/>
      <c r="AE62" s="109"/>
      <c r="AF62" s="110"/>
      <c r="AG62" s="110"/>
      <c r="AH62" s="110"/>
      <c r="AI62" s="107"/>
      <c r="AJ62" s="75"/>
      <c r="AK62" s="109"/>
      <c r="AL62" s="110"/>
      <c r="AM62" s="110"/>
      <c r="AN62" s="110"/>
      <c r="AO62" s="107"/>
      <c r="AP62" s="75"/>
      <c r="AQ62" s="109"/>
      <c r="AR62" s="110"/>
      <c r="AS62" s="110"/>
      <c r="AT62" s="110"/>
      <c r="AU62" s="107"/>
      <c r="AV62" s="75"/>
      <c r="AW62" s="109"/>
      <c r="AX62" s="110"/>
      <c r="AY62" s="110"/>
      <c r="AZ62" s="110"/>
      <c r="BA62" s="107"/>
      <c r="BB62" s="75"/>
      <c r="BC62" s="109"/>
      <c r="BD62" s="110"/>
      <c r="BE62" s="110"/>
      <c r="BF62" s="110"/>
      <c r="BG62" s="107"/>
      <c r="BH62" s="75"/>
      <c r="BI62" s="109"/>
      <c r="BJ62" s="110"/>
      <c r="BK62" s="110"/>
      <c r="BL62" s="110"/>
      <c r="BM62" s="107"/>
      <c r="BN62" s="75"/>
      <c r="BO62" s="109"/>
      <c r="BP62" s="110"/>
      <c r="BQ62" s="110"/>
      <c r="BR62" s="110"/>
      <c r="BS62" s="107"/>
      <c r="BT62" s="75"/>
      <c r="BU62" s="109"/>
      <c r="BV62" s="110"/>
      <c r="BW62" s="110"/>
      <c r="BX62" s="110"/>
      <c r="BY62" s="107"/>
      <c r="BZ62" s="75"/>
      <c r="CA62" s="109"/>
      <c r="CB62" s="110"/>
      <c r="CC62" s="110"/>
      <c r="CD62" s="110"/>
      <c r="CE62" s="107"/>
      <c r="CF62" s="75"/>
      <c r="CG62" s="109"/>
      <c r="CH62" s="110"/>
      <c r="CI62" s="110"/>
      <c r="CJ62" s="110"/>
      <c r="CK62" s="107"/>
      <c r="CL62" s="75"/>
      <c r="CM62" s="109"/>
      <c r="CN62" s="110"/>
      <c r="CO62" s="110"/>
      <c r="CP62" s="110"/>
      <c r="CQ62" s="107"/>
      <c r="CR62" s="75"/>
      <c r="CS62" s="109"/>
      <c r="CT62" s="110"/>
      <c r="CU62" s="110"/>
      <c r="CV62" s="110"/>
      <c r="CW62" s="107"/>
      <c r="CX62" s="75"/>
      <c r="CY62" s="109"/>
      <c r="CZ62" s="110"/>
      <c r="DA62" s="110"/>
      <c r="DB62" s="110"/>
      <c r="DC62" s="107"/>
      <c r="DD62" s="75"/>
      <c r="DE62" s="109"/>
      <c r="DF62" s="110"/>
      <c r="DG62" s="110"/>
      <c r="DH62" s="110"/>
      <c r="DI62" s="107"/>
      <c r="DJ62" s="75"/>
      <c r="DK62" s="109"/>
      <c r="DL62" s="110"/>
      <c r="DM62" s="110"/>
      <c r="DN62" s="110"/>
      <c r="DO62" s="107"/>
      <c r="DP62" s="75"/>
      <c r="DQ62" s="109"/>
      <c r="DR62" s="110"/>
      <c r="DS62" s="110"/>
      <c r="DT62" s="110"/>
      <c r="DU62" s="107"/>
      <c r="DV62" s="75"/>
      <c r="DW62" s="109"/>
      <c r="DX62" s="110"/>
      <c r="DY62" s="110"/>
      <c r="DZ62" s="110"/>
      <c r="EA62" s="107"/>
      <c r="EB62" s="75"/>
      <c r="EC62" s="109"/>
      <c r="ED62" s="110"/>
      <c r="EE62" s="110"/>
      <c r="EF62" s="110"/>
      <c r="EG62" s="107"/>
      <c r="EH62" s="61"/>
    </row>
    <row r="63" spans="1:146" ht="11.25" customHeight="1" x14ac:dyDescent="0.2">
      <c r="A63" s="51" t="s">
        <v>249</v>
      </c>
      <c r="B63" s="8"/>
      <c r="C63" s="8"/>
      <c r="D63" s="8"/>
      <c r="E63" s="93"/>
      <c r="F63" s="67"/>
      <c r="G63" s="47"/>
      <c r="H63" s="67"/>
      <c r="I63" s="47"/>
      <c r="J63" s="67"/>
      <c r="K63" s="47"/>
      <c r="L63" s="67"/>
      <c r="M63" s="111"/>
      <c r="N63" s="15"/>
      <c r="O63" s="15"/>
      <c r="P63" s="15"/>
      <c r="Q63" s="47"/>
      <c r="R63" s="67"/>
      <c r="S63" s="111"/>
      <c r="T63" s="15"/>
      <c r="U63" s="15"/>
      <c r="V63" s="15"/>
      <c r="W63" s="47"/>
      <c r="X63" s="67"/>
      <c r="Y63" s="111">
        <f t="shared" ref="Y63" si="225">IF(ISERROR(Y11/S11-1),"-",Y11/S11-1)</f>
        <v>0.43232583798739133</v>
      </c>
      <c r="Z63" s="15">
        <f t="shared" ref="Z63" si="226">IF(ISERROR(Z11/T11-1),"-",Z11/T11-1)</f>
        <v>0.19233374276472337</v>
      </c>
      <c r="AA63" s="15">
        <f t="shared" ref="AA63" si="227">IF(ISERROR(AA11/U11-1),"-",AA11/U11-1)</f>
        <v>0.20701693401801569</v>
      </c>
      <c r="AB63" s="15">
        <f t="shared" ref="AB63" si="228">IF(ISERROR(AB11/V11-1),"-",AB11/V11-1)</f>
        <v>0.20377004967003032</v>
      </c>
      <c r="AC63" s="47">
        <f t="shared" ref="AC63" si="229">IF(ISERROR(AC11/W11-1),"-",AC11/W11-1)</f>
        <v>0.24409226347267587</v>
      </c>
      <c r="AD63" s="67"/>
      <c r="AE63" s="111">
        <f t="shared" ref="AE63" si="230">IF(ISERROR(AE11/Y11-1),"-",AE11/Y11-1)</f>
        <v>0.67574057248933528</v>
      </c>
      <c r="AF63" s="15">
        <f t="shared" ref="AF63" si="231">IF(ISERROR(AF11/Z11-1),"-",AF11/Z11-1)</f>
        <v>0.62597709481793418</v>
      </c>
      <c r="AG63" s="15">
        <f t="shared" ref="AG63" si="232">IF(ISERROR(AG11/AA11-1),"-",AG11/AA11-1)</f>
        <v>1.0275823929499772</v>
      </c>
      <c r="AH63" s="15">
        <f t="shared" ref="AH63" si="233">IF(ISERROR(AH11/AB11-1),"-",AH11/AB11-1)</f>
        <v>1.0712004529276191</v>
      </c>
      <c r="AI63" s="47">
        <f t="shared" ref="AI63" si="234">IF(ISERROR(AI11/AC11-1),"-",AI11/AC11-1)</f>
        <v>0.87250337029523806</v>
      </c>
      <c r="AJ63" s="67"/>
      <c r="AK63" s="111">
        <f t="shared" ref="AK63" si="235">IF(ISERROR(AK11/AE11-1),"-",AK11/AE11-1)</f>
        <v>0.5489550228223592</v>
      </c>
      <c r="AL63" s="15">
        <f t="shared" ref="AL63" si="236">IF(ISERROR(AL11/AF11-1),"-",AL11/AF11-1)</f>
        <v>0.53960540197686124</v>
      </c>
      <c r="AM63" s="15">
        <f t="shared" ref="AM63" si="237">IF(ISERROR(AM11/AG11-1),"-",AM11/AG11-1)</f>
        <v>0.3148902444550592</v>
      </c>
      <c r="AN63" s="15">
        <f t="shared" ref="AN63" si="238">IF(ISERROR(AN11/AH11-1),"-",AN11/AH11-1)</f>
        <v>0.37934886239218257</v>
      </c>
      <c r="AO63" s="47">
        <f t="shared" ref="AO63" si="239">IF(ISERROR(AO11/AI11-1),"-",AO11/AI11-1)</f>
        <v>0.42663788526440549</v>
      </c>
      <c r="AP63" s="67"/>
      <c r="AQ63" s="111">
        <f t="shared" ref="AQ63" si="240">IF(ISERROR(AQ11/AK11-1),"-",AQ11/AK11-1)</f>
        <v>0.36767819798669721</v>
      </c>
      <c r="AR63" s="15">
        <f t="shared" ref="AR63" si="241">IF(ISERROR(AR11/AL11-1),"-",AR11/AL11-1)</f>
        <v>0.4983663506093805</v>
      </c>
      <c r="AS63" s="15">
        <f t="shared" ref="AS63" si="242">IF(ISERROR(AS11/AM11-1),"-",AS11/AM11-1)</f>
        <v>0.52342919943318433</v>
      </c>
      <c r="AT63" s="15">
        <f t="shared" ref="AT63" si="243">IF(ISERROR(AT11/AN11-1),"-",AT11/AN11-1)</f>
        <v>0.28673514078561269</v>
      </c>
      <c r="AU63" s="47">
        <f t="shared" ref="AU63" si="244">IF(ISERROR(AU11/AO11-1),"-",AU11/AO11-1)</f>
        <v>0.40857067684619164</v>
      </c>
      <c r="AV63" s="67"/>
      <c r="AW63" s="111">
        <f t="shared" ref="AW63" si="245">IF(ISERROR(AW11/AQ11-1),"-",AW11/AQ11-1)</f>
        <v>0.42737089355220914</v>
      </c>
      <c r="AX63" s="15">
        <f t="shared" ref="AX63" si="246">IF(ISERROR(AX11/AR11-1),"-",AX11/AR11-1)</f>
        <v>0.27608687600071913</v>
      </c>
      <c r="AY63" s="15">
        <f t="shared" ref="AY63" si="247">IF(ISERROR(AY11/AS11-1),"-",AY11/AS11-1)</f>
        <v>0.20177420534968338</v>
      </c>
      <c r="AZ63" s="15">
        <f t="shared" ref="AZ63" si="248">IF(ISERROR(AZ11/AT11-1),"-",AZ11/AT11-1)</f>
        <v>0.23489792783279184</v>
      </c>
      <c r="BA63" s="47">
        <f t="shared" ref="BA63" si="249">IF(ISERROR(BA11/AU11-1),"-",BA11/AU11-1)</f>
        <v>0.27419371724490449</v>
      </c>
      <c r="BB63" s="67"/>
      <c r="BC63" s="111">
        <f t="shared" ref="BC63" si="250">IF(ISERROR(BC11/AW11-1),"-",BC11/AW11-1)</f>
        <v>0.12123521834664075</v>
      </c>
      <c r="BD63" s="15">
        <f t="shared" ref="BD63" si="251">IF(ISERROR(BD11/AX11-1),"-",BD11/AX11-1)</f>
        <v>0.17455768871670196</v>
      </c>
      <c r="BE63" s="15">
        <f t="shared" ref="BE63" si="252">IF(ISERROR(BE11/AY11-1),"-",BE11/AY11-1)</f>
        <v>9.1776668806237582E-2</v>
      </c>
      <c r="BF63" s="15">
        <f t="shared" ref="BF63" si="253">IF(ISERROR(BF11/AZ11-1),"-",BF11/AZ11-1)</f>
        <v>-2.4247802040216704E-2</v>
      </c>
      <c r="BG63" s="47">
        <f t="shared" ref="BG63" si="254">IF(ISERROR(BG11/BA11-1),"-",BG11/BA11-1)</f>
        <v>8.4147751758490319E-2</v>
      </c>
      <c r="BH63" s="67"/>
      <c r="BI63" s="111">
        <f t="shared" ref="BI63" si="255">IF(ISERROR(BI11/BC11-1),"-",BI11/BC11-1)</f>
        <v>-6.9305977605606972E-2</v>
      </c>
      <c r="BJ63" s="15">
        <f t="shared" ref="BJ63" si="256">IF(ISERROR(BJ11/BD11-1),"-",BJ11/BD11-1)</f>
        <v>-0.11259316365642336</v>
      </c>
      <c r="BK63" s="15">
        <f t="shared" ref="BK63" si="257">IF(ISERROR(BK11/BE11-1),"-",BK11/BE11-1)</f>
        <v>-7.6467178164037808E-2</v>
      </c>
      <c r="BL63" s="15">
        <f t="shared" ref="BL63" si="258">IF(ISERROR(BL11/BF11-1),"-",BL11/BF11-1)</f>
        <v>8.1601622975312926E-2</v>
      </c>
      <c r="BM63" s="47">
        <f t="shared" ref="BM63" si="259">IF(ISERROR(BM11/BG11-1),"-",BM11/BG11-1)</f>
        <v>-4.282870462204269E-2</v>
      </c>
      <c r="BN63" s="67"/>
      <c r="BO63" s="111">
        <f t="shared" ref="BO63" si="260">IF(ISERROR(BO11/BI11-1),"-",BO11/BI11-1)</f>
        <v>0.24185740064513994</v>
      </c>
      <c r="BP63" s="15">
        <f t="shared" ref="BP63" si="261">IF(ISERROR(BP11/BJ11-1),"-",BP11/BJ11-1)</f>
        <v>0.2689415318270616</v>
      </c>
      <c r="BQ63" s="15">
        <f t="shared" ref="BQ63" si="262">IF(ISERROR(BQ11/BK11-1),"-",BQ11/BK11-1)</f>
        <v>0.22805094203787557</v>
      </c>
      <c r="BR63" s="15">
        <f t="shared" ref="BR63" si="263">IF(ISERROR(BR11/BL11-1),"-",BR11/BL11-1)</f>
        <v>0.1947504487844276</v>
      </c>
      <c r="BS63" s="47">
        <f t="shared" ref="BS63" si="264">IF(ISERROR(BS11/BM11-1),"-",BS11/BM11-1)</f>
        <v>0.23094184048004407</v>
      </c>
      <c r="BT63" s="67"/>
      <c r="BU63" s="111">
        <f t="shared" ref="BU63" si="265">IF(ISERROR(BU11/BO11-1),"-",BU11/BO11-1)</f>
        <v>0.1856896602262359</v>
      </c>
      <c r="BV63" s="15">
        <f t="shared" ref="BV63" si="266">IF(ISERROR(BV11/BP11-1),"-",BV11/BP11-1)</f>
        <v>0.23623981966979724</v>
      </c>
      <c r="BW63" s="15">
        <f t="shared" ref="BW63" si="267">IF(ISERROR(BW11/BQ11-1),"-",BW11/BQ11-1)</f>
        <v>0.7494446421073826</v>
      </c>
      <c r="BX63" s="15">
        <f t="shared" ref="BX63" si="268">IF(ISERROR(BX11/BR11-1),"-",BX11/BR11-1)</f>
        <v>0.65665379315196959</v>
      </c>
      <c r="BY63" s="47">
        <f t="shared" ref="BY63" si="269">IF(ISERROR(BY11/BS11-1),"-",BY11/BS11-1)</f>
        <v>0.47084701282858021</v>
      </c>
      <c r="BZ63" s="67"/>
      <c r="CA63" s="111">
        <f t="shared" ref="CA63" si="270">IF(ISERROR(CA11/BU11-1),"-",CA11/BU11-1)</f>
        <v>0.57306556737000469</v>
      </c>
      <c r="CB63" s="15">
        <f t="shared" ref="CB63" si="271">IF(ISERROR(CB11/BV11-1),"-",CB11/BV11-1)</f>
        <v>0.50465997223235104</v>
      </c>
      <c r="CC63" s="15">
        <f t="shared" ref="CC63" si="272">IF(ISERROR(CC11/BW11-1),"-",CC11/BW11-1)</f>
        <v>1.7742188211647747E-2</v>
      </c>
      <c r="CD63" s="15">
        <f t="shared" ref="CD63" si="273">IF(ISERROR(CD11/BX11-1),"-",CD11/BX11-1)</f>
        <v>8.060440877900299E-2</v>
      </c>
      <c r="CE63" s="47">
        <f t="shared" ref="CE63" si="274">IF(ISERROR(CE11/BY11-1),"-",CE11/BY11-1)</f>
        <v>0.2385644948698924</v>
      </c>
      <c r="CF63" s="67"/>
      <c r="CG63" s="111">
        <f t="shared" ref="CG63" si="275">IF(ISERROR(CG11/CA11-1),"-",CG11/CA11-1)</f>
        <v>3.0547278518602283E-2</v>
      </c>
      <c r="CH63" s="15">
        <f t="shared" ref="CH63" si="276">IF(ISERROR(CH11/CB11-1),"-",CH11/CB11-1)</f>
        <v>5.6396995886961898E-2</v>
      </c>
      <c r="CI63" s="15">
        <f t="shared" ref="CI63" si="277">IF(ISERROR(CI11/CC11-1),"-",CI11/CC11-1)</f>
        <v>7.6602659339654045E-2</v>
      </c>
      <c r="CJ63" s="15">
        <f t="shared" ref="CJ63" si="278">IF(ISERROR(CJ11/CD11-1),"-",CJ11/CD11-1)</f>
        <v>5.4238536799419812E-2</v>
      </c>
      <c r="CK63" s="47">
        <f t="shared" ref="CK63" si="279">IF(ISERROR(CK11/CE11-1),"-",CK11/CE11-1)</f>
        <v>5.4613310222067835E-2</v>
      </c>
      <c r="CL63" s="67"/>
      <c r="CM63" s="111">
        <f t="shared" ref="CM63" si="280">IF(ISERROR(CM11/CG11-1),"-",CM11/CG11-1)</f>
        <v>4.8632904742272665E-2</v>
      </c>
      <c r="CN63" s="15">
        <f t="shared" ref="CN63" si="281">IF(ISERROR(CN11/CH11-1),"-",CN11/CH11-1)</f>
        <v>4.6134489484943808E-2</v>
      </c>
      <c r="CO63" s="15">
        <f t="shared" ref="CO63" si="282">IF(ISERROR(CO11/CI11-1),"-",CO11/CI11-1)</f>
        <v>4.0872237526028643E-2</v>
      </c>
      <c r="CP63" s="15">
        <f t="shared" ref="CP63" si="283">IF(ISERROR(CP11/CJ11-1),"-",CP11/CJ11-1)</f>
        <v>3.0127320068532581E-2</v>
      </c>
      <c r="CQ63" s="47">
        <f t="shared" ref="CQ63" si="284">IF(ISERROR(CQ11/CK11-1),"-",CQ11/CK11-1)</f>
        <v>4.0931924711881118E-2</v>
      </c>
      <c r="CR63" s="67"/>
      <c r="CS63" s="111">
        <f t="shared" ref="CS63" si="285">IF(ISERROR(CS11/CM11-1),"-",CS11/CM11-1)</f>
        <v>7.8354219268796932E-2</v>
      </c>
      <c r="CT63" s="15">
        <f t="shared" ref="CT63" si="286">IF(ISERROR(CT11/CN11-1),"-",CT11/CN11-1)</f>
        <v>7.0501656311436678E-2</v>
      </c>
      <c r="CU63" s="15">
        <f t="shared" ref="CU63" si="287">IF(ISERROR(CU11/CO11-1),"-",CU11/CO11-1)</f>
        <v>0.11127372581616202</v>
      </c>
      <c r="CV63" s="15">
        <f t="shared" ref="CV63" si="288">IF(ISERROR(CV11/CP11-1),"-",CV11/CP11-1)</f>
        <v>0.21292163058268465</v>
      </c>
      <c r="CW63" s="47">
        <f t="shared" ref="CW63" si="289">IF(ISERROR(CW11/CQ11-1),"-",CW11/CQ11-1)</f>
        <v>0.12177357889597662</v>
      </c>
      <c r="CX63" s="67"/>
      <c r="CY63" s="111">
        <f t="shared" ref="CY63:DC63" si="290">IF(ISERROR(CY11/CS11-1),"-",CY11/CS11-1)</f>
        <v>0.22927761418457493</v>
      </c>
      <c r="CZ63" s="15">
        <f t="shared" si="290"/>
        <v>0.24531016058479849</v>
      </c>
      <c r="DA63" s="15">
        <f t="shared" si="290"/>
        <v>0.1764990604179717</v>
      </c>
      <c r="DB63" s="15">
        <f t="shared" si="290"/>
        <v>6.0444136016655214E-2</v>
      </c>
      <c r="DC63" s="47">
        <f t="shared" si="290"/>
        <v>0.16965157929013364</v>
      </c>
      <c r="DD63" s="67"/>
      <c r="DE63" s="111">
        <f t="shared" ref="DE63:DK63" si="291">IF(ISERROR(DE11/CY11-1),"-",DE11/CY11-1)</f>
        <v>7.1761677836956306E-2</v>
      </c>
      <c r="DF63" s="15">
        <f t="shared" si="291"/>
        <v>6.3226384403215707E-2</v>
      </c>
      <c r="DG63" s="15">
        <f t="shared" si="291"/>
        <v>9.5859248324096535E-2</v>
      </c>
      <c r="DH63" s="15">
        <f t="shared" si="291"/>
        <v>0.1093732958139737</v>
      </c>
      <c r="DI63" s="47">
        <f t="shared" si="291"/>
        <v>8.5728332464578338E-2</v>
      </c>
      <c r="DJ63" s="67"/>
      <c r="DK63" s="111">
        <f t="shared" si="291"/>
        <v>0.11643721615902214</v>
      </c>
      <c r="DL63" s="15">
        <f t="shared" ref="DL63:DO63" si="292">IF(ISERROR(DL11/DF11-1),"-",DL11/DF11-1)</f>
        <v>9.3144830491563413E-2</v>
      </c>
      <c r="DM63" s="15">
        <f t="shared" si="292"/>
        <v>7.1190097610529746E-2</v>
      </c>
      <c r="DN63" s="15">
        <f t="shared" si="292"/>
        <v>6.93319503706471E-2</v>
      </c>
      <c r="DO63" s="47">
        <f t="shared" si="292"/>
        <v>8.6458425397033078E-2</v>
      </c>
      <c r="DP63" s="67"/>
      <c r="DQ63" s="111">
        <f t="shared" ref="DQ63:DU63" si="293">IF(ISERROR(DQ11/DK11-1),"-",DQ11/DK11-1)</f>
        <v>4.6487253482131674E-2</v>
      </c>
      <c r="DR63" s="15">
        <f t="shared" si="293"/>
        <v>4.8325175943941368E-2</v>
      </c>
      <c r="DS63" s="15">
        <f t="shared" si="293"/>
        <v>3.9287723919883222E-2</v>
      </c>
      <c r="DT63" s="15">
        <f t="shared" si="293"/>
        <v>3.9090262832982114E-2</v>
      </c>
      <c r="DU63" s="47">
        <f t="shared" si="293"/>
        <v>4.3168683183277601E-2</v>
      </c>
      <c r="DV63" s="67"/>
      <c r="DW63" s="111">
        <f t="shared" ref="DW63" si="294">IF(ISERROR(DW11/DQ11-1),"-",DW11/DQ11-1)</f>
        <v>4.2788138768808714E-2</v>
      </c>
      <c r="DX63" s="15">
        <f t="shared" ref="DX63" si="295">IF(ISERROR(DX11/DR11-1),"-",DX11/DR11-1)</f>
        <v>4.2790267338284949E-2</v>
      </c>
      <c r="DY63" s="15">
        <f t="shared" ref="DY63" si="296">IF(ISERROR(DY11/DS11-1),"-",DY11/DS11-1)</f>
        <v>4.2800555098892135E-2</v>
      </c>
      <c r="DZ63" s="15">
        <f t="shared" ref="DZ63" si="297">IF(ISERROR(DZ11/DT11-1),"-",DZ11/DT11-1)</f>
        <v>4.2738609937501559E-2</v>
      </c>
      <c r="EA63" s="47">
        <f t="shared" ref="EA63" si="298">IF(ISERROR(EA11/DU11-1),"-",EA11/DU11-1)</f>
        <v>4.2778208727336509E-2</v>
      </c>
      <c r="EB63" s="67"/>
      <c r="EC63" s="111">
        <f t="shared" ref="EC63" si="299">IF(ISERROR(EC11/DW11-1),"-",EC11/DW11-1)</f>
        <v>4.2829162845669844E-2</v>
      </c>
      <c r="ED63" s="15">
        <f t="shared" ref="ED63" si="300">IF(ISERROR(ED11/DX11-1),"-",ED11/DX11-1)</f>
        <v>4.2832024157480442E-2</v>
      </c>
      <c r="EE63" s="15">
        <f t="shared" ref="EE63" si="301">IF(ISERROR(EE11/DY11-1),"-",EE11/DY11-1)</f>
        <v>4.2841964603433258E-2</v>
      </c>
      <c r="EF63" s="15">
        <f t="shared" ref="EF63" si="302">IF(ISERROR(EF11/DZ11-1),"-",EF11/DZ11-1)</f>
        <v>4.2780143574314256E-2</v>
      </c>
      <c r="EG63" s="47">
        <f t="shared" ref="EG63" si="303">IF(ISERROR(EG11/EA11-1),"-",EG11/EA11-1)</f>
        <v>4.281964782348413E-2</v>
      </c>
      <c r="EH63" s="61"/>
    </row>
    <row r="64" spans="1:146" s="1009" customFormat="1" ht="11.25" customHeight="1" x14ac:dyDescent="0.2">
      <c r="A64" s="1006" t="s">
        <v>571</v>
      </c>
      <c r="B64" s="1007"/>
      <c r="C64" s="1007"/>
      <c r="D64" s="1007"/>
      <c r="E64" s="371"/>
      <c r="F64" s="355"/>
      <c r="G64" s="375"/>
      <c r="H64" s="355"/>
      <c r="I64" s="375"/>
      <c r="J64" s="355"/>
      <c r="K64" s="375"/>
      <c r="L64" s="355"/>
      <c r="M64" s="366"/>
      <c r="N64" s="367"/>
      <c r="O64" s="367"/>
      <c r="P64" s="367"/>
      <c r="Q64" s="375"/>
      <c r="R64" s="355"/>
      <c r="S64" s="366"/>
      <c r="T64" s="367"/>
      <c r="U64" s="367"/>
      <c r="V64" s="367"/>
      <c r="W64" s="375"/>
      <c r="X64" s="355"/>
      <c r="Y64" s="366"/>
      <c r="Z64" s="367"/>
      <c r="AA64" s="367"/>
      <c r="AB64" s="367"/>
      <c r="AC64" s="375"/>
      <c r="AD64" s="355"/>
      <c r="AE64" s="366"/>
      <c r="AF64" s="367"/>
      <c r="AG64" s="367"/>
      <c r="AH64" s="367"/>
      <c r="AI64" s="375"/>
      <c r="AJ64" s="355"/>
      <c r="AK64" s="366"/>
      <c r="AL64" s="367"/>
      <c r="AM64" s="367"/>
      <c r="AN64" s="367"/>
      <c r="AO64" s="375"/>
      <c r="AP64" s="355"/>
      <c r="AQ64" s="366"/>
      <c r="AR64" s="367"/>
      <c r="AS64" s="367"/>
      <c r="AT64" s="367"/>
      <c r="AU64" s="375"/>
      <c r="AV64" s="355"/>
      <c r="AW64" s="366"/>
      <c r="AX64" s="367"/>
      <c r="AY64" s="367"/>
      <c r="AZ64" s="367"/>
      <c r="BA64" s="375"/>
      <c r="BB64" s="355"/>
      <c r="BC64" s="366"/>
      <c r="BD64" s="367"/>
      <c r="BE64" s="367"/>
      <c r="BF64" s="367"/>
      <c r="BG64" s="375"/>
      <c r="BH64" s="355"/>
      <c r="BI64" s="366">
        <f>+DHR!BI19</f>
        <v>-1.572145454766562E-2</v>
      </c>
      <c r="BJ64" s="367">
        <f>+DHR!BJ19</f>
        <v>-6.8503599485554248E-2</v>
      </c>
      <c r="BK64" s="367">
        <f>+DHR!BK19</f>
        <v>-5.7832997611371187E-2</v>
      </c>
      <c r="BL64" s="367">
        <f>+DHR!BL19</f>
        <v>-2.1515583152833737E-2</v>
      </c>
      <c r="BM64" s="375">
        <f>+DHR!BM19</f>
        <v>-4.1617979654916253E-2</v>
      </c>
      <c r="BN64" s="355"/>
      <c r="BO64" s="366">
        <f>+DHR!BO19</f>
        <v>6.6029313382879318E-2</v>
      </c>
      <c r="BP64" s="367">
        <f>+DHR!BP19</f>
        <v>7.7628482655535791E-2</v>
      </c>
      <c r="BQ64" s="367">
        <f>+DHR!BQ19</f>
        <v>9.7744593884907527E-2</v>
      </c>
      <c r="BR64" s="367">
        <f>+DHR!BR19</f>
        <v>0.10210044279101593</v>
      </c>
      <c r="BS64" s="375">
        <f>+DHR!BS19</f>
        <v>8.7152625269798153E-2</v>
      </c>
      <c r="BT64" s="355"/>
      <c r="BU64" s="366">
        <f>+DHR!BU19</f>
        <v>8.299748893621528E-2</v>
      </c>
      <c r="BV64" s="367">
        <f>+DHR!BV19</f>
        <v>7.9113803793383397E-2</v>
      </c>
      <c r="BW64" s="367">
        <f>+DHR!BW19</f>
        <v>6.4512189411868093E-2</v>
      </c>
      <c r="BX64" s="367">
        <f>+DHR!BX19</f>
        <v>4.964871698369544E-2</v>
      </c>
      <c r="BY64" s="375">
        <f>+DHR!BY19</f>
        <v>6.8009561808239347E-2</v>
      </c>
      <c r="BZ64" s="355"/>
      <c r="CA64" s="366">
        <f>+DHR!CA19</f>
        <v>1.5565430109347966E-2</v>
      </c>
      <c r="CB64" s="367">
        <f>+DHR!CB19</f>
        <v>4.5109821456820853E-2</v>
      </c>
      <c r="CC64" s="367">
        <f>+DHR!CC19</f>
        <v>3.1876163034763927E-2</v>
      </c>
      <c r="CD64" s="367">
        <f>+DHR!CD19</f>
        <v>5.855969533352634E-2</v>
      </c>
      <c r="CE64" s="375">
        <f>+DHR!CE19</f>
        <v>4.0114430538801552E-2</v>
      </c>
      <c r="CF64" s="355"/>
      <c r="CG64" s="366">
        <f>+DHR!CG19</f>
        <v>3.0016309053847667E-2</v>
      </c>
      <c r="CH64" s="367">
        <f>+DHR!CH19</f>
        <v>4.5217557539055653E-2</v>
      </c>
      <c r="CI64" s="367">
        <f>+DHR!CI19</f>
        <v>4.7041072026672293E-2</v>
      </c>
      <c r="CJ64" s="367">
        <f>+DHR!CJ19</f>
        <v>3.9828304727510977E-2</v>
      </c>
      <c r="CK64" s="375">
        <f>+DHR!CK19</f>
        <v>4.059462181576446E-2</v>
      </c>
      <c r="CL64" s="355"/>
      <c r="CM64" s="366">
        <f>+DHR!CM19</f>
        <v>4.2859131782993165E-2</v>
      </c>
      <c r="CN64" s="367">
        <f>+DHR!CN19</f>
        <v>3.9440873414967825E-2</v>
      </c>
      <c r="CO64" s="367">
        <f>+DHR!CO19</f>
        <v>3.5117396163564685E-2</v>
      </c>
      <c r="CP64" s="367">
        <f>+DHR!CP19</f>
        <v>4.485348145094914E-2</v>
      </c>
      <c r="CQ64" s="375">
        <f>+DHR!CQ19</f>
        <v>4.0674501450694033E-2</v>
      </c>
      <c r="CR64" s="355"/>
      <c r="CS64" s="366">
        <f>+DHR!CS19</f>
        <v>3.5000000000000003E-2</v>
      </c>
      <c r="CT64" s="367">
        <f>+DHR!CT19</f>
        <v>4.4999999999999998E-2</v>
      </c>
      <c r="CU64" s="367">
        <f>+DHR!CU19</f>
        <v>0.03</v>
      </c>
      <c r="CV64" s="367">
        <f>+DHR!CV19</f>
        <v>3.3894627844330477E-2</v>
      </c>
      <c r="CW64" s="375">
        <f>+DHR!CW19</f>
        <v>3.5938643642546682E-2</v>
      </c>
      <c r="CX64" s="355"/>
      <c r="CY64" s="366">
        <f>+DHR!CY19</f>
        <v>2.5000000000000001E-2</v>
      </c>
      <c r="CZ64" s="367">
        <f>+DHR!CZ19</f>
        <v>0.03</v>
      </c>
      <c r="DA64" s="367">
        <f>+DHR!DA19</f>
        <v>3.4999999999999996E-2</v>
      </c>
      <c r="DB64" s="367">
        <f>+DHR!DB19</f>
        <v>3.0000000000000002E-2</v>
      </c>
      <c r="DC64" s="375">
        <f>+DHR!DC19</f>
        <v>3.0110851687370526E-2</v>
      </c>
      <c r="DD64" s="355"/>
      <c r="DE64" s="366">
        <f>+DHR!DE19</f>
        <v>3.0000000000000002E-2</v>
      </c>
      <c r="DF64" s="367">
        <f>+DHR!DF19</f>
        <v>2.1999999999999999E-2</v>
      </c>
      <c r="DG64" s="367">
        <f>+DHR!DG19</f>
        <v>0.03</v>
      </c>
      <c r="DH64" s="367">
        <f>+DHR!DH19</f>
        <v>5.5E-2</v>
      </c>
      <c r="DI64" s="375">
        <f>+DHR!DI19</f>
        <v>3.4778485286452165E-2</v>
      </c>
      <c r="DJ64" s="355"/>
      <c r="DK64" s="366">
        <f>+DHR!DK19</f>
        <v>5.5E-2</v>
      </c>
      <c r="DL64" s="367">
        <f>+DHR!DL19</f>
        <v>4.8167224673510534E-2</v>
      </c>
      <c r="DM64" s="367">
        <f>+DHR!DM19</f>
        <v>4.3523033434919034E-2</v>
      </c>
      <c r="DN64" s="367">
        <f>+DHR!DN19</f>
        <v>3.2225160744833392E-2</v>
      </c>
      <c r="DO64" s="375">
        <f>+DHR!DO19</f>
        <v>4.4164443498802462E-2</v>
      </c>
      <c r="DP64" s="355"/>
      <c r="DQ64" s="366">
        <f>+DHR!DQ19</f>
        <v>2.9449301443966514E-2</v>
      </c>
      <c r="DR64" s="367">
        <f>+DHR!DR19</f>
        <v>3.9197743292984866E-2</v>
      </c>
      <c r="DS64" s="367">
        <f>+DHR!DS19</f>
        <v>3.9287723919883222E-2</v>
      </c>
      <c r="DT64" s="367">
        <f>+DHR!DT19</f>
        <v>3.9090262832982114E-2</v>
      </c>
      <c r="DU64" s="375">
        <f>+DHR!DU19</f>
        <v>3.6891836167061993E-2</v>
      </c>
      <c r="DV64" s="355"/>
      <c r="DW64" s="366">
        <f>+DHR!DW19</f>
        <v>4.2788138768808714E-2</v>
      </c>
      <c r="DX64" s="367">
        <f>+DHR!DX19</f>
        <v>4.2790267338284949E-2</v>
      </c>
      <c r="DY64" s="367">
        <f>+DHR!DY19</f>
        <v>4.2800555098892135E-2</v>
      </c>
      <c r="DZ64" s="367">
        <f>+DHR!DZ19</f>
        <v>4.2738609937501559E-2</v>
      </c>
      <c r="EA64" s="375">
        <f>+DHR!EA19</f>
        <v>4.2778208727336633E-2</v>
      </c>
      <c r="EB64" s="355"/>
      <c r="EC64" s="366">
        <f>+DHR!EC19</f>
        <v>4.2829162845669844E-2</v>
      </c>
      <c r="ED64" s="367">
        <f>+DHR!ED19</f>
        <v>4.2832024157480442E-2</v>
      </c>
      <c r="EE64" s="367">
        <f>+DHR!EE19</f>
        <v>4.2841964603433258E-2</v>
      </c>
      <c r="EF64" s="367">
        <f>+DHR!EF19</f>
        <v>4.2780143574314256E-2</v>
      </c>
      <c r="EG64" s="375">
        <f>+DHR!EG19</f>
        <v>4.2819647823484214E-2</v>
      </c>
      <c r="EH64" s="1008"/>
      <c r="EK64"/>
      <c r="EL64"/>
      <c r="EM64"/>
      <c r="EN64"/>
      <c r="EO64"/>
      <c r="EP64"/>
    </row>
    <row r="65" spans="1:138" ht="11.25" customHeight="1" x14ac:dyDescent="0.2">
      <c r="A65" s="51" t="s">
        <v>238</v>
      </c>
      <c r="B65" s="8"/>
      <c r="C65" s="8"/>
      <c r="D65" s="8"/>
      <c r="E65" s="93"/>
      <c r="F65" s="67"/>
      <c r="G65" s="47"/>
      <c r="H65" s="67"/>
      <c r="I65" s="47"/>
      <c r="J65" s="67"/>
      <c r="K65" s="47"/>
      <c r="L65" s="67"/>
      <c r="M65" s="111"/>
      <c r="N65" s="15"/>
      <c r="O65" s="15"/>
      <c r="P65" s="15"/>
      <c r="Q65" s="47"/>
      <c r="R65" s="67"/>
      <c r="S65" s="111"/>
      <c r="T65" s="15"/>
      <c r="U65" s="15"/>
      <c r="V65" s="15"/>
      <c r="W65" s="47"/>
      <c r="X65" s="67"/>
      <c r="Y65" s="111"/>
      <c r="Z65" s="15"/>
      <c r="AA65" s="15"/>
      <c r="AB65" s="15"/>
      <c r="AC65" s="47"/>
      <c r="AD65" s="67"/>
      <c r="AE65" s="111"/>
      <c r="AF65" s="15"/>
      <c r="AG65" s="15"/>
      <c r="AH65" s="15"/>
      <c r="AI65" s="47"/>
      <c r="AJ65" s="67"/>
      <c r="AK65" s="111"/>
      <c r="AL65" s="15"/>
      <c r="AM65" s="15"/>
      <c r="AN65" s="15"/>
      <c r="AO65" s="47"/>
      <c r="AP65" s="67"/>
      <c r="AQ65" s="111"/>
      <c r="AR65" s="15"/>
      <c r="AS65" s="15"/>
      <c r="AT65" s="15"/>
      <c r="AU65" s="47"/>
      <c r="AV65" s="67"/>
      <c r="AW65" s="111"/>
      <c r="AX65" s="15"/>
      <c r="AY65" s="15"/>
      <c r="AZ65" s="15"/>
      <c r="BA65" s="47"/>
      <c r="BB65" s="67"/>
      <c r="BC65" s="111"/>
      <c r="BD65" s="15"/>
      <c r="BE65" s="15"/>
      <c r="BF65" s="15"/>
      <c r="BG65" s="47"/>
      <c r="BH65" s="67"/>
      <c r="BI65" s="111"/>
      <c r="BJ65" s="15"/>
      <c r="BK65" s="15"/>
      <c r="BL65" s="15"/>
      <c r="BM65" s="47"/>
      <c r="BN65" s="67"/>
      <c r="BO65" s="111"/>
      <c r="BP65" s="15"/>
      <c r="BQ65" s="15"/>
      <c r="BR65" s="15"/>
      <c r="BS65" s="47"/>
      <c r="BT65" s="67"/>
      <c r="BU65" s="111">
        <f>IF(ISERROR(BU12/BO12-1),"-",BU12/BO12-1)</f>
        <v>8.5920875634070804E-2</v>
      </c>
      <c r="BV65" s="15">
        <f>IF(ISERROR(BV12/BP12-1),"-",BV12/BP12-1)</f>
        <v>0.24477041537061517</v>
      </c>
      <c r="BW65" s="15">
        <f>IF(ISERROR(BW12/BQ12-1),"-",BW12/BQ12-1)</f>
        <v>0.95896308392591512</v>
      </c>
      <c r="BX65" s="15">
        <f>IF(ISERROR(BX12/BR12-1),"-",BX12/BR12-1)</f>
        <v>0.69375485917507218</v>
      </c>
      <c r="BY65" s="47">
        <f>IF(ISERROR(BY12/BS12-1),"-",BY12/BS12-1)</f>
        <v>0.50045729004034523</v>
      </c>
      <c r="BZ65" s="67"/>
      <c r="CA65" s="111">
        <f>IF(ISERROR(CA12/BU12-1),"-",CA12/BU12-1)</f>
        <v>0.61969234727040701</v>
      </c>
      <c r="CB65" s="15">
        <f>IF(ISERROR(CB12/BV12-1),"-",CB12/BV12-1)</f>
        <v>0.42719302708528062</v>
      </c>
      <c r="CC65" s="15">
        <f>IF(ISERROR(CC12/BW12-1),"-",CC12/BW12-1)</f>
        <v>-7.7155839464794984E-2</v>
      </c>
      <c r="CD65" s="15">
        <f>IF(ISERROR(CD12/BX12-1),"-",CD12/BX12-1)</f>
        <v>2.6281620491896085E-2</v>
      </c>
      <c r="CE65" s="47">
        <f>IF(ISERROR(CE12/BY12-1),"-",CE12/BY12-1)</f>
        <v>0.1790607156072348</v>
      </c>
      <c r="CF65" s="67"/>
      <c r="CG65" s="111">
        <f>IF(ISERROR(CG12/CA12-1),"-",CG12/CA12-1)</f>
        <v>3.7766087543128712E-2</v>
      </c>
      <c r="CH65" s="15">
        <f>IF(ISERROR(CH12/CB12-1),"-",CH12/CB12-1)</f>
        <v>3.7487924317362697E-2</v>
      </c>
      <c r="CI65" s="15">
        <f>IF(ISERROR(CI12/CC12-1),"-",CI12/CC12-1)</f>
        <v>5.0013748996282414E-2</v>
      </c>
      <c r="CJ65" s="15">
        <f>IF(ISERROR(CJ12/CD12-1),"-",CJ12/CD12-1)</f>
        <v>5.1248755251612987E-2</v>
      </c>
      <c r="CK65" s="47">
        <f>IF(ISERROR(CK12/CE12-1),"-",CK12/CE12-1)</f>
        <v>4.4335174623266083E-2</v>
      </c>
      <c r="CL65" s="67"/>
      <c r="CM65" s="111">
        <f t="shared" ref="CM65" si="304">IF(ISERROR(CM12/CG12-1),"-",CM12/CG12-1)</f>
        <v>2.0991466118796875E-2</v>
      </c>
      <c r="CN65" s="15">
        <f t="shared" ref="CN65" si="305">IF(ISERROR(CN12/CH12-1),"-",CN12/CH12-1)</f>
        <v>2.1891703240385141E-2</v>
      </c>
      <c r="CO65" s="15">
        <f t="shared" ref="CO65" si="306">IF(ISERROR(CO12/CI12-1),"-",CO12/CI12-1)</f>
        <v>9.556570083593563E-3</v>
      </c>
      <c r="CP65" s="15">
        <f t="shared" ref="CP65" si="307">IF(ISERROR(CP12/CJ12-1),"-",CP12/CJ12-1)</f>
        <v>3.4634572373775097E-2</v>
      </c>
      <c r="CQ65" s="47">
        <f t="shared" ref="CQ65" si="308">IF(ISERROR(CQ12/CK12-1),"-",CQ12/CK12-1)</f>
        <v>2.215402181576076E-2</v>
      </c>
      <c r="CR65" s="67"/>
      <c r="CS65" s="111">
        <f t="shared" ref="CS65" si="309">IF(ISERROR(CS12/CM12-1),"-",CS12/CM12-1)</f>
        <v>1.7658087310923776E-2</v>
      </c>
      <c r="CT65" s="15">
        <f t="shared" ref="CT65" si="310">IF(ISERROR(CT12/CN12-1),"-",CT12/CN12-1)</f>
        <v>3.8248604869142611E-2</v>
      </c>
      <c r="CU65" s="15">
        <f t="shared" ref="CU65" si="311">IF(ISERROR(CU12/CO12-1),"-",CU12/CO12-1)</f>
        <v>0.11739606139209435</v>
      </c>
      <c r="CV65" s="15">
        <f t="shared" ref="CV65" si="312">IF(ISERROR(CV12/CP12-1),"-",CV12/CP12-1)</f>
        <v>0.24119327910153121</v>
      </c>
      <c r="CW65" s="47">
        <f t="shared" ref="CW65" si="313">IF(ISERROR(CW12/CQ12-1),"-",CW12/CQ12-1)</f>
        <v>0.10864981956890385</v>
      </c>
      <c r="CX65" s="67"/>
      <c r="CY65" s="111">
        <f>IF(ISERROR(CY12/CS12-1),"-",CY12/CS12-1)</f>
        <v>0.21108506824762174</v>
      </c>
      <c r="CZ65" s="15">
        <f>IF(ISERROR(CZ12/CT12-1),"-",CZ12/CT12-1)</f>
        <v>0.21814848762603112</v>
      </c>
      <c r="DA65" s="15">
        <f>IF(ISERROR(DA12/CU12-1),"-",DA12/CU12-1)</f>
        <v>0.14041265134667658</v>
      </c>
      <c r="DB65" s="15">
        <f>IF(ISERROR(DB12/CV12-1),"-",DB12/CV12-1)</f>
        <v>8.955368380288542E-3</v>
      </c>
      <c r="DC65" s="47">
        <f>IF(ISERROR(DC12/CW12-1),"-",DC12/CW12-1)</f>
        <v>0.1328610452375949</v>
      </c>
      <c r="DD65" s="67"/>
      <c r="DE65" s="111">
        <f>IF(ISERROR(DE12/CY12-1),"-",DE12/CY12-1)</f>
        <v>6.5232240437158584E-2</v>
      </c>
      <c r="DF65" s="15">
        <f>IF(ISERROR(DF12/CZ12-1),"-",DF12/CZ12-1)</f>
        <v>7.8576803181769295E-2</v>
      </c>
      <c r="DG65" s="15">
        <f>IF(ISERROR(DG12/DA12-1),"-",DG12/DA12-1)</f>
        <v>7.8706462271816324E-2</v>
      </c>
      <c r="DH65" s="15">
        <f>IF(ISERROR(DH12/DB12-1),"-",DH12/DB12-1)</f>
        <v>7.7867869308640758E-2</v>
      </c>
      <c r="DI65" s="47">
        <f>IF(ISERROR(DI12/DC12-1),"-",DI12/DC12-1)</f>
        <v>7.5306711889557398E-2</v>
      </c>
      <c r="DJ65" s="67"/>
      <c r="DK65" s="111">
        <f>IF(ISERROR(DK12/DE12-1),"-",DK12/DE12-1)</f>
        <v>9.6398418296462562E-2</v>
      </c>
      <c r="DL65" s="15">
        <f>IF(ISERROR(DL12/DF12-1),"-",DL12/DF12-1)</f>
        <v>8.9307274036136697E-2</v>
      </c>
      <c r="DM65" s="15">
        <f>IF(ISERROR(DM12/DG12-1),"-",DM12/DG12-1)</f>
        <v>6.7804976273396766E-2</v>
      </c>
      <c r="DN65" s="15">
        <f>IF(ISERROR(DN12/DH12-1),"-",DN12/DH12-1)</f>
        <v>4.1946200880619511E-2</v>
      </c>
      <c r="DO65" s="47">
        <f>IF(ISERROR(DO12/DI12-1),"-",DO12/DI12-1)</f>
        <v>7.2556738644311558E-2</v>
      </c>
      <c r="DP65" s="67"/>
      <c r="DQ65" s="111">
        <f>IF(ISERROR(DQ12/DK12-1),"-",DQ12/DK12-1)</f>
        <v>2.8807674720806586E-2</v>
      </c>
      <c r="DR65" s="15">
        <f>IF(ISERROR(DR12/DL12-1),"-",DR12/DL12-1)</f>
        <v>3.4137106065018852E-2</v>
      </c>
      <c r="DS65" s="15">
        <f>IF(ISERROR(DS12/DM12-1),"-",DS12/DM12-1)</f>
        <v>2.8232334700373451E-2</v>
      </c>
      <c r="DT65" s="15">
        <f>IF(ISERROR(DT12/DN12-1),"-",DT12/DN12-1)</f>
        <v>3.1223370134681794E-2</v>
      </c>
      <c r="DU65" s="47">
        <f>IF(ISERROR(DU12/DO12-1),"-",DU12/DO12-1)</f>
        <v>3.06550527118572E-2</v>
      </c>
      <c r="DV65" s="67"/>
      <c r="DW65" s="111">
        <f t="shared" ref="DW65:EA65" si="314">IF(ISERROR(DW12/DQ12-1),"-",DW12/DQ12-1)</f>
        <v>2.827768100961281E-2</v>
      </c>
      <c r="DX65" s="15">
        <f t="shared" si="314"/>
        <v>3.024475016225403E-2</v>
      </c>
      <c r="DY65" s="15">
        <f t="shared" si="314"/>
        <v>2.9885601988623334E-2</v>
      </c>
      <c r="DZ65" s="15">
        <f t="shared" si="314"/>
        <v>3.3055019734812952E-2</v>
      </c>
      <c r="EA65" s="47">
        <f t="shared" si="314"/>
        <v>3.0450526814533418E-2</v>
      </c>
      <c r="EB65" s="67"/>
      <c r="EC65" s="111">
        <f t="shared" ref="EC65" si="315">IF(ISERROR(EC12/DW12-1),"-",EC12/DW12-1)</f>
        <v>3.1705900808344456E-2</v>
      </c>
      <c r="ED65" s="15">
        <f t="shared" ref="ED65" si="316">IF(ISERROR(ED12/DX12-1),"-",ED12/DX12-1)</f>
        <v>3.3439920053234706E-2</v>
      </c>
      <c r="EE65" s="15">
        <f t="shared" ref="EE65" si="317">IF(ISERROR(EE12/DY12-1),"-",EE12/DY12-1)</f>
        <v>3.3210056728063098E-2</v>
      </c>
      <c r="EF65" s="15">
        <f t="shared" ref="EF65" si="318">IF(ISERROR(EF12/DZ12-1),"-",EF12/DZ12-1)</f>
        <v>3.8502798435560814E-2</v>
      </c>
      <c r="EG65" s="47">
        <f t="shared" ref="EG65" si="319">IF(ISERROR(EG12/EA12-1),"-",EG12/EA12-1)</f>
        <v>3.4342439668401337E-2</v>
      </c>
      <c r="EH65" s="61"/>
    </row>
    <row r="66" spans="1:138" ht="11.25" customHeight="1" x14ac:dyDescent="0.2">
      <c r="A66" s="51" t="s">
        <v>247</v>
      </c>
      <c r="B66" s="8"/>
      <c r="C66" s="8"/>
      <c r="D66" s="8"/>
      <c r="E66" s="93"/>
      <c r="F66" s="67"/>
      <c r="G66" s="47"/>
      <c r="H66" s="67"/>
      <c r="I66" s="47"/>
      <c r="J66" s="67"/>
      <c r="K66" s="47"/>
      <c r="L66" s="67"/>
      <c r="M66" s="111"/>
      <c r="N66" s="15"/>
      <c r="O66" s="15"/>
      <c r="P66" s="15"/>
      <c r="Q66" s="47"/>
      <c r="R66" s="67"/>
      <c r="S66" s="111"/>
      <c r="T66" s="15"/>
      <c r="U66" s="15"/>
      <c r="V66" s="15"/>
      <c r="W66" s="47"/>
      <c r="X66" s="67"/>
      <c r="Y66" s="111"/>
      <c r="Z66" s="15"/>
      <c r="AA66" s="15"/>
      <c r="AB66" s="15"/>
      <c r="AC66" s="47"/>
      <c r="AD66" s="67"/>
      <c r="AE66" s="111"/>
      <c r="AF66" s="15"/>
      <c r="AG66" s="15"/>
      <c r="AH66" s="15"/>
      <c r="AI66" s="47"/>
      <c r="AJ66" s="67"/>
      <c r="AK66" s="111"/>
      <c r="AL66" s="15"/>
      <c r="AM66" s="15"/>
      <c r="AN66" s="15"/>
      <c r="AO66" s="47"/>
      <c r="AP66" s="67"/>
      <c r="AQ66" s="111"/>
      <c r="AR66" s="15"/>
      <c r="AS66" s="15"/>
      <c r="AT66" s="15"/>
      <c r="AU66" s="47"/>
      <c r="AV66" s="67"/>
      <c r="AW66" s="111"/>
      <c r="AX66" s="15"/>
      <c r="AY66" s="15"/>
      <c r="AZ66" s="15"/>
      <c r="BA66" s="47"/>
      <c r="BB66" s="67"/>
      <c r="BC66" s="111"/>
      <c r="BD66" s="15"/>
      <c r="BE66" s="15"/>
      <c r="BF66" s="15"/>
      <c r="BG66" s="47"/>
      <c r="BH66" s="67"/>
      <c r="BI66" s="111"/>
      <c r="BJ66" s="15"/>
      <c r="BK66" s="15"/>
      <c r="BL66" s="15"/>
      <c r="BM66" s="47"/>
      <c r="BN66" s="67"/>
      <c r="BO66" s="111"/>
      <c r="BP66" s="15"/>
      <c r="BQ66" s="15"/>
      <c r="BR66" s="15"/>
      <c r="BS66" s="47"/>
      <c r="BT66" s="67"/>
      <c r="BU66" s="111">
        <f t="shared" ref="BU66:BY67" si="320">IF(ISERROR(BU15/BO15-1),"-",BU15/BO15-1)</f>
        <v>0.1856896602262359</v>
      </c>
      <c r="BV66" s="15">
        <f t="shared" si="320"/>
        <v>0.23623981966979724</v>
      </c>
      <c r="BW66" s="15">
        <f t="shared" si="320"/>
        <v>0.74944464210738237</v>
      </c>
      <c r="BX66" s="15">
        <f t="shared" si="320"/>
        <v>0.65665379315196981</v>
      </c>
      <c r="BY66" s="47">
        <f t="shared" si="320"/>
        <v>0.47084701282858021</v>
      </c>
      <c r="BZ66" s="67"/>
      <c r="CA66" s="111">
        <f t="shared" ref="CA66:CE67" si="321">IF(ISERROR(CA15/BU15-1),"-",CA15/BU15-1)</f>
        <v>0.57306556737000469</v>
      </c>
      <c r="CB66" s="15">
        <f t="shared" si="321"/>
        <v>0.50465997223235126</v>
      </c>
      <c r="CC66" s="15">
        <f t="shared" si="321"/>
        <v>1.7742188211647969E-2</v>
      </c>
      <c r="CD66" s="15">
        <f t="shared" si="321"/>
        <v>8.060440877900299E-2</v>
      </c>
      <c r="CE66" s="47">
        <f t="shared" si="321"/>
        <v>0.23856449486989217</v>
      </c>
      <c r="CF66" s="67"/>
      <c r="CG66" s="111">
        <f t="shared" ref="CG66:CK67" si="322">IF(ISERROR(CG15/CA15-1),"-",CG15/CA15-1)</f>
        <v>2.8831597789962693E-2</v>
      </c>
      <c r="CH66" s="15">
        <f t="shared" si="322"/>
        <v>5.4638279906224385E-2</v>
      </c>
      <c r="CI66" s="15">
        <f t="shared" si="322"/>
        <v>7.4810304468088562E-2</v>
      </c>
      <c r="CJ66" s="15">
        <f t="shared" si="322"/>
        <v>5.2483414275030338E-2</v>
      </c>
      <c r="CK66" s="47">
        <f t="shared" si="322"/>
        <v>5.2857563765567717E-2</v>
      </c>
      <c r="CL66" s="67"/>
      <c r="CM66" s="111">
        <f t="shared" ref="CM66:CQ67" si="323">IF(ISERROR(CM15/CG15-1),"-",CM15/CG15-1)</f>
        <v>6.3934917199768737E-2</v>
      </c>
      <c r="CN66" s="15">
        <f t="shared" si="323"/>
        <v>6.1400044206640692E-2</v>
      </c>
      <c r="CO66" s="15">
        <f t="shared" si="323"/>
        <v>5.6061003655010433E-2</v>
      </c>
      <c r="CP66" s="15">
        <f t="shared" si="323"/>
        <v>4.5159292661811179E-2</v>
      </c>
      <c r="CQ66" s="47">
        <f t="shared" si="323"/>
        <v>5.6121561816833365E-2</v>
      </c>
      <c r="CR66" s="67"/>
      <c r="CS66" s="111">
        <f t="shared" ref="CS66:CW67" si="324">IF(ISERROR(CS15/CM15-1),"-",CS15/CM15-1)</f>
        <v>0.17221910464408374</v>
      </c>
      <c r="CT66" s="15">
        <f t="shared" si="324"/>
        <v>8.8138670685129927E-2</v>
      </c>
      <c r="CU66" s="15">
        <f t="shared" si="324"/>
        <v>0.21039600947885573</v>
      </c>
      <c r="CV66" s="15">
        <f t="shared" si="324"/>
        <v>0.22371390259107815</v>
      </c>
      <c r="CW66" s="47">
        <f t="shared" si="324"/>
        <v>0.17506761661869974</v>
      </c>
      <c r="CX66" s="67"/>
      <c r="CY66" s="111">
        <f t="shared" ref="CY66:DC67" si="325">IF(ISERROR(CY15/CS15-1),"-",CY15/CS15-1)</f>
        <v>0.21888766519823788</v>
      </c>
      <c r="CZ66" s="15">
        <f t="shared" si="325"/>
        <v>0.31650110375275919</v>
      </c>
      <c r="DA66" s="15">
        <f t="shared" si="325"/>
        <v>0.12037962037962036</v>
      </c>
      <c r="DB66" s="15">
        <f t="shared" si="325"/>
        <v>9.7772909821102649E-2</v>
      </c>
      <c r="DC66" s="47">
        <f t="shared" si="325"/>
        <v>0.18137967351237494</v>
      </c>
      <c r="DD66" s="67"/>
      <c r="DE66" s="111">
        <f t="shared" ref="DE66:DK68" si="326">IF(ISERROR(DE15/CY15-1),"-",DE15/CY15-1)</f>
        <v>9.1709961599277356E-2</v>
      </c>
      <c r="DF66" s="15">
        <f t="shared" si="326"/>
        <v>2.5850625305666286E-2</v>
      </c>
      <c r="DG66" s="15">
        <f t="shared" si="326"/>
        <v>0.11242383712290094</v>
      </c>
      <c r="DH66" s="15">
        <f t="shared" si="326"/>
        <v>6.5651190634561596E-2</v>
      </c>
      <c r="DI66" s="47">
        <f t="shared" si="326"/>
        <v>7.2888064757693494E-2</v>
      </c>
      <c r="DJ66" s="67"/>
      <c r="DK66" s="111">
        <f t="shared" si="326"/>
        <v>0.1048348161942203</v>
      </c>
      <c r="DL66" s="15">
        <f t="shared" ref="DL66:DO67" si="327">IF(ISERROR(DL15/DF15-1),"-",DL15/DF15-1)</f>
        <v>8.4750441572405188E-2</v>
      </c>
      <c r="DM66" s="15">
        <f t="shared" si="327"/>
        <v>6.309016607622997E-2</v>
      </c>
      <c r="DN66" s="15">
        <f t="shared" si="327"/>
        <v>6.0845742424825877E-2</v>
      </c>
      <c r="DO66" s="47">
        <f t="shared" si="327"/>
        <v>7.7836328801857979E-2</v>
      </c>
      <c r="DP66" s="67"/>
      <c r="DQ66" s="111">
        <f t="shared" ref="DQ66:DU67" si="328">IF(ISERROR(DQ15/DK15-1),"-",DQ15/DK15-1)</f>
        <v>3.8818740700434784E-2</v>
      </c>
      <c r="DR66" s="15">
        <f t="shared" si="328"/>
        <v>4.021266554213665E-2</v>
      </c>
      <c r="DS66" s="15">
        <f t="shared" si="328"/>
        <v>3.1369148735183927E-2</v>
      </c>
      <c r="DT66" s="15">
        <f t="shared" si="328"/>
        <v>3.0778087280744826E-2</v>
      </c>
      <c r="DU66" s="47">
        <f t="shared" si="328"/>
        <v>3.5225953766845342E-2</v>
      </c>
      <c r="DV66" s="67"/>
      <c r="DW66" s="111">
        <f t="shared" ref="DW66:EA68" si="329">IF(ISERROR(DW15/DQ15-1),"-",DW15/DQ15-1)</f>
        <v>3.5090324070780943E-2</v>
      </c>
      <c r="DX66" s="15">
        <f t="shared" si="329"/>
        <v>3.4657654488129408E-2</v>
      </c>
      <c r="DY66" s="15">
        <f t="shared" si="329"/>
        <v>3.4794212647866196E-2</v>
      </c>
      <c r="DZ66" s="15">
        <f t="shared" si="329"/>
        <v>3.4329984950370207E-2</v>
      </c>
      <c r="EA66" s="47">
        <f t="shared" si="329"/>
        <v>3.4712778281418055E-2</v>
      </c>
      <c r="EB66" s="67"/>
      <c r="EC66" s="111">
        <f t="shared" ref="EC66:EC68" si="330">IF(ISERROR(EC15/DW15-1),"-",EC15/DW15-1)</f>
        <v>3.5073795540413899E-2</v>
      </c>
      <c r="ED66" s="15">
        <f t="shared" ref="ED66:ED68" si="331">IF(ISERROR(ED15/DX15-1),"-",ED15/DX15-1)</f>
        <v>3.4635159152492268E-2</v>
      </c>
      <c r="EE66" s="15">
        <f t="shared" ref="EE66:EE68" si="332">IF(ISERROR(EE15/DY15-1),"-",EE15/DY15-1)</f>
        <v>3.4773355609621026E-2</v>
      </c>
      <c r="EF66" s="15">
        <f t="shared" ref="EF66:EF68" si="333">IF(ISERROR(EF15/DZ15-1),"-",EF15/DZ15-1)</f>
        <v>3.4302822700972069E-2</v>
      </c>
      <c r="EG66" s="47">
        <f t="shared" ref="EG66:EG68" si="334">IF(ISERROR(EG15/EA15-1),"-",EG15/EA15-1)</f>
        <v>3.4691019015779423E-2</v>
      </c>
      <c r="EH66" s="61"/>
    </row>
    <row r="67" spans="1:138" ht="11.25" customHeight="1" x14ac:dyDescent="0.2">
      <c r="A67" s="51" t="s">
        <v>68</v>
      </c>
      <c r="B67" s="8"/>
      <c r="C67" s="8"/>
      <c r="D67" s="8"/>
      <c r="E67" s="93"/>
      <c r="F67" s="67"/>
      <c r="G67" s="47"/>
      <c r="H67" s="67"/>
      <c r="I67" s="47"/>
      <c r="J67" s="67"/>
      <c r="K67" s="47"/>
      <c r="L67" s="67"/>
      <c r="M67" s="111"/>
      <c r="N67" s="15"/>
      <c r="O67" s="15"/>
      <c r="P67" s="15"/>
      <c r="Q67" s="47"/>
      <c r="R67" s="67"/>
      <c r="S67" s="111"/>
      <c r="T67" s="15"/>
      <c r="U67" s="15"/>
      <c r="V67" s="15"/>
      <c r="W67" s="47"/>
      <c r="X67" s="67"/>
      <c r="Y67" s="111"/>
      <c r="Z67" s="15"/>
      <c r="AA67" s="15"/>
      <c r="AB67" s="15"/>
      <c r="AC67" s="47"/>
      <c r="AD67" s="67"/>
      <c r="AE67" s="111"/>
      <c r="AF67" s="15"/>
      <c r="AG67" s="15"/>
      <c r="AH67" s="15"/>
      <c r="AI67" s="47"/>
      <c r="AJ67" s="67"/>
      <c r="AK67" s="111"/>
      <c r="AL67" s="15"/>
      <c r="AM67" s="15"/>
      <c r="AN67" s="15"/>
      <c r="AO67" s="47"/>
      <c r="AP67" s="67"/>
      <c r="AQ67" s="111"/>
      <c r="AR67" s="15"/>
      <c r="AS67" s="15"/>
      <c r="AT67" s="15"/>
      <c r="AU67" s="47"/>
      <c r="AV67" s="67"/>
      <c r="AW67" s="111"/>
      <c r="AX67" s="15"/>
      <c r="AY67" s="15"/>
      <c r="AZ67" s="15"/>
      <c r="BA67" s="47"/>
      <c r="BB67" s="67"/>
      <c r="BC67" s="111"/>
      <c r="BD67" s="15"/>
      <c r="BE67" s="15"/>
      <c r="BF67" s="15"/>
      <c r="BG67" s="47"/>
      <c r="BH67" s="67"/>
      <c r="BI67" s="111"/>
      <c r="BJ67" s="15"/>
      <c r="BK67" s="15"/>
      <c r="BL67" s="15"/>
      <c r="BM67" s="47"/>
      <c r="BN67" s="67"/>
      <c r="BO67" s="111"/>
      <c r="BP67" s="15"/>
      <c r="BQ67" s="15"/>
      <c r="BR67" s="15"/>
      <c r="BS67" s="47"/>
      <c r="BT67" s="67"/>
      <c r="BU67" s="111">
        <f t="shared" si="320"/>
        <v>0.18568966022623568</v>
      </c>
      <c r="BV67" s="15">
        <f t="shared" si="320"/>
        <v>0.23623981966979724</v>
      </c>
      <c r="BW67" s="15">
        <f t="shared" si="320"/>
        <v>0.74944464210738282</v>
      </c>
      <c r="BX67" s="15">
        <f t="shared" si="320"/>
        <v>0.65665379315196959</v>
      </c>
      <c r="BY67" s="47">
        <f t="shared" si="320"/>
        <v>0.47084701282857999</v>
      </c>
      <c r="BZ67" s="67"/>
      <c r="CA67" s="111">
        <f t="shared" si="321"/>
        <v>0.57306556737000447</v>
      </c>
      <c r="CB67" s="15">
        <f t="shared" si="321"/>
        <v>0.50465997223235104</v>
      </c>
      <c r="CC67" s="15">
        <f t="shared" si="321"/>
        <v>1.7742188211647747E-2</v>
      </c>
      <c r="CD67" s="15">
        <f t="shared" si="321"/>
        <v>8.060440877900299E-2</v>
      </c>
      <c r="CE67" s="47">
        <f t="shared" si="321"/>
        <v>0.2385644948698924</v>
      </c>
      <c r="CF67" s="67"/>
      <c r="CG67" s="111">
        <f t="shared" si="322"/>
        <v>8.9344886426196979E-3</v>
      </c>
      <c r="CH67" s="15">
        <f t="shared" si="322"/>
        <v>3.4242081916838751E-2</v>
      </c>
      <c r="CI67" s="15">
        <f t="shared" si="322"/>
        <v>5.4023989208497936E-2</v>
      </c>
      <c r="CJ67" s="15">
        <f t="shared" si="322"/>
        <v>3.2128890352376205E-2</v>
      </c>
      <c r="CK67" s="47">
        <f t="shared" si="322"/>
        <v>3.2495803971399617E-2</v>
      </c>
      <c r="CL67" s="67"/>
      <c r="CM67" s="111">
        <f t="shared" si="323"/>
        <v>7.1096090293325753E-2</v>
      </c>
      <c r="CN67" s="15">
        <f t="shared" si="323"/>
        <v>6.8544155481865987E-2</v>
      </c>
      <c r="CO67" s="15">
        <f t="shared" si="323"/>
        <v>6.3169178715599239E-2</v>
      </c>
      <c r="CP67" s="15">
        <f t="shared" si="323"/>
        <v>5.2194090076665978E-2</v>
      </c>
      <c r="CQ67" s="47">
        <f t="shared" si="323"/>
        <v>6.323014448457176E-2</v>
      </c>
      <c r="CR67" s="67"/>
      <c r="CS67" s="111">
        <f t="shared" si="324"/>
        <v>0.15023999643200736</v>
      </c>
      <c r="CT67" s="15">
        <f t="shared" si="324"/>
        <v>9.3663436562780644E-2</v>
      </c>
      <c r="CU67" s="15">
        <f t="shared" si="324"/>
        <v>0.11901507420889845</v>
      </c>
      <c r="CV67" s="15">
        <f t="shared" si="324"/>
        <v>0.10405889806682023</v>
      </c>
      <c r="CW67" s="47">
        <f t="shared" si="324"/>
        <v>0.11578662073364665</v>
      </c>
      <c r="CX67" s="67"/>
      <c r="CY67" s="111">
        <f t="shared" si="325"/>
        <v>0.10670582476749879</v>
      </c>
      <c r="CZ67" s="15">
        <f t="shared" si="325"/>
        <v>0.14894636015325657</v>
      </c>
      <c r="DA67" s="15">
        <f t="shared" si="325"/>
        <v>0.13619227144203583</v>
      </c>
      <c r="DB67" s="15">
        <f t="shared" si="325"/>
        <v>0.13511224057602722</v>
      </c>
      <c r="DC67" s="47">
        <f t="shared" si="325"/>
        <v>0.13199442767587644</v>
      </c>
      <c r="DD67" s="67"/>
      <c r="DE67" s="111">
        <f t="shared" si="326"/>
        <v>0.18266253869969029</v>
      </c>
      <c r="DF67" s="15">
        <f t="shared" si="326"/>
        <v>0.18090871196331815</v>
      </c>
      <c r="DG67" s="15">
        <f t="shared" si="326"/>
        <v>0.15802571547075894</v>
      </c>
      <c r="DH67" s="15">
        <f t="shared" si="326"/>
        <v>0.11529850746268644</v>
      </c>
      <c r="DI67" s="47">
        <f t="shared" si="326"/>
        <v>0.15762485898882184</v>
      </c>
      <c r="DJ67" s="67"/>
      <c r="DK67" s="111">
        <f t="shared" si="326"/>
        <v>0.11705310396409874</v>
      </c>
      <c r="DL67" s="15">
        <f t="shared" si="327"/>
        <v>7.57421037001762E-2</v>
      </c>
      <c r="DM67" s="15">
        <f t="shared" si="327"/>
        <v>5.3817020962965145E-2</v>
      </c>
      <c r="DN67" s="15">
        <f t="shared" si="327"/>
        <v>5.1137565961145492E-2</v>
      </c>
      <c r="DO67" s="47">
        <f t="shared" si="327"/>
        <v>7.3590067945522808E-2</v>
      </c>
      <c r="DP67" s="67"/>
      <c r="DQ67" s="111">
        <f t="shared" si="328"/>
        <v>3.0037048426892143E-2</v>
      </c>
      <c r="DR67" s="15">
        <f t="shared" si="328"/>
        <v>3.1365984179731798E-2</v>
      </c>
      <c r="DS67" s="15">
        <f t="shared" si="328"/>
        <v>2.2154175184796454E-2</v>
      </c>
      <c r="DT67" s="15">
        <f t="shared" si="328"/>
        <v>2.1104407993072227E-2</v>
      </c>
      <c r="DU67" s="47">
        <f t="shared" si="328"/>
        <v>2.6141541231276211E-2</v>
      </c>
      <c r="DV67" s="67"/>
      <c r="DW67" s="111">
        <f t="shared" si="329"/>
        <v>2.6134292445400664E-2</v>
      </c>
      <c r="DX67" s="15">
        <f t="shared" si="329"/>
        <v>2.5643221202468869E-2</v>
      </c>
      <c r="DY67" s="15">
        <f t="shared" si="329"/>
        <v>2.5320927694804762E-2</v>
      </c>
      <c r="DZ67" s="15">
        <f t="shared" si="329"/>
        <v>2.4371687684011212E-2</v>
      </c>
      <c r="EA67" s="47">
        <f t="shared" si="329"/>
        <v>2.5358739454964585E-2</v>
      </c>
      <c r="EB67" s="67"/>
      <c r="EC67" s="111">
        <f t="shared" si="330"/>
        <v>2.5904363872026659E-2</v>
      </c>
      <c r="ED67" s="15">
        <f t="shared" si="331"/>
        <v>2.5397609869468596E-2</v>
      </c>
      <c r="EE67" s="15">
        <f t="shared" si="332"/>
        <v>2.5063639310106023E-2</v>
      </c>
      <c r="EF67" s="15">
        <f t="shared" si="333"/>
        <v>2.4083158822797879E-2</v>
      </c>
      <c r="EG67" s="47">
        <f t="shared" si="334"/>
        <v>2.5103536459094355E-2</v>
      </c>
      <c r="EH67" s="61"/>
    </row>
    <row r="68" spans="1:138" ht="11.25" customHeight="1" x14ac:dyDescent="0.2">
      <c r="A68" s="51" t="s">
        <v>606</v>
      </c>
      <c r="B68" s="8"/>
      <c r="C68" s="8"/>
      <c r="D68" s="8"/>
      <c r="E68" s="93"/>
      <c r="F68" s="67"/>
      <c r="G68" s="47"/>
      <c r="H68" s="67"/>
      <c r="I68" s="47"/>
      <c r="J68" s="67"/>
      <c r="K68" s="47"/>
      <c r="L68" s="67"/>
      <c r="M68" s="111"/>
      <c r="N68" s="15"/>
      <c r="O68" s="15"/>
      <c r="P68" s="15"/>
      <c r="Q68" s="47"/>
      <c r="R68" s="67"/>
      <c r="S68" s="111"/>
      <c r="T68" s="15"/>
      <c r="U68" s="15"/>
      <c r="V68" s="15"/>
      <c r="W68" s="47"/>
      <c r="X68" s="67"/>
      <c r="Y68" s="111"/>
      <c r="Z68" s="15"/>
      <c r="AA68" s="15"/>
      <c r="AB68" s="15"/>
      <c r="AC68" s="47"/>
      <c r="AD68" s="67"/>
      <c r="AE68" s="111"/>
      <c r="AF68" s="15"/>
      <c r="AG68" s="15"/>
      <c r="AH68" s="15"/>
      <c r="AI68" s="47"/>
      <c r="AJ68" s="67"/>
      <c r="AK68" s="111"/>
      <c r="AL68" s="15"/>
      <c r="AM68" s="15"/>
      <c r="AN68" s="15"/>
      <c r="AO68" s="47"/>
      <c r="AP68" s="67"/>
      <c r="AQ68" s="111"/>
      <c r="AR68" s="15"/>
      <c r="AS68" s="15"/>
      <c r="AT68" s="15"/>
      <c r="AU68" s="47"/>
      <c r="AV68" s="67"/>
      <c r="AW68" s="111"/>
      <c r="AX68" s="15"/>
      <c r="AY68" s="15"/>
      <c r="AZ68" s="15"/>
      <c r="BA68" s="47"/>
      <c r="BB68" s="67"/>
      <c r="BC68" s="111"/>
      <c r="BD68" s="15"/>
      <c r="BE68" s="15"/>
      <c r="BF68" s="15"/>
      <c r="BG68" s="47"/>
      <c r="BH68" s="67"/>
      <c r="BI68" s="111"/>
      <c r="BJ68" s="15"/>
      <c r="BK68" s="15"/>
      <c r="BL68" s="15"/>
      <c r="BM68" s="47"/>
      <c r="BN68" s="67"/>
      <c r="BO68" s="111"/>
      <c r="BP68" s="15"/>
      <c r="BQ68" s="15"/>
      <c r="BR68" s="15"/>
      <c r="BS68" s="47"/>
      <c r="BT68" s="67"/>
      <c r="BU68" s="111"/>
      <c r="BV68" s="15"/>
      <c r="BW68" s="15"/>
      <c r="BX68" s="15"/>
      <c r="BY68" s="47">
        <f>IF(ISERROR(BY17/BS17-1),"-",BY17/BS17-1)</f>
        <v>0.47084701282858021</v>
      </c>
      <c r="BZ68" s="67"/>
      <c r="CA68" s="111">
        <f t="shared" ref="CA68:CD68" si="335">IF(ISERROR(CA17/BU17-1),"-",CA17/BU17-1)</f>
        <v>0.57306556737000447</v>
      </c>
      <c r="CB68" s="15">
        <f t="shared" si="335"/>
        <v>0.50465997223235126</v>
      </c>
      <c r="CC68" s="15">
        <f t="shared" si="335"/>
        <v>1.7742188211647969E-2</v>
      </c>
      <c r="CD68" s="15">
        <f t="shared" si="335"/>
        <v>8.060440877900299E-2</v>
      </c>
      <c r="CE68" s="47">
        <f>IF(ISERROR(CE17/BY17-1),"-",CE17/BY17-1)</f>
        <v>0.23856449486989217</v>
      </c>
      <c r="CF68" s="67"/>
      <c r="CG68" s="111">
        <f t="shared" ref="CG68" si="336">IF(ISERROR(CG17/CA17-1),"-",CG17/CA17-1)</f>
        <v>2.5605039549852826E-2</v>
      </c>
      <c r="CH68" s="15">
        <f t="shared" ref="CH68" si="337">IF(ISERROR(CH17/CB17-1),"-",CH17/CB17-1)</f>
        <v>5.1330788340378186E-2</v>
      </c>
      <c r="CI68" s="15">
        <f t="shared" ref="CI68" si="338">IF(ISERROR(CI17/CC17-1),"-",CI17/CC17-1)</f>
        <v>7.1439550642208971E-2</v>
      </c>
      <c r="CJ68" s="15">
        <f t="shared" ref="CJ68:CK68" si="339">IF(ISERROR(CJ17/CD17-1),"-",CJ17/CD17-1)</f>
        <v>4.9182680665951217E-2</v>
      </c>
      <c r="CK68" s="47">
        <f t="shared" si="339"/>
        <v>4.9555656771918644E-2</v>
      </c>
      <c r="CL68" s="67"/>
      <c r="CM68" s="111">
        <f t="shared" ref="CM68" si="340">IF(ISERROR(CM17/CG17-1),"-",CM17/CG17-1)</f>
        <v>6.5077312793237363E-2</v>
      </c>
      <c r="CN68" s="15">
        <f t="shared" ref="CN68" si="341">IF(ISERROR(CN17/CH17-1),"-",CN17/CH17-1)</f>
        <v>6.2539717991011212E-2</v>
      </c>
      <c r="CO68" s="15">
        <f t="shared" ref="CO68" si="342">IF(ISERROR(CO17/CI17-1),"-",CO17/CI17-1)</f>
        <v>5.7194944667290359E-2</v>
      </c>
      <c r="CP68" s="15">
        <f t="shared" ref="CP68:CQ68" si="343">IF(ISERROR(CP17/CJ17-1),"-",CP17/CJ17-1)</f>
        <v>4.6281528008266459E-2</v>
      </c>
      <c r="CQ68" s="47">
        <f t="shared" si="343"/>
        <v>5.7255567853182088E-2</v>
      </c>
      <c r="CR68" s="67"/>
      <c r="CS68" s="111">
        <f t="shared" ref="CS68" si="344">IF(ISERROR(CS17/CM17-1),"-",CS17/CM17-1)</f>
        <v>0.16869304450310896</v>
      </c>
      <c r="CT68" s="15">
        <f t="shared" ref="CT68" si="345">IF(ISERROR(CT17/CN17-1),"-",CT17/CN17-1)</f>
        <v>8.9024996761758235E-2</v>
      </c>
      <c r="CU68" s="15">
        <f t="shared" ref="CU68" si="346">IF(ISERROR(CU17/CO17-1),"-",CU17/CO17-1)</f>
        <v>0.19573596638741875</v>
      </c>
      <c r="CV68" s="15">
        <f t="shared" ref="CV68:CW68" si="347">IF(ISERROR(CV17/CP17-1),"-",CV17/CP17-1)</f>
        <v>0.20451791256044838</v>
      </c>
      <c r="CW68" s="47">
        <f t="shared" si="347"/>
        <v>0.16555729642323658</v>
      </c>
      <c r="CX68" s="67"/>
      <c r="CY68" s="111">
        <f t="shared" ref="CY68" si="348">IF(ISERROR(CY17/CS17-1),"-",CY17/CS17-1)</f>
        <v>0.2011747430249633</v>
      </c>
      <c r="CZ68" s="15">
        <f t="shared" ref="CZ68" si="349">IF(ISERROR(CZ17/CT17-1),"-",CZ17/CT17-1)</f>
        <v>0.2895061728395063</v>
      </c>
      <c r="DA68" s="15">
        <f t="shared" ref="DA68" si="350">IF(ISERROR(DA17/CU17-1),"-",DA17/CU17-1)</f>
        <v>0.12275364369605191</v>
      </c>
      <c r="DB68" s="15">
        <f t="shared" ref="DB68:DC68" si="351">IF(ISERROR(DB17/CV17-1),"-",DB17/CV17-1)</f>
        <v>0.1032635774788242</v>
      </c>
      <c r="DC68" s="47">
        <f t="shared" si="351"/>
        <v>0.17379521831375166</v>
      </c>
      <c r="DD68" s="67"/>
      <c r="DE68" s="111">
        <f t="shared" ref="DE68" si="352">IF(ISERROR(DE17/CY17-1),"-",DE17/CY17-1)</f>
        <v>0.10494144897696578</v>
      </c>
      <c r="DF68" s="15">
        <f t="shared" ref="DF68" si="353">IF(ISERROR(DF17/CZ17-1),"-",DF17/CZ17-1)</f>
        <v>4.8109143130684373E-2</v>
      </c>
      <c r="DG68" s="15">
        <f t="shared" si="326"/>
        <v>0.11935219610561476</v>
      </c>
      <c r="DH68" s="15">
        <f t="shared" si="326"/>
        <v>7.316247036242518E-2</v>
      </c>
      <c r="DI68" s="47">
        <f t="shared" ref="DI68" si="354">IF(ISERROR(DI17/DC17-1),"-",DI17/DC17-1)</f>
        <v>8.5438279386970795E-2</v>
      </c>
      <c r="DJ68" s="67"/>
      <c r="DK68" s="111">
        <f t="shared" si="326"/>
        <v>0.10673732021196058</v>
      </c>
      <c r="DL68" s="15">
        <f t="shared" ref="DL68" si="355">IF(ISERROR(DL17/DF17-1),"-",DL17/DF17-1)</f>
        <v>8.3293452465758477E-2</v>
      </c>
      <c r="DM68" s="15">
        <f t="shared" ref="DM68" si="356">IF(ISERROR(DM17/DG17-1),"-",DM17/DG17-1)</f>
        <v>6.1632607040243093E-2</v>
      </c>
      <c r="DN68" s="15">
        <f t="shared" ref="DN68:DO68" si="357">IF(ISERROR(DN17/DH17-1),"-",DN17/DH17-1)</f>
        <v>5.9319296372750907E-2</v>
      </c>
      <c r="DO68" s="47">
        <f t="shared" si="357"/>
        <v>7.7165597608408243E-2</v>
      </c>
      <c r="DP68" s="67"/>
      <c r="DQ68" s="111">
        <f t="shared" ref="DQ68" si="358">IF(ISERROR(DQ17/DK17-1),"-",DQ17/DK17-1)</f>
        <v>3.7438602069419735E-2</v>
      </c>
      <c r="DR68" s="15">
        <f t="shared" ref="DR68" si="359">IF(ISERROR(DR17/DL17-1),"-",DR17/DL17-1)</f>
        <v>3.8791796434736847E-2</v>
      </c>
      <c r="DS68" s="15">
        <f t="shared" ref="DS68" si="360">IF(ISERROR(DS17/DM17-1),"-",DS17/DM17-1)</f>
        <v>2.99313961702381E-2</v>
      </c>
      <c r="DT68" s="15">
        <f t="shared" ref="DT68:DU68" si="361">IF(ISERROR(DT17/DN17-1),"-",DT17/DN17-1)</f>
        <v>2.9268813049187825E-2</v>
      </c>
      <c r="DU68" s="47">
        <f t="shared" si="361"/>
        <v>3.379576062018641E-2</v>
      </c>
      <c r="DV68" s="67"/>
      <c r="DW68" s="111">
        <f t="shared" si="329"/>
        <v>3.3692828119862961E-2</v>
      </c>
      <c r="DX68" s="15">
        <f t="shared" si="329"/>
        <v>3.3220192371231638E-2</v>
      </c>
      <c r="DY68" s="15">
        <f t="shared" si="329"/>
        <v>3.3327318524788652E-2</v>
      </c>
      <c r="DZ68" s="15">
        <f t="shared" si="329"/>
        <v>3.2788629169323791E-2</v>
      </c>
      <c r="EA68" s="47">
        <f t="shared" si="329"/>
        <v>3.3251040287064049E-2</v>
      </c>
      <c r="EB68" s="67"/>
      <c r="EC68" s="111">
        <f t="shared" si="330"/>
        <v>3.3653462935752554E-2</v>
      </c>
      <c r="ED68" s="15">
        <f t="shared" si="331"/>
        <v>3.3172920780563997E-2</v>
      </c>
      <c r="EE68" s="15">
        <f t="shared" si="332"/>
        <v>3.328150059267343E-2</v>
      </c>
      <c r="EF68" s="15">
        <f t="shared" si="333"/>
        <v>3.2733903636189332E-2</v>
      </c>
      <c r="EG68" s="47">
        <f t="shared" si="334"/>
        <v>3.3204245075469485E-2</v>
      </c>
      <c r="EH68" s="61"/>
    </row>
    <row r="69" spans="1:138" ht="11.25" customHeight="1" x14ac:dyDescent="0.2">
      <c r="A69" s="51" t="s">
        <v>441</v>
      </c>
      <c r="B69" s="8"/>
      <c r="C69" s="8"/>
      <c r="D69" s="8"/>
      <c r="E69" s="93"/>
      <c r="F69" s="67"/>
      <c r="G69" s="47"/>
      <c r="H69" s="67"/>
      <c r="I69" s="47"/>
      <c r="J69" s="67"/>
      <c r="K69" s="47"/>
      <c r="L69" s="67"/>
      <c r="M69" s="111"/>
      <c r="N69" s="15"/>
      <c r="O69" s="15"/>
      <c r="P69" s="15"/>
      <c r="Q69" s="47"/>
      <c r="R69" s="67"/>
      <c r="S69" s="111"/>
      <c r="T69" s="15"/>
      <c r="U69" s="15"/>
      <c r="V69" s="15"/>
      <c r="W69" s="47"/>
      <c r="X69" s="67"/>
      <c r="Y69" s="111"/>
      <c r="Z69" s="15"/>
      <c r="AA69" s="15"/>
      <c r="AB69" s="15"/>
      <c r="AC69" s="47"/>
      <c r="AD69" s="67"/>
      <c r="AE69" s="111"/>
      <c r="AF69" s="15"/>
      <c r="AG69" s="15"/>
      <c r="AH69" s="15"/>
      <c r="AI69" s="47"/>
      <c r="AJ69" s="67"/>
      <c r="AK69" s="111"/>
      <c r="AL69" s="15"/>
      <c r="AM69" s="15"/>
      <c r="AN69" s="15"/>
      <c r="AO69" s="47"/>
      <c r="AP69" s="67"/>
      <c r="AQ69" s="111"/>
      <c r="AR69" s="15"/>
      <c r="AS69" s="15"/>
      <c r="AT69" s="15"/>
      <c r="AU69" s="47"/>
      <c r="AV69" s="67"/>
      <c r="AW69" s="111"/>
      <c r="AX69" s="15"/>
      <c r="AY69" s="15"/>
      <c r="AZ69" s="15"/>
      <c r="BA69" s="47"/>
      <c r="BB69" s="67"/>
      <c r="BC69" s="111"/>
      <c r="BD69" s="15"/>
      <c r="BE69" s="15"/>
      <c r="BF69" s="15"/>
      <c r="BG69" s="47"/>
      <c r="BH69" s="67"/>
      <c r="BI69" s="111"/>
      <c r="BJ69" s="15"/>
      <c r="BK69" s="15"/>
      <c r="BL69" s="15"/>
      <c r="BM69" s="47"/>
      <c r="BN69" s="67"/>
      <c r="BO69" s="111"/>
      <c r="BP69" s="15"/>
      <c r="BQ69" s="15"/>
      <c r="BR69" s="15"/>
      <c r="BS69" s="47"/>
      <c r="BT69" s="67"/>
      <c r="BU69" s="111">
        <f>IF(ISERROR(BU20/BO20-1),"-",BU20/BO20-1)</f>
        <v>0.6615297300496783</v>
      </c>
      <c r="BV69" s="15">
        <f>IF(ISERROR(BV20/BP20-1),"-",BV20/BP20-1)</f>
        <v>0.20191156459364357</v>
      </c>
      <c r="BW69" s="15">
        <f>IF(ISERROR(BW20/BQ20-1),"-",BW20/BQ20-1)</f>
        <v>9.4874601305084294E-2</v>
      </c>
      <c r="BX69" s="15">
        <f>IF(ISERROR(BX20/BR20-1),"-",BX20/BR20-1)</f>
        <v>0.53773050546730694</v>
      </c>
      <c r="BY69" s="47">
        <f>IF(ISERROR(BY20/BS20-1),"-",BY20/BS20-1)</f>
        <v>0.36267445411465005</v>
      </c>
      <c r="BZ69" s="67"/>
      <c r="CA69" s="111">
        <f>IF(ISERROR(CA20/BU20-1),"-",CA20/BU20-1)</f>
        <v>0.42772333779623617</v>
      </c>
      <c r="CB69" s="15">
        <f>IF(ISERROR(CB20/BV20-1),"-",CB20/BV20-1)</f>
        <v>0.82751350519487588</v>
      </c>
      <c r="CC69" s="15">
        <f>IF(ISERROR(CC20/BW20-1),"-",CC20/BW20-1)</f>
        <v>0.54820253578849254</v>
      </c>
      <c r="CD69" s="15">
        <f>IF(ISERROR(CD20/BX20-1),"-",CD20/BX20-1)</f>
        <v>0.27239747226898814</v>
      </c>
      <c r="CE69" s="47">
        <f>IF(ISERROR(CE20/BY20-1),"-",CE20/BY20-1)</f>
        <v>0.47792401354645841</v>
      </c>
      <c r="CF69" s="67"/>
      <c r="CG69" s="111">
        <f>IF(ISERROR(CG20/CA20-1),"-",CG20/CA20-1)</f>
        <v>1.8186548392289836E-2</v>
      </c>
      <c r="CH69" s="15">
        <f>IF(ISERROR(CH20/CB20-1),"-",CH20/CB20-1)</f>
        <v>0.13059979448799774</v>
      </c>
      <c r="CI69" s="15">
        <f>IF(ISERROR(CI20/CC20-1),"-",CI20/CC20-1)</f>
        <v>0.17833087264046243</v>
      </c>
      <c r="CJ69" s="15">
        <f>IF(ISERROR(CJ20/CD20-1),"-",CJ20/CD20-1)</f>
        <v>7.4177574885244901E-2</v>
      </c>
      <c r="CK69" s="47">
        <f>IF(ISERROR(CK20/CE20-1),"-",CK20/CE20-1)</f>
        <v>0.10010013268108908</v>
      </c>
      <c r="CL69" s="67"/>
      <c r="CM69" s="111">
        <f>IF(ISERROR(CM20/CG20-1),"-",CM20/CG20-1)</f>
        <v>0.10413036694623901</v>
      </c>
      <c r="CN69" s="15">
        <f>IF(ISERROR(CN20/CH20-1),"-",CN20/CH20-1)</f>
        <v>8.0420242559776867E-2</v>
      </c>
      <c r="CO69" s="15">
        <f>IF(ISERROR(CO20/CI20-1),"-",CO20/CI20-1)</f>
        <v>9.6091111035014665E-2</v>
      </c>
      <c r="CP69" s="15">
        <f>IF(ISERROR(CP20/CJ20-1),"-",CP20/CJ20-1)</f>
        <v>-1.8089255738807486E-2</v>
      </c>
      <c r="CQ69" s="47">
        <f>IF(ISERROR(CQ20/CK20-1),"-",CQ20/CK20-1)</f>
        <v>5.9639673060356557E-2</v>
      </c>
      <c r="CR69" s="67"/>
      <c r="CS69" s="111">
        <f>IF(ISERROR(CS20/CM20-1),"-",CS20/CM20-1)</f>
        <v>4.6791175036594801E-2</v>
      </c>
      <c r="CT69" s="15">
        <f>IF(ISERROR(CT20/CN20-1),"-",CT20/CN20-1)</f>
        <v>0.11928366949686953</v>
      </c>
      <c r="CU69" s="15">
        <f>IF(ISERROR(CU20/CO20-1),"-",CU20/CO20-1)</f>
        <v>-9.3926885128379101E-2</v>
      </c>
      <c r="CV69" s="15">
        <f>IF(ISERROR(CV20/CP20-1),"-",CV20/CP20-1)</f>
        <v>0.14966471211332188</v>
      </c>
      <c r="CW69" s="47">
        <f>IF(ISERROR(CW20/CQ20-1),"-",CW20/CQ20-1)</f>
        <v>5.7310513447433209E-2</v>
      </c>
      <c r="CX69" s="67"/>
      <c r="CY69" s="111">
        <f>IF(ISERROR(CY20/CS20-1),"-",CY20/CS20-1)</f>
        <v>0.36944382398927922</v>
      </c>
      <c r="CZ69" s="15">
        <f>IF(ISERROR(CZ20/CT20-1),"-",CZ20/CT20-1)</f>
        <v>0.21821924858466213</v>
      </c>
      <c r="DA69" s="15">
        <f>IF(ISERROR(DA20/CU20-1),"-",DA20/CU20-1)</f>
        <v>0.45645833333333519</v>
      </c>
      <c r="DB69" s="15">
        <f>IF(ISERROR(DB20/CV20-1),"-",DB20/CV20-1)</f>
        <v>0.11817065684469008</v>
      </c>
      <c r="DC69" s="47">
        <f>IF(ISERROR(DC20/CW20-1),"-",DC20/CW20-1)</f>
        <v>0.27226898529275756</v>
      </c>
      <c r="DD69" s="67"/>
      <c r="DE69" s="111">
        <f>IF(ISERROR(DE20/CY20-1),"-",DE20/CY20-1)</f>
        <v>6.3611156418188486E-3</v>
      </c>
      <c r="DF69" s="15">
        <f>IF(ISERROR(DF20/CZ20-1),"-",DF20/CZ20-1)</f>
        <v>5.8583298127025119E-2</v>
      </c>
      <c r="DG69" s="15">
        <f>IF(ISERROR(DG20/DA20-1),"-",DG20/DA20-1)</f>
        <v>8.7827206408237934E-2</v>
      </c>
      <c r="DH69" s="15">
        <f>IF(ISERROR(DH20/DB20-1),"-",DH20/DB20-1)</f>
        <v>0.28753774361789741</v>
      </c>
      <c r="DI69" s="47">
        <f>IF(ISERROR(DI20/DC20-1),"-",DI20/DC20-1)</f>
        <v>0.11501690355883487</v>
      </c>
      <c r="DJ69" s="67"/>
      <c r="DK69" s="111">
        <f>IF(ISERROR(DK20/DE20-1),"-",DK20/DE20-1)</f>
        <v>0.20421393841166924</v>
      </c>
      <c r="DL69" s="15">
        <f>IF(ISERROR(DL20/DF20-1),"-",DL20/DF20-1)</f>
        <v>0.12634541855162773</v>
      </c>
      <c r="DM69" s="15">
        <f>IF(ISERROR(DM20/DG20-1),"-",DM20/DG20-1)</f>
        <v>0.10237760731567924</v>
      </c>
      <c r="DN69" s="15">
        <f>IF(ISERROR(DN20/DH20-1),"-",DN20/DH20-1)</f>
        <v>0.1552064627406462</v>
      </c>
      <c r="DO69" s="47">
        <f>IF(ISERROR(DO20/DI20-1),"-",DO20/DI20-1)</f>
        <v>0.14489329514094873</v>
      </c>
      <c r="DP69" s="67"/>
      <c r="DQ69" s="111">
        <f>IF(ISERROR(DQ20/DK20-1),"-",DQ20/DK20-1)</f>
        <v>0.11845606448817048</v>
      </c>
      <c r="DR69" s="15">
        <f>IF(ISERROR(DR20/DL20-1),"-",DR20/DL20-1)</f>
        <v>0.10632270089708018</v>
      </c>
      <c r="DS69" s="15">
        <f>IF(ISERROR(DS20/DM20-1),"-",DS20/DM20-1)</f>
        <v>8.8374659235199715E-2</v>
      </c>
      <c r="DT69" s="15">
        <f>IF(ISERROR(DT20/DN20-1),"-",DT20/DN20-1)</f>
        <v>7.4333631429401192E-2</v>
      </c>
      <c r="DU69" s="47">
        <f>IF(ISERROR(DU20/DO20-1),"-",DU20/DO20-1)</f>
        <v>9.4733452092976567E-2</v>
      </c>
      <c r="DV69" s="67"/>
      <c r="DW69" s="111">
        <f t="shared" ref="DW69:EA69" si="362">IF(ISERROR(DW20/DQ20-1),"-",DW20/DQ20-1)</f>
        <v>0.10122762814413866</v>
      </c>
      <c r="DX69" s="15">
        <f t="shared" si="362"/>
        <v>9.320648208833604E-2</v>
      </c>
      <c r="DY69" s="15">
        <f t="shared" si="362"/>
        <v>9.3912703996504199E-2</v>
      </c>
      <c r="DZ69" s="15">
        <f t="shared" si="362"/>
        <v>8.0530048695473866E-2</v>
      </c>
      <c r="EA69" s="47">
        <f t="shared" si="362"/>
        <v>9.1268986096526117E-2</v>
      </c>
      <c r="EB69" s="67"/>
      <c r="EC69" s="111">
        <f t="shared" ref="EC69" si="363">IF(ISERROR(EC20/DW20-1),"-",EC20/DW20-1)</f>
        <v>8.9648477513079694E-2</v>
      </c>
      <c r="ED69" s="15">
        <f t="shared" ref="ED69" si="364">IF(ISERROR(ED20/DX20-1),"-",ED20/DX20-1)</f>
        <v>8.340424034357441E-2</v>
      </c>
      <c r="EE69" s="15">
        <f t="shared" ref="EE69" si="365">IF(ISERROR(EE20/DY20-1),"-",EE20/DY20-1)</f>
        <v>8.3794766112557095E-2</v>
      </c>
      <c r="EF69" s="15">
        <f t="shared" ref="EF69" si="366">IF(ISERROR(EF20/DZ20-1),"-",EF20/DZ20-1)</f>
        <v>6.8353948337346759E-2</v>
      </c>
      <c r="EG69" s="47">
        <f t="shared" ref="EG69" si="367">IF(ISERROR(EG20/EA20-1),"-",EG20/EA20-1)</f>
        <v>8.0346204291534162E-2</v>
      </c>
      <c r="EH69" s="61"/>
    </row>
    <row r="70" spans="1:138" ht="11.25" customHeight="1" x14ac:dyDescent="0.2">
      <c r="A70" s="51" t="s">
        <v>442</v>
      </c>
      <c r="B70" s="8"/>
      <c r="C70" s="8"/>
      <c r="D70" s="8"/>
      <c r="E70" s="93"/>
      <c r="F70" s="67"/>
      <c r="G70" s="47"/>
      <c r="H70" s="67"/>
      <c r="I70" s="47"/>
      <c r="J70" s="67"/>
      <c r="K70" s="47"/>
      <c r="L70" s="67"/>
      <c r="M70" s="111"/>
      <c r="N70" s="15"/>
      <c r="O70" s="15"/>
      <c r="P70" s="15"/>
      <c r="Q70" s="47"/>
      <c r="R70" s="67"/>
      <c r="S70" s="111"/>
      <c r="T70" s="15"/>
      <c r="U70" s="15"/>
      <c r="V70" s="15"/>
      <c r="W70" s="47"/>
      <c r="X70" s="67"/>
      <c r="Y70" s="111"/>
      <c r="Z70" s="15"/>
      <c r="AA70" s="15"/>
      <c r="AB70" s="15"/>
      <c r="AC70" s="47"/>
      <c r="AD70" s="67"/>
      <c r="AE70" s="111"/>
      <c r="AF70" s="15"/>
      <c r="AG70" s="15"/>
      <c r="AH70" s="15"/>
      <c r="AI70" s="47"/>
      <c r="AJ70" s="67"/>
      <c r="AK70" s="111"/>
      <c r="AL70" s="15"/>
      <c r="AM70" s="15"/>
      <c r="AN70" s="15"/>
      <c r="AO70" s="47"/>
      <c r="AP70" s="67"/>
      <c r="AQ70" s="111"/>
      <c r="AR70" s="15"/>
      <c r="AS70" s="15"/>
      <c r="AT70" s="15"/>
      <c r="AU70" s="47"/>
      <c r="AV70" s="67"/>
      <c r="AW70" s="111"/>
      <c r="AX70" s="15"/>
      <c r="AY70" s="15"/>
      <c r="AZ70" s="15"/>
      <c r="BA70" s="47"/>
      <c r="BB70" s="67"/>
      <c r="BC70" s="111"/>
      <c r="BD70" s="15"/>
      <c r="BE70" s="15"/>
      <c r="BF70" s="15"/>
      <c r="BG70" s="47"/>
      <c r="BH70" s="67"/>
      <c r="BI70" s="111"/>
      <c r="BJ70" s="15"/>
      <c r="BK70" s="15"/>
      <c r="BL70" s="15"/>
      <c r="BM70" s="47"/>
      <c r="BN70" s="67"/>
      <c r="BO70" s="111"/>
      <c r="BP70" s="15"/>
      <c r="BQ70" s="15"/>
      <c r="BR70" s="15"/>
      <c r="BS70" s="47"/>
      <c r="BT70" s="67"/>
      <c r="BU70" s="111" t="str">
        <f>IF(ISERROR(BU22/BO22-1),"-",BU22/BO22-1)</f>
        <v>-</v>
      </c>
      <c r="BV70" s="15" t="str">
        <f>IF(ISERROR(BV22/BP22-1),"-",BV22/BP22-1)</f>
        <v>-</v>
      </c>
      <c r="BW70" s="15" t="str">
        <f>IF(ISERROR(BW22/BQ22-1),"-",BW22/BQ22-1)</f>
        <v>-</v>
      </c>
      <c r="BX70" s="15" t="str">
        <f>IF(ISERROR(BX22/BR22-1),"-",BX22/BR22-1)</f>
        <v>-</v>
      </c>
      <c r="BY70" s="47">
        <f>IF(ISERROR(BY22/BS22-1),"-",BY22/BS22-1)</f>
        <v>0.44678598697784322</v>
      </c>
      <c r="BZ70" s="67"/>
      <c r="CA70" s="111" t="str">
        <f>IF(ISERROR(CA22/BU22-1),"-",CA22/BU22-1)</f>
        <v>-</v>
      </c>
      <c r="CB70" s="15" t="str">
        <f>IF(ISERROR(CB22/BV22-1),"-",CB22/BV22-1)</f>
        <v>-</v>
      </c>
      <c r="CC70" s="15" t="str">
        <f>IF(ISERROR(CC22/BW22-1),"-",CC22/BW22-1)</f>
        <v>-</v>
      </c>
      <c r="CD70" s="15" t="str">
        <f>IF(ISERROR(CD22/BX22-1),"-",CD22/BX22-1)</f>
        <v>-</v>
      </c>
      <c r="CE70" s="47">
        <f>IF(ISERROR(CE22/BY22-1),"-",CE22/BY22-1)</f>
        <v>0.42376279531352568</v>
      </c>
      <c r="CF70" s="67"/>
      <c r="CG70" s="111" t="str">
        <f>IF(ISERROR(CG22/CA22-1),"-",CG22/CA22-1)</f>
        <v>-</v>
      </c>
      <c r="CH70" s="15" t="str">
        <f>IF(ISERROR(CH22/CB22-1),"-",CH22/CB22-1)</f>
        <v>-</v>
      </c>
      <c r="CI70" s="15" t="str">
        <f>IF(ISERROR(CI22/CC22-1),"-",CI22/CC22-1)</f>
        <v>-</v>
      </c>
      <c r="CJ70" s="15" t="str">
        <f>IF(ISERROR(CJ22/CD22-1),"-",CJ22/CD22-1)</f>
        <v>-</v>
      </c>
      <c r="CK70" s="47">
        <f>IF(ISERROR(CK22/CE22-1),"-",CK22/CE22-1)</f>
        <v>8.8973292780588853E-2</v>
      </c>
      <c r="CL70" s="67"/>
      <c r="CM70" s="111" t="str">
        <f>IF(ISERROR(CM22/CG22-1),"-",CM22/CG22-1)</f>
        <v>-</v>
      </c>
      <c r="CN70" s="15" t="str">
        <f>IF(ISERROR(CN22/CH22-1),"-",CN22/CH22-1)</f>
        <v>-</v>
      </c>
      <c r="CO70" s="15" t="str">
        <f>IF(ISERROR(CO22/CI22-1),"-",CO22/CI22-1)</f>
        <v>-</v>
      </c>
      <c r="CP70" s="15" t="str">
        <f>IF(ISERROR(CP22/CJ22-1),"-",CP22/CJ22-1)</f>
        <v>-</v>
      </c>
      <c r="CQ70" s="47">
        <f>IF(ISERROR(CQ22/CK22-1),"-",CQ22/CK22-1)</f>
        <v>3.8797349455564234E-2</v>
      </c>
      <c r="CR70" s="67"/>
      <c r="CS70" s="111" t="str">
        <f>IF(ISERROR(CS22/CM22-1),"-",CS22/CM22-1)</f>
        <v>-</v>
      </c>
      <c r="CT70" s="15" t="str">
        <f>IF(ISERROR(CT22/CN22-1),"-",CT22/CN22-1)</f>
        <v>-</v>
      </c>
      <c r="CU70" s="15" t="str">
        <f>IF(ISERROR(CU22/CO22-1),"-",CU22/CO22-1)</f>
        <v>-</v>
      </c>
      <c r="CV70" s="15" t="str">
        <f>IF(ISERROR(CV22/CP22-1),"-",CV22/CP22-1)</f>
        <v>-</v>
      </c>
      <c r="CW70" s="47">
        <f>IF(ISERROR(CW22/CQ22-1),"-",CW22/CQ22-1)</f>
        <v>3.6973930822968404E-2</v>
      </c>
      <c r="CX70" s="67"/>
      <c r="CY70" s="111">
        <f>IF(ISERROR(CY22/CS22-1),"-",CY22/CS22-1)</f>
        <v>0.35128805620608938</v>
      </c>
      <c r="CZ70" s="15">
        <f>IF(ISERROR(CZ22/CT22-1),"-",CZ22/CT22-1)</f>
        <v>0.25734845712891752</v>
      </c>
      <c r="DA70" s="15">
        <f>IF(ISERROR(DA22/CU22-1),"-",DA22/CU22-1)</f>
        <v>0.44523770890800107</v>
      </c>
      <c r="DB70" s="15">
        <f>IF(ISERROR(DB22/CV22-1),"-",DB22/CV22-1)</f>
        <v>0.1197488090082286</v>
      </c>
      <c r="DC70" s="47">
        <f>IF(ISERROR(DC22/CW22-1),"-",DC22/CW22-1)</f>
        <v>0.27472888596779499</v>
      </c>
      <c r="DD70" s="67"/>
      <c r="DE70" s="111">
        <f>IF(ISERROR(DE22/CY22-1),"-",DE22/CY22-1)</f>
        <v>-6.4991334488828656E-4</v>
      </c>
      <c r="DF70" s="15">
        <f>IF(ISERROR(DF22/CZ22-1),"-",DF22/CZ22-1)</f>
        <v>2.3280628576971996E-2</v>
      </c>
      <c r="DG70" s="15">
        <f>IF(ISERROR(DG22/DA22-1),"-",DG22/DA22-1)</f>
        <v>0.20343550016840584</v>
      </c>
      <c r="DH70" s="15">
        <f>IF(ISERROR(DH22/DB22-1),"-",DH22/DB22-1)</f>
        <v>0.21465867337072142</v>
      </c>
      <c r="DI70" s="47">
        <f>IF(ISERROR(DI22/DC22-1),"-",DI22/DC22-1)</f>
        <v>0.10997679814385131</v>
      </c>
      <c r="DJ70" s="67"/>
      <c r="DK70" s="111">
        <f>IF(ISERROR(DK22/DE22-1),"-",DK22/DE22-1)</f>
        <v>0.15576044439627124</v>
      </c>
      <c r="DL70" s="15">
        <f>IF(ISERROR(DL22/DF22-1),"-",DL22/DF22-1)</f>
        <v>0.11048745435492346</v>
      </c>
      <c r="DM70" s="15">
        <f>IF(ISERROR(DM22/DG22-1),"-",DM22/DG22-1)</f>
        <v>8.2636895439743174E-2</v>
      </c>
      <c r="DN70" s="15">
        <f>IF(ISERROR(DN22/DH22-1),"-",DN22/DH22-1)</f>
        <v>0.11787544330194888</v>
      </c>
      <c r="DO70" s="47">
        <f>IF(ISERROR(DO22/DI22-1),"-",DO22/DI22-1)</f>
        <v>0.1154104937051228</v>
      </c>
      <c r="DP70" s="67"/>
      <c r="DQ70" s="111">
        <f>IF(ISERROR(DQ22/DK22-1),"-",DQ22/DK22-1)</f>
        <v>8.566548520591355E-2</v>
      </c>
      <c r="DR70" s="15">
        <f>IF(ISERROR(DR22/DL22-1),"-",DR22/DL22-1)</f>
        <v>7.6436104515642977E-2</v>
      </c>
      <c r="DS70" s="15">
        <f>IF(ISERROR(DS22/DM22-1),"-",DS22/DM22-1)</f>
        <v>6.3516197922386386E-2</v>
      </c>
      <c r="DT70" s="15">
        <f>IF(ISERROR(DT22/DN22-1),"-",DT22/DN22-1)</f>
        <v>5.7187747492163821E-2</v>
      </c>
      <c r="DU70" s="47">
        <f>IF(ISERROR(DU22/DO22-1),"-",DU22/DO22-1)</f>
        <v>6.9735041470277981E-2</v>
      </c>
      <c r="DV70" s="67"/>
      <c r="DW70" s="111">
        <f t="shared" ref="DW70:EA70" si="368">IF(ISERROR(DW22/DQ22-1),"-",DW22/DQ22-1)</f>
        <v>7.5004739176264268E-2</v>
      </c>
      <c r="DX70" s="15">
        <f t="shared" si="368"/>
        <v>7.1390412956931382E-2</v>
      </c>
      <c r="DY70" s="15">
        <f t="shared" si="368"/>
        <v>7.1627661827615929E-2</v>
      </c>
      <c r="DZ70" s="15">
        <f t="shared" si="368"/>
        <v>6.5006475054401269E-2</v>
      </c>
      <c r="EA70" s="47">
        <f t="shared" si="368"/>
        <v>7.0417054213584018E-2</v>
      </c>
      <c r="EB70" s="67"/>
      <c r="EC70" s="111">
        <f t="shared" ref="EC70" si="369">IF(ISERROR(EC22/DW22-1),"-",EC22/DW22-1)</f>
        <v>6.7448102624673822E-2</v>
      </c>
      <c r="ED70" s="15">
        <f t="shared" ref="ED70" si="370">IF(ISERROR(ED22/DX22-1),"-",ED22/DX22-1)</f>
        <v>6.4631288723006941E-2</v>
      </c>
      <c r="EE70" s="15">
        <f t="shared" ref="EE70" si="371">IF(ISERROR(EE22/DY22-1),"-",EE22/DY22-1)</f>
        <v>6.4685175937843731E-2</v>
      </c>
      <c r="EF70" s="15">
        <f t="shared" ref="EF70" si="372">IF(ISERROR(EF22/DZ22-1),"-",EF22/DZ22-1)</f>
        <v>5.5627279260022977E-2</v>
      </c>
      <c r="EG70" s="47">
        <f t="shared" ref="EG70" si="373">IF(ISERROR(EG22/EA22-1),"-",EG22/EA22-1)</f>
        <v>6.2692923649692478E-2</v>
      </c>
      <c r="EH70" s="61"/>
    </row>
    <row r="71" spans="1:138" ht="11.25" customHeight="1" x14ac:dyDescent="0.2">
      <c r="A71" s="51" t="s">
        <v>246</v>
      </c>
      <c r="B71" s="8"/>
      <c r="C71" s="8"/>
      <c r="D71" s="8"/>
      <c r="E71" s="93"/>
      <c r="F71" s="67"/>
      <c r="G71" s="47"/>
      <c r="H71" s="67"/>
      <c r="I71" s="47"/>
      <c r="J71" s="67"/>
      <c r="K71" s="47"/>
      <c r="L71" s="67"/>
      <c r="M71" s="111"/>
      <c r="N71" s="15"/>
      <c r="O71" s="15"/>
      <c r="P71" s="15"/>
      <c r="Q71" s="47"/>
      <c r="R71" s="67"/>
      <c r="S71" s="111"/>
      <c r="T71" s="15"/>
      <c r="U71" s="15"/>
      <c r="V71" s="15"/>
      <c r="W71" s="47"/>
      <c r="X71" s="67"/>
      <c r="Y71" s="111"/>
      <c r="Z71" s="15"/>
      <c r="AA71" s="15"/>
      <c r="AB71" s="15"/>
      <c r="AC71" s="47"/>
      <c r="AD71" s="67"/>
      <c r="AE71" s="111"/>
      <c r="AF71" s="15"/>
      <c r="AG71" s="15"/>
      <c r="AH71" s="15"/>
      <c r="AI71" s="47"/>
      <c r="AJ71" s="67"/>
      <c r="AK71" s="111"/>
      <c r="AL71" s="15"/>
      <c r="AM71" s="15"/>
      <c r="AN71" s="15"/>
      <c r="AO71" s="47"/>
      <c r="AP71" s="67"/>
      <c r="AQ71" s="111"/>
      <c r="AR71" s="15"/>
      <c r="AS71" s="15"/>
      <c r="AT71" s="15"/>
      <c r="AU71" s="47"/>
      <c r="AV71" s="67"/>
      <c r="AW71" s="111"/>
      <c r="AX71" s="15"/>
      <c r="AY71" s="15"/>
      <c r="AZ71" s="15"/>
      <c r="BA71" s="47"/>
      <c r="BB71" s="67"/>
      <c r="BC71" s="111"/>
      <c r="BD71" s="15"/>
      <c r="BE71" s="15"/>
      <c r="BF71" s="15"/>
      <c r="BG71" s="47"/>
      <c r="BH71" s="67"/>
      <c r="BI71" s="111"/>
      <c r="BJ71" s="15"/>
      <c r="BK71" s="15"/>
      <c r="BL71" s="15"/>
      <c r="BM71" s="47"/>
      <c r="BN71" s="67"/>
      <c r="BO71" s="111"/>
      <c r="BP71" s="15"/>
      <c r="BQ71" s="15"/>
      <c r="BR71" s="15"/>
      <c r="BS71" s="47"/>
      <c r="BT71" s="67"/>
      <c r="BU71" s="111" t="str">
        <f t="shared" ref="BU71:BY72" si="374">IF(ISERROR(BU34/BO34-1),"-",BU34/BO34-1)</f>
        <v>-</v>
      </c>
      <c r="BV71" s="15" t="str">
        <f t="shared" si="374"/>
        <v>-</v>
      </c>
      <c r="BW71" s="15" t="str">
        <f t="shared" si="374"/>
        <v>-</v>
      </c>
      <c r="BX71" s="15" t="str">
        <f t="shared" si="374"/>
        <v>-</v>
      </c>
      <c r="BY71" s="47" t="str">
        <f t="shared" si="374"/>
        <v>-</v>
      </c>
      <c r="BZ71" s="67"/>
      <c r="CA71" s="111" t="str">
        <f t="shared" ref="CA71:CE72" si="375">IF(ISERROR(CA34/BU34-1),"-",CA34/BU34-1)</f>
        <v>-</v>
      </c>
      <c r="CB71" s="15" t="str">
        <f t="shared" si="375"/>
        <v>-</v>
      </c>
      <c r="CC71" s="15" t="str">
        <f t="shared" si="375"/>
        <v>-</v>
      </c>
      <c r="CD71" s="15" t="str">
        <f t="shared" si="375"/>
        <v>-</v>
      </c>
      <c r="CE71" s="47" t="str">
        <f t="shared" si="375"/>
        <v>-</v>
      </c>
      <c r="CF71" s="67"/>
      <c r="CG71" s="111" t="str">
        <f t="shared" ref="CG71:CK72" si="376">IF(ISERROR(CG34/CA34-1),"-",CG34/CA34-1)</f>
        <v>-</v>
      </c>
      <c r="CH71" s="15" t="str">
        <f t="shared" si="376"/>
        <v>-</v>
      </c>
      <c r="CI71" s="15" t="str">
        <f t="shared" si="376"/>
        <v>-</v>
      </c>
      <c r="CJ71" s="15" t="str">
        <f t="shared" si="376"/>
        <v>-</v>
      </c>
      <c r="CK71" s="47">
        <f t="shared" si="376"/>
        <v>9.2257701563210892E-2</v>
      </c>
      <c r="CL71" s="67"/>
      <c r="CM71" s="111" t="str">
        <f t="shared" ref="CM71:CQ72" si="377">IF(ISERROR(CM34/CG34-1),"-",CM34/CG34-1)</f>
        <v>-</v>
      </c>
      <c r="CN71" s="15" t="str">
        <f t="shared" si="377"/>
        <v>-</v>
      </c>
      <c r="CO71" s="15" t="str">
        <f t="shared" si="377"/>
        <v>-</v>
      </c>
      <c r="CP71" s="15" t="str">
        <f t="shared" si="377"/>
        <v>-</v>
      </c>
      <c r="CQ71" s="47">
        <f t="shared" si="377"/>
        <v>0.14066426868883442</v>
      </c>
      <c r="CR71" s="67"/>
      <c r="CS71" s="111" t="str">
        <f t="shared" ref="CS71:CW72" si="378">IF(ISERROR(CS34/CM34-1),"-",CS34/CM34-1)</f>
        <v>-</v>
      </c>
      <c r="CT71" s="15" t="str">
        <f t="shared" si="378"/>
        <v>-</v>
      </c>
      <c r="CU71" s="15" t="str">
        <f t="shared" si="378"/>
        <v>-</v>
      </c>
      <c r="CV71" s="15" t="str">
        <f t="shared" si="378"/>
        <v>-</v>
      </c>
      <c r="CW71" s="47">
        <f t="shared" si="378"/>
        <v>0.10746341578735907</v>
      </c>
      <c r="CX71" s="67"/>
      <c r="CY71" s="111">
        <f t="shared" ref="CY71:DC72" si="379">IF(ISERROR(CY34/CS34-1),"-",CY34/CS34-1)</f>
        <v>0.27724341154231147</v>
      </c>
      <c r="CZ71" s="15">
        <f t="shared" si="379"/>
        <v>0.14655039838303274</v>
      </c>
      <c r="DA71" s="15">
        <f t="shared" si="379"/>
        <v>0.21343793925014931</v>
      </c>
      <c r="DB71" s="15">
        <f t="shared" si="379"/>
        <v>0.1681920067196625</v>
      </c>
      <c r="DC71" s="47">
        <f t="shared" si="379"/>
        <v>0.19568034762148723</v>
      </c>
      <c r="DD71" s="67"/>
      <c r="DE71" s="111">
        <f t="shared" ref="DE71:DK72" si="380">IF(ISERROR(DE34/CY34-1),"-",DE34/CY34-1)</f>
        <v>8.6478398084664621E-2</v>
      </c>
      <c r="DF71" s="15">
        <f t="shared" si="380"/>
        <v>0.11720784664393991</v>
      </c>
      <c r="DG71" s="15">
        <f t="shared" si="380"/>
        <v>0.15432535665235725</v>
      </c>
      <c r="DH71" s="15">
        <f t="shared" si="380"/>
        <v>0.14919499494129362</v>
      </c>
      <c r="DI71" s="47">
        <f t="shared" si="380"/>
        <v>0.12876770208760235</v>
      </c>
      <c r="DJ71" s="67"/>
      <c r="DK71" s="111">
        <f t="shared" si="380"/>
        <v>0.17442436745224543</v>
      </c>
      <c r="DL71" s="15">
        <f t="shared" ref="DL71:DO72" si="381">IF(ISERROR(DL34/DF34-1),"-",DL34/DF34-1)</f>
        <v>0.12319316410359171</v>
      </c>
      <c r="DM71" s="15">
        <f t="shared" si="381"/>
        <v>0.10888924281529078</v>
      </c>
      <c r="DN71" s="15">
        <f t="shared" si="381"/>
        <v>0.15294434989141314</v>
      </c>
      <c r="DO71" s="47">
        <f t="shared" si="381"/>
        <v>0.13927199577690397</v>
      </c>
      <c r="DP71" s="67"/>
      <c r="DQ71" s="111">
        <f t="shared" ref="DQ71:DU72" si="382">IF(ISERROR(DQ34/DK34-1),"-",DQ34/DK34-1)</f>
        <v>0.11322270807426982</v>
      </c>
      <c r="DR71" s="15">
        <f t="shared" si="382"/>
        <v>0.10378972856721647</v>
      </c>
      <c r="DS71" s="15">
        <f t="shared" si="382"/>
        <v>9.0083889426212371E-2</v>
      </c>
      <c r="DT71" s="15">
        <f t="shared" si="382"/>
        <v>7.8222030189854186E-2</v>
      </c>
      <c r="DU71" s="47">
        <f t="shared" si="382"/>
        <v>9.4868283195421732E-2</v>
      </c>
      <c r="DV71" s="67"/>
      <c r="DW71" s="111">
        <f t="shared" ref="DW71:EA72" si="383">IF(ISERROR(DW34/DQ34-1),"-",DW34/DQ34-1)</f>
        <v>9.9607161399904554E-2</v>
      </c>
      <c r="DX71" s="15">
        <f t="shared" si="383"/>
        <v>9.3347765647701975E-2</v>
      </c>
      <c r="DY71" s="15">
        <f t="shared" si="383"/>
        <v>9.3960693991807398E-2</v>
      </c>
      <c r="DZ71" s="15">
        <f t="shared" si="383"/>
        <v>0.22343057270998057</v>
      </c>
      <c r="EA71" s="47">
        <f t="shared" si="383"/>
        <v>0.13332899904658357</v>
      </c>
      <c r="EB71" s="67"/>
      <c r="EC71" s="111">
        <f t="shared" ref="EC71:EC72" si="384">IF(ISERROR(EC34/DW34-1),"-",EC34/DW34-1)</f>
        <v>0.28069194571608924</v>
      </c>
      <c r="ED71" s="15">
        <f t="shared" ref="ED71:ED72" si="385">IF(ISERROR(ED34/DX34-1),"-",ED34/DX34-1)</f>
        <v>0.2767592909722103</v>
      </c>
      <c r="EE71" s="15">
        <f t="shared" ref="EE71:EE72" si="386">IF(ISERROR(EE34/DY34-1),"-",EE34/DY34-1)</f>
        <v>0.30295624870722926</v>
      </c>
      <c r="EF71" s="15">
        <f t="shared" ref="EF71:EF72" si="387">IF(ISERROR(EF34/DZ34-1),"-",EF34/DZ34-1)</f>
        <v>0.11659981618366211</v>
      </c>
      <c r="EG71" s="47">
        <f t="shared" ref="EG71:EG72" si="388">IF(ISERROR(EG34/EA34-1),"-",EG34/EA34-1)</f>
        <v>0.23254433268418873</v>
      </c>
      <c r="EH71" s="61"/>
    </row>
    <row r="72" spans="1:138" ht="11.25" customHeight="1" x14ac:dyDescent="0.2">
      <c r="A72" s="105" t="s">
        <v>248</v>
      </c>
      <c r="B72" s="8"/>
      <c r="C72" s="8"/>
      <c r="D72" s="8"/>
      <c r="E72" s="96"/>
      <c r="F72" s="67"/>
      <c r="G72" s="108"/>
      <c r="H72" s="67"/>
      <c r="I72" s="108"/>
      <c r="J72" s="67"/>
      <c r="K72" s="108"/>
      <c r="L72" s="67"/>
      <c r="M72" s="112"/>
      <c r="N72" s="113"/>
      <c r="O72" s="113"/>
      <c r="P72" s="113"/>
      <c r="Q72" s="108"/>
      <c r="R72" s="67"/>
      <c r="S72" s="112"/>
      <c r="T72" s="113"/>
      <c r="U72" s="113"/>
      <c r="V72" s="113"/>
      <c r="W72" s="108"/>
      <c r="X72" s="67"/>
      <c r="Y72" s="112"/>
      <c r="Z72" s="113"/>
      <c r="AA72" s="113"/>
      <c r="AB72" s="113"/>
      <c r="AC72" s="108"/>
      <c r="AD72" s="67"/>
      <c r="AE72" s="112"/>
      <c r="AF72" s="113"/>
      <c r="AG72" s="113"/>
      <c r="AH72" s="113"/>
      <c r="AI72" s="108"/>
      <c r="AJ72" s="67"/>
      <c r="AK72" s="112"/>
      <c r="AL72" s="113"/>
      <c r="AM72" s="113"/>
      <c r="AN72" s="113"/>
      <c r="AO72" s="108"/>
      <c r="AP72" s="67"/>
      <c r="AQ72" s="112"/>
      <c r="AR72" s="113"/>
      <c r="AS72" s="113"/>
      <c r="AT72" s="113"/>
      <c r="AU72" s="108"/>
      <c r="AV72" s="67"/>
      <c r="AW72" s="112"/>
      <c r="AX72" s="113"/>
      <c r="AY72" s="113"/>
      <c r="AZ72" s="113"/>
      <c r="BA72" s="108"/>
      <c r="BB72" s="67"/>
      <c r="BC72" s="112"/>
      <c r="BD72" s="113"/>
      <c r="BE72" s="113"/>
      <c r="BF72" s="113"/>
      <c r="BG72" s="108"/>
      <c r="BH72" s="67"/>
      <c r="BI72" s="112"/>
      <c r="BJ72" s="113"/>
      <c r="BK72" s="113"/>
      <c r="BL72" s="113"/>
      <c r="BM72" s="108"/>
      <c r="BN72" s="67"/>
      <c r="BO72" s="112"/>
      <c r="BP72" s="113"/>
      <c r="BQ72" s="113"/>
      <c r="BR72" s="113"/>
      <c r="BS72" s="108"/>
      <c r="BT72" s="67"/>
      <c r="BU72" s="112" t="str">
        <f t="shared" si="374"/>
        <v>-</v>
      </c>
      <c r="BV72" s="113" t="str">
        <f t="shared" si="374"/>
        <v>-</v>
      </c>
      <c r="BW72" s="113" t="str">
        <f t="shared" si="374"/>
        <v>-</v>
      </c>
      <c r="BX72" s="113" t="str">
        <f t="shared" si="374"/>
        <v>-</v>
      </c>
      <c r="BY72" s="108" t="str">
        <f t="shared" si="374"/>
        <v>-</v>
      </c>
      <c r="BZ72" s="67"/>
      <c r="CA72" s="112" t="str">
        <f t="shared" si="375"/>
        <v>-</v>
      </c>
      <c r="CB72" s="113" t="str">
        <f t="shared" si="375"/>
        <v>-</v>
      </c>
      <c r="CC72" s="113" t="str">
        <f t="shared" si="375"/>
        <v>-</v>
      </c>
      <c r="CD72" s="113" t="str">
        <f t="shared" si="375"/>
        <v>-</v>
      </c>
      <c r="CE72" s="108" t="str">
        <f t="shared" si="375"/>
        <v>-</v>
      </c>
      <c r="CF72" s="67"/>
      <c r="CG72" s="112" t="str">
        <f t="shared" si="376"/>
        <v>-</v>
      </c>
      <c r="CH72" s="113" t="str">
        <f t="shared" si="376"/>
        <v>-</v>
      </c>
      <c r="CI72" s="113" t="str">
        <f t="shared" si="376"/>
        <v>-</v>
      </c>
      <c r="CJ72" s="113" t="str">
        <f t="shared" si="376"/>
        <v>-</v>
      </c>
      <c r="CK72" s="108">
        <f t="shared" si="376"/>
        <v>9.0721474134851876E-2</v>
      </c>
      <c r="CL72" s="67"/>
      <c r="CM72" s="112" t="str">
        <f t="shared" si="377"/>
        <v>-</v>
      </c>
      <c r="CN72" s="113" t="str">
        <f t="shared" si="377"/>
        <v>-</v>
      </c>
      <c r="CO72" s="113" t="str">
        <f t="shared" si="377"/>
        <v>-</v>
      </c>
      <c r="CP72" s="113" t="str">
        <f t="shared" si="377"/>
        <v>-</v>
      </c>
      <c r="CQ72" s="108">
        <f t="shared" si="377"/>
        <v>0.13254056003038861</v>
      </c>
      <c r="CR72" s="67"/>
      <c r="CS72" s="112" t="str">
        <f t="shared" si="378"/>
        <v>-</v>
      </c>
      <c r="CT72" s="113" t="str">
        <f t="shared" si="378"/>
        <v>-</v>
      </c>
      <c r="CU72" s="113" t="str">
        <f t="shared" si="378"/>
        <v>-</v>
      </c>
      <c r="CV72" s="113" t="str">
        <f t="shared" si="378"/>
        <v>-</v>
      </c>
      <c r="CW72" s="108">
        <f t="shared" si="378"/>
        <v>0.11934305158126723</v>
      </c>
      <c r="CX72" s="67"/>
      <c r="CY72" s="112">
        <f t="shared" si="379"/>
        <v>0.31681945183683746</v>
      </c>
      <c r="CZ72" s="113">
        <f t="shared" si="379"/>
        <v>0.1805088949440985</v>
      </c>
      <c r="DA72" s="113">
        <f t="shared" si="379"/>
        <v>0.20893923877667109</v>
      </c>
      <c r="DB72" s="113">
        <f t="shared" si="379"/>
        <v>0.1602032310646484</v>
      </c>
      <c r="DC72" s="108">
        <f t="shared" si="379"/>
        <v>0.21054519332641286</v>
      </c>
      <c r="DD72" s="67"/>
      <c r="DE72" s="112">
        <f t="shared" si="380"/>
        <v>7.3238049177865472E-2</v>
      </c>
      <c r="DF72" s="113">
        <f t="shared" si="380"/>
        <v>0.10691318970718688</v>
      </c>
      <c r="DG72" s="113">
        <f t="shared" si="380"/>
        <v>0.14729077752309827</v>
      </c>
      <c r="DH72" s="113">
        <f t="shared" si="380"/>
        <v>0.13993777126808071</v>
      </c>
      <c r="DI72" s="108">
        <f t="shared" si="380"/>
        <v>0.11869655561663239</v>
      </c>
      <c r="DJ72" s="67"/>
      <c r="DK72" s="112">
        <f t="shared" si="380"/>
        <v>0.1681342862735018</v>
      </c>
      <c r="DL72" s="113">
        <f t="shared" si="381"/>
        <v>0.11466018283437474</v>
      </c>
      <c r="DM72" s="113">
        <f t="shared" si="381"/>
        <v>9.738043440458477E-2</v>
      </c>
      <c r="DN72" s="113">
        <f t="shared" si="381"/>
        <v>0.14069270411516199</v>
      </c>
      <c r="DO72" s="108">
        <f t="shared" si="381"/>
        <v>0.12999010565819913</v>
      </c>
      <c r="DP72" s="67"/>
      <c r="DQ72" s="112">
        <f t="shared" si="382"/>
        <v>0.10096391326832244</v>
      </c>
      <c r="DR72" s="113">
        <f t="shared" si="382"/>
        <v>9.0291466183404001E-2</v>
      </c>
      <c r="DS72" s="113">
        <f t="shared" si="382"/>
        <v>7.6793866944984357E-2</v>
      </c>
      <c r="DT72" s="113">
        <f t="shared" si="382"/>
        <v>6.5116569049425088E-2</v>
      </c>
      <c r="DU72" s="108">
        <f t="shared" si="382"/>
        <v>8.1499557106730514E-2</v>
      </c>
      <c r="DV72" s="67"/>
      <c r="DW72" s="112">
        <f t="shared" si="383"/>
        <v>8.628226051816501E-2</v>
      </c>
      <c r="DX72" s="113">
        <f t="shared" si="383"/>
        <v>8.013873168600516E-2</v>
      </c>
      <c r="DY72" s="113">
        <f t="shared" si="383"/>
        <v>8.0784052728286815E-2</v>
      </c>
      <c r="DZ72" s="113">
        <f t="shared" si="383"/>
        <v>0.20873872085429279</v>
      </c>
      <c r="EA72" s="108">
        <f t="shared" si="383"/>
        <v>0.1196575868579477</v>
      </c>
      <c r="EB72" s="67"/>
      <c r="EC72" s="112">
        <f t="shared" si="384"/>
        <v>0.26535849112792365</v>
      </c>
      <c r="ED72" s="113">
        <f t="shared" si="385"/>
        <v>0.26151853980488049</v>
      </c>
      <c r="EE72" s="113">
        <f t="shared" si="386"/>
        <v>0.28744906046186336</v>
      </c>
      <c r="EF72" s="113">
        <f t="shared" si="387"/>
        <v>0.10334998017716779</v>
      </c>
      <c r="EG72" s="108">
        <f t="shared" si="388"/>
        <v>0.21785329905609574</v>
      </c>
      <c r="EH72" s="61"/>
    </row>
    <row r="73" spans="1:138" ht="11.25" customHeight="1" x14ac:dyDescent="0.2">
      <c r="A73" s="2"/>
      <c r="B73" s="8"/>
      <c r="C73" s="8"/>
      <c r="D73" s="8"/>
      <c r="E73" s="67"/>
      <c r="F73" s="67"/>
      <c r="G73" s="67"/>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1010">
        <f>+CK76/CE76-1</f>
        <v>0.10652173913043472</v>
      </c>
      <c r="CL73" s="67"/>
      <c r="CM73" s="67"/>
      <c r="CN73" s="67"/>
      <c r="CO73" s="67"/>
      <c r="CP73" s="67"/>
      <c r="CQ73" s="1010">
        <f>+CQ76/CK76-1</f>
        <v>5.7760314341846808E-2</v>
      </c>
      <c r="CR73" s="67"/>
      <c r="CS73" s="18"/>
      <c r="CT73" s="18"/>
      <c r="CU73" s="18"/>
      <c r="CV73" s="18"/>
      <c r="CW73" s="1010">
        <f>+CW76/CQ76-1</f>
        <v>0.47362555720653798</v>
      </c>
      <c r="CX73" s="1011"/>
      <c r="CY73" s="1010">
        <f>+CY76/CS76-1</f>
        <v>0.73999999999999977</v>
      </c>
      <c r="CZ73" s="1010">
        <f>+CZ76/CT76-1</f>
        <v>0.83227445997458682</v>
      </c>
      <c r="DA73" s="1010">
        <f>+DA76/CU76-1</f>
        <v>0.42345924453280315</v>
      </c>
      <c r="DB73" s="1010">
        <f>+DB76/CV76-1</f>
        <v>0.13901018922852981</v>
      </c>
      <c r="DC73" s="1010">
        <f>+DC76/CW76-1</f>
        <v>0.46987648096798607</v>
      </c>
      <c r="DD73" s="1011"/>
      <c r="DE73" s="1010">
        <f>+DE76/CY76-1</f>
        <v>0.19324712643678166</v>
      </c>
      <c r="DF73" s="1010">
        <f>+DF76/CZ76-1</f>
        <v>0.11165048543689338</v>
      </c>
      <c r="DG73" s="1010">
        <f>+DG76/DA76-1</f>
        <v>0.16201117318435765</v>
      </c>
      <c r="DH73" s="1010">
        <f>+DH76/DB76-1</f>
        <v>7.1565495207668084E-2</v>
      </c>
      <c r="DI73" s="1010">
        <f>+DI76/DC76-1</f>
        <v>0.13273880980963804</v>
      </c>
      <c r="DJ73" s="67"/>
      <c r="DK73" s="1010">
        <f>+DK76/DE76-1</f>
        <v>3.732691149909706E-2</v>
      </c>
      <c r="DL73" s="67"/>
      <c r="DM73" s="67"/>
      <c r="DN73" s="67"/>
      <c r="DO73" s="901"/>
      <c r="DP73" s="67"/>
      <c r="DQ73" s="67"/>
      <c r="DR73" s="67"/>
      <c r="DS73" s="67"/>
      <c r="DT73" s="67"/>
      <c r="DU73" s="68"/>
      <c r="DV73" s="67"/>
      <c r="DW73" s="67"/>
      <c r="DX73" s="67"/>
      <c r="DY73" s="67"/>
      <c r="DZ73" s="67"/>
      <c r="EA73" s="68"/>
      <c r="EB73" s="67"/>
      <c r="EC73" s="67"/>
      <c r="ED73" s="67"/>
      <c r="EE73" s="67"/>
      <c r="EF73" s="67"/>
      <c r="EG73" s="68"/>
      <c r="EH73" s="61"/>
    </row>
    <row r="74" spans="1:138" ht="11.25" customHeight="1" x14ac:dyDescent="0.2">
      <c r="A74" s="238" t="s">
        <v>424</v>
      </c>
      <c r="B74" s="397"/>
      <c r="C74" s="397"/>
      <c r="D74" s="397"/>
      <c r="E74" s="398"/>
      <c r="F74" s="398"/>
      <c r="G74" s="398"/>
      <c r="H74" s="398"/>
      <c r="I74" s="398"/>
      <c r="J74" s="398"/>
      <c r="K74" s="398"/>
      <c r="L74" s="398"/>
      <c r="M74" s="398"/>
      <c r="N74" s="398"/>
      <c r="O74" s="398"/>
      <c r="P74" s="398"/>
      <c r="Q74" s="398"/>
      <c r="R74" s="398"/>
      <c r="S74" s="398"/>
      <c r="T74" s="398"/>
      <c r="U74" s="398"/>
      <c r="V74" s="398"/>
      <c r="W74" s="398"/>
      <c r="X74" s="398"/>
      <c r="Y74" s="398"/>
      <c r="Z74" s="398"/>
      <c r="AA74" s="398"/>
      <c r="AB74" s="398"/>
      <c r="AC74" s="398"/>
      <c r="AD74" s="398"/>
      <c r="AE74" s="398"/>
      <c r="AF74" s="398"/>
      <c r="AG74" s="398"/>
      <c r="AH74" s="398"/>
      <c r="AI74" s="398"/>
      <c r="AJ74" s="3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398"/>
      <c r="BJ74" s="398"/>
      <c r="BK74" s="398"/>
      <c r="BL74" s="398"/>
      <c r="BM74" s="398"/>
      <c r="BN74" s="398"/>
      <c r="BO74" s="398"/>
      <c r="BP74" s="398"/>
      <c r="BQ74" s="398"/>
      <c r="BR74" s="398"/>
      <c r="BS74" s="398"/>
      <c r="BT74" s="398"/>
      <c r="BU74" s="398"/>
      <c r="BV74" s="398"/>
      <c r="BW74" s="398"/>
      <c r="BX74" s="398"/>
      <c r="BY74" s="398"/>
      <c r="BZ74" s="398"/>
      <c r="CA74" s="398"/>
      <c r="CB74" s="398"/>
      <c r="CC74" s="398"/>
      <c r="CD74" s="398"/>
      <c r="CE74" s="398"/>
      <c r="CF74" s="398"/>
      <c r="CG74" s="398"/>
      <c r="CH74" s="398"/>
      <c r="CI74" s="398"/>
      <c r="CJ74" s="398"/>
      <c r="CK74" s="398"/>
      <c r="CL74" s="398"/>
      <c r="CM74" s="398"/>
      <c r="CN74" s="398"/>
      <c r="CO74" s="398"/>
      <c r="CP74" s="398"/>
      <c r="CQ74" s="398"/>
      <c r="CR74" s="398"/>
      <c r="CS74" s="398"/>
      <c r="CT74" s="398"/>
      <c r="CU74" s="398"/>
      <c r="CV74" s="398"/>
      <c r="CW74" s="398"/>
      <c r="CX74" s="398"/>
      <c r="CY74" s="398"/>
      <c r="CZ74" s="398"/>
      <c r="DA74" s="398"/>
      <c r="DB74" s="398"/>
      <c r="DC74" s="398"/>
      <c r="DD74" s="398"/>
      <c r="DE74" s="398"/>
      <c r="DF74" s="398"/>
      <c r="DG74" s="398"/>
      <c r="DH74" s="398"/>
      <c r="DI74" s="399"/>
      <c r="DJ74" s="398"/>
      <c r="DK74" s="398"/>
      <c r="DL74" s="398"/>
      <c r="DM74" s="398"/>
      <c r="DN74" s="398"/>
      <c r="DO74" s="399"/>
      <c r="DP74" s="398"/>
      <c r="DQ74" s="398"/>
      <c r="DR74" s="398"/>
      <c r="DS74" s="398"/>
      <c r="DT74" s="398"/>
      <c r="DU74" s="399"/>
      <c r="DV74" s="398"/>
      <c r="DW74" s="398"/>
      <c r="DX74" s="398"/>
      <c r="DY74" s="398"/>
      <c r="DZ74" s="398"/>
      <c r="EA74" s="399"/>
      <c r="EB74" s="398"/>
      <c r="EC74" s="398"/>
      <c r="ED74" s="398"/>
      <c r="EE74" s="398"/>
      <c r="EF74" s="398"/>
      <c r="EG74" s="399"/>
      <c r="EH74" s="61"/>
    </row>
    <row r="75" spans="1:138" ht="11.25" customHeight="1" x14ac:dyDescent="0.2">
      <c r="A75" s="129" t="s">
        <v>4</v>
      </c>
      <c r="B75" s="11"/>
      <c r="C75" s="11"/>
      <c r="D75" s="11"/>
      <c r="E75" s="404"/>
      <c r="F75" s="164"/>
      <c r="G75" s="404"/>
      <c r="H75" s="164"/>
      <c r="I75" s="404"/>
      <c r="J75" s="164"/>
      <c r="K75" s="404"/>
      <c r="L75" s="164"/>
      <c r="M75" s="400"/>
      <c r="N75" s="401"/>
      <c r="O75" s="401"/>
      <c r="P75" s="401"/>
      <c r="Q75" s="404"/>
      <c r="R75" s="164"/>
      <c r="S75" s="400"/>
      <c r="T75" s="401"/>
      <c r="U75" s="401"/>
      <c r="V75" s="401"/>
      <c r="W75" s="404"/>
      <c r="X75" s="164"/>
      <c r="Y75" s="400"/>
      <c r="Z75" s="401"/>
      <c r="AA75" s="401"/>
      <c r="AB75" s="401"/>
      <c r="AC75" s="404"/>
      <c r="AD75" s="164"/>
      <c r="AE75" s="400"/>
      <c r="AF75" s="401"/>
      <c r="AG75" s="401"/>
      <c r="AH75" s="401"/>
      <c r="AI75" s="404"/>
      <c r="AJ75" s="164"/>
      <c r="AK75" s="400"/>
      <c r="AL75" s="401"/>
      <c r="AM75" s="401"/>
      <c r="AN75" s="401"/>
      <c r="AO75" s="404"/>
      <c r="AP75" s="164"/>
      <c r="AQ75" s="400"/>
      <c r="AR75" s="401"/>
      <c r="AS75" s="401"/>
      <c r="AT75" s="401"/>
      <c r="AU75" s="404"/>
      <c r="AV75" s="164"/>
      <c r="AW75" s="400"/>
      <c r="AX75" s="401"/>
      <c r="AY75" s="401"/>
      <c r="AZ75" s="401"/>
      <c r="BA75" s="404"/>
      <c r="BB75" s="164"/>
      <c r="BC75" s="400"/>
      <c r="BD75" s="401"/>
      <c r="BE75" s="401"/>
      <c r="BF75" s="401"/>
      <c r="BG75" s="404"/>
      <c r="BH75" s="164"/>
      <c r="BI75" s="400"/>
      <c r="BJ75" s="401"/>
      <c r="BK75" s="401"/>
      <c r="BL75" s="401"/>
      <c r="BM75" s="404"/>
      <c r="BN75" s="164"/>
      <c r="BO75" s="400"/>
      <c r="BP75" s="401"/>
      <c r="BQ75" s="401"/>
      <c r="BR75" s="401"/>
      <c r="BS75" s="404"/>
      <c r="BT75" s="164"/>
      <c r="BU75" s="400"/>
      <c r="BV75" s="401"/>
      <c r="BW75" s="401"/>
      <c r="BX75" s="401"/>
      <c r="BY75" s="404"/>
      <c r="BZ75" s="164"/>
      <c r="CA75" s="400"/>
      <c r="CB75" s="401"/>
      <c r="CC75" s="401"/>
      <c r="CD75" s="401"/>
      <c r="CE75" s="841">
        <v>2392.1999999999998</v>
      </c>
      <c r="CF75" s="164"/>
      <c r="CG75" s="400"/>
      <c r="CH75" s="401"/>
      <c r="CI75" s="401"/>
      <c r="CJ75" s="401"/>
      <c r="CK75" s="408">
        <v>2695</v>
      </c>
      <c r="CL75" s="164"/>
      <c r="CM75" s="400"/>
      <c r="CN75" s="401"/>
      <c r="CO75" s="401"/>
      <c r="CP75" s="401"/>
      <c r="CQ75" s="408">
        <v>2598.4</v>
      </c>
      <c r="CR75" s="164"/>
      <c r="CS75" s="406">
        <v>569.79999999999995</v>
      </c>
      <c r="CT75" s="407">
        <v>695.6</v>
      </c>
      <c r="CU75" s="407">
        <v>1403.4</v>
      </c>
      <c r="CV75" s="407">
        <v>688.6</v>
      </c>
      <c r="CW75" s="408">
        <v>3357.4</v>
      </c>
      <c r="CX75" s="164"/>
      <c r="CY75" s="406">
        <v>758.4</v>
      </c>
      <c r="CZ75" s="407">
        <v>656.7</v>
      </c>
      <c r="DA75" s="407">
        <f>391.6</f>
        <v>391.6</v>
      </c>
      <c r="DB75" s="401">
        <f>+DC75-SUM(CY75:DA75)</f>
        <v>747</v>
      </c>
      <c r="DC75" s="408">
        <v>2553.6999999999998</v>
      </c>
      <c r="DD75" s="67"/>
      <c r="DE75" s="406">
        <v>506.1</v>
      </c>
      <c r="DF75" s="407">
        <f>557.3+76+35-70-41</f>
        <v>557.29999999999995</v>
      </c>
      <c r="DG75" s="407">
        <v>572.1</v>
      </c>
      <c r="DH75" s="401">
        <f>+DI75-SUM(DE75:DG75)</f>
        <v>856.59999999999991</v>
      </c>
      <c r="DI75" s="408">
        <v>2492.1</v>
      </c>
      <c r="DJ75" s="164"/>
      <c r="DK75" s="406">
        <v>566.6</v>
      </c>
      <c r="DL75" s="401">
        <f t="shared" ref="DL75:DN75" si="389">+DL90-SUM(DL76:DL89)</f>
        <v>647.26435095528939</v>
      </c>
      <c r="DM75" s="401">
        <f t="shared" si="389"/>
        <v>642.79560939416604</v>
      </c>
      <c r="DN75" s="401">
        <f t="shared" si="389"/>
        <v>839.00718358858717</v>
      </c>
      <c r="DO75" s="404">
        <f t="shared" ref="DO75:DO89" si="390">+SUM(DK75:DN75)</f>
        <v>2695.6671439380425</v>
      </c>
      <c r="DP75" s="164"/>
      <c r="DQ75" s="400">
        <f t="shared" ref="DQ75:DT75" si="391">+DQ90-SUM(DQ76:DQ89)</f>
        <v>644.63929238681601</v>
      </c>
      <c r="DR75" s="401">
        <f t="shared" si="391"/>
        <v>731.35608977110451</v>
      </c>
      <c r="DS75" s="401">
        <f t="shared" si="391"/>
        <v>715.57976040132803</v>
      </c>
      <c r="DT75" s="401">
        <f t="shared" si="391"/>
        <v>917.79164119385155</v>
      </c>
      <c r="DU75" s="404">
        <f t="shared" ref="DU75:DU89" si="392">+SUM(DQ75:DT75)</f>
        <v>3009.3667837531002</v>
      </c>
      <c r="DV75" s="164"/>
      <c r="DW75" s="400">
        <f t="shared" ref="DW75:DZ75" si="393">+DW90-SUM(DW76:DW89)</f>
        <v>723.14271767990522</v>
      </c>
      <c r="DX75" s="401">
        <f t="shared" si="393"/>
        <v>812.98647620690917</v>
      </c>
      <c r="DY75" s="401">
        <f t="shared" si="393"/>
        <v>796.19008222696857</v>
      </c>
      <c r="DZ75" s="401">
        <f t="shared" si="393"/>
        <v>1153.1524415894901</v>
      </c>
      <c r="EA75" s="404">
        <f t="shared" ref="EA75:EA81" si="394">+SUM(DW75:DZ75)</f>
        <v>3485.471717703273</v>
      </c>
      <c r="EB75" s="164"/>
      <c r="EC75" s="400">
        <f t="shared" ref="EC75:EF75" si="395">+EC90-SUM(EC76:EC89)</f>
        <v>966.64893880287173</v>
      </c>
      <c r="ED75" s="401">
        <f t="shared" si="395"/>
        <v>1077.3817515046885</v>
      </c>
      <c r="EE75" s="401">
        <f t="shared" si="395"/>
        <v>1079.6925375314727</v>
      </c>
      <c r="EF75" s="401">
        <f t="shared" si="395"/>
        <v>1304.9789051722405</v>
      </c>
      <c r="EG75" s="404">
        <f t="shared" ref="EG75:EG81" si="396">+SUM(EC75:EF75)</f>
        <v>4428.702133011273</v>
      </c>
      <c r="EH75" s="61"/>
    </row>
    <row r="76" spans="1:138" ht="11.25" customHeight="1" x14ac:dyDescent="0.2">
      <c r="A76" s="51" t="s">
        <v>425</v>
      </c>
      <c r="B76" s="8"/>
      <c r="C76" s="8"/>
      <c r="D76" s="8"/>
      <c r="E76" s="92"/>
      <c r="F76" s="67"/>
      <c r="G76" s="92"/>
      <c r="H76" s="67"/>
      <c r="I76" s="92"/>
      <c r="J76" s="67"/>
      <c r="K76" s="92"/>
      <c r="L76" s="67"/>
      <c r="M76" s="84"/>
      <c r="N76" s="71"/>
      <c r="O76" s="71"/>
      <c r="P76" s="71"/>
      <c r="Q76" s="93"/>
      <c r="R76" s="67"/>
      <c r="S76" s="84"/>
      <c r="T76" s="71"/>
      <c r="U76" s="71"/>
      <c r="V76" s="71"/>
      <c r="W76" s="93"/>
      <c r="X76" s="67"/>
      <c r="Y76" s="84"/>
      <c r="Z76" s="71"/>
      <c r="AA76" s="71"/>
      <c r="AB76" s="71"/>
      <c r="AC76" s="93"/>
      <c r="AD76" s="67"/>
      <c r="AE76" s="84"/>
      <c r="AF76" s="71"/>
      <c r="AG76" s="71"/>
      <c r="AH76" s="71"/>
      <c r="AI76" s="93"/>
      <c r="AJ76" s="67"/>
      <c r="AK76" s="84"/>
      <c r="AL76" s="71"/>
      <c r="AM76" s="71"/>
      <c r="AN76" s="71"/>
      <c r="AO76" s="93"/>
      <c r="AP76" s="67"/>
      <c r="AQ76" s="84"/>
      <c r="AR76" s="71"/>
      <c r="AS76" s="71"/>
      <c r="AT76" s="71"/>
      <c r="AU76" s="93"/>
      <c r="AV76" s="67"/>
      <c r="AW76" s="84"/>
      <c r="AX76" s="71"/>
      <c r="AY76" s="71"/>
      <c r="AZ76" s="71"/>
      <c r="BA76" s="93"/>
      <c r="BB76" s="67"/>
      <c r="BC76" s="84"/>
      <c r="BD76" s="71"/>
      <c r="BE76" s="71"/>
      <c r="BF76" s="71"/>
      <c r="BG76" s="93"/>
      <c r="BH76" s="67"/>
      <c r="BI76" s="84"/>
      <c r="BJ76" s="71"/>
      <c r="BK76" s="71"/>
      <c r="BL76" s="71"/>
      <c r="BM76" s="93"/>
      <c r="BN76" s="67"/>
      <c r="BO76" s="84"/>
      <c r="BP76" s="71"/>
      <c r="BQ76" s="71"/>
      <c r="BR76" s="71"/>
      <c r="BS76" s="93"/>
      <c r="BT76" s="67"/>
      <c r="BU76" s="84"/>
      <c r="BV76" s="71"/>
      <c r="BW76" s="71"/>
      <c r="BX76" s="71"/>
      <c r="BY76" s="93"/>
      <c r="BZ76" s="71"/>
      <c r="CA76" s="84"/>
      <c r="CB76" s="71"/>
      <c r="CC76" s="71"/>
      <c r="CD76" s="71"/>
      <c r="CE76" s="92">
        <v>230</v>
      </c>
      <c r="CF76" s="67"/>
      <c r="CG76" s="84"/>
      <c r="CH76" s="71"/>
      <c r="CI76" s="71"/>
      <c r="CJ76" s="71"/>
      <c r="CK76" s="92">
        <v>254.5</v>
      </c>
      <c r="CL76" s="67"/>
      <c r="CM76" s="84"/>
      <c r="CN76" s="71"/>
      <c r="CO76" s="71"/>
      <c r="CP76" s="71"/>
      <c r="CQ76" s="92">
        <v>269.2</v>
      </c>
      <c r="CR76" s="67"/>
      <c r="CS76" s="84">
        <v>80</v>
      </c>
      <c r="CT76" s="71">
        <v>78.7</v>
      </c>
      <c r="CU76" s="71">
        <v>100.6</v>
      </c>
      <c r="CV76" s="71">
        <v>137.4</v>
      </c>
      <c r="CW76" s="92">
        <v>396.7</v>
      </c>
      <c r="CX76" s="67"/>
      <c r="CY76" s="84">
        <v>139.19999999999999</v>
      </c>
      <c r="CZ76" s="71">
        <v>144.19999999999999</v>
      </c>
      <c r="DA76" s="71">
        <v>143.19999999999999</v>
      </c>
      <c r="DB76" s="71">
        <v>156.5</v>
      </c>
      <c r="DC76" s="92">
        <v>583.1</v>
      </c>
      <c r="DD76" s="67"/>
      <c r="DE76" s="84">
        <v>166.1</v>
      </c>
      <c r="DF76" s="71">
        <v>160.30000000000001</v>
      </c>
      <c r="DG76" s="71">
        <v>166.4</v>
      </c>
      <c r="DH76" s="67">
        <f t="shared" ref="DH76" si="397">+DI76-SUM(DE76:DG76)</f>
        <v>167.70000000000005</v>
      </c>
      <c r="DI76" s="92">
        <v>660.5</v>
      </c>
      <c r="DJ76" s="67"/>
      <c r="DK76" s="84">
        <v>172.3</v>
      </c>
      <c r="DL76" s="355">
        <f>+BS!DL162</f>
        <v>174.54106884375003</v>
      </c>
      <c r="DM76" s="355">
        <f>+BS!DM162</f>
        <v>171.59568830701176</v>
      </c>
      <c r="DN76" s="355">
        <f>+BS!DN162</f>
        <v>168.70001106683091</v>
      </c>
      <c r="DO76" s="93">
        <f t="shared" si="390"/>
        <v>687.1367682175927</v>
      </c>
      <c r="DP76" s="67">
        <f>+BS!DP162</f>
        <v>0</v>
      </c>
      <c r="DQ76" s="354">
        <f>+BS!DQ162</f>
        <v>174.45299385163776</v>
      </c>
      <c r="DR76" s="355">
        <f>+BS!DR162</f>
        <v>171.35645321077121</v>
      </c>
      <c r="DS76" s="355">
        <f>+BS!DS162</f>
        <v>168.31487616628002</v>
      </c>
      <c r="DT76" s="355">
        <f>+BS!DT162</f>
        <v>165.32728711432853</v>
      </c>
      <c r="DU76" s="93">
        <f t="shared" si="392"/>
        <v>679.45161034301748</v>
      </c>
      <c r="DV76" s="67">
        <f>+BS!DV162</f>
        <v>0</v>
      </c>
      <c r="DW76" s="354">
        <f>+BS!DW162</f>
        <v>173.82883535734845</v>
      </c>
      <c r="DX76" s="355">
        <f>+BS!DX162</f>
        <v>170.52608748555883</v>
      </c>
      <c r="DY76" s="355">
        <f>+BS!DY162</f>
        <v>167.28609182333321</v>
      </c>
      <c r="DZ76" s="355">
        <f>+BS!DZ162</f>
        <v>164.10765607868987</v>
      </c>
      <c r="EA76" s="93">
        <f t="shared" si="394"/>
        <v>675.74867074493034</v>
      </c>
      <c r="EB76" s="67">
        <f>+BS!EB162</f>
        <v>0</v>
      </c>
      <c r="EC76" s="354">
        <f>+BS!EC162</f>
        <v>171.58103236406285</v>
      </c>
      <c r="ED76" s="355">
        <f>+BS!ED162</f>
        <v>168.10651645869058</v>
      </c>
      <c r="EE76" s="355">
        <f>+BS!EE162</f>
        <v>164.70235950040208</v>
      </c>
      <c r="EF76" s="355">
        <f>+BS!EF162</f>
        <v>161.36713672051894</v>
      </c>
      <c r="EG76" s="93">
        <f t="shared" si="396"/>
        <v>665.75704504367445</v>
      </c>
      <c r="EH76" s="61"/>
    </row>
    <row r="77" spans="1:138" ht="11.25" customHeight="1" x14ac:dyDescent="0.2">
      <c r="A77" s="51" t="s">
        <v>427</v>
      </c>
      <c r="B77" s="8"/>
      <c r="C77" s="8"/>
      <c r="D77" s="8"/>
      <c r="E77" s="92"/>
      <c r="F77" s="67"/>
      <c r="G77" s="92"/>
      <c r="H77" s="67"/>
      <c r="I77" s="92"/>
      <c r="J77" s="67"/>
      <c r="K77" s="92"/>
      <c r="L77" s="67"/>
      <c r="M77" s="84"/>
      <c r="N77" s="71"/>
      <c r="O77" s="71"/>
      <c r="P77" s="71"/>
      <c r="Q77" s="93"/>
      <c r="R77" s="67"/>
      <c r="S77" s="84"/>
      <c r="T77" s="71"/>
      <c r="U77" s="71"/>
      <c r="V77" s="71"/>
      <c r="W77" s="93"/>
      <c r="X77" s="67"/>
      <c r="Y77" s="84"/>
      <c r="Z77" s="71"/>
      <c r="AA77" s="71"/>
      <c r="AB77" s="71"/>
      <c r="AC77" s="93"/>
      <c r="AD77" s="67"/>
      <c r="AE77" s="84"/>
      <c r="AF77" s="71"/>
      <c r="AG77" s="71"/>
      <c r="AH77" s="71"/>
      <c r="AI77" s="93"/>
      <c r="AJ77" s="67"/>
      <c r="AK77" s="84"/>
      <c r="AL77" s="71"/>
      <c r="AM77" s="71"/>
      <c r="AN77" s="71"/>
      <c r="AO77" s="93"/>
      <c r="AP77" s="67"/>
      <c r="AQ77" s="84"/>
      <c r="AR77" s="71"/>
      <c r="AS77" s="71"/>
      <c r="AT77" s="71"/>
      <c r="AU77" s="93"/>
      <c r="AV77" s="67"/>
      <c r="AW77" s="84"/>
      <c r="AX77" s="71"/>
      <c r="AY77" s="71"/>
      <c r="AZ77" s="71"/>
      <c r="BA77" s="93"/>
      <c r="BB77" s="67"/>
      <c r="BC77" s="84"/>
      <c r="BD77" s="71"/>
      <c r="BE77" s="71"/>
      <c r="BF77" s="71"/>
      <c r="BG77" s="93"/>
      <c r="BH77" s="67"/>
      <c r="BI77" s="84"/>
      <c r="BJ77" s="71"/>
      <c r="BK77" s="71"/>
      <c r="BL77" s="71"/>
      <c r="BM77" s="93"/>
      <c r="BN77" s="67"/>
      <c r="BO77" s="84"/>
      <c r="BP77" s="71"/>
      <c r="BQ77" s="71"/>
      <c r="BR77" s="71"/>
      <c r="BS77" s="93"/>
      <c r="BT77" s="67"/>
      <c r="BU77" s="84"/>
      <c r="BV77" s="71"/>
      <c r="BW77" s="71"/>
      <c r="BX77" s="71"/>
      <c r="BY77" s="93"/>
      <c r="BZ77" s="71"/>
      <c r="CA77" s="84"/>
      <c r="CB77" s="71"/>
      <c r="CC77" s="71"/>
      <c r="CD77" s="71"/>
      <c r="CE77" s="93">
        <f t="shared" ref="CE77" si="398">+SUM(CA77:CD77)</f>
        <v>0</v>
      </c>
      <c r="CF77" s="67"/>
      <c r="CG77" s="84"/>
      <c r="CH77" s="71"/>
      <c r="CI77" s="71"/>
      <c r="CJ77" s="71"/>
      <c r="CK77" s="93">
        <f t="shared" ref="CK77" si="399">+SUM(CG77:CJ77)</f>
        <v>0</v>
      </c>
      <c r="CL77" s="67"/>
      <c r="CM77" s="84"/>
      <c r="CN77" s="71"/>
      <c r="CO77" s="71"/>
      <c r="CP77" s="71"/>
      <c r="CQ77" s="93">
        <f t="shared" ref="CQ77" si="400">+SUM(CM77:CP77)</f>
        <v>0</v>
      </c>
      <c r="CR77" s="67"/>
      <c r="CS77" s="84">
        <v>0</v>
      </c>
      <c r="CT77" s="71">
        <v>0</v>
      </c>
      <c r="CU77" s="71">
        <v>0</v>
      </c>
      <c r="CV77" s="71">
        <v>0</v>
      </c>
      <c r="CW77" s="93">
        <f t="shared" ref="CW77" si="401">+SUM(CS77:CV77)</f>
        <v>0</v>
      </c>
      <c r="CX77" s="67"/>
      <c r="CY77" s="84">
        <v>0</v>
      </c>
      <c r="CZ77" s="71">
        <v>0</v>
      </c>
      <c r="DA77" s="71">
        <v>-18</v>
      </c>
      <c r="DB77" s="71">
        <v>0</v>
      </c>
      <c r="DC77" s="92">
        <v>-18</v>
      </c>
      <c r="DD77" s="67"/>
      <c r="DE77" s="84">
        <v>0</v>
      </c>
      <c r="DF77" s="71">
        <v>0</v>
      </c>
      <c r="DG77" s="71">
        <v>0</v>
      </c>
      <c r="DH77" s="549">
        <f>-11</f>
        <v>-11</v>
      </c>
      <c r="DI77" s="93">
        <f t="shared" ref="DI77:DI81" si="402">+SUM(DE77:DH77)</f>
        <v>-11</v>
      </c>
      <c r="DJ77" s="67"/>
      <c r="DK77" s="84">
        <v>0</v>
      </c>
      <c r="DL77" s="69">
        <v>0</v>
      </c>
      <c r="DM77" s="69">
        <v>0</v>
      </c>
      <c r="DN77" s="69">
        <v>0</v>
      </c>
      <c r="DO77" s="93">
        <f t="shared" si="390"/>
        <v>0</v>
      </c>
      <c r="DP77" s="67"/>
      <c r="DQ77" s="81">
        <v>0</v>
      </c>
      <c r="DR77" s="69">
        <v>0</v>
      </c>
      <c r="DS77" s="69">
        <v>0</v>
      </c>
      <c r="DT77" s="69">
        <v>0</v>
      </c>
      <c r="DU77" s="93">
        <f t="shared" si="392"/>
        <v>0</v>
      </c>
      <c r="DV77" s="67"/>
      <c r="DW77" s="81">
        <v>0</v>
      </c>
      <c r="DX77" s="69">
        <v>0</v>
      </c>
      <c r="DY77" s="69">
        <v>0</v>
      </c>
      <c r="DZ77" s="69">
        <v>0</v>
      </c>
      <c r="EA77" s="93">
        <f t="shared" si="394"/>
        <v>0</v>
      </c>
      <c r="EB77" s="67"/>
      <c r="EC77" s="81">
        <v>0</v>
      </c>
      <c r="ED77" s="69">
        <v>0</v>
      </c>
      <c r="EE77" s="69">
        <v>0</v>
      </c>
      <c r="EF77" s="69">
        <v>0</v>
      </c>
      <c r="EG77" s="93">
        <f t="shared" si="396"/>
        <v>0</v>
      </c>
      <c r="EH77" s="61"/>
    </row>
    <row r="78" spans="1:138" ht="11.25" customHeight="1" x14ac:dyDescent="0.2">
      <c r="A78" s="51" t="s">
        <v>429</v>
      </c>
      <c r="B78" s="8"/>
      <c r="C78" s="8"/>
      <c r="D78" s="8"/>
      <c r="E78" s="92"/>
      <c r="F78" s="67"/>
      <c r="G78" s="92"/>
      <c r="H78" s="67"/>
      <c r="I78" s="92"/>
      <c r="J78" s="67"/>
      <c r="K78" s="92"/>
      <c r="L78" s="67"/>
      <c r="M78" s="84"/>
      <c r="N78" s="71"/>
      <c r="O78" s="71"/>
      <c r="P78" s="71"/>
      <c r="Q78" s="93"/>
      <c r="R78" s="67"/>
      <c r="S78" s="84"/>
      <c r="T78" s="71"/>
      <c r="U78" s="71"/>
      <c r="V78" s="71"/>
      <c r="W78" s="93"/>
      <c r="X78" s="67"/>
      <c r="Y78" s="84"/>
      <c r="Z78" s="71"/>
      <c r="AA78" s="71"/>
      <c r="AB78" s="71"/>
      <c r="AC78" s="93"/>
      <c r="AD78" s="67"/>
      <c r="AE78" s="84"/>
      <c r="AF78" s="71"/>
      <c r="AG78" s="71"/>
      <c r="AH78" s="71"/>
      <c r="AI78" s="93"/>
      <c r="AJ78" s="67"/>
      <c r="AK78" s="84"/>
      <c r="AL78" s="71"/>
      <c r="AM78" s="71"/>
      <c r="AN78" s="71"/>
      <c r="AO78" s="93"/>
      <c r="AP78" s="67"/>
      <c r="AQ78" s="84"/>
      <c r="AR78" s="71"/>
      <c r="AS78" s="71"/>
      <c r="AT78" s="71"/>
      <c r="AU78" s="93"/>
      <c r="AV78" s="67"/>
      <c r="AW78" s="84"/>
      <c r="AX78" s="71"/>
      <c r="AY78" s="71"/>
      <c r="AZ78" s="71"/>
      <c r="BA78" s="93"/>
      <c r="BB78" s="67"/>
      <c r="BC78" s="84"/>
      <c r="BD78" s="71"/>
      <c r="BE78" s="71"/>
      <c r="BF78" s="71"/>
      <c r="BG78" s="93"/>
      <c r="BH78" s="67"/>
      <c r="BI78" s="84"/>
      <c r="BJ78" s="71"/>
      <c r="BK78" s="71"/>
      <c r="BL78" s="71"/>
      <c r="BM78" s="93"/>
      <c r="BN78" s="67"/>
      <c r="BO78" s="84"/>
      <c r="BP78" s="71"/>
      <c r="BQ78" s="71"/>
      <c r="BR78" s="71"/>
      <c r="BS78" s="92"/>
      <c r="BT78" s="67"/>
      <c r="BU78" s="84"/>
      <c r="BV78" s="71"/>
      <c r="BW78" s="71"/>
      <c r="BX78" s="67"/>
      <c r="BY78" s="92"/>
      <c r="BZ78" s="71"/>
      <c r="CA78" s="84"/>
      <c r="CB78" s="71"/>
      <c r="CC78" s="71"/>
      <c r="CD78" s="71"/>
      <c r="CE78" s="92">
        <v>0</v>
      </c>
      <c r="CF78" s="67"/>
      <c r="CG78" s="84"/>
      <c r="CH78" s="71"/>
      <c r="CI78" s="71"/>
      <c r="CJ78" s="71"/>
      <c r="CK78" s="92">
        <v>0</v>
      </c>
      <c r="CL78" s="67"/>
      <c r="CM78" s="84"/>
      <c r="CN78" s="71"/>
      <c r="CO78" s="71"/>
      <c r="CP78" s="71"/>
      <c r="CQ78" s="92">
        <v>12</v>
      </c>
      <c r="CR78" s="67"/>
      <c r="CS78" s="84">
        <v>20</v>
      </c>
      <c r="CT78" s="71">
        <v>0</v>
      </c>
      <c r="CU78" s="71">
        <f>21+47</f>
        <v>68</v>
      </c>
      <c r="CV78" s="71">
        <v>60</v>
      </c>
      <c r="CW78" s="92">
        <f>127+21</f>
        <v>148</v>
      </c>
      <c r="CX78" s="67"/>
      <c r="CY78" s="84">
        <v>0</v>
      </c>
      <c r="CZ78" s="71">
        <v>99</v>
      </c>
      <c r="DA78" s="71">
        <v>0</v>
      </c>
      <c r="DB78" s="71">
        <f>12+49+23</f>
        <v>84</v>
      </c>
      <c r="DC78" s="92">
        <f>12+49+23</f>
        <v>84</v>
      </c>
      <c r="DD78" s="67"/>
      <c r="DE78" s="84">
        <v>0</v>
      </c>
      <c r="DF78" s="71">
        <v>0</v>
      </c>
      <c r="DG78" s="71">
        <v>0</v>
      </c>
      <c r="DH78" s="71">
        <v>0</v>
      </c>
      <c r="DI78" s="93">
        <f t="shared" si="402"/>
        <v>0</v>
      </c>
      <c r="DJ78" s="67"/>
      <c r="DK78" s="84">
        <v>0</v>
      </c>
      <c r="DL78" s="69">
        <v>0</v>
      </c>
      <c r="DM78" s="69">
        <v>0</v>
      </c>
      <c r="DN78" s="69">
        <v>0</v>
      </c>
      <c r="DO78" s="93">
        <f t="shared" si="390"/>
        <v>0</v>
      </c>
      <c r="DP78" s="67"/>
      <c r="DQ78" s="81">
        <v>0</v>
      </c>
      <c r="DR78" s="69">
        <v>0</v>
      </c>
      <c r="DS78" s="69">
        <v>0</v>
      </c>
      <c r="DT78" s="69">
        <v>0</v>
      </c>
      <c r="DU78" s="93">
        <f t="shared" si="392"/>
        <v>0</v>
      </c>
      <c r="DV78" s="67"/>
      <c r="DW78" s="81">
        <v>0</v>
      </c>
      <c r="DX78" s="69">
        <v>0</v>
      </c>
      <c r="DY78" s="69">
        <v>0</v>
      </c>
      <c r="DZ78" s="69">
        <v>0</v>
      </c>
      <c r="EA78" s="93">
        <f t="shared" si="394"/>
        <v>0</v>
      </c>
      <c r="EB78" s="67"/>
      <c r="EC78" s="81">
        <v>0</v>
      </c>
      <c r="ED78" s="69">
        <v>0</v>
      </c>
      <c r="EE78" s="69">
        <v>0</v>
      </c>
      <c r="EF78" s="69">
        <v>0</v>
      </c>
      <c r="EG78" s="93">
        <f t="shared" si="396"/>
        <v>0</v>
      </c>
      <c r="EH78" s="61"/>
    </row>
    <row r="79" spans="1:138" ht="11.25" customHeight="1" x14ac:dyDescent="0.2">
      <c r="A79" s="51" t="s">
        <v>431</v>
      </c>
      <c r="B79" s="8"/>
      <c r="C79" s="8"/>
      <c r="D79" s="8"/>
      <c r="E79" s="92"/>
      <c r="F79" s="67"/>
      <c r="G79" s="92"/>
      <c r="H79" s="67"/>
      <c r="I79" s="92"/>
      <c r="J79" s="67"/>
      <c r="K79" s="92"/>
      <c r="L79" s="67"/>
      <c r="M79" s="84"/>
      <c r="N79" s="71"/>
      <c r="O79" s="71"/>
      <c r="P79" s="71"/>
      <c r="Q79" s="93"/>
      <c r="R79" s="67"/>
      <c r="S79" s="84"/>
      <c r="T79" s="71"/>
      <c r="U79" s="71"/>
      <c r="V79" s="71"/>
      <c r="W79" s="93"/>
      <c r="X79" s="67"/>
      <c r="Y79" s="84"/>
      <c r="Z79" s="71"/>
      <c r="AA79" s="71"/>
      <c r="AB79" s="71"/>
      <c r="AC79" s="93"/>
      <c r="AD79" s="67"/>
      <c r="AE79" s="84"/>
      <c r="AF79" s="71"/>
      <c r="AG79" s="71"/>
      <c r="AH79" s="71"/>
      <c r="AI79" s="93"/>
      <c r="AJ79" s="67"/>
      <c r="AK79" s="84"/>
      <c r="AL79" s="71"/>
      <c r="AM79" s="71"/>
      <c r="AN79" s="71"/>
      <c r="AO79" s="93"/>
      <c r="AP79" s="67"/>
      <c r="AQ79" s="84"/>
      <c r="AR79" s="71"/>
      <c r="AS79" s="71"/>
      <c r="AT79" s="71"/>
      <c r="AU79" s="93"/>
      <c r="AV79" s="67"/>
      <c r="AW79" s="84"/>
      <c r="AX79" s="71"/>
      <c r="AY79" s="71"/>
      <c r="AZ79" s="71"/>
      <c r="BA79" s="93"/>
      <c r="BB79" s="67"/>
      <c r="BC79" s="84"/>
      <c r="BD79" s="71"/>
      <c r="BE79" s="71"/>
      <c r="BF79" s="71"/>
      <c r="BG79" s="93"/>
      <c r="BH79" s="67"/>
      <c r="BI79" s="84"/>
      <c r="BJ79" s="71"/>
      <c r="BK79" s="71"/>
      <c r="BL79" s="71"/>
      <c r="BM79" s="93"/>
      <c r="BN79" s="67"/>
      <c r="BO79" s="84"/>
      <c r="BP79" s="71"/>
      <c r="BQ79" s="67"/>
      <c r="BR79" s="67"/>
      <c r="BS79" s="93"/>
      <c r="BT79" s="67"/>
      <c r="BU79" s="84"/>
      <c r="BV79" s="71"/>
      <c r="BW79" s="67"/>
      <c r="BX79" s="67"/>
      <c r="BY79" s="93"/>
      <c r="BZ79" s="71"/>
      <c r="CA79" s="84"/>
      <c r="CB79" s="71"/>
      <c r="CC79" s="71"/>
      <c r="CD79" s="71"/>
      <c r="CE79" s="92">
        <v>0</v>
      </c>
      <c r="CF79" s="67"/>
      <c r="CG79" s="82"/>
      <c r="CH79" s="71"/>
      <c r="CI79" s="71"/>
      <c r="CJ79" s="71"/>
      <c r="CK79" s="92">
        <v>0</v>
      </c>
      <c r="CL79" s="67"/>
      <c r="CM79" s="84"/>
      <c r="CN79" s="71"/>
      <c r="CO79" s="71"/>
      <c r="CP79" s="67"/>
      <c r="CQ79" s="92">
        <v>0</v>
      </c>
      <c r="CR79" s="67"/>
      <c r="CS79" s="82">
        <f>+CW79-SUM(CT79:CV79)</f>
        <v>-1</v>
      </c>
      <c r="CT79" s="71">
        <v>-16</v>
      </c>
      <c r="CU79" s="71">
        <v>0</v>
      </c>
      <c r="CV79" s="71">
        <v>-41</v>
      </c>
      <c r="CW79" s="92">
        <v>-58</v>
      </c>
      <c r="CX79" s="67"/>
      <c r="CY79" s="84">
        <v>0</v>
      </c>
      <c r="CZ79" s="71">
        <v>0</v>
      </c>
      <c r="DA79" s="71">
        <v>0</v>
      </c>
      <c r="DB79" s="71">
        <v>-190</v>
      </c>
      <c r="DC79" s="92">
        <v>-91</v>
      </c>
      <c r="DD79" s="67"/>
      <c r="DE79" s="84">
        <v>-16</v>
      </c>
      <c r="DF79" s="71">
        <f>35-99</f>
        <v>-64</v>
      </c>
      <c r="DG79" s="71">
        <v>0</v>
      </c>
      <c r="DH79" s="71">
        <f>-94-1219+1218</f>
        <v>-95</v>
      </c>
      <c r="DI79" s="93">
        <f t="shared" si="402"/>
        <v>-175</v>
      </c>
      <c r="DJ79" s="67"/>
      <c r="DK79" s="84">
        <v>0</v>
      </c>
      <c r="DL79" s="69">
        <v>0</v>
      </c>
      <c r="DM79" s="69">
        <v>0</v>
      </c>
      <c r="DN79" s="69">
        <v>0</v>
      </c>
      <c r="DO79" s="93">
        <f t="shared" si="390"/>
        <v>0</v>
      </c>
      <c r="DP79" s="67"/>
      <c r="DQ79" s="81">
        <v>0</v>
      </c>
      <c r="DR79" s="69">
        <v>0</v>
      </c>
      <c r="DS79" s="69">
        <v>0</v>
      </c>
      <c r="DT79" s="69">
        <v>0</v>
      </c>
      <c r="DU79" s="93">
        <f t="shared" si="392"/>
        <v>0</v>
      </c>
      <c r="DV79" s="67"/>
      <c r="DW79" s="81">
        <v>0</v>
      </c>
      <c r="DX79" s="69">
        <v>0</v>
      </c>
      <c r="DY79" s="69">
        <v>0</v>
      </c>
      <c r="DZ79" s="69">
        <v>0</v>
      </c>
      <c r="EA79" s="93">
        <f t="shared" si="394"/>
        <v>0</v>
      </c>
      <c r="EB79" s="67"/>
      <c r="EC79" s="81">
        <v>0</v>
      </c>
      <c r="ED79" s="69">
        <v>0</v>
      </c>
      <c r="EE79" s="69">
        <v>0</v>
      </c>
      <c r="EF79" s="69">
        <v>0</v>
      </c>
      <c r="EG79" s="93">
        <f t="shared" si="396"/>
        <v>0</v>
      </c>
      <c r="EH79" s="61"/>
    </row>
    <row r="80" spans="1:138" ht="11.25" customHeight="1" x14ac:dyDescent="0.2">
      <c r="A80" s="51" t="s">
        <v>433</v>
      </c>
      <c r="B80" s="8"/>
      <c r="C80" s="8"/>
      <c r="D80" s="8"/>
      <c r="E80" s="92"/>
      <c r="F80" s="67"/>
      <c r="G80" s="92"/>
      <c r="H80" s="67"/>
      <c r="I80" s="92"/>
      <c r="J80" s="67"/>
      <c r="K80" s="92"/>
      <c r="L80" s="67"/>
      <c r="M80" s="84"/>
      <c r="N80" s="71"/>
      <c r="O80" s="71"/>
      <c r="P80" s="71"/>
      <c r="Q80" s="93"/>
      <c r="R80" s="67"/>
      <c r="S80" s="84"/>
      <c r="T80" s="71"/>
      <c r="U80" s="71"/>
      <c r="V80" s="71"/>
      <c r="W80" s="93"/>
      <c r="X80" s="67"/>
      <c r="Y80" s="84"/>
      <c r="Z80" s="71"/>
      <c r="AA80" s="71"/>
      <c r="AB80" s="71"/>
      <c r="AC80" s="93"/>
      <c r="AD80" s="67"/>
      <c r="AE80" s="84"/>
      <c r="AF80" s="71"/>
      <c r="AG80" s="71"/>
      <c r="AH80" s="71"/>
      <c r="AI80" s="93"/>
      <c r="AJ80" s="67"/>
      <c r="AK80" s="84"/>
      <c r="AL80" s="71"/>
      <c r="AM80" s="71"/>
      <c r="AN80" s="71"/>
      <c r="AO80" s="93"/>
      <c r="AP80" s="67"/>
      <c r="AQ80" s="84"/>
      <c r="AR80" s="71"/>
      <c r="AS80" s="71"/>
      <c r="AT80" s="71"/>
      <c r="AU80" s="93"/>
      <c r="AV80" s="67"/>
      <c r="AW80" s="84"/>
      <c r="AX80" s="71"/>
      <c r="AY80" s="71"/>
      <c r="AZ80" s="71"/>
      <c r="BA80" s="93"/>
      <c r="BB80" s="67"/>
      <c r="BC80" s="84"/>
      <c r="BD80" s="71"/>
      <c r="BE80" s="71"/>
      <c r="BF80" s="71"/>
      <c r="BG80" s="93"/>
      <c r="BH80" s="67"/>
      <c r="BI80" s="84"/>
      <c r="BJ80" s="71"/>
      <c r="BK80" s="71"/>
      <c r="BL80" s="71"/>
      <c r="BM80" s="93"/>
      <c r="BN80" s="67"/>
      <c r="BO80" s="84"/>
      <c r="BP80" s="71"/>
      <c r="BQ80" s="71"/>
      <c r="BR80" s="67"/>
      <c r="BS80" s="93"/>
      <c r="BT80" s="67"/>
      <c r="BU80" s="84"/>
      <c r="BV80" s="71"/>
      <c r="BW80" s="71"/>
      <c r="BX80" s="71"/>
      <c r="BY80" s="93"/>
      <c r="BZ80" s="71"/>
      <c r="CA80" s="84"/>
      <c r="CB80" s="71"/>
      <c r="CC80" s="71"/>
      <c r="CD80" s="71"/>
      <c r="CE80" s="93">
        <f t="shared" ref="CE80:CE84" si="403">+SUM(CA80:CD80)</f>
        <v>0</v>
      </c>
      <c r="CF80" s="67"/>
      <c r="CG80" s="84"/>
      <c r="CH80" s="71"/>
      <c r="CI80" s="71"/>
      <c r="CJ80" s="71"/>
      <c r="CK80" s="93">
        <f t="shared" ref="CK80:CK84" si="404">+SUM(CG80:CJ80)</f>
        <v>0</v>
      </c>
      <c r="CL80" s="67"/>
      <c r="CM80" s="84"/>
      <c r="CN80" s="71"/>
      <c r="CO80" s="71"/>
      <c r="CP80" s="71"/>
      <c r="CQ80" s="548">
        <v>64</v>
      </c>
      <c r="CR80" s="67"/>
      <c r="CS80" s="84">
        <v>0</v>
      </c>
      <c r="CT80" s="71">
        <v>0</v>
      </c>
      <c r="CU80" s="71">
        <v>0</v>
      </c>
      <c r="CV80" s="71">
        <v>0</v>
      </c>
      <c r="CW80" s="93">
        <f t="shared" ref="CW80:CW84" si="405">+SUM(CS80:CV80)</f>
        <v>0</v>
      </c>
      <c r="CX80" s="67"/>
      <c r="CY80" s="84">
        <v>0</v>
      </c>
      <c r="CZ80" s="71">
        <v>0</v>
      </c>
      <c r="DA80" s="71">
        <v>0</v>
      </c>
      <c r="DB80" s="71">
        <v>0</v>
      </c>
      <c r="DC80" s="93">
        <f t="shared" ref="DC80:DC82" si="406">+SUM(CY80:DB80)</f>
        <v>0</v>
      </c>
      <c r="DD80" s="67"/>
      <c r="DE80" s="84">
        <v>0</v>
      </c>
      <c r="DF80" s="71">
        <v>0</v>
      </c>
      <c r="DG80" s="71">
        <v>0</v>
      </c>
      <c r="DH80" s="71">
        <v>0</v>
      </c>
      <c r="DI80" s="93">
        <f t="shared" si="402"/>
        <v>0</v>
      </c>
      <c r="DJ80" s="67"/>
      <c r="DK80" s="84">
        <v>0</v>
      </c>
      <c r="DL80" s="69">
        <v>0</v>
      </c>
      <c r="DM80" s="69">
        <v>0</v>
      </c>
      <c r="DN80" s="69">
        <v>0</v>
      </c>
      <c r="DO80" s="93">
        <f t="shared" si="390"/>
        <v>0</v>
      </c>
      <c r="DP80" s="67"/>
      <c r="DQ80" s="81">
        <v>0</v>
      </c>
      <c r="DR80" s="69">
        <v>0</v>
      </c>
      <c r="DS80" s="69">
        <v>0</v>
      </c>
      <c r="DT80" s="69">
        <v>0</v>
      </c>
      <c r="DU80" s="93">
        <f t="shared" si="392"/>
        <v>0</v>
      </c>
      <c r="DV80" s="67"/>
      <c r="DW80" s="81">
        <v>0</v>
      </c>
      <c r="DX80" s="69">
        <v>0</v>
      </c>
      <c r="DY80" s="69">
        <v>0</v>
      </c>
      <c r="DZ80" s="69">
        <v>0</v>
      </c>
      <c r="EA80" s="93">
        <f t="shared" si="394"/>
        <v>0</v>
      </c>
      <c r="EB80" s="67"/>
      <c r="EC80" s="81">
        <v>0</v>
      </c>
      <c r="ED80" s="69">
        <v>0</v>
      </c>
      <c r="EE80" s="69">
        <v>0</v>
      </c>
      <c r="EF80" s="69">
        <v>0</v>
      </c>
      <c r="EG80" s="93">
        <f t="shared" si="396"/>
        <v>0</v>
      </c>
      <c r="EH80" s="61"/>
    </row>
    <row r="81" spans="1:138" ht="11.25" customHeight="1" x14ac:dyDescent="0.2">
      <c r="A81" s="51" t="s">
        <v>434</v>
      </c>
      <c r="B81" s="8"/>
      <c r="C81" s="8"/>
      <c r="D81" s="8"/>
      <c r="E81" s="92"/>
      <c r="F81" s="67"/>
      <c r="G81" s="92"/>
      <c r="H81" s="67"/>
      <c r="I81" s="92"/>
      <c r="J81" s="67"/>
      <c r="K81" s="92"/>
      <c r="L81" s="67"/>
      <c r="M81" s="84"/>
      <c r="N81" s="71"/>
      <c r="O81" s="71"/>
      <c r="P81" s="71"/>
      <c r="Q81" s="93"/>
      <c r="R81" s="67"/>
      <c r="S81" s="84"/>
      <c r="T81" s="71"/>
      <c r="U81" s="71"/>
      <c r="V81" s="71"/>
      <c r="W81" s="93"/>
      <c r="X81" s="67"/>
      <c r="Y81" s="84"/>
      <c r="Z81" s="71"/>
      <c r="AA81" s="71"/>
      <c r="AB81" s="71"/>
      <c r="AC81" s="93"/>
      <c r="AD81" s="67"/>
      <c r="AE81" s="84"/>
      <c r="AF81" s="71"/>
      <c r="AG81" s="71"/>
      <c r="AH81" s="71"/>
      <c r="AI81" s="93"/>
      <c r="AJ81" s="67"/>
      <c r="AK81" s="84"/>
      <c r="AL81" s="71"/>
      <c r="AM81" s="71"/>
      <c r="AN81" s="71"/>
      <c r="AO81" s="93"/>
      <c r="AP81" s="67"/>
      <c r="AQ81" s="84"/>
      <c r="AR81" s="71"/>
      <c r="AS81" s="71"/>
      <c r="AT81" s="71"/>
      <c r="AU81" s="93"/>
      <c r="AV81" s="67"/>
      <c r="AW81" s="84"/>
      <c r="AX81" s="71"/>
      <c r="AY81" s="71"/>
      <c r="AZ81" s="71"/>
      <c r="BA81" s="93"/>
      <c r="BB81" s="67"/>
      <c r="BC81" s="84"/>
      <c r="BD81" s="71"/>
      <c r="BE81" s="71"/>
      <c r="BF81" s="71"/>
      <c r="BG81" s="93"/>
      <c r="BH81" s="67"/>
      <c r="BI81" s="84"/>
      <c r="BJ81" s="71"/>
      <c r="BK81" s="71"/>
      <c r="BL81" s="71"/>
      <c r="BM81" s="93"/>
      <c r="BN81" s="67"/>
      <c r="BO81" s="84"/>
      <c r="BP81" s="71"/>
      <c r="BQ81" s="71"/>
      <c r="BR81" s="67"/>
      <c r="BS81" s="93"/>
      <c r="BT81" s="67"/>
      <c r="BU81" s="84"/>
      <c r="BV81" s="71"/>
      <c r="BW81" s="71"/>
      <c r="BX81" s="71"/>
      <c r="BY81" s="93"/>
      <c r="BZ81" s="71"/>
      <c r="CA81" s="84"/>
      <c r="CB81" s="71"/>
      <c r="CC81" s="71"/>
      <c r="CD81" s="71"/>
      <c r="CE81" s="93">
        <f t="shared" si="403"/>
        <v>0</v>
      </c>
      <c r="CF81" s="67"/>
      <c r="CG81" s="84"/>
      <c r="CH81" s="71"/>
      <c r="CI81" s="71"/>
      <c r="CJ81" s="71"/>
      <c r="CK81" s="93">
        <f t="shared" si="404"/>
        <v>0</v>
      </c>
      <c r="CL81" s="67"/>
      <c r="CM81" s="84"/>
      <c r="CN81" s="71"/>
      <c r="CO81" s="71"/>
      <c r="CP81" s="71"/>
      <c r="CQ81" s="548">
        <v>5</v>
      </c>
      <c r="CR81" s="67"/>
      <c r="CS81" s="84">
        <v>0</v>
      </c>
      <c r="CT81" s="71">
        <v>0</v>
      </c>
      <c r="CU81" s="71">
        <v>0</v>
      </c>
      <c r="CV81" s="71">
        <v>0</v>
      </c>
      <c r="CW81" s="93">
        <f t="shared" si="405"/>
        <v>0</v>
      </c>
      <c r="CX81" s="67"/>
      <c r="CY81" s="84">
        <v>0</v>
      </c>
      <c r="CZ81" s="71">
        <v>0</v>
      </c>
      <c r="DA81" s="71">
        <v>0</v>
      </c>
      <c r="DB81" s="71">
        <v>0</v>
      </c>
      <c r="DC81" s="93">
        <f t="shared" si="406"/>
        <v>0</v>
      </c>
      <c r="DD81" s="67"/>
      <c r="DE81" s="84">
        <v>0</v>
      </c>
      <c r="DF81" s="71">
        <v>0</v>
      </c>
      <c r="DG81" s="71">
        <v>0</v>
      </c>
      <c r="DH81" s="71">
        <v>0</v>
      </c>
      <c r="DI81" s="93">
        <f t="shared" si="402"/>
        <v>0</v>
      </c>
      <c r="DJ81" s="67"/>
      <c r="DK81" s="84">
        <v>0</v>
      </c>
      <c r="DL81" s="69">
        <v>0</v>
      </c>
      <c r="DM81" s="69">
        <v>0</v>
      </c>
      <c r="DN81" s="69">
        <v>0</v>
      </c>
      <c r="DO81" s="93">
        <f t="shared" si="390"/>
        <v>0</v>
      </c>
      <c r="DP81" s="67"/>
      <c r="DQ81" s="81">
        <v>0</v>
      </c>
      <c r="DR81" s="69">
        <v>0</v>
      </c>
      <c r="DS81" s="69">
        <v>0</v>
      </c>
      <c r="DT81" s="69">
        <v>0</v>
      </c>
      <c r="DU81" s="93">
        <f t="shared" si="392"/>
        <v>0</v>
      </c>
      <c r="DV81" s="67"/>
      <c r="DW81" s="81">
        <v>0</v>
      </c>
      <c r="DX81" s="69">
        <v>0</v>
      </c>
      <c r="DY81" s="69">
        <v>0</v>
      </c>
      <c r="DZ81" s="69">
        <v>0</v>
      </c>
      <c r="EA81" s="93">
        <f t="shared" si="394"/>
        <v>0</v>
      </c>
      <c r="EB81" s="67"/>
      <c r="EC81" s="81">
        <v>0</v>
      </c>
      <c r="ED81" s="69">
        <v>0</v>
      </c>
      <c r="EE81" s="69">
        <v>0</v>
      </c>
      <c r="EF81" s="69">
        <v>0</v>
      </c>
      <c r="EG81" s="93">
        <f t="shared" si="396"/>
        <v>0</v>
      </c>
      <c r="EH81" s="61"/>
    </row>
    <row r="82" spans="1:138" ht="11.25" customHeight="1" x14ac:dyDescent="0.2">
      <c r="A82" s="51" t="s">
        <v>435</v>
      </c>
      <c r="B82" s="8"/>
      <c r="C82" s="8"/>
      <c r="D82" s="8"/>
      <c r="E82" s="92"/>
      <c r="F82" s="67"/>
      <c r="G82" s="92"/>
      <c r="H82" s="67"/>
      <c r="I82" s="92"/>
      <c r="J82" s="67"/>
      <c r="K82" s="92"/>
      <c r="L82" s="67"/>
      <c r="M82" s="84"/>
      <c r="N82" s="71"/>
      <c r="O82" s="71"/>
      <c r="P82" s="71"/>
      <c r="Q82" s="93"/>
      <c r="R82" s="67"/>
      <c r="S82" s="84"/>
      <c r="T82" s="71"/>
      <c r="U82" s="71"/>
      <c r="V82" s="71"/>
      <c r="W82" s="93"/>
      <c r="X82" s="67"/>
      <c r="Y82" s="84"/>
      <c r="Z82" s="71"/>
      <c r="AA82" s="71"/>
      <c r="AB82" s="71"/>
      <c r="AC82" s="93"/>
      <c r="AD82" s="67"/>
      <c r="AE82" s="84"/>
      <c r="AF82" s="71"/>
      <c r="AG82" s="71"/>
      <c r="AH82" s="71"/>
      <c r="AI82" s="93"/>
      <c r="AJ82" s="67"/>
      <c r="AK82" s="84"/>
      <c r="AL82" s="71"/>
      <c r="AM82" s="71"/>
      <c r="AN82" s="71"/>
      <c r="AO82" s="93"/>
      <c r="AP82" s="67"/>
      <c r="AQ82" s="84"/>
      <c r="AR82" s="71"/>
      <c r="AS82" s="71"/>
      <c r="AT82" s="71"/>
      <c r="AU82" s="93"/>
      <c r="AV82" s="67"/>
      <c r="AW82" s="84"/>
      <c r="AX82" s="71"/>
      <c r="AY82" s="71"/>
      <c r="AZ82" s="71"/>
      <c r="BA82" s="93"/>
      <c r="BB82" s="67"/>
      <c r="BC82" s="84"/>
      <c r="BD82" s="71"/>
      <c r="BE82" s="71"/>
      <c r="BF82" s="71"/>
      <c r="BG82" s="93"/>
      <c r="BH82" s="67"/>
      <c r="BI82" s="84"/>
      <c r="BJ82" s="71"/>
      <c r="BK82" s="71"/>
      <c r="BL82" s="71"/>
      <c r="BM82" s="93"/>
      <c r="BN82" s="67"/>
      <c r="BO82" s="84"/>
      <c r="BP82" s="71"/>
      <c r="BQ82" s="71"/>
      <c r="BR82" s="67"/>
      <c r="BS82" s="93"/>
      <c r="BT82" s="67"/>
      <c r="BU82" s="84"/>
      <c r="BV82" s="71"/>
      <c r="BW82" s="71"/>
      <c r="BX82" s="71"/>
      <c r="BY82" s="93"/>
      <c r="BZ82" s="71"/>
      <c r="CA82" s="84"/>
      <c r="CB82" s="71"/>
      <c r="CC82" s="71"/>
      <c r="CD82" s="71"/>
      <c r="CE82" s="93">
        <f t="shared" si="403"/>
        <v>0</v>
      </c>
      <c r="CF82" s="67"/>
      <c r="CG82" s="84"/>
      <c r="CH82" s="71"/>
      <c r="CI82" s="71"/>
      <c r="CJ82" s="71"/>
      <c r="CK82" s="93">
        <f t="shared" si="404"/>
        <v>0</v>
      </c>
      <c r="CL82" s="67"/>
      <c r="CM82" s="84"/>
      <c r="CN82" s="71"/>
      <c r="CO82" s="71"/>
      <c r="CP82" s="71"/>
      <c r="CQ82" s="93">
        <f t="shared" ref="CQ82:CQ84" si="407">+SUM(CM82:CP82)</f>
        <v>0</v>
      </c>
      <c r="CR82" s="67"/>
      <c r="CS82" s="84">
        <v>0</v>
      </c>
      <c r="CT82" s="71">
        <v>0</v>
      </c>
      <c r="CU82" s="71">
        <v>0</v>
      </c>
      <c r="CV82" s="71">
        <v>0</v>
      </c>
      <c r="CW82" s="93">
        <f t="shared" si="405"/>
        <v>0</v>
      </c>
      <c r="CX82" s="67"/>
      <c r="CY82" s="84">
        <v>0</v>
      </c>
      <c r="CZ82" s="71">
        <v>0</v>
      </c>
      <c r="DA82" s="71">
        <v>0</v>
      </c>
      <c r="DB82" s="71">
        <v>0</v>
      </c>
      <c r="DC82" s="93">
        <f t="shared" si="406"/>
        <v>0</v>
      </c>
      <c r="DD82" s="67"/>
      <c r="DE82" s="84">
        <v>0</v>
      </c>
      <c r="DF82" s="71">
        <v>32</v>
      </c>
      <c r="DG82" s="71">
        <v>0</v>
      </c>
      <c r="DH82" s="71">
        <v>0</v>
      </c>
      <c r="DI82" s="93">
        <f t="shared" ref="DI82:DI87" si="408">+SUM(DE82:DH82)</f>
        <v>32</v>
      </c>
      <c r="DJ82" s="67"/>
      <c r="DK82" s="84">
        <v>0</v>
      </c>
      <c r="DL82" s="69">
        <v>0</v>
      </c>
      <c r="DM82" s="69">
        <v>0</v>
      </c>
      <c r="DN82" s="69">
        <v>0</v>
      </c>
      <c r="DO82" s="93">
        <f t="shared" ref="DO82" si="409">+SUM(DK82:DN82)</f>
        <v>0</v>
      </c>
      <c r="DP82" s="67"/>
      <c r="DQ82" s="81">
        <v>0</v>
      </c>
      <c r="DR82" s="69">
        <v>0</v>
      </c>
      <c r="DS82" s="69">
        <v>0</v>
      </c>
      <c r="DT82" s="69">
        <v>0</v>
      </c>
      <c r="DU82" s="93">
        <f t="shared" ref="DU82" si="410">+SUM(DQ82:DT82)</f>
        <v>0</v>
      </c>
      <c r="DV82" s="67"/>
      <c r="DW82" s="81">
        <v>0</v>
      </c>
      <c r="DX82" s="69">
        <v>0</v>
      </c>
      <c r="DY82" s="69">
        <v>0</v>
      </c>
      <c r="DZ82" s="69">
        <v>0</v>
      </c>
      <c r="EA82" s="93">
        <f t="shared" ref="EA82:EA87" si="411">+SUM(DW82:DZ82)</f>
        <v>0</v>
      </c>
      <c r="EB82" s="67"/>
      <c r="EC82" s="81">
        <v>0</v>
      </c>
      <c r="ED82" s="69">
        <v>0</v>
      </c>
      <c r="EE82" s="69">
        <v>0</v>
      </c>
      <c r="EF82" s="69">
        <v>0</v>
      </c>
      <c r="EG82" s="93">
        <f t="shared" ref="EG82:EG87" si="412">+SUM(EC82:EF82)</f>
        <v>0</v>
      </c>
      <c r="EH82" s="61"/>
    </row>
    <row r="83" spans="1:138" ht="11.25" customHeight="1" x14ac:dyDescent="0.2">
      <c r="A83" s="51" t="s">
        <v>423</v>
      </c>
      <c r="B83" s="8"/>
      <c r="C83" s="8"/>
      <c r="D83" s="8"/>
      <c r="E83" s="92"/>
      <c r="F83" s="67"/>
      <c r="G83" s="92"/>
      <c r="H83" s="67"/>
      <c r="I83" s="92"/>
      <c r="J83" s="67"/>
      <c r="K83" s="92"/>
      <c r="L83" s="67"/>
      <c r="M83" s="84"/>
      <c r="N83" s="71"/>
      <c r="O83" s="71"/>
      <c r="P83" s="71"/>
      <c r="Q83" s="93"/>
      <c r="R83" s="67"/>
      <c r="S83" s="84"/>
      <c r="T83" s="71"/>
      <c r="U83" s="71"/>
      <c r="V83" s="71"/>
      <c r="W83" s="93"/>
      <c r="X83" s="67"/>
      <c r="Y83" s="84"/>
      <c r="Z83" s="71"/>
      <c r="AA83" s="71"/>
      <c r="AB83" s="71"/>
      <c r="AC83" s="93"/>
      <c r="AD83" s="67"/>
      <c r="AE83" s="84"/>
      <c r="AF83" s="71"/>
      <c r="AG83" s="71"/>
      <c r="AH83" s="71"/>
      <c r="AI83" s="93"/>
      <c r="AJ83" s="67"/>
      <c r="AK83" s="84"/>
      <c r="AL83" s="71"/>
      <c r="AM83" s="71"/>
      <c r="AN83" s="71"/>
      <c r="AO83" s="93"/>
      <c r="AP83" s="67"/>
      <c r="AQ83" s="84"/>
      <c r="AR83" s="71"/>
      <c r="AS83" s="71"/>
      <c r="AT83" s="71"/>
      <c r="AU83" s="93"/>
      <c r="AV83" s="67"/>
      <c r="AW83" s="84"/>
      <c r="AX83" s="71"/>
      <c r="AY83" s="71"/>
      <c r="AZ83" s="71"/>
      <c r="BA83" s="93"/>
      <c r="BB83" s="67"/>
      <c r="BC83" s="84"/>
      <c r="BD83" s="71"/>
      <c r="BE83" s="71"/>
      <c r="BF83" s="71"/>
      <c r="BG83" s="93"/>
      <c r="BH83" s="67"/>
      <c r="BI83" s="84"/>
      <c r="BJ83" s="71"/>
      <c r="BK83" s="71"/>
      <c r="BL83" s="71"/>
      <c r="BM83" s="93"/>
      <c r="BN83" s="67"/>
      <c r="BO83" s="84"/>
      <c r="BP83" s="71"/>
      <c r="BQ83" s="71"/>
      <c r="BR83" s="67"/>
      <c r="BS83" s="92"/>
      <c r="BT83" s="67"/>
      <c r="BU83" s="84"/>
      <c r="BV83" s="71"/>
      <c r="BW83" s="71"/>
      <c r="BX83" s="67"/>
      <c r="BY83" s="92"/>
      <c r="BZ83" s="71"/>
      <c r="CA83" s="84"/>
      <c r="CB83" s="71"/>
      <c r="CC83" s="71"/>
      <c r="CD83" s="71"/>
      <c r="CE83" s="548">
        <v>0</v>
      </c>
      <c r="CF83" s="67"/>
      <c r="CG83" s="84"/>
      <c r="CH83" s="71"/>
      <c r="CI83" s="71"/>
      <c r="CJ83" s="71"/>
      <c r="CK83" s="548">
        <v>210</v>
      </c>
      <c r="CL83" s="549"/>
      <c r="CM83" s="550"/>
      <c r="CN83" s="549"/>
      <c r="CO83" s="549"/>
      <c r="CP83" s="549"/>
      <c r="CQ83" s="548">
        <v>145</v>
      </c>
      <c r="CR83" s="67"/>
      <c r="CS83" s="84">
        <v>0</v>
      </c>
      <c r="CT83" s="71">
        <v>0</v>
      </c>
      <c r="CU83" s="71">
        <v>0</v>
      </c>
      <c r="CV83" s="71">
        <v>0</v>
      </c>
      <c r="CW83" s="93">
        <f>+SUM(CS83:CV83)</f>
        <v>0</v>
      </c>
      <c r="CX83" s="67"/>
      <c r="CY83" s="84">
        <v>0</v>
      </c>
      <c r="CZ83" s="71">
        <v>0</v>
      </c>
      <c r="DA83" s="71">
        <v>0</v>
      </c>
      <c r="DB83" s="71">
        <v>0</v>
      </c>
      <c r="DC83" s="93">
        <f>+SUM(CY83:DB83)</f>
        <v>0</v>
      </c>
      <c r="DD83" s="67"/>
      <c r="DE83" s="84">
        <v>0</v>
      </c>
      <c r="DF83" s="71">
        <v>0</v>
      </c>
      <c r="DG83" s="71">
        <v>0</v>
      </c>
      <c r="DH83" s="71">
        <v>0</v>
      </c>
      <c r="DI83" s="93">
        <f t="shared" si="408"/>
        <v>0</v>
      </c>
      <c r="DJ83" s="67"/>
      <c r="DK83" s="84">
        <v>0</v>
      </c>
      <c r="DL83" s="69">
        <v>0</v>
      </c>
      <c r="DM83" s="69">
        <v>0</v>
      </c>
      <c r="DN83" s="69">
        <v>0</v>
      </c>
      <c r="DO83" s="93">
        <f t="shared" ref="DO83:DO87" si="413">+SUM(DK83:DN83)</f>
        <v>0</v>
      </c>
      <c r="DP83" s="67"/>
      <c r="DQ83" s="81">
        <v>0</v>
      </c>
      <c r="DR83" s="69">
        <v>0</v>
      </c>
      <c r="DS83" s="69">
        <v>0</v>
      </c>
      <c r="DT83" s="69">
        <v>0</v>
      </c>
      <c r="DU83" s="93">
        <f t="shared" ref="DU83:DU87" si="414">+SUM(DQ83:DT83)</f>
        <v>0</v>
      </c>
      <c r="DV83" s="67"/>
      <c r="DW83" s="81">
        <v>0</v>
      </c>
      <c r="DX83" s="69">
        <v>0</v>
      </c>
      <c r="DY83" s="69">
        <v>0</v>
      </c>
      <c r="DZ83" s="69">
        <v>0</v>
      </c>
      <c r="EA83" s="93">
        <f t="shared" si="411"/>
        <v>0</v>
      </c>
      <c r="EB83" s="67"/>
      <c r="EC83" s="81">
        <v>0</v>
      </c>
      <c r="ED83" s="69">
        <v>0</v>
      </c>
      <c r="EE83" s="69">
        <v>0</v>
      </c>
      <c r="EF83" s="69">
        <v>0</v>
      </c>
      <c r="EG83" s="93">
        <f t="shared" si="412"/>
        <v>0</v>
      </c>
      <c r="EH83" s="61"/>
    </row>
    <row r="84" spans="1:138" ht="11.25" customHeight="1" x14ac:dyDescent="0.2">
      <c r="A84" s="51" t="s">
        <v>426</v>
      </c>
      <c r="B84" s="8"/>
      <c r="C84" s="8"/>
      <c r="D84" s="8"/>
      <c r="E84" s="92"/>
      <c r="F84" s="67"/>
      <c r="G84" s="92"/>
      <c r="H84" s="67"/>
      <c r="I84" s="92"/>
      <c r="J84" s="67"/>
      <c r="K84" s="92"/>
      <c r="L84" s="67"/>
      <c r="M84" s="84"/>
      <c r="N84" s="71"/>
      <c r="O84" s="71"/>
      <c r="P84" s="71"/>
      <c r="Q84" s="93"/>
      <c r="R84" s="67"/>
      <c r="S84" s="84"/>
      <c r="T84" s="71"/>
      <c r="U84" s="71"/>
      <c r="V84" s="71"/>
      <c r="W84" s="93"/>
      <c r="X84" s="67"/>
      <c r="Y84" s="84"/>
      <c r="Z84" s="71"/>
      <c r="AA84" s="71"/>
      <c r="AB84" s="71"/>
      <c r="AC84" s="93"/>
      <c r="AD84" s="67"/>
      <c r="AE84" s="84"/>
      <c r="AF84" s="71"/>
      <c r="AG84" s="71"/>
      <c r="AH84" s="71"/>
      <c r="AI84" s="93"/>
      <c r="AJ84" s="67"/>
      <c r="AK84" s="84"/>
      <c r="AL84" s="71"/>
      <c r="AM84" s="71"/>
      <c r="AN84" s="71"/>
      <c r="AO84" s="93"/>
      <c r="AP84" s="67"/>
      <c r="AQ84" s="84"/>
      <c r="AR84" s="71"/>
      <c r="AS84" s="71"/>
      <c r="AT84" s="71"/>
      <c r="AU84" s="93"/>
      <c r="AV84" s="67"/>
      <c r="AW84" s="84"/>
      <c r="AX84" s="71"/>
      <c r="AY84" s="71"/>
      <c r="AZ84" s="71"/>
      <c r="BA84" s="93"/>
      <c r="BB84" s="67"/>
      <c r="BC84" s="84"/>
      <c r="BD84" s="71"/>
      <c r="BE84" s="71"/>
      <c r="BF84" s="71"/>
      <c r="BG84" s="93"/>
      <c r="BH84" s="67"/>
      <c r="BI84" s="84"/>
      <c r="BJ84" s="71"/>
      <c r="BK84" s="71"/>
      <c r="BL84" s="71"/>
      <c r="BM84" s="93"/>
      <c r="BN84" s="67"/>
      <c r="BO84" s="84"/>
      <c r="BP84" s="71"/>
      <c r="BQ84" s="71"/>
      <c r="BR84" s="67"/>
      <c r="BS84" s="93"/>
      <c r="BT84" s="67"/>
      <c r="BU84" s="84"/>
      <c r="BV84" s="71"/>
      <c r="BW84" s="71"/>
      <c r="BX84" s="67"/>
      <c r="BY84" s="92"/>
      <c r="BZ84" s="71"/>
      <c r="CA84" s="84"/>
      <c r="CB84" s="71"/>
      <c r="CC84" s="71"/>
      <c r="CD84" s="71"/>
      <c r="CE84" s="93">
        <f t="shared" si="403"/>
        <v>0</v>
      </c>
      <c r="CF84" s="67"/>
      <c r="CG84" s="84"/>
      <c r="CH84" s="71"/>
      <c r="CI84" s="71"/>
      <c r="CJ84" s="71"/>
      <c r="CK84" s="93">
        <f t="shared" si="404"/>
        <v>0</v>
      </c>
      <c r="CL84" s="67"/>
      <c r="CM84" s="84"/>
      <c r="CN84" s="71"/>
      <c r="CO84" s="71"/>
      <c r="CP84" s="71"/>
      <c r="CQ84" s="93">
        <f t="shared" si="407"/>
        <v>0</v>
      </c>
      <c r="CR84" s="67"/>
      <c r="CS84" s="84">
        <v>0</v>
      </c>
      <c r="CT84" s="71">
        <v>0</v>
      </c>
      <c r="CU84" s="71">
        <v>0</v>
      </c>
      <c r="CV84" s="71">
        <v>0</v>
      </c>
      <c r="CW84" s="93">
        <f t="shared" si="405"/>
        <v>0</v>
      </c>
      <c r="CX84" s="67"/>
      <c r="CY84" s="84">
        <v>0</v>
      </c>
      <c r="CZ84" s="71">
        <v>0</v>
      </c>
      <c r="DA84" s="71">
        <v>179</v>
      </c>
      <c r="DB84" s="71">
        <v>0</v>
      </c>
      <c r="DC84" s="92">
        <v>179</v>
      </c>
      <c r="DD84" s="67"/>
      <c r="DE84" s="84">
        <v>0</v>
      </c>
      <c r="DF84" s="71">
        <v>0</v>
      </c>
      <c r="DG84" s="71">
        <v>0</v>
      </c>
      <c r="DH84" s="71">
        <v>0</v>
      </c>
      <c r="DI84" s="93">
        <f t="shared" si="408"/>
        <v>0</v>
      </c>
      <c r="DJ84" s="67"/>
      <c r="DK84" s="84">
        <v>0</v>
      </c>
      <c r="DL84" s="69">
        <v>0</v>
      </c>
      <c r="DM84" s="69">
        <v>0</v>
      </c>
      <c r="DN84" s="69">
        <v>0</v>
      </c>
      <c r="DO84" s="93">
        <f t="shared" si="413"/>
        <v>0</v>
      </c>
      <c r="DP84" s="67"/>
      <c r="DQ84" s="81">
        <v>0</v>
      </c>
      <c r="DR84" s="69">
        <v>0</v>
      </c>
      <c r="DS84" s="69">
        <v>0</v>
      </c>
      <c r="DT84" s="69">
        <v>0</v>
      </c>
      <c r="DU84" s="93">
        <f t="shared" si="414"/>
        <v>0</v>
      </c>
      <c r="DV84" s="67"/>
      <c r="DW84" s="81">
        <v>0</v>
      </c>
      <c r="DX84" s="69">
        <v>0</v>
      </c>
      <c r="DY84" s="69">
        <v>0</v>
      </c>
      <c r="DZ84" s="69">
        <v>0</v>
      </c>
      <c r="EA84" s="93">
        <f t="shared" si="411"/>
        <v>0</v>
      </c>
      <c r="EB84" s="67"/>
      <c r="EC84" s="81">
        <v>0</v>
      </c>
      <c r="ED84" s="69">
        <v>0</v>
      </c>
      <c r="EE84" s="69">
        <v>0</v>
      </c>
      <c r="EF84" s="69">
        <v>0</v>
      </c>
      <c r="EG84" s="93">
        <f t="shared" si="412"/>
        <v>0</v>
      </c>
      <c r="EH84" s="61"/>
    </row>
    <row r="85" spans="1:138" ht="11.25" customHeight="1" x14ac:dyDescent="0.2">
      <c r="A85" s="51" t="s">
        <v>428</v>
      </c>
      <c r="B85" s="8"/>
      <c r="C85" s="8"/>
      <c r="D85" s="8"/>
      <c r="E85" s="92"/>
      <c r="F85" s="67"/>
      <c r="G85" s="92"/>
      <c r="H85" s="67"/>
      <c r="I85" s="92"/>
      <c r="J85" s="67"/>
      <c r="K85" s="92"/>
      <c r="L85" s="67"/>
      <c r="M85" s="84"/>
      <c r="N85" s="71"/>
      <c r="O85" s="71"/>
      <c r="P85" s="71"/>
      <c r="Q85" s="93"/>
      <c r="R85" s="67"/>
      <c r="S85" s="84"/>
      <c r="T85" s="71"/>
      <c r="U85" s="71"/>
      <c r="V85" s="71"/>
      <c r="W85" s="93"/>
      <c r="X85" s="67"/>
      <c r="Y85" s="84"/>
      <c r="Z85" s="71"/>
      <c r="AA85" s="71"/>
      <c r="AB85" s="71"/>
      <c r="AC85" s="93"/>
      <c r="AD85" s="67"/>
      <c r="AE85" s="84"/>
      <c r="AF85" s="71"/>
      <c r="AG85" s="71"/>
      <c r="AH85" s="71"/>
      <c r="AI85" s="93"/>
      <c r="AJ85" s="67"/>
      <c r="AK85" s="84"/>
      <c r="AL85" s="71"/>
      <c r="AM85" s="71"/>
      <c r="AN85" s="71"/>
      <c r="AO85" s="93"/>
      <c r="AP85" s="67"/>
      <c r="AQ85" s="84"/>
      <c r="AR85" s="71"/>
      <c r="AS85" s="71"/>
      <c r="AT85" s="71"/>
      <c r="AU85" s="93"/>
      <c r="AV85" s="67"/>
      <c r="AW85" s="84"/>
      <c r="AX85" s="71"/>
      <c r="AY85" s="71"/>
      <c r="AZ85" s="71"/>
      <c r="BA85" s="93"/>
      <c r="BB85" s="67"/>
      <c r="BC85" s="84"/>
      <c r="BD85" s="71"/>
      <c r="BE85" s="71"/>
      <c r="BF85" s="71"/>
      <c r="BG85" s="93"/>
      <c r="BH85" s="67"/>
      <c r="BI85" s="84"/>
      <c r="BJ85" s="71"/>
      <c r="BK85" s="71"/>
      <c r="BL85" s="71"/>
      <c r="BM85" s="93"/>
      <c r="BN85" s="67"/>
      <c r="BO85" s="84"/>
      <c r="BP85" s="71"/>
      <c r="BQ85" s="71"/>
      <c r="BR85" s="71"/>
      <c r="BS85" s="93"/>
      <c r="BT85" s="67"/>
      <c r="BU85" s="84"/>
      <c r="BV85" s="71"/>
      <c r="BW85" s="71"/>
      <c r="BX85" s="71"/>
      <c r="BY85" s="93"/>
      <c r="BZ85" s="71"/>
      <c r="CA85" s="84"/>
      <c r="CB85" s="71"/>
      <c r="CC85" s="71"/>
      <c r="CD85" s="71"/>
      <c r="CE85" s="92">
        <v>0</v>
      </c>
      <c r="CF85" s="67"/>
      <c r="CG85" s="84"/>
      <c r="CH85" s="71"/>
      <c r="CI85" s="71"/>
      <c r="CJ85" s="71"/>
      <c r="CK85" s="92">
        <f>-(230+202)</f>
        <v>-432</v>
      </c>
      <c r="CL85" s="67"/>
      <c r="CM85" s="84"/>
      <c r="CN85" s="71"/>
      <c r="CO85" s="71"/>
      <c r="CP85" s="71"/>
      <c r="CQ85" s="92">
        <v>-123</v>
      </c>
      <c r="CR85" s="67"/>
      <c r="CS85" s="84">
        <v>0</v>
      </c>
      <c r="CT85" s="71">
        <v>0</v>
      </c>
      <c r="CU85" s="71">
        <v>-12</v>
      </c>
      <c r="CV85" s="71">
        <v>0</v>
      </c>
      <c r="CW85" s="92">
        <v>-12</v>
      </c>
      <c r="CX85" s="67"/>
      <c r="CY85" s="84">
        <v>-223</v>
      </c>
      <c r="CZ85" s="71">
        <v>0</v>
      </c>
      <c r="DA85" s="71">
        <v>0</v>
      </c>
      <c r="DB85" s="71">
        <v>0</v>
      </c>
      <c r="DC85" s="92">
        <v>-223</v>
      </c>
      <c r="DD85" s="67"/>
      <c r="DE85" s="84">
        <v>0</v>
      </c>
      <c r="DF85" s="71">
        <v>0</v>
      </c>
      <c r="DG85" s="71">
        <v>0</v>
      </c>
      <c r="DH85" s="71">
        <v>-73</v>
      </c>
      <c r="DI85" s="93">
        <f t="shared" si="408"/>
        <v>-73</v>
      </c>
      <c r="DJ85" s="67"/>
      <c r="DK85" s="84">
        <v>0</v>
      </c>
      <c r="DL85" s="69">
        <v>0</v>
      </c>
      <c r="DM85" s="69">
        <v>0</v>
      </c>
      <c r="DN85" s="69">
        <v>0</v>
      </c>
      <c r="DO85" s="93">
        <f t="shared" si="413"/>
        <v>0</v>
      </c>
      <c r="DP85" s="67"/>
      <c r="DQ85" s="81">
        <v>0</v>
      </c>
      <c r="DR85" s="69">
        <v>0</v>
      </c>
      <c r="DS85" s="69">
        <v>0</v>
      </c>
      <c r="DT85" s="69">
        <v>0</v>
      </c>
      <c r="DU85" s="93">
        <f t="shared" si="414"/>
        <v>0</v>
      </c>
      <c r="DV85" s="67"/>
      <c r="DW85" s="81">
        <v>0</v>
      </c>
      <c r="DX85" s="69">
        <v>0</v>
      </c>
      <c r="DY85" s="69">
        <v>0</v>
      </c>
      <c r="DZ85" s="69">
        <v>0</v>
      </c>
      <c r="EA85" s="93">
        <f t="shared" si="411"/>
        <v>0</v>
      </c>
      <c r="EB85" s="67"/>
      <c r="EC85" s="81">
        <v>0</v>
      </c>
      <c r="ED85" s="69">
        <v>0</v>
      </c>
      <c r="EE85" s="69">
        <v>0</v>
      </c>
      <c r="EF85" s="69">
        <v>0</v>
      </c>
      <c r="EG85" s="93">
        <f t="shared" si="412"/>
        <v>0</v>
      </c>
      <c r="EH85" s="61"/>
    </row>
    <row r="86" spans="1:138" ht="11.25" customHeight="1" x14ac:dyDescent="0.2">
      <c r="A86" s="51" t="s">
        <v>432</v>
      </c>
      <c r="B86" s="8"/>
      <c r="C86" s="8"/>
      <c r="D86" s="8"/>
      <c r="E86" s="92"/>
      <c r="F86" s="67"/>
      <c r="G86" s="92"/>
      <c r="H86" s="67"/>
      <c r="I86" s="92"/>
      <c r="J86" s="67"/>
      <c r="K86" s="92"/>
      <c r="L86" s="67"/>
      <c r="M86" s="84"/>
      <c r="N86" s="71"/>
      <c r="O86" s="71"/>
      <c r="P86" s="71"/>
      <c r="Q86" s="93"/>
      <c r="R86" s="67"/>
      <c r="S86" s="84"/>
      <c r="T86" s="71"/>
      <c r="U86" s="71"/>
      <c r="V86" s="71"/>
      <c r="W86" s="93"/>
      <c r="X86" s="67"/>
      <c r="Y86" s="84"/>
      <c r="Z86" s="71"/>
      <c r="AA86" s="71"/>
      <c r="AB86" s="71"/>
      <c r="AC86" s="93"/>
      <c r="AD86" s="67"/>
      <c r="AE86" s="84"/>
      <c r="AF86" s="71"/>
      <c r="AG86" s="71"/>
      <c r="AH86" s="71"/>
      <c r="AI86" s="93"/>
      <c r="AJ86" s="67"/>
      <c r="AK86" s="84"/>
      <c r="AL86" s="71"/>
      <c r="AM86" s="71"/>
      <c r="AN86" s="71"/>
      <c r="AO86" s="93"/>
      <c r="AP86" s="67"/>
      <c r="AQ86" s="84"/>
      <c r="AR86" s="71"/>
      <c r="AS86" s="71"/>
      <c r="AT86" s="71"/>
      <c r="AU86" s="93"/>
      <c r="AV86" s="67"/>
      <c r="AW86" s="84"/>
      <c r="AX86" s="71"/>
      <c r="AY86" s="71"/>
      <c r="AZ86" s="71"/>
      <c r="BA86" s="93"/>
      <c r="BB86" s="67"/>
      <c r="BC86" s="84"/>
      <c r="BD86" s="71"/>
      <c r="BE86" s="71"/>
      <c r="BF86" s="71"/>
      <c r="BG86" s="93"/>
      <c r="BH86" s="67"/>
      <c r="BI86" s="84"/>
      <c r="BJ86" s="71"/>
      <c r="BK86" s="71"/>
      <c r="BL86" s="71"/>
      <c r="BM86" s="93"/>
      <c r="BN86" s="67"/>
      <c r="BO86" s="84"/>
      <c r="BP86" s="71"/>
      <c r="BQ86" s="71"/>
      <c r="BR86" s="71"/>
      <c r="BS86" s="93"/>
      <c r="BT86" s="67"/>
      <c r="BU86" s="84"/>
      <c r="BV86" s="71"/>
      <c r="BW86" s="71"/>
      <c r="BX86" s="71"/>
      <c r="BY86" s="93"/>
      <c r="BZ86" s="71"/>
      <c r="CA86" s="84"/>
      <c r="CB86" s="71"/>
      <c r="CC86" s="71"/>
      <c r="CD86" s="71"/>
      <c r="CE86" s="93">
        <f t="shared" ref="CE86" si="415">+SUM(CA86:CD86)</f>
        <v>0</v>
      </c>
      <c r="CF86" s="67"/>
      <c r="CG86" s="84"/>
      <c r="CH86" s="71"/>
      <c r="CI86" s="71"/>
      <c r="CJ86" s="71"/>
      <c r="CK86" s="93">
        <f t="shared" ref="CK86" si="416">+SUM(CG86:CJ86)</f>
        <v>0</v>
      </c>
      <c r="CL86" s="67"/>
      <c r="CM86" s="84"/>
      <c r="CN86" s="71"/>
      <c r="CO86" s="71"/>
      <c r="CP86" s="71"/>
      <c r="CQ86" s="93">
        <f t="shared" ref="CQ86" si="417">+SUM(CM86:CP86)</f>
        <v>0</v>
      </c>
      <c r="CR86" s="67"/>
      <c r="CS86" s="84">
        <v>0</v>
      </c>
      <c r="CT86" s="71">
        <v>0</v>
      </c>
      <c r="CU86" s="71">
        <v>0</v>
      </c>
      <c r="CV86" s="71">
        <v>0</v>
      </c>
      <c r="CW86" s="93">
        <f t="shared" ref="CW86" si="418">+SUM(CS86:CV86)</f>
        <v>0</v>
      </c>
      <c r="CX86" s="67"/>
      <c r="CY86" s="84">
        <v>0</v>
      </c>
      <c r="CZ86" s="71">
        <v>0</v>
      </c>
      <c r="DA86" s="71">
        <v>0</v>
      </c>
      <c r="DB86" s="71">
        <v>0</v>
      </c>
      <c r="DC86" s="93">
        <f t="shared" ref="DC86" si="419">+SUM(CY86:DB86)</f>
        <v>0</v>
      </c>
      <c r="DD86" s="67"/>
      <c r="DE86" s="84">
        <v>0</v>
      </c>
      <c r="DF86" s="71">
        <v>0</v>
      </c>
      <c r="DG86" s="71">
        <v>0</v>
      </c>
      <c r="DH86" s="71">
        <v>0</v>
      </c>
      <c r="DI86" s="93">
        <f t="shared" si="408"/>
        <v>0</v>
      </c>
      <c r="DJ86" s="67"/>
      <c r="DK86" s="84">
        <v>0</v>
      </c>
      <c r="DL86" s="69">
        <v>0</v>
      </c>
      <c r="DM86" s="69">
        <v>0</v>
      </c>
      <c r="DN86" s="69">
        <v>0</v>
      </c>
      <c r="DO86" s="93">
        <f t="shared" si="413"/>
        <v>0</v>
      </c>
      <c r="DP86" s="67"/>
      <c r="DQ86" s="81">
        <v>0</v>
      </c>
      <c r="DR86" s="69">
        <v>0</v>
      </c>
      <c r="DS86" s="69">
        <v>0</v>
      </c>
      <c r="DT86" s="69">
        <v>0</v>
      </c>
      <c r="DU86" s="93">
        <f t="shared" si="414"/>
        <v>0</v>
      </c>
      <c r="DV86" s="67"/>
      <c r="DW86" s="81">
        <v>0</v>
      </c>
      <c r="DX86" s="69">
        <v>0</v>
      </c>
      <c r="DY86" s="69">
        <v>0</v>
      </c>
      <c r="DZ86" s="69">
        <v>0</v>
      </c>
      <c r="EA86" s="93">
        <f t="shared" si="411"/>
        <v>0</v>
      </c>
      <c r="EB86" s="67"/>
      <c r="EC86" s="81">
        <v>0</v>
      </c>
      <c r="ED86" s="69">
        <v>0</v>
      </c>
      <c r="EE86" s="69">
        <v>0</v>
      </c>
      <c r="EF86" s="69">
        <v>0</v>
      </c>
      <c r="EG86" s="93">
        <f t="shared" si="412"/>
        <v>0</v>
      </c>
      <c r="EH86" s="61"/>
    </row>
    <row r="87" spans="1:138" ht="11.25" customHeight="1" x14ac:dyDescent="0.2">
      <c r="A87" s="51" t="s">
        <v>430</v>
      </c>
      <c r="B87" s="8"/>
      <c r="C87" s="8"/>
      <c r="D87" s="8"/>
      <c r="E87" s="93"/>
      <c r="F87" s="67"/>
      <c r="G87" s="93"/>
      <c r="H87" s="67"/>
      <c r="I87" s="93"/>
      <c r="J87" s="67"/>
      <c r="K87" s="93"/>
      <c r="L87" s="67"/>
      <c r="M87" s="82"/>
      <c r="N87" s="67"/>
      <c r="O87" s="67"/>
      <c r="P87" s="67"/>
      <c r="Q87" s="93"/>
      <c r="R87" s="67"/>
      <c r="S87" s="82"/>
      <c r="T87" s="67"/>
      <c r="U87" s="67"/>
      <c r="V87" s="67"/>
      <c r="W87" s="93"/>
      <c r="X87" s="67"/>
      <c r="Y87" s="82"/>
      <c r="Z87" s="67"/>
      <c r="AA87" s="67"/>
      <c r="AB87" s="67"/>
      <c r="AC87" s="93"/>
      <c r="AD87" s="67"/>
      <c r="AE87" s="82"/>
      <c r="AF87" s="67"/>
      <c r="AG87" s="67"/>
      <c r="AH87" s="67"/>
      <c r="AI87" s="93"/>
      <c r="AJ87" s="67"/>
      <c r="AK87" s="82"/>
      <c r="AL87" s="67"/>
      <c r="AM87" s="67"/>
      <c r="AN87" s="67"/>
      <c r="AO87" s="93"/>
      <c r="AP87" s="67"/>
      <c r="AQ87" s="82"/>
      <c r="AR87" s="67"/>
      <c r="AS87" s="67"/>
      <c r="AT87" s="67"/>
      <c r="AU87" s="93"/>
      <c r="AV87" s="67"/>
      <c r="AW87" s="82"/>
      <c r="AX87" s="67"/>
      <c r="AY87" s="67"/>
      <c r="AZ87" s="67"/>
      <c r="BA87" s="93"/>
      <c r="BB87" s="67"/>
      <c r="BC87" s="82"/>
      <c r="BD87" s="67"/>
      <c r="BE87" s="67"/>
      <c r="BF87" s="67"/>
      <c r="BG87" s="93"/>
      <c r="BH87" s="67"/>
      <c r="BI87" s="82"/>
      <c r="BJ87" s="67"/>
      <c r="BK87" s="67"/>
      <c r="BL87" s="67"/>
      <c r="BM87" s="93"/>
      <c r="BN87" s="67"/>
      <c r="BO87" s="82"/>
      <c r="BP87" s="67"/>
      <c r="BQ87" s="67"/>
      <c r="BR87" s="67"/>
      <c r="BS87" s="93"/>
      <c r="BT87" s="67"/>
      <c r="BU87" s="82"/>
      <c r="BV87" s="67"/>
      <c r="BW87" s="67"/>
      <c r="BX87" s="67"/>
      <c r="BY87" s="93"/>
      <c r="BZ87" s="67"/>
      <c r="CA87" s="82"/>
      <c r="CB87" s="67"/>
      <c r="CC87" s="67"/>
      <c r="CD87" s="67"/>
      <c r="CE87" s="93">
        <f>-0.15*CE$41</f>
        <v>-106.5</v>
      </c>
      <c r="CF87" s="67"/>
      <c r="CG87" s="82"/>
      <c r="CH87" s="67"/>
      <c r="CI87" s="67"/>
      <c r="CJ87" s="67"/>
      <c r="CK87" s="93">
        <f>-0.15*CK$41</f>
        <v>-106.64999999999999</v>
      </c>
      <c r="CL87" s="67"/>
      <c r="CM87" s="82"/>
      <c r="CN87" s="67"/>
      <c r="CO87" s="67"/>
      <c r="CP87" s="67"/>
      <c r="CQ87" s="93">
        <f>-0.15*CQ$41</f>
        <v>-107.41500000000001</v>
      </c>
      <c r="CR87" s="67"/>
      <c r="CS87" s="82">
        <f>+SUM(CW76:CW87)-SUM(CS76:CS86,CT76:CV87)</f>
        <v>-15.235999999999876</v>
      </c>
      <c r="CT87" s="67">
        <f>-0.02*CT$41</f>
        <v>-14.392000000000001</v>
      </c>
      <c r="CU87" s="67">
        <f>-0.05*CU$41</f>
        <v>-34.935000000000002</v>
      </c>
      <c r="CV87" s="67">
        <f>-0.07*CV$41</f>
        <v>-48.797000000000004</v>
      </c>
      <c r="CW87" s="93">
        <f>-0.16*CW$41</f>
        <v>-113.36</v>
      </c>
      <c r="CX87" s="67"/>
      <c r="CY87" s="82">
        <f>+SUM(DC76:DC87)-SUM(CY76:CY86,CZ76:DB87)</f>
        <v>49.340000000000146</v>
      </c>
      <c r="CZ87" s="67">
        <f>-0.05*CZ$41</f>
        <v>-34.945</v>
      </c>
      <c r="DA87" s="67">
        <f>-0.14*DA$41</f>
        <v>-98.182000000000002</v>
      </c>
      <c r="DB87" s="67">
        <f>-0.09*DB$41</f>
        <v>-63.170999999999992</v>
      </c>
      <c r="DC87" s="93">
        <f>-0.21*DC$41</f>
        <v>-146.958</v>
      </c>
      <c r="DD87" s="67"/>
      <c r="DE87" s="82">
        <f>-21%*DE$76</f>
        <v>-34.881</v>
      </c>
      <c r="DF87" s="67">
        <f>-21%*SUM(DF$76,DF82,DF83,DF79)</f>
        <v>-26.943000000000001</v>
      </c>
      <c r="DG87" s="67">
        <f>-DG59*SUM(DG$76:DG86)</f>
        <v>-35.956810084954789</v>
      </c>
      <c r="DH87" s="67">
        <f>DH59*SUM(DH$76:DH86)</f>
        <v>-1.4127885597548466</v>
      </c>
      <c r="DI87" s="93">
        <f t="shared" si="408"/>
        <v>-99.193598644709638</v>
      </c>
      <c r="DJ87" s="67"/>
      <c r="DK87" s="82">
        <f t="shared" ref="DK87:DN87" si="420">-DK59*DK$76</f>
        <v>-35.397489833123025</v>
      </c>
      <c r="DL87" s="67">
        <f t="shared" si="420"/>
        <v>-35.955460181812505</v>
      </c>
      <c r="DM87" s="67">
        <f t="shared" si="420"/>
        <v>-35.348711791244419</v>
      </c>
      <c r="DN87" s="67">
        <f t="shared" si="420"/>
        <v>-34.752202279767168</v>
      </c>
      <c r="DO87" s="93">
        <f t="shared" si="413"/>
        <v>-141.45386408594712</v>
      </c>
      <c r="DP87" s="67"/>
      <c r="DQ87" s="82">
        <f t="shared" ref="DQ87:DT87" si="421">-DQ59*DQ$76</f>
        <v>-35.937316733437378</v>
      </c>
      <c r="DR87" s="67">
        <f t="shared" si="421"/>
        <v>-35.299429361418866</v>
      </c>
      <c r="DS87" s="67">
        <f t="shared" si="421"/>
        <v>-34.67286449025368</v>
      </c>
      <c r="DT87" s="67">
        <f t="shared" si="421"/>
        <v>-34.057421145551672</v>
      </c>
      <c r="DU87" s="93">
        <f t="shared" si="414"/>
        <v>-139.9670317306616</v>
      </c>
      <c r="DV87" s="67"/>
      <c r="DW87" s="82">
        <f t="shared" ref="DW87:DZ87" si="422">-DW59*DW$76</f>
        <v>-35.808740083613777</v>
      </c>
      <c r="DX87" s="67">
        <f t="shared" si="422"/>
        <v>-35.12837402202512</v>
      </c>
      <c r="DY87" s="67">
        <f t="shared" si="422"/>
        <v>-34.460934915606636</v>
      </c>
      <c r="DZ87" s="67">
        <f t="shared" si="422"/>
        <v>-33.806177152210111</v>
      </c>
      <c r="EA87" s="93">
        <f t="shared" si="411"/>
        <v>-139.20422617345565</v>
      </c>
      <c r="EB87" s="67"/>
      <c r="EC87" s="82">
        <f t="shared" ref="EC87:EF87" si="423">-EC59*EC$76</f>
        <v>-35.345692666996946</v>
      </c>
      <c r="ED87" s="67">
        <f t="shared" si="423"/>
        <v>-34.629942390490257</v>
      </c>
      <c r="EE87" s="67">
        <f t="shared" si="423"/>
        <v>-33.928686057082828</v>
      </c>
      <c r="EF87" s="67">
        <f t="shared" si="423"/>
        <v>-33.241630164426901</v>
      </c>
      <c r="EG87" s="93">
        <f t="shared" si="412"/>
        <v>-137.14595127899693</v>
      </c>
      <c r="EH87" s="61"/>
    </row>
    <row r="88" spans="1:138" ht="11.25" customHeight="1" x14ac:dyDescent="0.2">
      <c r="A88" s="51" t="s">
        <v>162</v>
      </c>
      <c r="B88" s="8"/>
      <c r="C88" s="8"/>
      <c r="D88" s="8"/>
      <c r="E88" s="93"/>
      <c r="F88" s="67"/>
      <c r="G88" s="93"/>
      <c r="H88" s="67"/>
      <c r="I88" s="93"/>
      <c r="J88" s="67"/>
      <c r="K88" s="93"/>
      <c r="L88" s="67"/>
      <c r="M88" s="82"/>
      <c r="N88" s="67"/>
      <c r="O88" s="67"/>
      <c r="P88" s="67"/>
      <c r="Q88" s="93"/>
      <c r="R88" s="67"/>
      <c r="S88" s="82"/>
      <c r="T88" s="67"/>
      <c r="U88" s="67"/>
      <c r="V88" s="67"/>
      <c r="W88" s="93"/>
      <c r="X88" s="67"/>
      <c r="Y88" s="82"/>
      <c r="Z88" s="67"/>
      <c r="AA88" s="67"/>
      <c r="AB88" s="67"/>
      <c r="AC88" s="93"/>
      <c r="AD88" s="67"/>
      <c r="AE88" s="82"/>
      <c r="AF88" s="67"/>
      <c r="AG88" s="67"/>
      <c r="AH88" s="67"/>
      <c r="AI88" s="93"/>
      <c r="AJ88" s="67"/>
      <c r="AK88" s="82"/>
      <c r="AL88" s="67"/>
      <c r="AM88" s="67"/>
      <c r="AN88" s="67"/>
      <c r="AO88" s="93"/>
      <c r="AP88" s="67"/>
      <c r="AQ88" s="82"/>
      <c r="AR88" s="67"/>
      <c r="AS88" s="67"/>
      <c r="AT88" s="67"/>
      <c r="AU88" s="93"/>
      <c r="AV88" s="67"/>
      <c r="AW88" s="82"/>
      <c r="AX88" s="67"/>
      <c r="AY88" s="67"/>
      <c r="AZ88" s="67"/>
      <c r="BA88" s="93"/>
      <c r="BB88" s="67"/>
      <c r="BC88" s="82"/>
      <c r="BD88" s="67"/>
      <c r="BE88" s="67"/>
      <c r="BF88" s="67"/>
      <c r="BG88" s="93"/>
      <c r="BH88" s="67"/>
      <c r="BI88" s="82"/>
      <c r="BJ88" s="67"/>
      <c r="BK88" s="67"/>
      <c r="BL88" s="67"/>
      <c r="BM88" s="93"/>
      <c r="BN88" s="67"/>
      <c r="BO88" s="82"/>
      <c r="BP88" s="67"/>
      <c r="BQ88" s="67"/>
      <c r="BR88" s="67"/>
      <c r="BS88" s="93"/>
      <c r="BT88" s="67"/>
      <c r="BU88" s="82"/>
      <c r="BV88" s="67"/>
      <c r="BW88" s="67"/>
      <c r="BX88" s="67"/>
      <c r="BY88" s="93"/>
      <c r="BZ88" s="67"/>
      <c r="CA88" s="82"/>
      <c r="CB88" s="67"/>
      <c r="CC88" s="67"/>
      <c r="CD88" s="67"/>
      <c r="CE88" s="93">
        <f>-CE30</f>
        <v>-987.9</v>
      </c>
      <c r="CF88" s="67"/>
      <c r="CG88" s="82"/>
      <c r="CH88" s="67"/>
      <c r="CI88" s="67"/>
      <c r="CJ88" s="67"/>
      <c r="CK88" s="93">
        <f>-CK30</f>
        <v>-952.1</v>
      </c>
      <c r="CL88" s="67"/>
      <c r="CM88" s="82"/>
      <c r="CN88" s="67"/>
      <c r="CO88" s="67"/>
      <c r="CP88" s="67"/>
      <c r="CQ88" s="93">
        <f>-CQ30</f>
        <v>-959.7</v>
      </c>
      <c r="CR88" s="67"/>
      <c r="CS88" s="82">
        <f t="shared" ref="CS88:CW89" si="424">-CS30</f>
        <v>-221.9</v>
      </c>
      <c r="CT88" s="67">
        <f t="shared" si="424"/>
        <v>-197.7</v>
      </c>
      <c r="CU88" s="67">
        <f t="shared" si="424"/>
        <v>-1023.5</v>
      </c>
      <c r="CV88" s="67">
        <f t="shared" si="424"/>
        <v>-167.6</v>
      </c>
      <c r="CW88" s="93">
        <f t="shared" si="424"/>
        <v>-1610.6999999999998</v>
      </c>
      <c r="CX88" s="67"/>
      <c r="CY88" s="82">
        <f t="shared" ref="CY88:DC89" si="425">-CY30</f>
        <v>-172.6</v>
      </c>
      <c r="CZ88" s="67">
        <f t="shared" si="425"/>
        <v>-238.7</v>
      </c>
      <c r="DA88" s="67">
        <f t="shared" si="425"/>
        <v>11</v>
      </c>
      <c r="DB88" s="67">
        <f t="shared" si="425"/>
        <v>0</v>
      </c>
      <c r="DC88" s="93">
        <f t="shared" si="425"/>
        <v>-400.29999999999995</v>
      </c>
      <c r="DD88" s="67"/>
      <c r="DE88" s="82">
        <f t="shared" ref="DE88:DI88" si="426">-DE30</f>
        <v>-22.3</v>
      </c>
      <c r="DF88" s="67">
        <f t="shared" si="426"/>
        <v>41</v>
      </c>
      <c r="DG88" s="67">
        <f t="shared" si="426"/>
        <v>0</v>
      </c>
      <c r="DH88" s="67">
        <f t="shared" si="426"/>
        <v>0</v>
      </c>
      <c r="DI88" s="93">
        <f t="shared" si="426"/>
        <v>18.7</v>
      </c>
      <c r="DJ88" s="67"/>
      <c r="DK88" s="82">
        <f t="shared" ref="DK88" si="427">-DK30</f>
        <v>0</v>
      </c>
      <c r="DL88" s="69">
        <v>0</v>
      </c>
      <c r="DM88" s="69">
        <v>0</v>
      </c>
      <c r="DN88" s="69">
        <v>0</v>
      </c>
      <c r="DO88" s="93">
        <f t="shared" si="390"/>
        <v>0</v>
      </c>
      <c r="DP88" s="67"/>
      <c r="DQ88" s="81">
        <v>0</v>
      </c>
      <c r="DR88" s="69">
        <v>0</v>
      </c>
      <c r="DS88" s="69">
        <v>0</v>
      </c>
      <c r="DT88" s="69">
        <v>0</v>
      </c>
      <c r="DU88" s="93">
        <f t="shared" si="392"/>
        <v>0</v>
      </c>
      <c r="DV88" s="67"/>
      <c r="DW88" s="81">
        <v>0</v>
      </c>
      <c r="DX88" s="69">
        <v>0</v>
      </c>
      <c r="DY88" s="69">
        <v>0</v>
      </c>
      <c r="DZ88" s="69">
        <v>0</v>
      </c>
      <c r="EA88" s="93">
        <f t="shared" ref="EA88:EA89" si="428">+SUM(DW88:DZ88)</f>
        <v>0</v>
      </c>
      <c r="EB88" s="67"/>
      <c r="EC88" s="81">
        <v>0</v>
      </c>
      <c r="ED88" s="69">
        <v>0</v>
      </c>
      <c r="EE88" s="69">
        <v>0</v>
      </c>
      <c r="EF88" s="69">
        <v>0</v>
      </c>
      <c r="EG88" s="93">
        <f t="shared" ref="EG88:EG89" si="429">+SUM(EC88:EF88)</f>
        <v>0</v>
      </c>
      <c r="EH88" s="61"/>
    </row>
    <row r="89" spans="1:138" ht="11.25" customHeight="1" x14ac:dyDescent="0.2">
      <c r="A89" s="51" t="s">
        <v>144</v>
      </c>
      <c r="B89" s="8"/>
      <c r="C89" s="8"/>
      <c r="D89" s="8"/>
      <c r="E89" s="93"/>
      <c r="F89" s="67"/>
      <c r="G89" s="93"/>
      <c r="H89" s="67"/>
      <c r="I89" s="93"/>
      <c r="J89" s="67"/>
      <c r="K89" s="93"/>
      <c r="L89" s="67"/>
      <c r="M89" s="82"/>
      <c r="N89" s="67"/>
      <c r="O89" s="67"/>
      <c r="P89" s="67"/>
      <c r="Q89" s="93"/>
      <c r="R89" s="67"/>
      <c r="S89" s="82"/>
      <c r="T89" s="67"/>
      <c r="U89" s="67"/>
      <c r="V89" s="67"/>
      <c r="W89" s="93"/>
      <c r="X89" s="67"/>
      <c r="Y89" s="82"/>
      <c r="Z89" s="67"/>
      <c r="AA89" s="67"/>
      <c r="AB89" s="67"/>
      <c r="AC89" s="93"/>
      <c r="AD89" s="67"/>
      <c r="AE89" s="82"/>
      <c r="AF89" s="67"/>
      <c r="AG89" s="67"/>
      <c r="AH89" s="67"/>
      <c r="AI89" s="93"/>
      <c r="AJ89" s="67"/>
      <c r="AK89" s="82"/>
      <c r="AL89" s="67"/>
      <c r="AM89" s="67"/>
      <c r="AN89" s="67"/>
      <c r="AO89" s="93"/>
      <c r="AP89" s="67"/>
      <c r="AQ89" s="82"/>
      <c r="AR89" s="67"/>
      <c r="AS89" s="67"/>
      <c r="AT89" s="67"/>
      <c r="AU89" s="93"/>
      <c r="AV89" s="67"/>
      <c r="AW89" s="82"/>
      <c r="AX89" s="67"/>
      <c r="AY89" s="67"/>
      <c r="AZ89" s="67"/>
      <c r="BA89" s="93"/>
      <c r="BB89" s="67"/>
      <c r="BC89" s="82"/>
      <c r="BD89" s="67"/>
      <c r="BE89" s="67"/>
      <c r="BF89" s="67"/>
      <c r="BG89" s="93"/>
      <c r="BH89" s="67"/>
      <c r="BI89" s="82"/>
      <c r="BJ89" s="67"/>
      <c r="BK89" s="67"/>
      <c r="BL89" s="67"/>
      <c r="BM89" s="93"/>
      <c r="BN89" s="67"/>
      <c r="BO89" s="82"/>
      <c r="BP89" s="67"/>
      <c r="BQ89" s="67"/>
      <c r="BR89" s="67"/>
      <c r="BS89" s="93"/>
      <c r="BT89" s="67"/>
      <c r="BU89" s="82"/>
      <c r="BV89" s="67"/>
      <c r="BW89" s="67"/>
      <c r="BX89" s="67"/>
      <c r="BY89" s="93"/>
      <c r="BZ89" s="67"/>
      <c r="CA89" s="82"/>
      <c r="CB89" s="67"/>
      <c r="CC89" s="67"/>
      <c r="CD89" s="67"/>
      <c r="CE89" s="93">
        <f t="shared" ref="CE89" si="430">-CE31</f>
        <v>0</v>
      </c>
      <c r="CF89" s="67"/>
      <c r="CG89" s="82"/>
      <c r="CH89" s="67"/>
      <c r="CI89" s="67"/>
      <c r="CJ89" s="67"/>
      <c r="CK89" s="93">
        <f t="shared" ref="CK89" si="431">-CK31</f>
        <v>0</v>
      </c>
      <c r="CL89" s="67"/>
      <c r="CM89" s="82"/>
      <c r="CN89" s="67"/>
      <c r="CO89" s="67"/>
      <c r="CP89" s="67"/>
      <c r="CQ89" s="93">
        <f t="shared" ref="CQ89" si="432">-CQ31</f>
        <v>0</v>
      </c>
      <c r="CR89" s="67"/>
      <c r="CS89" s="82">
        <f t="shared" si="424"/>
        <v>0</v>
      </c>
      <c r="CT89" s="67">
        <f t="shared" si="424"/>
        <v>0</v>
      </c>
      <c r="CU89" s="67">
        <f t="shared" si="424"/>
        <v>0</v>
      </c>
      <c r="CV89" s="67">
        <f t="shared" si="424"/>
        <v>0</v>
      </c>
      <c r="CW89" s="93">
        <f t="shared" si="424"/>
        <v>0</v>
      </c>
      <c r="CX89" s="67"/>
      <c r="CY89" s="82">
        <f t="shared" si="425"/>
        <v>0</v>
      </c>
      <c r="CZ89" s="67">
        <f t="shared" si="425"/>
        <v>0</v>
      </c>
      <c r="DA89" s="67">
        <f t="shared" si="425"/>
        <v>0</v>
      </c>
      <c r="DB89" s="67">
        <f t="shared" si="425"/>
        <v>0</v>
      </c>
      <c r="DC89" s="93">
        <f t="shared" si="425"/>
        <v>0</v>
      </c>
      <c r="DD89" s="67"/>
      <c r="DE89" s="82">
        <f t="shared" ref="DE89:DI89" si="433">-DE31</f>
        <v>0</v>
      </c>
      <c r="DF89" s="67">
        <f t="shared" si="433"/>
        <v>0</v>
      </c>
      <c r="DG89" s="67">
        <f t="shared" si="433"/>
        <v>0</v>
      </c>
      <c r="DH89" s="67">
        <f t="shared" si="433"/>
        <v>0</v>
      </c>
      <c r="DI89" s="93">
        <f t="shared" si="433"/>
        <v>0</v>
      </c>
      <c r="DJ89" s="67"/>
      <c r="DK89" s="82">
        <f t="shared" ref="DK89" si="434">-DK31</f>
        <v>0</v>
      </c>
      <c r="DL89" s="69">
        <v>0</v>
      </c>
      <c r="DM89" s="69">
        <v>0</v>
      </c>
      <c r="DN89" s="69">
        <v>0</v>
      </c>
      <c r="DO89" s="93">
        <f t="shared" si="390"/>
        <v>0</v>
      </c>
      <c r="DP89" s="67"/>
      <c r="DQ89" s="81">
        <v>0</v>
      </c>
      <c r="DR89" s="69">
        <v>0</v>
      </c>
      <c r="DS89" s="69">
        <v>0</v>
      </c>
      <c r="DT89" s="69">
        <v>0</v>
      </c>
      <c r="DU89" s="93">
        <f t="shared" si="392"/>
        <v>0</v>
      </c>
      <c r="DV89" s="67"/>
      <c r="DW89" s="81">
        <v>0</v>
      </c>
      <c r="DX89" s="69">
        <v>0</v>
      </c>
      <c r="DY89" s="69">
        <v>0</v>
      </c>
      <c r="DZ89" s="69">
        <v>0</v>
      </c>
      <c r="EA89" s="93">
        <f t="shared" si="428"/>
        <v>0</v>
      </c>
      <c r="EB89" s="67"/>
      <c r="EC89" s="81">
        <v>0</v>
      </c>
      <c r="ED89" s="69">
        <v>0</v>
      </c>
      <c r="EE89" s="69">
        <v>0</v>
      </c>
      <c r="EF89" s="69">
        <v>0</v>
      </c>
      <c r="EG89" s="93">
        <f t="shared" si="429"/>
        <v>0</v>
      </c>
      <c r="EH89" s="61"/>
    </row>
    <row r="90" spans="1:138" ht="11.25" customHeight="1" x14ac:dyDescent="0.2">
      <c r="A90" s="409" t="s">
        <v>242</v>
      </c>
      <c r="B90" s="8"/>
      <c r="C90" s="8"/>
      <c r="D90" s="8"/>
      <c r="E90" s="196"/>
      <c r="F90" s="67"/>
      <c r="G90" s="196"/>
      <c r="H90" s="67"/>
      <c r="I90" s="196"/>
      <c r="J90" s="67"/>
      <c r="K90" s="196"/>
      <c r="L90" s="67"/>
      <c r="M90" s="197"/>
      <c r="N90" s="87"/>
      <c r="O90" s="87"/>
      <c r="P90" s="87"/>
      <c r="Q90" s="196"/>
      <c r="R90" s="67"/>
      <c r="S90" s="197"/>
      <c r="T90" s="87"/>
      <c r="U90" s="87"/>
      <c r="V90" s="87"/>
      <c r="W90" s="196"/>
      <c r="X90" s="67"/>
      <c r="Y90" s="197"/>
      <c r="Z90" s="87"/>
      <c r="AA90" s="87"/>
      <c r="AB90" s="87"/>
      <c r="AC90" s="196"/>
      <c r="AD90" s="67"/>
      <c r="AE90" s="197"/>
      <c r="AF90" s="87"/>
      <c r="AG90" s="87"/>
      <c r="AH90" s="87"/>
      <c r="AI90" s="196"/>
      <c r="AJ90" s="67"/>
      <c r="AK90" s="197"/>
      <c r="AL90" s="87"/>
      <c r="AM90" s="87"/>
      <c r="AN90" s="87"/>
      <c r="AO90" s="196"/>
      <c r="AP90" s="67"/>
      <c r="AQ90" s="197"/>
      <c r="AR90" s="87"/>
      <c r="AS90" s="87"/>
      <c r="AT90" s="87"/>
      <c r="AU90" s="196"/>
      <c r="AV90" s="67"/>
      <c r="AW90" s="197"/>
      <c r="AX90" s="87"/>
      <c r="AY90" s="87"/>
      <c r="AZ90" s="87"/>
      <c r="BA90" s="196"/>
      <c r="BB90" s="67"/>
      <c r="BC90" s="197"/>
      <c r="BD90" s="87"/>
      <c r="BE90" s="87"/>
      <c r="BF90" s="87"/>
      <c r="BG90" s="196"/>
      <c r="BH90" s="67"/>
      <c r="BI90" s="197"/>
      <c r="BJ90" s="87"/>
      <c r="BK90" s="87"/>
      <c r="BL90" s="87"/>
      <c r="BM90" s="196"/>
      <c r="BN90" s="67"/>
      <c r="BO90" s="197"/>
      <c r="BP90" s="87"/>
      <c r="BQ90" s="87"/>
      <c r="BR90" s="87"/>
      <c r="BS90" s="196"/>
      <c r="BT90" s="67"/>
      <c r="BU90" s="197"/>
      <c r="BV90" s="87"/>
      <c r="BW90" s="87"/>
      <c r="BX90" s="87"/>
      <c r="BY90" s="196"/>
      <c r="BZ90" s="67"/>
      <c r="CA90" s="197"/>
      <c r="CB90" s="87"/>
      <c r="CC90" s="87"/>
      <c r="CD90" s="87"/>
      <c r="CE90" s="405">
        <f>+SUM(CE75:CE89)</f>
        <v>1527.7999999999997</v>
      </c>
      <c r="CF90" s="67"/>
      <c r="CG90" s="197"/>
      <c r="CH90" s="87"/>
      <c r="CI90" s="87"/>
      <c r="CJ90" s="87"/>
      <c r="CK90" s="405">
        <f>+SUM(CK75:CK89)</f>
        <v>1668.75</v>
      </c>
      <c r="CL90" s="67"/>
      <c r="CM90" s="197"/>
      <c r="CN90" s="87"/>
      <c r="CO90" s="87"/>
      <c r="CP90" s="87"/>
      <c r="CQ90" s="405">
        <f>+SUM(CQ75:CQ89)</f>
        <v>1903.4849999999999</v>
      </c>
      <c r="CR90" s="67"/>
      <c r="CS90" s="402">
        <f t="shared" ref="CS90:CW90" si="435">+SUM(CS75:CS89)</f>
        <v>431.6640000000001</v>
      </c>
      <c r="CT90" s="403">
        <f t="shared" si="435"/>
        <v>546.20800000000008</v>
      </c>
      <c r="CU90" s="403">
        <f t="shared" si="435"/>
        <v>501.56500000000005</v>
      </c>
      <c r="CV90" s="403">
        <f t="shared" si="435"/>
        <v>628.60299999999995</v>
      </c>
      <c r="CW90" s="405">
        <f t="shared" si="435"/>
        <v>2108.04</v>
      </c>
      <c r="CX90" s="67"/>
      <c r="CY90" s="402">
        <f t="shared" ref="CY90:DE90" si="436">+SUM(CY75:CY89)</f>
        <v>551.34</v>
      </c>
      <c r="CZ90" s="403">
        <f t="shared" si="436"/>
        <v>626.25500000000011</v>
      </c>
      <c r="DA90" s="403">
        <f t="shared" si="436"/>
        <v>608.61799999999994</v>
      </c>
      <c r="DB90" s="403">
        <f t="shared" si="436"/>
        <v>734.32899999999995</v>
      </c>
      <c r="DC90" s="405">
        <f t="shared" si="436"/>
        <v>2520.5419999999995</v>
      </c>
      <c r="DD90" s="67"/>
      <c r="DE90" s="402">
        <f t="shared" si="436"/>
        <v>599.01900000000012</v>
      </c>
      <c r="DF90" s="403">
        <f t="shared" ref="DF90:DI90" si="437">+SUM(DF75:DF89)</f>
        <v>699.65699999999993</v>
      </c>
      <c r="DG90" s="403">
        <f t="shared" si="437"/>
        <v>702.54318991504522</v>
      </c>
      <c r="DH90" s="403">
        <f t="shared" si="437"/>
        <v>843.8872114402451</v>
      </c>
      <c r="DI90" s="405">
        <f t="shared" si="437"/>
        <v>2845.10640135529</v>
      </c>
      <c r="DJ90" s="67"/>
      <c r="DK90" s="402">
        <f t="shared" ref="DK90" si="438">+SUM(DK75:DK89)</f>
        <v>703.50251016687707</v>
      </c>
      <c r="DL90" s="403">
        <f>+DL34</f>
        <v>785.84995961722689</v>
      </c>
      <c r="DM90" s="403">
        <f>+DM34</f>
        <v>779.04258590993334</v>
      </c>
      <c r="DN90" s="403">
        <f>+DN34</f>
        <v>972.95499237565093</v>
      </c>
      <c r="DO90" s="405">
        <f>+DO34</f>
        <v>3241.3500480696871</v>
      </c>
      <c r="DP90" s="67"/>
      <c r="DQ90" s="402">
        <f>+DQ34</f>
        <v>783.15496950501642</v>
      </c>
      <c r="DR90" s="403">
        <f>+DR34</f>
        <v>867.4131136204569</v>
      </c>
      <c r="DS90" s="403">
        <f>+DS34</f>
        <v>849.22177207735433</v>
      </c>
      <c r="DT90" s="403">
        <f>+DT34</f>
        <v>1049.0615071626285</v>
      </c>
      <c r="DU90" s="405">
        <f>+DU34</f>
        <v>3548.8513623654562</v>
      </c>
      <c r="DV90" s="67"/>
      <c r="DW90" s="402">
        <f t="shared" ref="DW90:EA90" si="439">+DW34</f>
        <v>861.1628129536399</v>
      </c>
      <c r="DX90" s="403">
        <f t="shared" si="439"/>
        <v>948.38418967044288</v>
      </c>
      <c r="DY90" s="403">
        <f t="shared" si="439"/>
        <v>929.01523913469509</v>
      </c>
      <c r="DZ90" s="403">
        <f t="shared" si="439"/>
        <v>1283.4539205159699</v>
      </c>
      <c r="EA90" s="405">
        <f t="shared" si="439"/>
        <v>4022.0161622747473</v>
      </c>
      <c r="EB90" s="67"/>
      <c r="EC90" s="402">
        <f t="shared" ref="EC90:EG90" si="440">+EC34</f>
        <v>1102.8842784999376</v>
      </c>
      <c r="ED90" s="403">
        <f t="shared" si="440"/>
        <v>1210.8583255728888</v>
      </c>
      <c r="EE90" s="403">
        <f t="shared" si="440"/>
        <v>1210.4662109747919</v>
      </c>
      <c r="EF90" s="403">
        <f t="shared" si="440"/>
        <v>1433.1044117283325</v>
      </c>
      <c r="EG90" s="405">
        <f t="shared" si="440"/>
        <v>4957.3132267759502</v>
      </c>
      <c r="EH90" s="61"/>
    </row>
    <row r="91" spans="1:138" ht="11.25" customHeight="1" x14ac:dyDescent="0.2">
      <c r="A91" s="173"/>
      <c r="B91" s="8"/>
      <c r="C91" s="8"/>
      <c r="D91" s="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38"/>
      <c r="AG91" s="338"/>
      <c r="AH91" s="338"/>
      <c r="AI91" s="338"/>
      <c r="AJ91" s="338"/>
      <c r="AK91" s="338"/>
      <c r="AL91" s="338"/>
      <c r="AM91" s="338"/>
      <c r="AN91" s="338"/>
      <c r="AO91" s="338"/>
      <c r="AP91" s="338"/>
      <c r="AQ91" s="338"/>
      <c r="AR91" s="338"/>
      <c r="AS91" s="338"/>
      <c r="AT91" s="338"/>
      <c r="AU91" s="338"/>
      <c r="AV91" s="338"/>
      <c r="AW91" s="338"/>
      <c r="AX91" s="338"/>
      <c r="AY91" s="338"/>
      <c r="AZ91" s="338"/>
      <c r="BA91" s="338"/>
      <c r="BB91" s="338"/>
      <c r="BC91" s="338"/>
      <c r="BD91" s="338"/>
      <c r="BE91" s="338"/>
      <c r="BF91" s="338"/>
      <c r="BG91" s="338"/>
      <c r="BH91" s="338"/>
      <c r="BI91" s="338"/>
      <c r="BJ91" s="338"/>
      <c r="BK91" s="338"/>
      <c r="BL91" s="338"/>
      <c r="BM91" s="338"/>
      <c r="BN91" s="338"/>
      <c r="BO91" s="338"/>
      <c r="BP91" s="338"/>
      <c r="BQ91" s="338"/>
      <c r="BR91" s="338"/>
      <c r="BS91" s="338"/>
      <c r="BT91" s="338"/>
      <c r="BU91" s="338"/>
      <c r="BV91" s="338"/>
      <c r="BW91" s="338"/>
      <c r="BX91" s="338"/>
      <c r="BY91" s="338"/>
      <c r="BZ91" s="338"/>
      <c r="CA91" s="338"/>
      <c r="CB91" s="338"/>
      <c r="CC91" s="338"/>
      <c r="CD91" s="338"/>
      <c r="CE91" s="338">
        <f>+CE34-CE90</f>
        <v>0</v>
      </c>
      <c r="CF91" s="338"/>
      <c r="CG91" s="338"/>
      <c r="CH91" s="338"/>
      <c r="CI91" s="338"/>
      <c r="CJ91" s="338"/>
      <c r="CK91" s="338">
        <f>+CK34-CK90</f>
        <v>1.3164482734282501E-3</v>
      </c>
      <c r="CL91" s="338"/>
      <c r="CM91" s="338"/>
      <c r="CN91" s="338"/>
      <c r="CO91" s="338"/>
      <c r="CP91" s="338"/>
      <c r="CQ91" s="338">
        <f>+CQ34-CQ90</f>
        <v>0</v>
      </c>
      <c r="CR91" s="338"/>
      <c r="CS91" s="338">
        <f>+CS34-CS90</f>
        <v>0</v>
      </c>
      <c r="CT91" s="338">
        <f>+CT34-CT90</f>
        <v>0</v>
      </c>
      <c r="CU91" s="338">
        <f>+CU34-CU90</f>
        <v>-4.5474735088646412E-13</v>
      </c>
      <c r="CV91" s="338">
        <f>+CV34-CV90</f>
        <v>0</v>
      </c>
      <c r="CW91" s="338">
        <f>+CW34-CW90</f>
        <v>0</v>
      </c>
      <c r="CX91" s="338"/>
      <c r="CY91" s="338">
        <f>+CY34-CY90</f>
        <v>0</v>
      </c>
      <c r="CZ91" s="338">
        <f>+CZ34-CZ90</f>
        <v>0</v>
      </c>
      <c r="DA91" s="338">
        <f>+DA34-DA90</f>
        <v>0</v>
      </c>
      <c r="DB91" s="338">
        <f>+DB34-DB90</f>
        <v>0</v>
      </c>
      <c r="DC91" s="338">
        <f>+DC34-DC90</f>
        <v>0</v>
      </c>
      <c r="DD91" s="338"/>
      <c r="DE91" s="338">
        <f>+DE34-DE90</f>
        <v>0</v>
      </c>
      <c r="DF91" s="338">
        <f>+DF34-DF90</f>
        <v>0</v>
      </c>
      <c r="DG91" s="338">
        <f>+DG34-DG90</f>
        <v>0</v>
      </c>
      <c r="DH91" s="338">
        <f>+DH34-DH90</f>
        <v>0</v>
      </c>
      <c r="DI91" s="338">
        <f>+DI34-DI90</f>
        <v>0</v>
      </c>
      <c r="DJ91" s="67"/>
      <c r="DK91" s="338">
        <f>+DK34-DK90</f>
        <v>-9.0949470177292824E-13</v>
      </c>
      <c r="DL91" s="338">
        <f>+DL34-DL90</f>
        <v>0</v>
      </c>
      <c r="DM91" s="338">
        <f>+DM34-DM90</f>
        <v>0</v>
      </c>
      <c r="DN91" s="338">
        <f>+DN34-DN90</f>
        <v>0</v>
      </c>
      <c r="DO91" s="338">
        <f>+DO34-DO90</f>
        <v>0</v>
      </c>
      <c r="DP91" s="67"/>
      <c r="DQ91" s="338">
        <f>+DQ34-DQ90</f>
        <v>0</v>
      </c>
      <c r="DR91" s="338">
        <f>+DR34-DR90</f>
        <v>0</v>
      </c>
      <c r="DS91" s="338">
        <f>+DS34-DS90</f>
        <v>0</v>
      </c>
      <c r="DT91" s="338">
        <f>+DT34-DT90</f>
        <v>0</v>
      </c>
      <c r="DU91" s="338">
        <f>+DU34-DU90</f>
        <v>0</v>
      </c>
      <c r="DV91" s="67"/>
      <c r="DW91" s="338">
        <f t="shared" ref="DW91:EA91" si="441">+DW34-DW90</f>
        <v>0</v>
      </c>
      <c r="DX91" s="338">
        <f t="shared" si="441"/>
        <v>0</v>
      </c>
      <c r="DY91" s="338">
        <f t="shared" si="441"/>
        <v>0</v>
      </c>
      <c r="DZ91" s="338">
        <f t="shared" si="441"/>
        <v>0</v>
      </c>
      <c r="EA91" s="338">
        <f t="shared" si="441"/>
        <v>0</v>
      </c>
      <c r="EB91" s="67"/>
      <c r="EC91" s="338">
        <f t="shared" ref="EC91:EG91" si="442">+EC34-EC90</f>
        <v>0</v>
      </c>
      <c r="ED91" s="338">
        <f t="shared" si="442"/>
        <v>0</v>
      </c>
      <c r="EE91" s="338">
        <f t="shared" si="442"/>
        <v>0</v>
      </c>
      <c r="EF91" s="338">
        <f t="shared" si="442"/>
        <v>0</v>
      </c>
      <c r="EG91" s="338">
        <f t="shared" si="442"/>
        <v>0</v>
      </c>
      <c r="EH91" s="61"/>
    </row>
    <row r="92" spans="1:138" ht="11.25" customHeight="1" x14ac:dyDescent="0.2">
      <c r="A92" s="106" t="s">
        <v>291</v>
      </c>
      <c r="B92" s="74"/>
      <c r="C92" s="74"/>
      <c r="D92" s="74"/>
      <c r="E92" s="107"/>
      <c r="F92" s="75"/>
      <c r="G92" s="107"/>
      <c r="H92" s="75"/>
      <c r="I92" s="107"/>
      <c r="J92" s="75"/>
      <c r="K92" s="107"/>
      <c r="L92" s="75"/>
      <c r="M92" s="109"/>
      <c r="N92" s="110"/>
      <c r="O92" s="110"/>
      <c r="P92" s="110"/>
      <c r="Q92" s="107"/>
      <c r="R92" s="75"/>
      <c r="S92" s="109"/>
      <c r="T92" s="110"/>
      <c r="U92" s="110"/>
      <c r="V92" s="110"/>
      <c r="W92" s="107"/>
      <c r="X92" s="75"/>
      <c r="Y92" s="109"/>
      <c r="Z92" s="110"/>
      <c r="AA92" s="110"/>
      <c r="AB92" s="110"/>
      <c r="AC92" s="107"/>
      <c r="AD92" s="75"/>
      <c r="AE92" s="109"/>
      <c r="AF92" s="110"/>
      <c r="AG92" s="110"/>
      <c r="AH92" s="110"/>
      <c r="AI92" s="107"/>
      <c r="AJ92" s="75"/>
      <c r="AK92" s="109"/>
      <c r="AL92" s="110"/>
      <c r="AM92" s="110"/>
      <c r="AN92" s="110"/>
      <c r="AO92" s="107"/>
      <c r="AP92" s="75"/>
      <c r="AQ92" s="109"/>
      <c r="AR92" s="110"/>
      <c r="AS92" s="110"/>
      <c r="AT92" s="110"/>
      <c r="AU92" s="107"/>
      <c r="AV92" s="75"/>
      <c r="AW92" s="109"/>
      <c r="AX92" s="110"/>
      <c r="AY92" s="110"/>
      <c r="AZ92" s="110"/>
      <c r="BA92" s="107"/>
      <c r="BB92" s="75"/>
      <c r="BC92" s="109"/>
      <c r="BD92" s="110"/>
      <c r="BE92" s="110"/>
      <c r="BF92" s="110"/>
      <c r="BG92" s="107"/>
      <c r="BH92" s="75"/>
      <c r="BI92" s="109"/>
      <c r="BJ92" s="110"/>
      <c r="BK92" s="110"/>
      <c r="BL92" s="110"/>
      <c r="BM92" s="107"/>
      <c r="BN92" s="75"/>
      <c r="BO92" s="109"/>
      <c r="BP92" s="110"/>
      <c r="BQ92" s="110"/>
      <c r="BR92" s="110"/>
      <c r="BS92" s="107"/>
      <c r="BT92" s="75"/>
      <c r="BU92" s="109"/>
      <c r="BV92" s="110"/>
      <c r="BW92" s="110"/>
      <c r="BX92" s="110"/>
      <c r="BY92" s="107"/>
      <c r="BZ92" s="75"/>
      <c r="CA92" s="109"/>
      <c r="CB92" s="110"/>
      <c r="CC92" s="110"/>
      <c r="CD92" s="110"/>
      <c r="CE92" s="107"/>
      <c r="CF92" s="75"/>
      <c r="CG92" s="109"/>
      <c r="CH92" s="110"/>
      <c r="CI92" s="110"/>
      <c r="CJ92" s="110"/>
      <c r="CK92" s="107"/>
      <c r="CL92" s="75"/>
      <c r="CM92" s="109"/>
      <c r="CN92" s="110"/>
      <c r="CO92" s="110"/>
      <c r="CP92" s="110"/>
      <c r="CQ92" s="107"/>
      <c r="CR92" s="75"/>
      <c r="CS92" s="109"/>
      <c r="CT92" s="110"/>
      <c r="CU92" s="110"/>
      <c r="CV92" s="110"/>
      <c r="CW92" s="107"/>
      <c r="CX92" s="75"/>
      <c r="CY92" s="109"/>
      <c r="CZ92" s="110"/>
      <c r="DA92" s="110"/>
      <c r="DB92" s="110"/>
      <c r="DC92" s="107"/>
      <c r="DD92" s="75"/>
      <c r="DE92" s="109"/>
      <c r="DF92" s="110"/>
      <c r="DG92" s="110"/>
      <c r="DH92" s="110"/>
      <c r="DI92" s="107"/>
      <c r="DJ92" s="75"/>
      <c r="DK92" s="109"/>
      <c r="DL92" s="110"/>
      <c r="DM92" s="110"/>
      <c r="DN92" s="110"/>
      <c r="DO92" s="107"/>
      <c r="DP92" s="75"/>
      <c r="DQ92" s="109"/>
      <c r="DR92" s="110"/>
      <c r="DS92" s="110"/>
      <c r="DT92" s="110"/>
      <c r="DU92" s="107"/>
      <c r="DV92" s="75"/>
      <c r="DW92" s="109"/>
      <c r="DX92" s="110"/>
      <c r="DY92" s="110"/>
      <c r="DZ92" s="110"/>
      <c r="EA92" s="107"/>
      <c r="EB92" s="75"/>
      <c r="EC92" s="109"/>
      <c r="ED92" s="110"/>
      <c r="EE92" s="110"/>
      <c r="EF92" s="110"/>
      <c r="EG92" s="107"/>
      <c r="EH92" s="61"/>
    </row>
    <row r="93" spans="1:138" ht="11.25" customHeight="1" x14ac:dyDescent="0.2">
      <c r="A93" s="340" t="s">
        <v>436</v>
      </c>
      <c r="E93" s="141"/>
      <c r="F93" s="67"/>
      <c r="G93" s="141"/>
      <c r="H93" s="67"/>
      <c r="I93" s="141"/>
      <c r="J93" s="67"/>
      <c r="K93" s="141"/>
      <c r="L93" s="67"/>
      <c r="M93" s="418"/>
      <c r="N93" s="138"/>
      <c r="O93" s="138"/>
      <c r="P93" s="138"/>
      <c r="Q93" s="141"/>
      <c r="R93" s="67"/>
      <c r="S93" s="418"/>
      <c r="T93" s="138"/>
      <c r="U93" s="138"/>
      <c r="V93" s="138"/>
      <c r="W93" s="141"/>
      <c r="X93" s="67"/>
      <c r="Y93" s="418"/>
      <c r="Z93" s="138"/>
      <c r="AA93" s="138"/>
      <c r="AB93" s="138"/>
      <c r="AC93" s="141"/>
      <c r="AD93" s="67"/>
      <c r="AE93" s="418"/>
      <c r="AF93" s="138"/>
      <c r="AG93" s="138"/>
      <c r="AH93" s="138"/>
      <c r="AI93" s="141"/>
      <c r="AJ93" s="67"/>
      <c r="AK93" s="418"/>
      <c r="AL93" s="138"/>
      <c r="AM93" s="138"/>
      <c r="AN93" s="138"/>
      <c r="AO93" s="141"/>
      <c r="AP93" s="67"/>
      <c r="AQ93" s="418"/>
      <c r="AR93" s="138"/>
      <c r="AS93" s="138"/>
      <c r="AT93" s="138"/>
      <c r="AU93" s="141"/>
      <c r="AV93" s="67"/>
      <c r="AW93" s="418"/>
      <c r="AX93" s="138"/>
      <c r="AY93" s="138"/>
      <c r="AZ93" s="138"/>
      <c r="BA93" s="141"/>
      <c r="BB93" s="67"/>
      <c r="BC93" s="418"/>
      <c r="BD93" s="138"/>
      <c r="BE93" s="138"/>
      <c r="BF93" s="138"/>
      <c r="BG93" s="141"/>
      <c r="BH93" s="67"/>
      <c r="BI93" s="418"/>
      <c r="BJ93" s="138"/>
      <c r="BK93" s="138"/>
      <c r="BL93" s="138"/>
      <c r="BM93" s="141"/>
      <c r="BN93" s="67"/>
      <c r="BO93" s="418"/>
      <c r="BP93" s="138"/>
      <c r="BQ93" s="138"/>
      <c r="BR93" s="138"/>
      <c r="BS93" s="141"/>
      <c r="BT93" s="67"/>
      <c r="BU93" s="418"/>
      <c r="BV93" s="138"/>
      <c r="BW93" s="138"/>
      <c r="BX93" s="138"/>
      <c r="BY93" s="141"/>
      <c r="BZ93" s="67"/>
      <c r="CA93" s="418"/>
      <c r="CB93" s="138"/>
      <c r="CC93" s="138"/>
      <c r="CD93" s="138"/>
      <c r="CE93" s="141"/>
      <c r="CF93" s="67"/>
      <c r="CG93" s="418"/>
      <c r="CH93" s="138"/>
      <c r="CI93" s="138"/>
      <c r="CJ93" s="138"/>
      <c r="CK93" s="141"/>
      <c r="CL93" s="67"/>
      <c r="CM93" s="418">
        <f>CM12-SUM(CM77:CM78)</f>
        <v>1425.4296389793244</v>
      </c>
      <c r="CN93" s="138">
        <f>CN12-SUM(CN77:CN78)</f>
        <v>1471.1312809252543</v>
      </c>
      <c r="CO93" s="138">
        <f>CO12-SUM(CO77:CO78)</f>
        <v>1448.7253498846574</v>
      </c>
      <c r="CP93" s="138">
        <f>CP12-SUM(CP77:CP78)</f>
        <v>1664.3660860743471</v>
      </c>
      <c r="CQ93" s="141">
        <f>+SUM(CM93:CP93)</f>
        <v>6009.6523558635836</v>
      </c>
      <c r="CR93" s="67"/>
      <c r="CS93" s="418">
        <f>CS12-SUM(CS77:CS78)</f>
        <v>1430.6</v>
      </c>
      <c r="CT93" s="138">
        <f>CT12-SUM(CT77:CT78)</f>
        <v>1527.4</v>
      </c>
      <c r="CU93" s="138">
        <f>CU12-SUM(CU77:CU78)</f>
        <v>1550.8</v>
      </c>
      <c r="CV93" s="138">
        <f>CV12-SUM(CV77:CV78)</f>
        <v>2005.8000000000002</v>
      </c>
      <c r="CW93" s="141">
        <f>+SUM(CS93:CV93)</f>
        <v>6514.6</v>
      </c>
      <c r="CX93" s="67"/>
      <c r="CY93" s="418">
        <f>CY12-SUM(CY77:CY78)</f>
        <v>1756.8</v>
      </c>
      <c r="CZ93" s="138">
        <f>CZ12-SUM(CZ77:CZ78)</f>
        <v>1761.6</v>
      </c>
      <c r="DA93" s="138">
        <f>DA12-SUM(DA77:DA78)</f>
        <v>1864.1</v>
      </c>
      <c r="DB93" s="138">
        <f>DB12-SUM(DB77:DB78)</f>
        <v>2000.3000000000002</v>
      </c>
      <c r="DC93" s="141">
        <f>+SUM(CY93:DB93)</f>
        <v>7382.8</v>
      </c>
      <c r="DD93" s="67"/>
      <c r="DE93" s="418">
        <f>DE12-SUM(DE77:DE78)</f>
        <v>1871.4</v>
      </c>
      <c r="DF93" s="138">
        <f>DF12-SUM(DF77:DF78)</f>
        <v>2006.8</v>
      </c>
      <c r="DG93" s="138">
        <f>DG12-SUM(DG77:DG78)</f>
        <v>1991.4</v>
      </c>
      <c r="DH93" s="138">
        <f>DH12-SUM(DH77:DH78)</f>
        <v>2257.6</v>
      </c>
      <c r="DI93" s="141">
        <f t="shared" ref="DI93:DI96" si="443">+SUM(DE93:DH93)</f>
        <v>8127.2000000000007</v>
      </c>
      <c r="DJ93" s="67"/>
      <c r="DK93" s="418">
        <f>DK12-SUM(DK77:DK78)</f>
        <v>2051.8000000000002</v>
      </c>
      <c r="DL93" s="138">
        <f>DL12-SUM(DL77:DL78)</f>
        <v>2186.021837535719</v>
      </c>
      <c r="DM93" s="138">
        <f>DM12-SUM(DM77:DM78)</f>
        <v>2126.4268297508424</v>
      </c>
      <c r="DN93" s="138">
        <f>DN12-SUM(DN77:DN78)</f>
        <v>2340.8363348983999</v>
      </c>
      <c r="DO93" s="141">
        <f t="shared" ref="DO93:DO96" si="444">+SUM(DK93:DN93)</f>
        <v>8705.0850021849619</v>
      </c>
      <c r="DP93" s="67"/>
      <c r="DQ93" s="418">
        <f>DQ12-SUM(DQ77:DQ78)</f>
        <v>2110.9075869921512</v>
      </c>
      <c r="DR93" s="138">
        <f>DR12-SUM(DR77:DR78)</f>
        <v>2260.6462968641231</v>
      </c>
      <c r="DS93" s="138">
        <f>DS12-SUM(DS77:DS78)</f>
        <v>2186.4608237242223</v>
      </c>
      <c r="DT93" s="138">
        <f>DT12-SUM(DT77:DT78)</f>
        <v>2413.9251342076445</v>
      </c>
      <c r="DU93" s="141">
        <f t="shared" ref="DU93:DU96" si="445">+SUM(DQ93:DT93)</f>
        <v>8971.9398417881403</v>
      </c>
      <c r="DV93" s="67"/>
      <c r="DW93" s="418">
        <f t="shared" ref="DW93:DZ93" si="446">DW12-SUM(DW77:DW78)</f>
        <v>2170.5991583778869</v>
      </c>
      <c r="DX93" s="138">
        <f t="shared" si="446"/>
        <v>2329.0189793180034</v>
      </c>
      <c r="DY93" s="138">
        <f t="shared" si="446"/>
        <v>2251.804521665762</v>
      </c>
      <c r="DZ93" s="138">
        <f t="shared" si="446"/>
        <v>2493.717477157239</v>
      </c>
      <c r="EA93" s="141">
        <f t="shared" ref="EA93:EA96" si="447">+SUM(DW93:DZ93)</f>
        <v>9245.1401365188904</v>
      </c>
      <c r="EB93" s="67"/>
      <c r="EC93" s="418">
        <f t="shared" ref="EC93:EF93" si="448">EC12-SUM(EC77:EC78)</f>
        <v>2239.4199599880922</v>
      </c>
      <c r="ED93" s="138">
        <f t="shared" si="448"/>
        <v>2406.9011877888638</v>
      </c>
      <c r="EE93" s="138">
        <f t="shared" si="448"/>
        <v>2326.5870775707908</v>
      </c>
      <c r="EF93" s="138">
        <f t="shared" si="448"/>
        <v>2589.7325785354597</v>
      </c>
      <c r="EG93" s="141">
        <f t="shared" ref="EG93:EG96" si="449">+SUM(EC93:EF93)</f>
        <v>9562.6408038832069</v>
      </c>
      <c r="EH93" s="61"/>
    </row>
    <row r="94" spans="1:138" ht="11.25" customHeight="1" x14ac:dyDescent="0.2">
      <c r="A94" s="153" t="s">
        <v>437</v>
      </c>
      <c r="E94" s="93"/>
      <c r="F94" s="67"/>
      <c r="G94" s="93"/>
      <c r="H94" s="67"/>
      <c r="I94" s="93"/>
      <c r="J94" s="67"/>
      <c r="K94" s="93"/>
      <c r="L94" s="67"/>
      <c r="M94" s="82"/>
      <c r="N94" s="67"/>
      <c r="O94" s="67"/>
      <c r="P94" s="67"/>
      <c r="Q94" s="93"/>
      <c r="R94" s="67"/>
      <c r="S94" s="82"/>
      <c r="T94" s="67"/>
      <c r="U94" s="67"/>
      <c r="V94" s="67"/>
      <c r="W94" s="93"/>
      <c r="X94" s="67"/>
      <c r="Y94" s="82"/>
      <c r="Z94" s="67"/>
      <c r="AA94" s="67"/>
      <c r="AB94" s="67"/>
      <c r="AC94" s="93"/>
      <c r="AD94" s="67"/>
      <c r="AE94" s="82"/>
      <c r="AF94" s="67"/>
      <c r="AG94" s="67"/>
      <c r="AH94" s="67"/>
      <c r="AI94" s="93"/>
      <c r="AJ94" s="67"/>
      <c r="AK94" s="82"/>
      <c r="AL94" s="67"/>
      <c r="AM94" s="67"/>
      <c r="AN94" s="67"/>
      <c r="AO94" s="93"/>
      <c r="AP94" s="67"/>
      <c r="AQ94" s="82"/>
      <c r="AR94" s="67"/>
      <c r="AS94" s="67"/>
      <c r="AT94" s="67"/>
      <c r="AU94" s="93"/>
      <c r="AV94" s="67"/>
      <c r="AW94" s="82"/>
      <c r="AX94" s="67"/>
      <c r="AY94" s="67"/>
      <c r="AZ94" s="67"/>
      <c r="BA94" s="93"/>
      <c r="BB94" s="67"/>
      <c r="BC94" s="82"/>
      <c r="BD94" s="67"/>
      <c r="BE94" s="67"/>
      <c r="BF94" s="67"/>
      <c r="BG94" s="93"/>
      <c r="BH94" s="67"/>
      <c r="BI94" s="82"/>
      <c r="BJ94" s="67"/>
      <c r="BK94" s="67"/>
      <c r="BL94" s="67"/>
      <c r="BM94" s="93"/>
      <c r="BN94" s="67"/>
      <c r="BO94" s="82"/>
      <c r="BP94" s="67"/>
      <c r="BQ94" s="67"/>
      <c r="BR94" s="67"/>
      <c r="BS94" s="93"/>
      <c r="BT94" s="67"/>
      <c r="BU94" s="82"/>
      <c r="BV94" s="67"/>
      <c r="BW94" s="67"/>
      <c r="BX94" s="67"/>
      <c r="BY94" s="93"/>
      <c r="BZ94" s="67"/>
      <c r="CA94" s="82"/>
      <c r="CB94" s="67"/>
      <c r="CC94" s="67"/>
      <c r="CD94" s="67"/>
      <c r="CE94" s="93"/>
      <c r="CF94" s="67"/>
      <c r="CG94" s="82"/>
      <c r="CH94" s="67"/>
      <c r="CI94" s="67"/>
      <c r="CJ94" s="67"/>
      <c r="CK94" s="93"/>
      <c r="CL94" s="67"/>
      <c r="CM94" s="82">
        <f>CM15-SUM(CM76,CM79:CM83)</f>
        <v>929.51905977580088</v>
      </c>
      <c r="CN94" s="67">
        <f>CN15-SUM(CN76,CN79:CN83)</f>
        <v>999.1373611558729</v>
      </c>
      <c r="CO94" s="67">
        <f>CO15-SUM(CO76,CO79:CO83)</f>
        <v>992.40247868727272</v>
      </c>
      <c r="CP94" s="67">
        <f>CP15-SUM(CP76,CP79:CP83)</f>
        <v>1119.1341351113492</v>
      </c>
      <c r="CQ94" s="93">
        <f>+SUM(CM94:CP94)</f>
        <v>4040.1930347302959</v>
      </c>
      <c r="CR94" s="67"/>
      <c r="CS94" s="82">
        <f>CS15-SUM(CS76,CS79:CS83)</f>
        <v>1010.5999999999999</v>
      </c>
      <c r="CT94" s="67">
        <f>CT15-SUM(CT76,CT79:CT83)</f>
        <v>1024.5</v>
      </c>
      <c r="CU94" s="67">
        <f>CU15-SUM(CU76,CU79:CU83)</f>
        <v>1100.6000000000001</v>
      </c>
      <c r="CV94" s="67">
        <f>CV15-SUM(CV76,CV79:CV83)</f>
        <v>1273.0999999999999</v>
      </c>
      <c r="CW94" s="93">
        <f>+SUM(CS94:CV94)</f>
        <v>4408.7999999999993</v>
      </c>
      <c r="CX94" s="67"/>
      <c r="CY94" s="82">
        <f>CY15-SUM(CY76,CY79:CY83)</f>
        <v>1188.8999999999999</v>
      </c>
      <c r="CZ94" s="67">
        <f>CZ15-SUM(CZ76,CZ79:CZ83)</f>
        <v>1287.0999999999999</v>
      </c>
      <c r="DA94" s="67">
        <f>DA15-SUM(DA76,DA79:DA83)</f>
        <v>1202.5999999999999</v>
      </c>
      <c r="DB94" s="67">
        <f>DB15-SUM(DB76,DB79:DB83)</f>
        <v>1536.9</v>
      </c>
      <c r="DC94" s="93">
        <f>+SUM(CY94:DB94)</f>
        <v>5215.5</v>
      </c>
      <c r="DD94" s="67"/>
      <c r="DE94" s="82">
        <f>DE15-SUM(DE76,DE79:DE83)</f>
        <v>1299.8000000000002</v>
      </c>
      <c r="DF94" s="67">
        <f>DF15-SUM(DF76,DF79:DF83)</f>
        <v>1340</v>
      </c>
      <c r="DG94" s="67">
        <f>DG15-SUM(DG76,DG79:DG83)</f>
        <v>1330.6999999999998</v>
      </c>
      <c r="DH94" s="67">
        <f>DH15-SUM(DH76,DH79:DH83)</f>
        <v>1529.3999999999999</v>
      </c>
      <c r="DI94" s="93">
        <f t="shared" si="443"/>
        <v>5499.9</v>
      </c>
      <c r="DJ94" s="67"/>
      <c r="DK94" s="82">
        <f>DK15-SUM(DK76,DK79:DK83)</f>
        <v>1429.6000000000001</v>
      </c>
      <c r="DL94" s="67">
        <f>DL15-SUM(DL76,DL79:DL83)</f>
        <v>1418.1980045170124</v>
      </c>
      <c r="DM94" s="67">
        <f>DM15-SUM(DM76,DM79:DM83)</f>
        <v>1419.956599325712</v>
      </c>
      <c r="DN94" s="67">
        <f>DN15-SUM(DN76,DN79:DN83)</f>
        <v>1530.8809528719823</v>
      </c>
      <c r="DO94" s="93">
        <f t="shared" si="444"/>
        <v>5798.6355567147066</v>
      </c>
      <c r="DP94" s="67"/>
      <c r="DQ94" s="82">
        <f>DQ15-SUM(DQ76,DQ79:DQ83)</f>
        <v>1489.6307468763889</v>
      </c>
      <c r="DR94" s="67">
        <f>DR15-SUM(DR76,DR79:DR83)</f>
        <v>1485.4309038029401</v>
      </c>
      <c r="DS94" s="67">
        <f>DS15-SUM(DS76,DS79:DS83)</f>
        <v>1473.1630518970169</v>
      </c>
      <c r="DT94" s="67">
        <f>DT15-SUM(DT76,DT79:DT83)</f>
        <v>1586.5635280732861</v>
      </c>
      <c r="DU94" s="93">
        <f t="shared" si="445"/>
        <v>6034.7882306496322</v>
      </c>
      <c r="DV94" s="67"/>
      <c r="DW94" s="82">
        <f t="shared" ref="DW94:DZ94" si="450">DW15-SUM(DW76,DW79:DW83)</f>
        <v>1548.6481431137422</v>
      </c>
      <c r="DX94" s="67">
        <f t="shared" si="450"/>
        <v>1543.6816333078345</v>
      </c>
      <c r="DY94" s="67">
        <f t="shared" si="450"/>
        <v>1531.3057683257771</v>
      </c>
      <c r="DZ94" s="67">
        <f t="shared" si="450"/>
        <v>1647.9255444290075</v>
      </c>
      <c r="EA94" s="93">
        <f t="shared" si="447"/>
        <v>6271.5610891763617</v>
      </c>
      <c r="EB94" s="67"/>
      <c r="EC94" s="82">
        <f t="shared" ref="EC94:EF94" si="451">EC15-SUM(EC76,EC79:EC83)</f>
        <v>1611.309751472993</v>
      </c>
      <c r="ED94" s="67">
        <f t="shared" si="451"/>
        <v>1605.4730615648132</v>
      </c>
      <c r="EE94" s="67">
        <f t="shared" si="451"/>
        <v>1592.9552394372809</v>
      </c>
      <c r="EF94" s="67">
        <f t="shared" si="451"/>
        <v>1712.823917392469</v>
      </c>
      <c r="EG94" s="93">
        <f t="shared" si="449"/>
        <v>6522.5619698675564</v>
      </c>
      <c r="EH94" s="61"/>
    </row>
    <row r="95" spans="1:138" ht="11.25" customHeight="1" x14ac:dyDescent="0.2">
      <c r="A95" s="153" t="s">
        <v>440</v>
      </c>
      <c r="E95" s="93"/>
      <c r="F95" s="67"/>
      <c r="G95" s="93"/>
      <c r="H95" s="67"/>
      <c r="I95" s="93"/>
      <c r="J95" s="67"/>
      <c r="K95" s="93"/>
      <c r="L95" s="67"/>
      <c r="M95" s="82"/>
      <c r="N95" s="67"/>
      <c r="O95" s="67"/>
      <c r="P95" s="67"/>
      <c r="Q95" s="93"/>
      <c r="R95" s="67"/>
      <c r="S95" s="82"/>
      <c r="T95" s="67"/>
      <c r="U95" s="67"/>
      <c r="V95" s="67"/>
      <c r="W95" s="93"/>
      <c r="X95" s="67"/>
      <c r="Y95" s="82"/>
      <c r="Z95" s="67"/>
      <c r="AA95" s="67"/>
      <c r="AB95" s="67"/>
      <c r="AC95" s="93"/>
      <c r="AD95" s="67"/>
      <c r="AE95" s="82"/>
      <c r="AF95" s="67"/>
      <c r="AG95" s="67"/>
      <c r="AH95" s="67"/>
      <c r="AI95" s="93"/>
      <c r="AJ95" s="67"/>
      <c r="AK95" s="82"/>
      <c r="AL95" s="67"/>
      <c r="AM95" s="67"/>
      <c r="AN95" s="67"/>
      <c r="AO95" s="93"/>
      <c r="AP95" s="67"/>
      <c r="AQ95" s="82"/>
      <c r="AR95" s="67"/>
      <c r="AS95" s="67"/>
      <c r="AT95" s="67"/>
      <c r="AU95" s="93"/>
      <c r="AV95" s="67"/>
      <c r="AW95" s="82"/>
      <c r="AX95" s="67"/>
      <c r="AY95" s="67"/>
      <c r="AZ95" s="67"/>
      <c r="BA95" s="93"/>
      <c r="BB95" s="67"/>
      <c r="BC95" s="82"/>
      <c r="BD95" s="67"/>
      <c r="BE95" s="67"/>
      <c r="BF95" s="67"/>
      <c r="BG95" s="93"/>
      <c r="BH95" s="67"/>
      <c r="BI95" s="82"/>
      <c r="BJ95" s="67"/>
      <c r="BK95" s="67"/>
      <c r="BL95" s="67"/>
      <c r="BM95" s="93"/>
      <c r="BN95" s="67"/>
      <c r="BO95" s="82"/>
      <c r="BP95" s="67"/>
      <c r="BQ95" s="67"/>
      <c r="BR95" s="67"/>
      <c r="BS95" s="93"/>
      <c r="BT95" s="67"/>
      <c r="BU95" s="82"/>
      <c r="BV95" s="67"/>
      <c r="BW95" s="67"/>
      <c r="BX95" s="67"/>
      <c r="BY95" s="93"/>
      <c r="BZ95" s="67"/>
      <c r="CA95" s="82"/>
      <c r="CB95" s="67"/>
      <c r="CC95" s="67"/>
      <c r="CD95" s="67"/>
      <c r="CE95" s="93"/>
      <c r="CF95" s="67"/>
      <c r="CG95" s="82"/>
      <c r="CH95" s="67"/>
      <c r="CI95" s="67"/>
      <c r="CJ95" s="67"/>
      <c r="CK95" s="93"/>
      <c r="CL95" s="67"/>
      <c r="CM95" s="82">
        <f>CM26+SUM(CM84:CM86)</f>
        <v>0</v>
      </c>
      <c r="CN95" s="67">
        <f>CN26+SUM(CN84:CN86)</f>
        <v>0</v>
      </c>
      <c r="CO95" s="67">
        <f>CO26+SUM(CO84:CO86)</f>
        <v>0</v>
      </c>
      <c r="CP95" s="67">
        <f>CP26+SUM(CP84:CP86)</f>
        <v>0</v>
      </c>
      <c r="CQ95" s="93">
        <f t="shared" ref="CQ95:CQ96" si="452">+SUM(CM95:CP95)</f>
        <v>0</v>
      </c>
      <c r="CR95" s="67"/>
      <c r="CS95" s="82">
        <f>CS26+SUM(CS84:CS86)</f>
        <v>0</v>
      </c>
      <c r="CT95" s="67">
        <f>CT26+SUM(CT84:CT86)</f>
        <v>0</v>
      </c>
      <c r="CU95" s="67">
        <f>CU26+SUM(CU84:CU86)</f>
        <v>0.40000000000000036</v>
      </c>
      <c r="CV95" s="67">
        <f>CV26+SUM(CV84:CV86)</f>
        <v>0</v>
      </c>
      <c r="CW95" s="93">
        <f t="shared" ref="CW95:CW96" si="453">+SUM(CS95:CV95)</f>
        <v>0.40000000000000036</v>
      </c>
      <c r="CX95" s="67"/>
      <c r="CY95" s="82">
        <f>CY26+SUM(CY84:CY86)</f>
        <v>0.40000000000000568</v>
      </c>
      <c r="CZ95" s="67">
        <f>CZ26+SUM(CZ84:CZ86)</f>
        <v>0</v>
      </c>
      <c r="DA95" s="67">
        <f>DA26+SUM(DA84:DA86)</f>
        <v>0.19999999999998863</v>
      </c>
      <c r="DB95" s="67">
        <f>DB26+SUM(DB84:DB86)</f>
        <v>0</v>
      </c>
      <c r="DC95" s="93">
        <f t="shared" ref="DC95:DC96" si="454">+SUM(CY95:DB95)</f>
        <v>0.59999999999999432</v>
      </c>
      <c r="DD95" s="67"/>
      <c r="DE95" s="82">
        <f>DE26+SUM(DE84:DE86)</f>
        <v>6.9</v>
      </c>
      <c r="DF95" s="67">
        <f>DF26+SUM(DF84:DF86)</f>
        <v>8</v>
      </c>
      <c r="DG95" s="67">
        <f>DG26+SUM(DG84:DG86)</f>
        <v>7</v>
      </c>
      <c r="DH95" s="67">
        <f>DH26+SUM(DH84:DH86)</f>
        <v>7.7999999999999972</v>
      </c>
      <c r="DI95" s="93">
        <f t="shared" si="443"/>
        <v>29.699999999999996</v>
      </c>
      <c r="DJ95" s="67"/>
      <c r="DK95" s="82">
        <f>DK26+SUM(DK84:DK86)</f>
        <v>7.8</v>
      </c>
      <c r="DL95" s="67">
        <f>DL26+SUM(DL84:DL86)</f>
        <v>8</v>
      </c>
      <c r="DM95" s="67">
        <f>DM26+SUM(DM84:DM86)</f>
        <v>8</v>
      </c>
      <c r="DN95" s="67">
        <f>DN26+SUM(DN84:DN86)</f>
        <v>8</v>
      </c>
      <c r="DO95" s="93">
        <f t="shared" si="444"/>
        <v>31.8</v>
      </c>
      <c r="DP95" s="67"/>
      <c r="DQ95" s="82">
        <f>DQ26+SUM(DQ84:DQ86)</f>
        <v>8</v>
      </c>
      <c r="DR95" s="67">
        <f>DR26+SUM(DR84:DR86)</f>
        <v>8</v>
      </c>
      <c r="DS95" s="67">
        <f>DS26+SUM(DS84:DS86)</f>
        <v>8</v>
      </c>
      <c r="DT95" s="67">
        <f>DT26+SUM(DT84:DT86)</f>
        <v>8</v>
      </c>
      <c r="DU95" s="93">
        <f t="shared" si="445"/>
        <v>32</v>
      </c>
      <c r="DV95" s="67"/>
      <c r="DW95" s="82">
        <f t="shared" ref="DW95:DZ95" si="455">DW26+SUM(DW84:DW86)</f>
        <v>8</v>
      </c>
      <c r="DX95" s="67">
        <f t="shared" si="455"/>
        <v>8</v>
      </c>
      <c r="DY95" s="67">
        <f t="shared" si="455"/>
        <v>8</v>
      </c>
      <c r="DZ95" s="67">
        <f t="shared" si="455"/>
        <v>8</v>
      </c>
      <c r="EA95" s="93">
        <f t="shared" si="447"/>
        <v>32</v>
      </c>
      <c r="EB95" s="67"/>
      <c r="EC95" s="82">
        <f t="shared" ref="EC95:EF95" si="456">EC26+SUM(EC84:EC86)</f>
        <v>8</v>
      </c>
      <c r="ED95" s="67">
        <f t="shared" si="456"/>
        <v>8</v>
      </c>
      <c r="EE95" s="67">
        <f t="shared" si="456"/>
        <v>8</v>
      </c>
      <c r="EF95" s="67">
        <f t="shared" si="456"/>
        <v>8</v>
      </c>
      <c r="EG95" s="93">
        <f t="shared" si="449"/>
        <v>32</v>
      </c>
      <c r="EH95" s="61"/>
    </row>
    <row r="96" spans="1:138" ht="11.25" customHeight="1" x14ac:dyDescent="0.2">
      <c r="A96" s="153" t="s">
        <v>439</v>
      </c>
      <c r="E96" s="93"/>
      <c r="F96" s="67"/>
      <c r="G96" s="93"/>
      <c r="H96" s="67"/>
      <c r="I96" s="93"/>
      <c r="J96" s="67"/>
      <c r="K96" s="93"/>
      <c r="L96" s="67"/>
      <c r="M96" s="82"/>
      <c r="N96" s="67"/>
      <c r="O96" s="67"/>
      <c r="P96" s="67"/>
      <c r="Q96" s="93"/>
      <c r="R96" s="67"/>
      <c r="S96" s="82"/>
      <c r="T96" s="67"/>
      <c r="U96" s="67"/>
      <c r="V96" s="67"/>
      <c r="W96" s="93"/>
      <c r="X96" s="67"/>
      <c r="Y96" s="82"/>
      <c r="Z96" s="67"/>
      <c r="AA96" s="67"/>
      <c r="AB96" s="67"/>
      <c r="AC96" s="93"/>
      <c r="AD96" s="67"/>
      <c r="AE96" s="82"/>
      <c r="AF96" s="67"/>
      <c r="AG96" s="67"/>
      <c r="AH96" s="67"/>
      <c r="AI96" s="93"/>
      <c r="AJ96" s="67"/>
      <c r="AK96" s="82"/>
      <c r="AL96" s="67"/>
      <c r="AM96" s="67"/>
      <c r="AN96" s="67"/>
      <c r="AO96" s="93"/>
      <c r="AP96" s="67"/>
      <c r="AQ96" s="82"/>
      <c r="AR96" s="67"/>
      <c r="AS96" s="67"/>
      <c r="AT96" s="67"/>
      <c r="AU96" s="93"/>
      <c r="AV96" s="67"/>
      <c r="AW96" s="82"/>
      <c r="AX96" s="67"/>
      <c r="AY96" s="67"/>
      <c r="AZ96" s="67"/>
      <c r="BA96" s="93"/>
      <c r="BB96" s="67"/>
      <c r="BC96" s="82"/>
      <c r="BD96" s="67"/>
      <c r="BE96" s="67"/>
      <c r="BF96" s="67"/>
      <c r="BG96" s="93"/>
      <c r="BH96" s="67"/>
      <c r="BI96" s="82"/>
      <c r="BJ96" s="67"/>
      <c r="BK96" s="67"/>
      <c r="BL96" s="67"/>
      <c r="BM96" s="93"/>
      <c r="BN96" s="67"/>
      <c r="BO96" s="82"/>
      <c r="BP96" s="67"/>
      <c r="BQ96" s="67"/>
      <c r="BR96" s="67"/>
      <c r="BS96" s="93"/>
      <c r="BT96" s="67"/>
      <c r="BU96" s="82"/>
      <c r="BV96" s="67"/>
      <c r="BW96" s="67"/>
      <c r="BX96" s="67"/>
      <c r="BY96" s="93"/>
      <c r="BZ96" s="67"/>
      <c r="CA96" s="82"/>
      <c r="CB96" s="67"/>
      <c r="CC96" s="67"/>
      <c r="CD96" s="67"/>
      <c r="CE96" s="93"/>
      <c r="CF96" s="67"/>
      <c r="CG96" s="82"/>
      <c r="CH96" s="67"/>
      <c r="CI96" s="67"/>
      <c r="CJ96" s="67"/>
      <c r="CK96" s="93"/>
      <c r="CL96" s="67"/>
      <c r="CM96" s="82">
        <f t="shared" ref="CM96:CO96" si="457">+CM87</f>
        <v>0</v>
      </c>
      <c r="CN96" s="67">
        <f t="shared" si="457"/>
        <v>0</v>
      </c>
      <c r="CO96" s="67">
        <f t="shared" si="457"/>
        <v>0</v>
      </c>
      <c r="CP96" s="67">
        <f>+CP87</f>
        <v>0</v>
      </c>
      <c r="CQ96" s="93">
        <f t="shared" si="452"/>
        <v>0</v>
      </c>
      <c r="CR96" s="67"/>
      <c r="CS96" s="82">
        <f t="shared" ref="CS96:CU96" si="458">+CS87</f>
        <v>-15.235999999999876</v>
      </c>
      <c r="CT96" s="67">
        <f t="shared" si="458"/>
        <v>-14.392000000000001</v>
      </c>
      <c r="CU96" s="67">
        <f t="shared" si="458"/>
        <v>-34.935000000000002</v>
      </c>
      <c r="CV96" s="67">
        <f>+CV87</f>
        <v>-48.797000000000004</v>
      </c>
      <c r="CW96" s="93">
        <f t="shared" si="453"/>
        <v>-113.35999999999987</v>
      </c>
      <c r="CX96" s="67"/>
      <c r="CY96" s="82">
        <f t="shared" ref="CY96:DA96" si="459">+CY87</f>
        <v>49.340000000000146</v>
      </c>
      <c r="CZ96" s="67">
        <f t="shared" si="459"/>
        <v>-34.945</v>
      </c>
      <c r="DA96" s="67">
        <f t="shared" si="459"/>
        <v>-98.182000000000002</v>
      </c>
      <c r="DB96" s="67">
        <f>+DB87</f>
        <v>-63.170999999999992</v>
      </c>
      <c r="DC96" s="93">
        <f t="shared" si="454"/>
        <v>-146.95799999999986</v>
      </c>
      <c r="DD96" s="67"/>
      <c r="DE96" s="82">
        <f t="shared" ref="DE96:DH96" si="460">+DE87</f>
        <v>-34.881</v>
      </c>
      <c r="DF96" s="67">
        <f t="shared" si="460"/>
        <v>-26.943000000000001</v>
      </c>
      <c r="DG96" s="67">
        <f t="shared" si="460"/>
        <v>-35.956810084954789</v>
      </c>
      <c r="DH96" s="67">
        <f t="shared" si="460"/>
        <v>-1.4127885597548466</v>
      </c>
      <c r="DI96" s="93">
        <f t="shared" si="443"/>
        <v>-99.193598644709638</v>
      </c>
      <c r="DJ96" s="67"/>
      <c r="DK96" s="82">
        <f t="shared" ref="DK96" si="461">+DK87</f>
        <v>-35.397489833123025</v>
      </c>
      <c r="DL96" s="67">
        <f t="shared" ref="DL96:DN96" si="462">+DL87</f>
        <v>-35.955460181812505</v>
      </c>
      <c r="DM96" s="67">
        <f t="shared" si="462"/>
        <v>-35.348711791244419</v>
      </c>
      <c r="DN96" s="67">
        <f t="shared" si="462"/>
        <v>-34.752202279767168</v>
      </c>
      <c r="DO96" s="93">
        <f t="shared" si="444"/>
        <v>-141.45386408594712</v>
      </c>
      <c r="DP96" s="67"/>
      <c r="DQ96" s="82">
        <f t="shared" ref="DQ96:DT96" si="463">+DQ87</f>
        <v>-35.937316733437378</v>
      </c>
      <c r="DR96" s="67">
        <f t="shared" si="463"/>
        <v>-35.299429361418866</v>
      </c>
      <c r="DS96" s="67">
        <f t="shared" si="463"/>
        <v>-34.67286449025368</v>
      </c>
      <c r="DT96" s="67">
        <f t="shared" si="463"/>
        <v>-34.057421145551672</v>
      </c>
      <c r="DU96" s="93">
        <f t="shared" si="445"/>
        <v>-139.9670317306616</v>
      </c>
      <c r="DV96" s="67"/>
      <c r="DW96" s="82">
        <f t="shared" ref="DW96:DZ96" si="464">+DW87</f>
        <v>-35.808740083613777</v>
      </c>
      <c r="DX96" s="67">
        <f t="shared" si="464"/>
        <v>-35.12837402202512</v>
      </c>
      <c r="DY96" s="67">
        <f t="shared" si="464"/>
        <v>-34.460934915606636</v>
      </c>
      <c r="DZ96" s="67">
        <f t="shared" si="464"/>
        <v>-33.806177152210111</v>
      </c>
      <c r="EA96" s="93">
        <f t="shared" si="447"/>
        <v>-139.20422617345565</v>
      </c>
      <c r="EB96" s="67"/>
      <c r="EC96" s="82">
        <f t="shared" ref="EC96:EF96" si="465">+EC87</f>
        <v>-35.345692666996946</v>
      </c>
      <c r="ED96" s="67">
        <f t="shared" si="465"/>
        <v>-34.629942390490257</v>
      </c>
      <c r="EE96" s="67">
        <f t="shared" si="465"/>
        <v>-33.928686057082828</v>
      </c>
      <c r="EF96" s="67">
        <f t="shared" si="465"/>
        <v>-33.241630164426901</v>
      </c>
      <c r="EG96" s="93">
        <f t="shared" si="449"/>
        <v>-137.14595127899693</v>
      </c>
      <c r="EH96" s="61"/>
    </row>
    <row r="97" spans="1:138" ht="11.25" customHeight="1" x14ac:dyDescent="0.2">
      <c r="A97" s="153" t="s">
        <v>438</v>
      </c>
      <c r="E97" s="93"/>
      <c r="F97" s="67"/>
      <c r="G97" s="93"/>
      <c r="H97" s="67"/>
      <c r="I97" s="93"/>
      <c r="J97" s="67"/>
      <c r="K97" s="93"/>
      <c r="L97" s="67"/>
      <c r="M97" s="82"/>
      <c r="N97" s="67"/>
      <c r="O97" s="67"/>
      <c r="P97" s="67"/>
      <c r="Q97" s="93"/>
      <c r="R97" s="67"/>
      <c r="S97" s="82"/>
      <c r="T97" s="67"/>
      <c r="U97" s="67"/>
      <c r="V97" s="67"/>
      <c r="W97" s="93"/>
      <c r="X97" s="67"/>
      <c r="Y97" s="82"/>
      <c r="Z97" s="67"/>
      <c r="AA97" s="67"/>
      <c r="AB97" s="67"/>
      <c r="AC97" s="93"/>
      <c r="AD97" s="67"/>
      <c r="AE97" s="82"/>
      <c r="AF97" s="67"/>
      <c r="AG97" s="67"/>
      <c r="AH97" s="67"/>
      <c r="AI97" s="93"/>
      <c r="AJ97" s="67"/>
      <c r="AK97" s="82"/>
      <c r="AL97" s="67"/>
      <c r="AM97" s="67"/>
      <c r="AN97" s="67"/>
      <c r="AO97" s="93"/>
      <c r="AP97" s="67"/>
      <c r="AQ97" s="82"/>
      <c r="AR97" s="67"/>
      <c r="AS97" s="67"/>
      <c r="AT97" s="67"/>
      <c r="AU97" s="93"/>
      <c r="AV97" s="67"/>
      <c r="AW97" s="82"/>
      <c r="AX97" s="67"/>
      <c r="AY97" s="67"/>
      <c r="AZ97" s="67"/>
      <c r="BA97" s="93"/>
      <c r="BB97" s="67"/>
      <c r="BC97" s="82"/>
      <c r="BD97" s="67"/>
      <c r="BE97" s="67"/>
      <c r="BF97" s="67"/>
      <c r="BG97" s="93"/>
      <c r="BH97" s="67"/>
      <c r="BI97" s="82"/>
      <c r="BJ97" s="67"/>
      <c r="BK97" s="67"/>
      <c r="BL97" s="67"/>
      <c r="BM97" s="93"/>
      <c r="BN97" s="67"/>
      <c r="BO97" s="82"/>
      <c r="BP97" s="67"/>
      <c r="BQ97" s="67"/>
      <c r="BR97" s="67"/>
      <c r="BS97" s="93"/>
      <c r="BT97" s="67"/>
      <c r="BU97" s="82"/>
      <c r="BV97" s="67"/>
      <c r="BW97" s="67"/>
      <c r="BX97" s="67"/>
      <c r="BY97" s="93"/>
      <c r="BZ97" s="67"/>
      <c r="CA97" s="82"/>
      <c r="CB97" s="67"/>
      <c r="CC97" s="67"/>
      <c r="CD97" s="67"/>
      <c r="CE97" s="93"/>
      <c r="CF97" s="67"/>
      <c r="CG97" s="82"/>
      <c r="CH97" s="67"/>
      <c r="CI97" s="67"/>
      <c r="CJ97" s="67"/>
      <c r="CK97" s="93"/>
      <c r="CL97" s="67"/>
      <c r="CM97" s="82">
        <f>+CM28-CM96</f>
        <v>0</v>
      </c>
      <c r="CN97" s="67">
        <f>+CN28-CN96</f>
        <v>0</v>
      </c>
      <c r="CO97" s="67">
        <f>+CO28-CO96</f>
        <v>0</v>
      </c>
      <c r="CP97" s="67">
        <f>+CP28-CP96</f>
        <v>0</v>
      </c>
      <c r="CQ97" s="93">
        <f>SUM(CM97:CP97)</f>
        <v>0</v>
      </c>
      <c r="CR97" s="67"/>
      <c r="CS97" s="82">
        <f>+CS28-CS96</f>
        <v>91.835999999999871</v>
      </c>
      <c r="CT97" s="67">
        <f>+CT28-CT96</f>
        <v>76.591999999999999</v>
      </c>
      <c r="CU97" s="67">
        <f>+CU28-CU96</f>
        <v>108.935</v>
      </c>
      <c r="CV97" s="67">
        <f>+CV28-CV96</f>
        <v>128.697</v>
      </c>
      <c r="CW97" s="93">
        <f>SUM(CS97:CV97)</f>
        <v>406.05999999999989</v>
      </c>
      <c r="CX97" s="67"/>
      <c r="CY97" s="82">
        <f>+CY28-CY96</f>
        <v>148.45999999999987</v>
      </c>
      <c r="CZ97" s="67">
        <f>+CZ28-CZ96</f>
        <v>271.54500000000002</v>
      </c>
      <c r="DA97" s="67">
        <f>+DA28-DA96</f>
        <v>172.28199999999998</v>
      </c>
      <c r="DB97" s="67">
        <f>+DB28-DB96</f>
        <v>12.570999999999991</v>
      </c>
      <c r="DC97" s="93">
        <f>SUM(CY97:DB97)</f>
        <v>604.85799999999983</v>
      </c>
      <c r="DD97" s="67"/>
      <c r="DE97" s="82">
        <f>+DE28-DE96</f>
        <v>136.28100000000001</v>
      </c>
      <c r="DF97" s="67">
        <f>+DF28-DF96</f>
        <v>149.44300000000001</v>
      </c>
      <c r="DG97" s="67">
        <f>+DG28-DG96</f>
        <v>193.65681008495477</v>
      </c>
      <c r="DH97" s="67">
        <f>+DH28-DH96</f>
        <v>123.81278855975485</v>
      </c>
      <c r="DI97" s="93">
        <f t="shared" ref="DI97" si="466">SUM(DE97:DH97)</f>
        <v>603.19359864470971</v>
      </c>
      <c r="DJ97" s="67"/>
      <c r="DK97" s="82">
        <f>+DK28-DK96</f>
        <v>181.89748983312302</v>
      </c>
      <c r="DL97" s="67">
        <f>+DL28-DL96</f>
        <v>203.88550589565332</v>
      </c>
      <c r="DM97" s="67">
        <f>+DM28-DM96</f>
        <v>202.11936107990715</v>
      </c>
      <c r="DN97" s="67">
        <f>+DN28-DN96</f>
        <v>252.42912900426208</v>
      </c>
      <c r="DO97" s="93">
        <f t="shared" ref="DO97" si="467">SUM(DK97:DN97)</f>
        <v>840.33148581294552</v>
      </c>
      <c r="DP97" s="67"/>
      <c r="DQ97" s="82">
        <f>+DQ28-DQ96</f>
        <v>203.18630191188083</v>
      </c>
      <c r="DR97" s="67">
        <f>+DR28-DR96</f>
        <v>225.04672721135276</v>
      </c>
      <c r="DS97" s="67">
        <f>+DS28-DS96</f>
        <v>220.32705925432617</v>
      </c>
      <c r="DT97" s="67">
        <f>+DT28-DT96</f>
        <v>272.17464795403203</v>
      </c>
      <c r="DU97" s="93">
        <f t="shared" ref="DU97" si="468">SUM(DQ97:DT97)</f>
        <v>920.73473633159176</v>
      </c>
      <c r="DV97" s="67"/>
      <c r="DW97" s="82">
        <f t="shared" ref="DW97:DZ97" si="469">+DW28-DW96</f>
        <v>223.42511268066727</v>
      </c>
      <c r="DX97" s="67">
        <f t="shared" si="469"/>
        <v>246.05433636286048</v>
      </c>
      <c r="DY97" s="67">
        <f t="shared" si="469"/>
        <v>241.02914264703674</v>
      </c>
      <c r="DZ97" s="67">
        <f t="shared" si="469"/>
        <v>332.98678542353872</v>
      </c>
      <c r="EA97" s="93">
        <f t="shared" ref="EA97" si="470">SUM(DW97:DZ97)</f>
        <v>1043.4953771141033</v>
      </c>
      <c r="EB97" s="67"/>
      <c r="EC97" s="82">
        <f t="shared" ref="EC97:EF97" si="471">+EC28-EC96</f>
        <v>286.13874228084023</v>
      </c>
      <c r="ED97" s="67">
        <f t="shared" si="471"/>
        <v>314.15216003528343</v>
      </c>
      <c r="EE97" s="67">
        <f t="shared" si="471"/>
        <v>314.05042753250268</v>
      </c>
      <c r="EF97" s="67">
        <f t="shared" si="471"/>
        <v>371.81298339551199</v>
      </c>
      <c r="EG97" s="93">
        <f t="shared" ref="EG97" si="472">SUM(EC97:EF97)</f>
        <v>1286.1543132441384</v>
      </c>
      <c r="EH97" s="60"/>
    </row>
    <row r="98" spans="1:138" ht="11.25" customHeight="1" x14ac:dyDescent="0.2">
      <c r="A98" s="460" t="s">
        <v>442</v>
      </c>
      <c r="B98" s="384"/>
      <c r="C98" s="384"/>
      <c r="D98" s="384"/>
      <c r="E98" s="163"/>
      <c r="F98" s="164"/>
      <c r="G98" s="163"/>
      <c r="H98" s="164"/>
      <c r="I98" s="163"/>
      <c r="J98" s="164"/>
      <c r="K98" s="163"/>
      <c r="L98" s="164"/>
      <c r="M98" s="165"/>
      <c r="N98" s="164"/>
      <c r="O98" s="164"/>
      <c r="P98" s="164"/>
      <c r="Q98" s="163"/>
      <c r="R98" s="164"/>
      <c r="S98" s="165"/>
      <c r="T98" s="164"/>
      <c r="U98" s="164"/>
      <c r="V98" s="164"/>
      <c r="W98" s="163"/>
      <c r="X98" s="164"/>
      <c r="Y98" s="165"/>
      <c r="Z98" s="164"/>
      <c r="AA98" s="164"/>
      <c r="AB98" s="164"/>
      <c r="AC98" s="163"/>
      <c r="AD98" s="164"/>
      <c r="AE98" s="165"/>
      <c r="AF98" s="164"/>
      <c r="AG98" s="164"/>
      <c r="AH98" s="164"/>
      <c r="AI98" s="163"/>
      <c r="AJ98" s="164"/>
      <c r="AK98" s="165"/>
      <c r="AL98" s="164"/>
      <c r="AM98" s="164"/>
      <c r="AN98" s="164"/>
      <c r="AO98" s="163"/>
      <c r="AP98" s="164"/>
      <c r="AQ98" s="165"/>
      <c r="AR98" s="164"/>
      <c r="AS98" s="164"/>
      <c r="AT98" s="164"/>
      <c r="AU98" s="163"/>
      <c r="AV98" s="164"/>
      <c r="AW98" s="165"/>
      <c r="AX98" s="164"/>
      <c r="AY98" s="164"/>
      <c r="AZ98" s="164"/>
      <c r="BA98" s="163"/>
      <c r="BB98" s="164"/>
      <c r="BC98" s="165"/>
      <c r="BD98" s="164"/>
      <c r="BE98" s="164"/>
      <c r="BF98" s="164"/>
      <c r="BG98" s="163"/>
      <c r="BH98" s="164"/>
      <c r="BI98" s="165"/>
      <c r="BJ98" s="164"/>
      <c r="BK98" s="164"/>
      <c r="BL98" s="164"/>
      <c r="BM98" s="163"/>
      <c r="BN98" s="164"/>
      <c r="BO98" s="165"/>
      <c r="BP98" s="164"/>
      <c r="BQ98" s="164"/>
      <c r="BR98" s="164"/>
      <c r="BS98" s="163"/>
      <c r="BT98" s="164"/>
      <c r="BU98" s="165"/>
      <c r="BV98" s="164"/>
      <c r="BW98" s="164"/>
      <c r="BX98" s="164"/>
      <c r="BY98" s="163"/>
      <c r="BZ98" s="164"/>
      <c r="CA98" s="165"/>
      <c r="CB98" s="164"/>
      <c r="CC98" s="164"/>
      <c r="CD98" s="164"/>
      <c r="CE98" s="163"/>
      <c r="CF98" s="164"/>
      <c r="CG98" s="165"/>
      <c r="CH98" s="164"/>
      <c r="CI98" s="164"/>
      <c r="CJ98" s="164"/>
      <c r="CK98" s="163"/>
      <c r="CL98" s="164"/>
      <c r="CM98" s="165">
        <f>CM99+CM21</f>
        <v>427.68797700682643</v>
      </c>
      <c r="CN98" s="164">
        <f>CN99+CN21</f>
        <v>520.77950914982989</v>
      </c>
      <c r="CO98" s="164">
        <f>CO99+CO21</f>
        <v>529.75857259379097</v>
      </c>
      <c r="CP98" s="164">
        <f>CP99+CP21</f>
        <v>566.77394124955276</v>
      </c>
      <c r="CQ98" s="163">
        <f>CQ99+CQ21</f>
        <v>2934.4999999999991</v>
      </c>
      <c r="CR98" s="164"/>
      <c r="CS98" s="165">
        <f>CS99+CS21</f>
        <v>782.2</v>
      </c>
      <c r="CT98" s="164">
        <f>CT99+CT21</f>
        <v>882.60000000000014</v>
      </c>
      <c r="CU98" s="164">
        <f>CU99+CU21</f>
        <v>784.89999999999964</v>
      </c>
      <c r="CV98" s="164">
        <f>CV99+CV21</f>
        <v>1080</v>
      </c>
      <c r="CW98" s="163">
        <f>CW99+CW21</f>
        <v>3529.7000000000007</v>
      </c>
      <c r="CX98" s="164"/>
      <c r="CY98" s="165">
        <f>CY99+CY21</f>
        <v>1062.4000000000003</v>
      </c>
      <c r="CZ98" s="164">
        <f>CZ99+CZ21</f>
        <v>1274.0999999999999</v>
      </c>
      <c r="DA98" s="164">
        <f>DA99+DA21</f>
        <v>1015.9000000000005</v>
      </c>
      <c r="DB98" s="164">
        <f>DB99+DB21</f>
        <v>1084.6999999999998</v>
      </c>
      <c r="DC98" s="163">
        <f>DC99+DC21</f>
        <v>4437.1000000000022</v>
      </c>
      <c r="DD98" s="164"/>
      <c r="DE98" s="165">
        <f>DE99+DE21</f>
        <v>1072.6999999999996</v>
      </c>
      <c r="DF98" s="164">
        <f>DF99+DF21</f>
        <v>1183.2000000000003</v>
      </c>
      <c r="DG98" s="164">
        <f>DG99+DG21</f>
        <v>1238.3</v>
      </c>
      <c r="DH98" s="164">
        <f>DH99+DH21</f>
        <v>1317.9</v>
      </c>
      <c r="DI98" s="163">
        <f>DI99+DI21</f>
        <v>4812.1000000000004</v>
      </c>
      <c r="DJ98" s="164"/>
      <c r="DK98" s="165">
        <f>DK99+DK21</f>
        <v>1238.6045859999992</v>
      </c>
      <c r="DL98" s="164">
        <f>DL99+DL21</f>
        <v>1345.994284442759</v>
      </c>
      <c r="DM98" s="164">
        <f>DM99+DM21</f>
        <v>1332.0741765288726</v>
      </c>
      <c r="DN98" s="164">
        <f>DN99+DN21</f>
        <v>1572.9751429427388</v>
      </c>
      <c r="DO98" s="163">
        <f>DO99+DO21</f>
        <v>5489.6481899143682</v>
      </c>
      <c r="DP98" s="164"/>
      <c r="DQ98" s="165">
        <f>DQ99+DQ21</f>
        <v>1332.1030795886177</v>
      </c>
      <c r="DR98" s="164">
        <f>DR99+DR21</f>
        <v>1432.3509892324919</v>
      </c>
      <c r="DS98" s="164">
        <f>DS99+DS21</f>
        <v>1402.502545730712</v>
      </c>
      <c r="DT98" s="164">
        <f>DT99+DT21</f>
        <v>1649.909750641481</v>
      </c>
      <c r="DU98" s="163">
        <f>DU99+DU21</f>
        <v>5816.8663651933048</v>
      </c>
      <c r="DV98" s="164"/>
      <c r="DW98" s="165">
        <f t="shared" ref="DW98:EA98" si="473">DW99+DW21</f>
        <v>1418.3081638324106</v>
      </c>
      <c r="DX98" s="164">
        <f t="shared" si="473"/>
        <v>1521.5435441703044</v>
      </c>
      <c r="DY98" s="164">
        <f t="shared" si="473"/>
        <v>1489.8757384151395</v>
      </c>
      <c r="DZ98" s="164">
        <f t="shared" si="473"/>
        <v>1745.1975924873218</v>
      </c>
      <c r="EA98" s="163">
        <f t="shared" si="473"/>
        <v>6174.9250389051795</v>
      </c>
      <c r="EB98" s="164"/>
      <c r="EC98" s="165">
        <f t="shared" ref="EC98:EG98" si="474">EC99+EC21</f>
        <v>1499.998130300396</v>
      </c>
      <c r="ED98" s="164">
        <f t="shared" si="474"/>
        <v>1606.4419724562504</v>
      </c>
      <c r="EE98" s="164">
        <f t="shared" si="474"/>
        <v>1572.8439500755699</v>
      </c>
      <c r="EF98" s="164">
        <f t="shared" si="474"/>
        <v>1830.4088045569661</v>
      </c>
      <c r="EG98" s="163">
        <f t="shared" si="474"/>
        <v>6509.6928573891792</v>
      </c>
      <c r="EH98" s="61"/>
    </row>
    <row r="99" spans="1:138" ht="11.25" customHeight="1" x14ac:dyDescent="0.2">
      <c r="A99" s="495" t="s">
        <v>441</v>
      </c>
      <c r="B99" s="384"/>
      <c r="C99" s="384"/>
      <c r="D99" s="384"/>
      <c r="E99" s="405"/>
      <c r="F99" s="164"/>
      <c r="G99" s="405"/>
      <c r="H99" s="164"/>
      <c r="I99" s="405"/>
      <c r="J99" s="164"/>
      <c r="K99" s="405"/>
      <c r="L99" s="164"/>
      <c r="M99" s="402"/>
      <c r="N99" s="403"/>
      <c r="O99" s="403"/>
      <c r="P99" s="403"/>
      <c r="Q99" s="405"/>
      <c r="R99" s="164"/>
      <c r="S99" s="402"/>
      <c r="T99" s="403"/>
      <c r="U99" s="403"/>
      <c r="V99" s="403"/>
      <c r="W99" s="405"/>
      <c r="X99" s="164"/>
      <c r="Y99" s="402"/>
      <c r="Z99" s="403"/>
      <c r="AA99" s="403"/>
      <c r="AB99" s="403"/>
      <c r="AC99" s="405"/>
      <c r="AD99" s="164"/>
      <c r="AE99" s="402"/>
      <c r="AF99" s="403"/>
      <c r="AG99" s="403"/>
      <c r="AH99" s="403"/>
      <c r="AI99" s="405"/>
      <c r="AJ99" s="164"/>
      <c r="AK99" s="402"/>
      <c r="AL99" s="403"/>
      <c r="AM99" s="403"/>
      <c r="AN99" s="403"/>
      <c r="AO99" s="405"/>
      <c r="AP99" s="164"/>
      <c r="AQ99" s="402"/>
      <c r="AR99" s="403"/>
      <c r="AS99" s="403"/>
      <c r="AT99" s="403"/>
      <c r="AU99" s="405"/>
      <c r="AV99" s="164"/>
      <c r="AW99" s="402"/>
      <c r="AX99" s="403"/>
      <c r="AY99" s="403"/>
      <c r="AZ99" s="403"/>
      <c r="BA99" s="405"/>
      <c r="BB99" s="164"/>
      <c r="BC99" s="402"/>
      <c r="BD99" s="403"/>
      <c r="BE99" s="403"/>
      <c r="BF99" s="403"/>
      <c r="BG99" s="405"/>
      <c r="BH99" s="164"/>
      <c r="BI99" s="402"/>
      <c r="BJ99" s="403"/>
      <c r="BK99" s="403"/>
      <c r="BL99" s="403"/>
      <c r="BM99" s="405"/>
      <c r="BN99" s="164"/>
      <c r="BO99" s="402"/>
      <c r="BP99" s="403"/>
      <c r="BQ99" s="403"/>
      <c r="BR99" s="403"/>
      <c r="BS99" s="405"/>
      <c r="BT99" s="164"/>
      <c r="BU99" s="402"/>
      <c r="BV99" s="403"/>
      <c r="BW99" s="403"/>
      <c r="BX99" s="403"/>
      <c r="BY99" s="405"/>
      <c r="BZ99" s="164"/>
      <c r="CA99" s="402"/>
      <c r="CB99" s="403"/>
      <c r="CC99" s="403"/>
      <c r="CD99" s="403"/>
      <c r="CE99" s="405"/>
      <c r="CF99" s="164"/>
      <c r="CG99" s="402"/>
      <c r="CH99" s="403"/>
      <c r="CI99" s="403"/>
      <c r="CJ99" s="403"/>
      <c r="CK99" s="405"/>
      <c r="CL99" s="164"/>
      <c r="CM99" s="402">
        <f>CM11-CM93-CM94-CM16-CM18-CM19</f>
        <v>427.68797700682643</v>
      </c>
      <c r="CN99" s="403">
        <f>CN11-CN93-CN94-CN16-CN18-CN19</f>
        <v>520.77950914982989</v>
      </c>
      <c r="CO99" s="403">
        <f>CO11-CO93-CO94-CO16-CO18-CO19</f>
        <v>529.75857259379097</v>
      </c>
      <c r="CP99" s="403">
        <f>CP11-CP93-CP94-CP16-CP18-CP19</f>
        <v>566.77394124955276</v>
      </c>
      <c r="CQ99" s="405">
        <f>CQ11-CQ93-CQ94-CQ16-CQ18-CQ19</f>
        <v>2044.9999999999993</v>
      </c>
      <c r="CR99" s="164"/>
      <c r="CS99" s="402">
        <f>CS11-CS93-CS94-CS16-CS18-CS19</f>
        <v>546.70000000000005</v>
      </c>
      <c r="CT99" s="403">
        <f>CT11-CT93-CT94-CT16-CT18-CT19</f>
        <v>645.60000000000014</v>
      </c>
      <c r="CU99" s="403">
        <f>CU11-CU93-CU94-CU16-CU18-CU19</f>
        <v>648.59999999999968</v>
      </c>
      <c r="CV99" s="403">
        <f>CV11-CV93-CV94-CV16-CV18-CV19</f>
        <v>807.99999999999989</v>
      </c>
      <c r="CW99" s="405">
        <f>CW11-CW93-CW94-CW16-CW18-CW19</f>
        <v>2648.900000000001</v>
      </c>
      <c r="CX99" s="164"/>
      <c r="CY99" s="402">
        <f>CY11-CY93-CY94-CY16-CY18-CY19</f>
        <v>752.3000000000003</v>
      </c>
      <c r="CZ99" s="403">
        <f>CZ11-CZ93-CZ94-CZ16-CZ18-CZ19</f>
        <v>953.29999999999984</v>
      </c>
      <c r="DA99" s="403">
        <f>DA11-DA93-DA94-DA16-DA18-DA19</f>
        <v>824.30000000000052</v>
      </c>
      <c r="DB99" s="403">
        <f>DB11-DB93-DB94-DB16-DB18-DB19</f>
        <v>779.09999999999991</v>
      </c>
      <c r="DC99" s="405">
        <f>DC11-DC93-DC94-DC16-DC18-DC19</f>
        <v>3309.0000000000023</v>
      </c>
      <c r="DD99" s="164"/>
      <c r="DE99" s="402">
        <f>DE11-DE93-DE94-DE16-DE18-DE19</f>
        <v>767.09999999999957</v>
      </c>
      <c r="DF99" s="403">
        <f>DF11-DF93-DF94-DF16-DF18-DF19</f>
        <v>880.00000000000023</v>
      </c>
      <c r="DG99" s="403">
        <f>DG11-DG93-DG94-DG16-DG18-DG19</f>
        <v>926.89999999999986</v>
      </c>
      <c r="DH99" s="403">
        <f>DH11-DH93-DH94-DH16-DH18-DH19</f>
        <v>999.80000000000007</v>
      </c>
      <c r="DI99" s="405">
        <f>DI11-DI93-DI94-DI16-DI18-DI19</f>
        <v>3573.8</v>
      </c>
      <c r="DJ99" s="164"/>
      <c r="DK99" s="402">
        <f>DK11-DK93-DK94-DK16-DK18-DK19</f>
        <v>915.29999999999927</v>
      </c>
      <c r="DL99" s="403">
        <f>DL11-DL93-DL94-DL16-DL18-DL19</f>
        <v>1021.2149199690089</v>
      </c>
      <c r="DM99" s="403">
        <f>DM11-DM93-DM94-DM16-DM18-DM19</f>
        <v>1009.9538586705858</v>
      </c>
      <c r="DN99" s="403">
        <f>DN11-DN93-DN94-DN16-DN18-DN19</f>
        <v>1252.3991937638311</v>
      </c>
      <c r="DO99" s="405">
        <f>DO11-DO93-DO94-DO16-DO18-DO19</f>
        <v>4198.8679724034237</v>
      </c>
      <c r="DP99" s="164"/>
      <c r="DQ99" s="402">
        <f>DQ11-DQ93-DQ94-DQ16-DQ18-DQ19</f>
        <v>1005.4658497663477</v>
      </c>
      <c r="DR99" s="403">
        <f>DR11-DR93-DR94-DR16-DR18-DR19</f>
        <v>1108.0509549665999</v>
      </c>
      <c r="DS99" s="403">
        <f>DS11-DS93-DS94-DS16-DS18-DS19</f>
        <v>1080.7626641527804</v>
      </c>
      <c r="DT99" s="403">
        <f>DT11-DT93-DT94-DT16-DT18-DT19</f>
        <v>1329.5817654382708</v>
      </c>
      <c r="DU99" s="405">
        <f>DU11-DU93-DU94-DU16-DU18-DU19</f>
        <v>4523.8612343240011</v>
      </c>
      <c r="DV99" s="164"/>
      <c r="DW99" s="402">
        <f t="shared" ref="DW99:EA99" si="475">DW11-DW93-DW94-DW16-DW18-DW19</f>
        <v>1088.9631516335912</v>
      </c>
      <c r="DX99" s="403">
        <f t="shared" si="475"/>
        <v>1194.5265885415351</v>
      </c>
      <c r="DY99" s="403">
        <f t="shared" si="475"/>
        <v>1165.4243188352748</v>
      </c>
      <c r="DZ99" s="403">
        <f t="shared" si="475"/>
        <v>1422.1196042359829</v>
      </c>
      <c r="EA99" s="405">
        <f t="shared" si="475"/>
        <v>4871.0336632463868</v>
      </c>
      <c r="EB99" s="164"/>
      <c r="EC99" s="402">
        <f t="shared" ref="EC99:EG99" si="476">EC11-EC93-EC94-EC16-EC18-EC19</f>
        <v>1168.7557468144439</v>
      </c>
      <c r="ED99" s="403">
        <f t="shared" si="476"/>
        <v>1277.51300141668</v>
      </c>
      <c r="EE99" s="403">
        <f t="shared" si="476"/>
        <v>1246.4793457928115</v>
      </c>
      <c r="EF99" s="403">
        <f t="shared" si="476"/>
        <v>1505.3691685899207</v>
      </c>
      <c r="EG99" s="405">
        <f t="shared" si="476"/>
        <v>5198.1172626138532</v>
      </c>
      <c r="EH99" s="61"/>
    </row>
    <row r="100" spans="1:138" ht="11.25" customHeight="1" x14ac:dyDescent="0.2">
      <c r="A100" s="2"/>
      <c r="B100" s="8"/>
      <c r="C100" s="8"/>
      <c r="D100" s="8"/>
      <c r="E100" s="67"/>
      <c r="F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67"/>
      <c r="BI100" s="67"/>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8"/>
      <c r="DJ100" s="67"/>
      <c r="DK100" s="67"/>
      <c r="DL100" s="67"/>
      <c r="DM100" s="67"/>
      <c r="DN100" s="67"/>
      <c r="DO100" s="68"/>
      <c r="DP100" s="67"/>
      <c r="DQ100" s="67"/>
      <c r="DR100" s="67"/>
      <c r="DS100" s="67"/>
      <c r="DT100" s="67"/>
      <c r="DU100" s="68"/>
      <c r="DV100" s="67"/>
      <c r="DW100" s="67"/>
      <c r="DX100" s="67"/>
      <c r="DY100" s="67"/>
      <c r="DZ100" s="67"/>
      <c r="EA100" s="68"/>
      <c r="EB100" s="67"/>
      <c r="EC100" s="67"/>
      <c r="ED100" s="67"/>
      <c r="EE100" s="67"/>
      <c r="EF100" s="67"/>
      <c r="EG100" s="68"/>
      <c r="EH100" s="61"/>
    </row>
    <row r="101" spans="1:138" ht="11.25" customHeight="1" x14ac:dyDescent="0.2"/>
    <row r="102" spans="1:138" customFormat="1" ht="11.25" customHeight="1" x14ac:dyDescent="0.2"/>
    <row r="103" spans="1:138" ht="11.25" customHeight="1" x14ac:dyDescent="0.2"/>
    <row r="104" spans="1:138" ht="11.25" customHeight="1" x14ac:dyDescent="0.2"/>
    <row r="105" spans="1:138" ht="11.25" customHeight="1" x14ac:dyDescent="0.2"/>
    <row r="106" spans="1:138" ht="11.25" customHeight="1" x14ac:dyDescent="0.2"/>
    <row r="107" spans="1:138" ht="11.25" customHeight="1" x14ac:dyDescent="0.2"/>
    <row r="108" spans="1:138" ht="11.25" customHeight="1" x14ac:dyDescent="0.2"/>
    <row r="109" spans="1:138" ht="11.25" customHeight="1" x14ac:dyDescent="0.2"/>
    <row r="110" spans="1:138" ht="11.25" customHeight="1" x14ac:dyDescent="0.2"/>
    <row r="111" spans="1:138" ht="11.25" customHeight="1" x14ac:dyDescent="0.2"/>
    <row r="112" spans="1:138" ht="11.25" customHeight="1" x14ac:dyDescent="0.2"/>
    <row r="113" spans="139:139" ht="11.25" customHeight="1" x14ac:dyDescent="0.2"/>
    <row r="114" spans="139:139" ht="11.25" customHeight="1" x14ac:dyDescent="0.2">
      <c r="EI114" s="45"/>
    </row>
    <row r="115" spans="139:139" ht="11.25" customHeight="1" x14ac:dyDescent="0.2">
      <c r="EI115" s="45"/>
    </row>
    <row r="116" spans="139:139" ht="11.25" customHeight="1" x14ac:dyDescent="0.2">
      <c r="EI116" s="45"/>
    </row>
    <row r="117" spans="139:139" ht="11.25" customHeight="1" x14ac:dyDescent="0.2">
      <c r="EI117" s="45"/>
    </row>
    <row r="118" spans="139:139" ht="11.25" customHeight="1" x14ac:dyDescent="0.2">
      <c r="EI118" s="45"/>
    </row>
    <row r="119" spans="139:139" ht="11.25" customHeight="1" x14ac:dyDescent="0.2">
      <c r="EI119" s="45"/>
    </row>
    <row r="120" spans="139:139" ht="11.25" customHeight="1" x14ac:dyDescent="0.2">
      <c r="EI120" s="45"/>
    </row>
    <row r="121" spans="139:139" ht="11.25" customHeight="1" x14ac:dyDescent="0.2">
      <c r="EI121" s="45"/>
    </row>
    <row r="122" spans="139:139" ht="11.25" customHeight="1" x14ac:dyDescent="0.2">
      <c r="EI122" s="45"/>
    </row>
    <row r="123" spans="139:139" ht="11.25" customHeight="1" x14ac:dyDescent="0.2">
      <c r="EI123" s="45"/>
    </row>
    <row r="124" spans="139:139" ht="11.25" customHeight="1" x14ac:dyDescent="0.2">
      <c r="EI124" s="45"/>
    </row>
    <row r="125" spans="139:139" ht="11.25" customHeight="1" x14ac:dyDescent="0.2">
      <c r="EI125" s="45"/>
    </row>
    <row r="126" spans="139:139" ht="11.25" customHeight="1" x14ac:dyDescent="0.2">
      <c r="EI126" s="45"/>
    </row>
    <row r="127" spans="139:139" ht="11.25" customHeight="1" x14ac:dyDescent="0.2">
      <c r="EI127" s="45"/>
    </row>
    <row r="128" spans="139:139" ht="11.25" customHeight="1" x14ac:dyDescent="0.2">
      <c r="EI128" s="45"/>
    </row>
    <row r="129" spans="139:139" ht="11.25" customHeight="1" x14ac:dyDescent="0.2">
      <c r="EI129" s="45"/>
    </row>
    <row r="130" spans="139:139" ht="11.25" customHeight="1" x14ac:dyDescent="0.2">
      <c r="EI130" s="45"/>
    </row>
    <row r="131" spans="139:139" ht="11.25" customHeight="1" x14ac:dyDescent="0.2">
      <c r="EI131" s="45"/>
    </row>
    <row r="132" spans="139:139" ht="11.25" customHeight="1" x14ac:dyDescent="0.2">
      <c r="EI132" s="45"/>
    </row>
    <row r="133" spans="139:139" ht="11.25" customHeight="1" x14ac:dyDescent="0.2">
      <c r="EI133" s="45"/>
    </row>
    <row r="134" spans="139:139" ht="11.25" customHeight="1" x14ac:dyDescent="0.2">
      <c r="EI134" s="45"/>
    </row>
    <row r="135" spans="139:139" ht="11.25" customHeight="1" x14ac:dyDescent="0.2">
      <c r="EI135" s="45"/>
    </row>
    <row r="136" spans="139:139" ht="11.25" customHeight="1" x14ac:dyDescent="0.2">
      <c r="EI136" s="45"/>
    </row>
    <row r="137" spans="139:139" ht="11.25" customHeight="1" x14ac:dyDescent="0.2">
      <c r="EI137" s="45"/>
    </row>
    <row r="138" spans="139:139" ht="11.25" customHeight="1" x14ac:dyDescent="0.2">
      <c r="EI138" s="45"/>
    </row>
    <row r="139" spans="139:139" ht="11.25" customHeight="1" x14ac:dyDescent="0.2">
      <c r="EI139" s="45"/>
    </row>
    <row r="140" spans="139:139" ht="11.25" customHeight="1" x14ac:dyDescent="0.2">
      <c r="EI140" s="45"/>
    </row>
    <row r="141" spans="139:139" ht="11.25" customHeight="1" x14ac:dyDescent="0.2">
      <c r="EI141" s="45"/>
    </row>
    <row r="142" spans="139:139" ht="11.25" customHeight="1" x14ac:dyDescent="0.2">
      <c r="EI142" s="45"/>
    </row>
    <row r="143" spans="139:139" ht="11.25" customHeight="1" x14ac:dyDescent="0.2">
      <c r="EI143" s="45"/>
    </row>
    <row r="144" spans="139:139" ht="11.25" customHeight="1" x14ac:dyDescent="0.2">
      <c r="EI144" s="45"/>
    </row>
    <row r="145" spans="139:139" ht="11.25" customHeight="1" x14ac:dyDescent="0.2">
      <c r="EI145" s="45"/>
    </row>
    <row r="146" spans="139:139" ht="11.25" customHeight="1" x14ac:dyDescent="0.2">
      <c r="EI146" s="45"/>
    </row>
    <row r="147" spans="139:139" ht="11.25" customHeight="1" x14ac:dyDescent="0.2">
      <c r="EI147" s="45"/>
    </row>
    <row r="148" spans="139:139" ht="11.25" customHeight="1" x14ac:dyDescent="0.2">
      <c r="EI148" s="45"/>
    </row>
    <row r="149" spans="139:139" ht="11.25" customHeight="1" x14ac:dyDescent="0.2">
      <c r="EI149" s="45"/>
    </row>
    <row r="150" spans="139:139" ht="11.25" customHeight="1" x14ac:dyDescent="0.2">
      <c r="EI150" s="45"/>
    </row>
    <row r="151" spans="139:139" ht="11.25" customHeight="1" x14ac:dyDescent="0.2">
      <c r="EI151" s="45"/>
    </row>
    <row r="152" spans="139:139" ht="11.25" customHeight="1" x14ac:dyDescent="0.2">
      <c r="EI152" s="45"/>
    </row>
    <row r="153" spans="139:139" ht="11.25" customHeight="1" x14ac:dyDescent="0.2">
      <c r="EI153" s="45"/>
    </row>
    <row r="154" spans="139:139" ht="11.25" customHeight="1" x14ac:dyDescent="0.2">
      <c r="EI154" s="45"/>
    </row>
    <row r="155" spans="139:139" ht="11.25" customHeight="1" x14ac:dyDescent="0.2">
      <c r="EI155" s="45"/>
    </row>
    <row r="156" spans="139:139" ht="11.25" customHeight="1" x14ac:dyDescent="0.2">
      <c r="EI156" s="45"/>
    </row>
    <row r="157" spans="139:139" ht="11.25" customHeight="1" x14ac:dyDescent="0.2">
      <c r="EI157" s="45"/>
    </row>
    <row r="158" spans="139:139" ht="11.25" customHeight="1" x14ac:dyDescent="0.2">
      <c r="EI158" s="45"/>
    </row>
    <row r="159" spans="139:139" ht="11.25" customHeight="1" x14ac:dyDescent="0.2">
      <c r="EI159" s="45"/>
    </row>
    <row r="160" spans="139:139" ht="11.25" customHeight="1" x14ac:dyDescent="0.2">
      <c r="EI160" s="45"/>
    </row>
    <row r="161" spans="139:139" ht="11.25" customHeight="1" x14ac:dyDescent="0.2">
      <c r="EI161" s="45"/>
    </row>
    <row r="162" spans="139:139" ht="11.25" customHeight="1" x14ac:dyDescent="0.2">
      <c r="EI162" s="45"/>
    </row>
    <row r="163" spans="139:139" ht="11.25" customHeight="1" x14ac:dyDescent="0.2">
      <c r="EI163" s="45"/>
    </row>
    <row r="164" spans="139:139" ht="11.25" customHeight="1" x14ac:dyDescent="0.2">
      <c r="EI164" s="45"/>
    </row>
    <row r="165" spans="139:139" ht="11.25" customHeight="1" x14ac:dyDescent="0.2">
      <c r="EI165" s="45"/>
    </row>
    <row r="166" spans="139:139" ht="11.25" customHeight="1" x14ac:dyDescent="0.2">
      <c r="EI166" s="45"/>
    </row>
    <row r="167" spans="139:139" ht="11.25" customHeight="1" x14ac:dyDescent="0.2">
      <c r="EI167" s="45"/>
    </row>
    <row r="168" spans="139:139" ht="11.25" customHeight="1" x14ac:dyDescent="0.2">
      <c r="EI168" s="45"/>
    </row>
    <row r="169" spans="139:139" ht="11.25" customHeight="1" x14ac:dyDescent="0.2">
      <c r="EI169" s="45"/>
    </row>
    <row r="170" spans="139:139" ht="11.25" customHeight="1" x14ac:dyDescent="0.2">
      <c r="EI170" s="45"/>
    </row>
    <row r="171" spans="139:139" ht="11.25" customHeight="1" x14ac:dyDescent="0.2">
      <c r="EI171" s="45"/>
    </row>
    <row r="172" spans="139:139" ht="11.25" customHeight="1" x14ac:dyDescent="0.2">
      <c r="EI172" s="45"/>
    </row>
    <row r="173" spans="139:139" ht="11.25" customHeight="1" x14ac:dyDescent="0.2">
      <c r="EI173" s="45"/>
    </row>
    <row r="174" spans="139:139" ht="11.25" customHeight="1" x14ac:dyDescent="0.2">
      <c r="EI174" s="45"/>
    </row>
    <row r="175" spans="139:139" ht="11.25" customHeight="1" x14ac:dyDescent="0.2">
      <c r="EI175" s="45"/>
    </row>
    <row r="176" spans="139:139" ht="11.25" customHeight="1" x14ac:dyDescent="0.2">
      <c r="EI176" s="45"/>
    </row>
    <row r="177" spans="139:139" ht="11.25" customHeight="1" x14ac:dyDescent="0.2">
      <c r="EI177" s="45"/>
    </row>
    <row r="178" spans="139:139" ht="11.25" customHeight="1" x14ac:dyDescent="0.2">
      <c r="EI178" s="45"/>
    </row>
    <row r="179" spans="139:139" ht="11.25" customHeight="1" x14ac:dyDescent="0.2">
      <c r="EI179" s="45"/>
    </row>
    <row r="180" spans="139:139" ht="11.25" customHeight="1" x14ac:dyDescent="0.2">
      <c r="EI180" s="45"/>
    </row>
    <row r="181" spans="139:139" ht="11.25" customHeight="1" x14ac:dyDescent="0.2">
      <c r="EI181" s="45"/>
    </row>
    <row r="182" spans="139:139" ht="11.25" customHeight="1" x14ac:dyDescent="0.2">
      <c r="EI182" s="45"/>
    </row>
    <row r="183" spans="139:139" ht="11.25" customHeight="1" x14ac:dyDescent="0.2">
      <c r="EI183" s="45"/>
    </row>
    <row r="184" spans="139:139" ht="11.25" customHeight="1" x14ac:dyDescent="0.2">
      <c r="EI184" s="45"/>
    </row>
    <row r="185" spans="139:139" ht="11.25" customHeight="1" x14ac:dyDescent="0.2">
      <c r="EI185" s="45"/>
    </row>
    <row r="186" spans="139:139" ht="11.25" customHeight="1" x14ac:dyDescent="0.2">
      <c r="EI186" s="45"/>
    </row>
    <row r="187" spans="139:139" ht="11.25" customHeight="1" x14ac:dyDescent="0.2">
      <c r="EI187" s="45"/>
    </row>
    <row r="188" spans="139:139" ht="11.25" customHeight="1" x14ac:dyDescent="0.2">
      <c r="EI188" s="45"/>
    </row>
    <row r="189" spans="139:139" ht="11.25" customHeight="1" x14ac:dyDescent="0.2">
      <c r="EI189" s="45"/>
    </row>
    <row r="190" spans="139:139" ht="11.25" customHeight="1" x14ac:dyDescent="0.2">
      <c r="EI190" s="45"/>
    </row>
    <row r="191" spans="139:139" ht="11.25" customHeight="1" x14ac:dyDescent="0.2">
      <c r="EI191" s="45"/>
    </row>
    <row r="192" spans="139:139" ht="11.25" customHeight="1" x14ac:dyDescent="0.2">
      <c r="EI192" s="45"/>
    </row>
    <row r="193" spans="139:139" ht="11.25" customHeight="1" x14ac:dyDescent="0.2">
      <c r="EI193" s="45"/>
    </row>
    <row r="194" spans="139:139" ht="11.25" customHeight="1" x14ac:dyDescent="0.2">
      <c r="EI194" s="45"/>
    </row>
    <row r="195" spans="139:139" ht="11.25" customHeight="1" x14ac:dyDescent="0.2">
      <c r="EI195" s="45"/>
    </row>
    <row r="196" spans="139:139" ht="11.25" customHeight="1" x14ac:dyDescent="0.2">
      <c r="EI196" s="45"/>
    </row>
    <row r="197" spans="139:139" ht="11.25" customHeight="1" x14ac:dyDescent="0.2">
      <c r="EI197" s="45"/>
    </row>
    <row r="198" spans="139:139" ht="11.25" customHeight="1" x14ac:dyDescent="0.2">
      <c r="EI198" s="45"/>
    </row>
    <row r="199" spans="139:139" ht="11.25" customHeight="1" x14ac:dyDescent="0.2">
      <c r="EI199" s="45"/>
    </row>
    <row r="200" spans="139:139" ht="11.25" customHeight="1" x14ac:dyDescent="0.2">
      <c r="EI200" s="45"/>
    </row>
    <row r="201" spans="139:139" ht="11.25" customHeight="1" x14ac:dyDescent="0.2">
      <c r="EI201" s="45"/>
    </row>
    <row r="202" spans="139:139" ht="11.25" customHeight="1" x14ac:dyDescent="0.2">
      <c r="EI202" s="45"/>
    </row>
    <row r="203" spans="139:139" ht="11.25" customHeight="1" x14ac:dyDescent="0.2">
      <c r="EI203" s="45"/>
    </row>
    <row r="204" spans="139:139" ht="11.25" customHeight="1" x14ac:dyDescent="0.2">
      <c r="EI204" s="45"/>
    </row>
    <row r="205" spans="139:139" ht="11.25" customHeight="1" x14ac:dyDescent="0.2">
      <c r="EI205" s="45"/>
    </row>
    <row r="206" spans="139:139" ht="11.25" customHeight="1" x14ac:dyDescent="0.2">
      <c r="EI206" s="45"/>
    </row>
    <row r="207" spans="139:139" ht="11.25" customHeight="1" x14ac:dyDescent="0.2">
      <c r="EI207" s="45"/>
    </row>
    <row r="208" spans="139:139" ht="11.25" customHeight="1" x14ac:dyDescent="0.2">
      <c r="EI208" s="45"/>
    </row>
    <row r="209" spans="139:139" ht="11.25" customHeight="1" x14ac:dyDescent="0.2">
      <c r="EI209" s="45"/>
    </row>
  </sheetData>
  <hyperlinks>
    <hyperlink ref="EG4" r:id="rId1"/>
  </hyperlinks>
  <pageMargins left="0" right="0" top="0" bottom="0" header="0" footer="0"/>
  <pageSetup paperSize="5" scale="55" orientation="landscape" r:id="rId2"/>
  <ignoredErrors>
    <ignoredError sqref="EI69:EI72 BS51:CD51 EI51 BS11:DD16 BS52:CD53 EI64:EI66 BS67:BX67 EI67 BS50:CD50 EI50 EI52:EI53 BS55:CD56 EI56 CE54:DD54 BS34:CD34 BS17:CD20 EI17:EI29 BS30:CD33 EI30:EI33 EI42:EI46 BS35:CD35 EI11:EI12 BS36:CD40 EI39 BS41:CD41 BS87:CD87 BS76:CD76 BS59:CD60 EI58 BS49:DD49 EI49 BS77:CD85 EI77:EI85 BS86:CD86 EI86 EH96:EI101 BS88:CD89 EI88:EI89 BS90:CD90 EI90 BS75:CD75 EI75 EI87 CY68:DC68 EI76 EI48 BS47:DD47 EI47 EI40 EI60 EI59 EI14:EI16 EI74 BS73:CJ73 EI73 CF34:DD34 CF75:DD75 CF87:CP87 CF76:CP76 CF77:CP85 CF86:CP86 CF88:CP89 BS91:CD91 EI91 CF90:CP90 CF35:DD35 CF36:DD40 CF41:DD41 CF58:DD60 CE33:CE38 CE40 BS61:DD63 EI61:EI63 CF91:CP91 CL73:DD73 BS74:DD74 BS48:DD48 BS100:DU100 BS42:DD46 BZ67:DD67 BS64:DD66 BS69:DD72 BS92:CP92 CG57:DD57 BS93:CK99 BS23:CD29 BT21:BX21 BZ21:CD21 BT22:BX22 BZ22:CD22 BT58:BX58 BZ58:CD58 EI92:EI95 CR93:DD95 CR96:DJ99 DU96:DU99 CQ92:DD92 CQ91:DD91 DB87:DD87 CQ90:DD90 CQ88:DD89 CQ86:DD86 CQ77:DD85 CQ76:DD76 CQ87:CY87 CQ93:CQ95 CZ87:DA87 CQ96:CQ99 DP96:DT99 CE77:CE91 BS101:CP101 DP101:DU101 EA11:EG16 EA18:EG28 EA30:EG101 DL96:DO99 EA103:EG109" unlockedFormula="1"/>
    <ignoredError sqref="CE55:DD56 CE50:DD50 CE51:DD51 CE52:DD53 CE17:DA20 CE30:DD32 DB17:DD29 CF33:DD33 CE23:DA29 CF21:DA21 CF22:DA22 EA17:EG17 EA29:EG29" formula="1" unlockedFormula="1"/>
    <ignoredError sqref="DF15:DH15 DE17 DF17 DG17 DH17 DE16:DH16 DQ49:DT55 DQ58:DT60 DQ56:DT56 DU58:DU60 DQ57:DU57 DU49:DU55 DK47:DP47 DI47 DP41 DI41 DP40 DI40 DP42:DP46 DJ40 DJ41 DJ47 DI43:DO46 DQ27:DT29 DI15:DJ15 DI16:DJ16 DG27:DG29 DF27 DE27:DE29 DJ39 DH63:DH73 DI73:DJ73 DH49:DH60 DH40 DH29:DH38 DH25 DH26:DH27 DH18:DH22 DH13:DH14 DQ34:DT41 DQ30:DT32 DQ33:DT33 DQ11:DT13 DQ14:DT25 DQ8:DU10 DU11:DU13 DU30:DU32 DU34:DU41 DU33 DU42:DU46 DG13 DF14:DG14 DG18:DG19 DF20:DG20 DF28 DF12:DG12 DF21:DF25 DF18:DF19 DF13 DF29 DG21:DG25 DU48 DG36:DG41 DG49:DG72 DG30:DG34 DG47 DG35 DG48 DG42:DG46 DH42:DH46 DH48:DN48 DI35:DJ35 DH47 DI57:DJ57 DI69:DJ72 DI64:DJ66 DI67:DJ67 DH61:DH62 DI68:DJ68 DE57:DF57 DU62:DU74 DE69:DF72 DE64:DF66 DE67:DF67 DE42:DF46 DI11:DJ12 DI58:DJ58 DI49:DJ49 DE48:DF48 DI60:DJ60 DI59:DJ59 DE74:DJ74 DE73:DG73 DI61:DJ63 DF31:DF34 DF36:DF41 DF51 DF50 DF60 DF49 DF54 DF55:DF56 DF58 DF59 DF52:DF53 DF61:DF63 EH61:EH63 DE61:DE63 EH55 EH91 EH73 EH74 DE41 DE36:DE39 DE40 DE34 DE13:DE14 DE30:DE33 DE35 DE18:DE25 DI30:DJ33 DI13:DJ14 DI34:DJ34 DI36:DJ38 DF35 EH13:EH16 DE47:DF47 EH59 EH60 EH40 EH47 EH48 EH76 DF68 DE68 DE58:DE60 DE49:DE50 EH87 EH75 EH90 EH88:EH89 EH92:EH95 EH86 EH77:EH85 EH49 DI54:DJ54 EH58 EH41 EH39 EH11:EH12 EH42:EH46 EH30:EH33 EH17:EH29 EH56 EH52:EH53 EH50 EH67 EH64:EH66 EH51 EH69:EH72 DJ75 DU75 DP75:DT75 DE75:DI75 DE87:DI87 DE77:DI85 DE86:DI86 DE88:DI89 DE90:DI90 DE76:DI76 DP76:DT76 DP87:DT87 DP90:DT90 DP88:DT89 DO86:DT86 DO77:DT85 DU76:DU90 DJ77:DJ85 DJ86 DJ88:DJ89 DJ90 DJ87 DJ76 DU91:DU95 DE91:DF91 DE92:DJ92 DH91:DJ91 DE93:DJ95 DP91:DT91 DP92:DT92 DG91 DP93:DT95 DO26 DL40:DO40 DL41:DO41 DI42:DJ42 DL42:DO42 DL15:DN15 DL16:DO16 DL39:DO39 DL35:DO35 DL11:DO12 DL30:DO33 DL13:DO14 DL34:DO34 DL36:DO38 DL73:DO73 DL57:DP57 DL69:DO72 DL64:DO66 DL67:DO67 DL68:DO68 DL58:DO58 DL49:DO49 DL60:DO60 DL59:DO59 DL74:DO74 DL61:DO63 DL54:DO54 DL75:DO75 DL77:DN85 DL86:DN86 DL88:DO89 DL90:DO90 DL87:DO87 DL76:DO76 DL92:DO92 DL91:DO91 DL93:DO95" formulaRange="1" unlockedFormula="1"/>
    <ignoredError sqref="DU27:DU29 DI26 DI27:DJ29 DU14:DU25 DU56 DI17:DJ25 DE51:DE56 DI52:DJ53 DI50:DJ50 DI55:DJ56 DI51:DJ51 DL27:DO29 DL17:DO25 DL52:DO53 DL50:DO50 DL55:DO56 DL51:DO51" formula="1" formulaRange="1" unlockedFormula="1"/>
    <ignoredError sqref="EH7 DP50 DF30 DE11:DH11 DH39:DI39 DH41 DP54 DP36:DP38 DP34 DP14 DP33 DF26:DG26 DP20 DP74:DT74 DP52:DP53 DP55 DP56 DP51 DP61:DT63 DP59 DP60 DP49 DP58 DP11:DP12 DP13 EH68 DP68:DT68 DP67:DT67 DP64:DT66 DP69:DT72 DP35 DO48:DT48 DQ42:DT46 DH23:DH24 DP18:DP19 DE12 DH12 DH28 DP30:DP32 DE8:DP10 EH8:EH10 DP21:DP22 DJ26 DP25 DP29 DP73:DT73 DP39 DP16 DO15:DP15 DP27 DQ47:DU47 EH57 EH54 DP17 DP23:DP24 DP28 DV8:EA10 DE7:EA7 DP26:DU26 DL26:DN26"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G411"/>
  <sheetViews>
    <sheetView zoomScaleNormal="100" workbookViewId="0">
      <pane xSplit="3" ySplit="9" topLeftCell="D10" activePane="bottomRight" state="frozen"/>
      <selection pane="topRight" activeCell="D1" sqref="D1"/>
      <selection pane="bottomLeft" activeCell="A10" sqref="A10"/>
      <selection pane="bottomRight" sqref="A1:XFD1048576"/>
    </sheetView>
  </sheetViews>
  <sheetFormatPr defaultColWidth="8.7109375" defaultRowHeight="11.25" outlineLevelRow="2" outlineLevelCol="1" x14ac:dyDescent="0.2"/>
  <cols>
    <col min="1" max="1" width="31.28515625" style="45" bestFit="1" customWidth="1"/>
    <col min="2" max="3" width="0.85546875" style="45" hidden="1" customWidth="1"/>
    <col min="4" max="4" width="0.85546875" style="45" customWidth="1"/>
    <col min="5" max="5" width="8.140625" style="45" hidden="1" customWidth="1" outlineLevel="1"/>
    <col min="6" max="6" width="0.85546875" style="45" hidden="1" customWidth="1" outlineLevel="1"/>
    <col min="7" max="7" width="8.140625" style="45" hidden="1" customWidth="1" outlineLevel="1"/>
    <col min="8" max="8" width="0.85546875" style="45" hidden="1" customWidth="1" outlineLevel="1"/>
    <col min="9" max="9" width="8.140625" style="45" hidden="1" customWidth="1" outlineLevel="1"/>
    <col min="10" max="10" width="0.85546875" style="45" hidden="1" customWidth="1" outlineLevel="1"/>
    <col min="11" max="11" width="8.140625" style="45" hidden="1" customWidth="1" outlineLevel="1"/>
    <col min="12" max="12" width="0.85546875" style="45" hidden="1" customWidth="1" outlineLevel="1"/>
    <col min="13" max="17" width="8.140625" style="45" hidden="1" customWidth="1" outlineLevel="1"/>
    <col min="18" max="18" width="0.85546875" style="45" hidden="1" customWidth="1" outlineLevel="1"/>
    <col min="19" max="23" width="8.140625" style="45" hidden="1" customWidth="1" outlineLevel="1"/>
    <col min="24" max="24" width="0.85546875" style="45" hidden="1" customWidth="1" outlineLevel="1"/>
    <col min="25" max="29" width="8.140625" style="45" hidden="1" customWidth="1" outlineLevel="1"/>
    <col min="30" max="30" width="0.85546875" style="45" hidden="1" customWidth="1" outlineLevel="1"/>
    <col min="31" max="35" width="8.140625" style="45" hidden="1" customWidth="1" outlineLevel="1"/>
    <col min="36" max="36" width="0.85546875" style="45" hidden="1" customWidth="1" outlineLevel="1"/>
    <col min="37" max="41" width="8.140625" style="45" hidden="1" customWidth="1" outlineLevel="1"/>
    <col min="42" max="42" width="0.85546875" style="45" hidden="1" customWidth="1" outlineLevel="1"/>
    <col min="43" max="47" width="8.140625" style="45" hidden="1" customWidth="1" outlineLevel="1"/>
    <col min="48" max="48" width="0.85546875" style="45" hidden="1" customWidth="1" outlineLevel="1"/>
    <col min="49" max="53" width="8.140625" style="45" hidden="1" customWidth="1" outlineLevel="1"/>
    <col min="54" max="54" width="0.85546875" style="45" hidden="1" customWidth="1" outlineLevel="1"/>
    <col min="55" max="59" width="8.140625" style="45" hidden="1" customWidth="1" outlineLevel="1"/>
    <col min="60" max="60" width="0.85546875" style="45" hidden="1" customWidth="1" outlineLevel="1"/>
    <col min="61" max="65" width="8.140625" style="45" hidden="1" customWidth="1" outlineLevel="1"/>
    <col min="66" max="66" width="0.85546875" style="45" hidden="1" customWidth="1" outlineLevel="1"/>
    <col min="67" max="71" width="8.140625" style="45" hidden="1" customWidth="1" outlineLevel="1"/>
    <col min="72" max="72" width="0.85546875" style="45" hidden="1" customWidth="1" outlineLevel="1"/>
    <col min="73" max="77" width="7.28515625" style="45" hidden="1" customWidth="1" outlineLevel="1"/>
    <col min="78" max="78" width="0.85546875" style="45" hidden="1" customWidth="1" outlineLevel="1"/>
    <col min="79" max="82" width="7.28515625" style="45" hidden="1" customWidth="1" outlineLevel="1"/>
    <col min="83" max="83" width="7.28515625" style="45" customWidth="1" collapsed="1"/>
    <col min="84" max="84" width="0.85546875" style="45" customWidth="1"/>
    <col min="85" max="88" width="7.28515625" style="45" hidden="1" customWidth="1" outlineLevel="1"/>
    <col min="89" max="89" width="7.28515625" style="45" customWidth="1" collapsed="1"/>
    <col min="90" max="90" width="0.85546875" style="45" customWidth="1"/>
    <col min="91" max="94" width="7.28515625" style="45" hidden="1" customWidth="1" outlineLevel="1"/>
    <col min="95" max="95" width="7.28515625" style="45" customWidth="1" collapsed="1"/>
    <col min="96" max="96" width="0.85546875" style="45" customWidth="1"/>
    <col min="97" max="100" width="7.28515625" style="45" hidden="1" customWidth="1" outlineLevel="1"/>
    <col min="101" max="101" width="7.28515625" style="45" customWidth="1" collapsed="1"/>
    <col min="102" max="102" width="0.85546875" style="45" customWidth="1"/>
    <col min="103" max="106" width="7.28515625" style="45" hidden="1" customWidth="1" outlineLevel="1"/>
    <col min="107" max="107" width="7.28515625" style="45" customWidth="1" collapsed="1"/>
    <col min="108" max="108" width="0.85546875" style="45" customWidth="1"/>
    <col min="109" max="112" width="7.28515625" style="45" customWidth="1" outlineLevel="1"/>
    <col min="113" max="113" width="7.28515625" style="45" customWidth="1"/>
    <col min="114" max="114" width="0.85546875" style="45" customWidth="1"/>
    <col min="115" max="118" width="7.28515625" style="45" customWidth="1" outlineLevel="1"/>
    <col min="119" max="119" width="7.28515625" style="45" customWidth="1"/>
    <col min="120" max="120" width="0.85546875" style="45" customWidth="1"/>
    <col min="121" max="124" width="7.28515625" style="45" hidden="1" customWidth="1" outlineLevel="1"/>
    <col min="125" max="125" width="7.28515625" style="45" customWidth="1" collapsed="1"/>
    <col min="126" max="126" width="0.85546875" style="45" customWidth="1"/>
    <col min="127" max="130" width="7.28515625" style="45" hidden="1" customWidth="1" outlineLevel="1"/>
    <col min="131" max="131" width="7.28515625" style="45" customWidth="1" collapsed="1"/>
    <col min="132" max="132" width="0.85546875" style="45" customWidth="1"/>
    <col min="133" max="136" width="7.28515625" style="45" customWidth="1" outlineLevel="1"/>
    <col min="137" max="137" width="7.28515625" style="45" customWidth="1"/>
    <col min="138" max="16384" width="8.7109375" style="45"/>
  </cols>
  <sheetData>
    <row r="1" spans="1:137" ht="12.75" customHeight="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row>
    <row r="2" spans="1:137" ht="12.75" customHeight="1" x14ac:dyDescent="0.2">
      <c r="A2" s="3" t="s">
        <v>41</v>
      </c>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7"/>
      <c r="BB2" s="2"/>
      <c r="BC2" s="7"/>
      <c r="BD2" s="7"/>
      <c r="BE2" s="7"/>
      <c r="BF2" s="7"/>
      <c r="BG2" s="7"/>
      <c r="BH2" s="2"/>
      <c r="BI2" s="7"/>
      <c r="BJ2" s="7"/>
      <c r="BK2" s="7"/>
      <c r="BL2" s="7"/>
      <c r="BM2" s="7"/>
      <c r="BN2" s="2"/>
      <c r="BO2" s="7"/>
      <c r="BP2" s="7"/>
      <c r="BQ2" s="7"/>
      <c r="BR2" s="7"/>
      <c r="BS2" s="7"/>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7"/>
      <c r="DV2" s="2"/>
      <c r="DW2" s="2"/>
      <c r="DX2" s="2"/>
      <c r="DY2" s="2"/>
      <c r="DZ2" s="2"/>
      <c r="EA2" s="7"/>
      <c r="EB2" s="2"/>
      <c r="EC2" s="2"/>
      <c r="ED2" s="2"/>
      <c r="EE2" s="2"/>
      <c r="EF2" s="2"/>
      <c r="EG2" s="7" t="s">
        <v>222</v>
      </c>
    </row>
    <row r="3" spans="1:137" ht="12.75" customHeight="1" x14ac:dyDescent="0.2">
      <c r="A3" s="3" t="s">
        <v>376</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7"/>
      <c r="BB3" s="2"/>
      <c r="BC3" s="7"/>
      <c r="BD3" s="7"/>
      <c r="BE3" s="7"/>
      <c r="BF3" s="7"/>
      <c r="BG3" s="7"/>
      <c r="BH3" s="2"/>
      <c r="BI3" s="7"/>
      <c r="BJ3" s="7"/>
      <c r="BK3" s="7"/>
      <c r="BL3" s="7"/>
      <c r="BM3" s="7"/>
      <c r="BN3" s="2"/>
      <c r="BO3" s="7"/>
      <c r="BP3" s="7"/>
      <c r="BQ3" s="7"/>
      <c r="BR3" s="7"/>
      <c r="BS3" s="7"/>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47"/>
      <c r="DC3" s="247"/>
      <c r="DD3" s="2"/>
      <c r="DE3" s="2"/>
      <c r="DF3" s="2"/>
      <c r="DG3" s="2"/>
      <c r="DH3" s="1073"/>
      <c r="DI3" s="2"/>
      <c r="DJ3" s="2"/>
      <c r="DK3" s="2"/>
      <c r="DL3" s="2"/>
      <c r="DM3" s="2"/>
      <c r="DN3" s="2"/>
      <c r="DO3" s="2"/>
      <c r="DP3" s="2"/>
      <c r="DQ3" s="2"/>
      <c r="DR3" s="2"/>
      <c r="DS3" s="2"/>
      <c r="DT3" s="2"/>
      <c r="DU3" s="7"/>
      <c r="DV3" s="2"/>
      <c r="DW3" s="2"/>
      <c r="DX3" s="2"/>
      <c r="DY3" s="2"/>
      <c r="DZ3" s="2"/>
      <c r="EA3" s="7"/>
      <c r="EB3" s="2"/>
      <c r="EC3" s="2"/>
      <c r="ED3" s="2"/>
      <c r="EE3" s="2"/>
      <c r="EF3" s="2"/>
      <c r="EG3" s="7" t="s">
        <v>223</v>
      </c>
    </row>
    <row r="4" spans="1:137" ht="12.75" customHeight="1" x14ac:dyDescent="0.2">
      <c r="A4" s="3"/>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7"/>
      <c r="BB4" s="2"/>
      <c r="BC4" s="7"/>
      <c r="BD4" s="7"/>
      <c r="BE4" s="7"/>
      <c r="BF4" s="7"/>
      <c r="BG4" s="7"/>
      <c r="BH4" s="2"/>
      <c r="BI4" s="7"/>
      <c r="BJ4" s="7"/>
      <c r="BK4" s="7"/>
      <c r="BL4" s="7"/>
      <c r="BM4" s="7"/>
      <c r="BN4" s="2"/>
      <c r="BO4" s="7"/>
      <c r="BP4" s="7"/>
      <c r="BQ4" s="7"/>
      <c r="BR4" s="7"/>
      <c r="BS4" s="7"/>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47"/>
      <c r="DC4" s="247"/>
      <c r="DD4" s="2"/>
      <c r="DE4" s="2"/>
      <c r="DF4" s="2"/>
      <c r="DG4" s="2"/>
      <c r="DH4" s="1072"/>
      <c r="DI4" s="2"/>
      <c r="DJ4" s="2"/>
      <c r="DK4" s="2"/>
      <c r="DL4" s="2"/>
      <c r="DM4" s="2"/>
      <c r="DN4" s="2"/>
      <c r="DO4" s="2"/>
      <c r="DP4" s="2"/>
      <c r="DQ4" s="2"/>
      <c r="DR4" s="2"/>
      <c r="DS4" s="2"/>
      <c r="DT4" s="2"/>
      <c r="DU4" s="7"/>
      <c r="DV4" s="2"/>
      <c r="DW4" s="2"/>
      <c r="DX4" s="2"/>
      <c r="DY4" s="2"/>
      <c r="DZ4" s="2"/>
      <c r="EA4" s="7"/>
      <c r="EB4" s="2"/>
      <c r="EC4" s="2"/>
      <c r="ED4" s="2"/>
      <c r="EE4" s="2"/>
      <c r="EF4" s="2"/>
      <c r="EG4" s="64" t="s">
        <v>232</v>
      </c>
    </row>
    <row r="5" spans="1:137" ht="12.75" customHeight="1" x14ac:dyDescent="0.2">
      <c r="A5" s="2" t="s">
        <v>228</v>
      </c>
      <c r="B5" s="2"/>
      <c r="C5" s="2"/>
      <c r="D5" s="2"/>
      <c r="E5" s="2"/>
      <c r="F5" s="2"/>
      <c r="G5" s="2"/>
      <c r="H5" s="2"/>
      <c r="I5" s="2"/>
      <c r="J5" s="2"/>
      <c r="K5" s="2"/>
      <c r="L5" s="2"/>
      <c r="M5" s="2"/>
      <c r="N5" s="2"/>
      <c r="O5" s="2"/>
      <c r="P5" s="2"/>
      <c r="Q5" s="2"/>
      <c r="R5" s="2"/>
      <c r="S5" s="2"/>
      <c r="T5" s="2"/>
      <c r="U5" s="2"/>
      <c r="V5" s="2"/>
      <c r="W5" s="35"/>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7"/>
      <c r="BB5" s="2"/>
      <c r="BC5" s="7"/>
      <c r="BD5" s="7"/>
      <c r="BE5" s="7"/>
      <c r="BF5" s="7"/>
      <c r="BG5" s="7"/>
      <c r="BH5" s="2"/>
      <c r="BI5" s="7"/>
      <c r="BJ5" s="7"/>
      <c r="BK5" s="7"/>
      <c r="BL5" s="7"/>
      <c r="BM5" s="7"/>
      <c r="BN5" s="2"/>
      <c r="BO5" s="7"/>
      <c r="BP5" s="7"/>
      <c r="BQ5" s="7"/>
      <c r="BR5" s="7"/>
      <c r="BS5" s="7"/>
      <c r="BT5" s="2"/>
      <c r="BU5" s="2"/>
      <c r="BV5" s="2"/>
      <c r="BW5" s="2"/>
      <c r="BX5" s="2"/>
      <c r="BY5" s="2"/>
      <c r="BZ5" s="2"/>
      <c r="CA5" s="2"/>
      <c r="CB5" s="2"/>
      <c r="CC5" s="2"/>
      <c r="CD5" s="2"/>
      <c r="CE5" s="2"/>
      <c r="CF5" s="2"/>
      <c r="CG5" s="2"/>
      <c r="CH5" s="2"/>
      <c r="CI5" s="2"/>
      <c r="CJ5" s="2"/>
      <c r="CK5" s="2"/>
      <c r="CL5" s="2"/>
      <c r="CM5" s="2"/>
      <c r="CN5" s="2"/>
      <c r="CO5" s="58"/>
      <c r="CP5" s="58"/>
      <c r="CQ5" s="58"/>
      <c r="CR5" s="58"/>
      <c r="CS5" s="58"/>
      <c r="CT5" s="2"/>
      <c r="CU5" s="58"/>
      <c r="CV5" s="58"/>
      <c r="CW5" s="58"/>
      <c r="CX5" s="58"/>
      <c r="CY5" s="58"/>
      <c r="CZ5" s="2"/>
      <c r="DA5" s="58"/>
      <c r="DB5" s="1197"/>
      <c r="DC5" s="1197"/>
      <c r="DD5" s="58"/>
      <c r="DE5" s="58"/>
      <c r="DF5" s="2"/>
      <c r="DG5" s="2"/>
      <c r="DH5" s="2"/>
      <c r="DI5" s="2"/>
      <c r="DJ5" s="2"/>
      <c r="DK5" s="2"/>
      <c r="DL5" s="2"/>
      <c r="DM5" s="2"/>
      <c r="DN5" s="2"/>
      <c r="DO5" s="2"/>
      <c r="DP5" s="2"/>
      <c r="DQ5" s="2"/>
      <c r="DR5" s="2"/>
      <c r="DS5" s="2"/>
      <c r="DT5" s="2"/>
      <c r="DU5" s="64"/>
      <c r="DV5" s="2"/>
      <c r="DW5" s="2"/>
      <c r="DX5" s="2"/>
      <c r="DY5" s="2"/>
      <c r="DZ5" s="2"/>
      <c r="EA5" s="64"/>
      <c r="EB5" s="2"/>
      <c r="EC5" s="2"/>
      <c r="ED5" s="2"/>
      <c r="EE5" s="2"/>
      <c r="EF5" s="2"/>
    </row>
    <row r="6" spans="1:137" ht="12.75" customHeight="1" x14ac:dyDescent="0.2">
      <c r="A6" s="2" t="s">
        <v>229</v>
      </c>
      <c r="B6" s="4"/>
      <c r="C6" s="4"/>
      <c r="D6" s="4"/>
      <c r="E6" s="2"/>
      <c r="F6" s="2"/>
      <c r="G6" s="2"/>
      <c r="H6" s="2"/>
      <c r="I6" s="2"/>
      <c r="J6" s="2"/>
      <c r="K6" s="2"/>
      <c r="L6" s="2"/>
      <c r="M6" s="2"/>
      <c r="N6" s="2"/>
      <c r="O6" s="2"/>
      <c r="P6" s="2"/>
      <c r="Q6" s="2"/>
      <c r="R6" s="2"/>
      <c r="S6" s="2"/>
      <c r="T6" s="2"/>
      <c r="U6" s="2"/>
      <c r="V6" s="2"/>
      <c r="W6" s="2"/>
      <c r="X6" s="2"/>
      <c r="Y6" s="2"/>
      <c r="Z6" s="2"/>
      <c r="AA6" s="2"/>
      <c r="AB6" s="2"/>
      <c r="AC6" s="2"/>
      <c r="AD6" s="2"/>
      <c r="AE6" s="2"/>
      <c r="AF6" s="4"/>
      <c r="AG6" s="4"/>
      <c r="AH6" s="4"/>
      <c r="AI6" s="4"/>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1072"/>
      <c r="DI6" s="2"/>
      <c r="DJ6" s="2"/>
      <c r="DK6" s="2"/>
      <c r="DL6" s="2"/>
      <c r="DM6" s="2"/>
      <c r="DN6" s="2"/>
      <c r="DO6" s="2"/>
      <c r="DP6" s="2"/>
      <c r="DQ6" s="2"/>
      <c r="DR6" s="2"/>
      <c r="DS6" s="2"/>
      <c r="DT6" s="2"/>
      <c r="DU6" s="2"/>
      <c r="DV6" s="2"/>
      <c r="DW6" s="2"/>
      <c r="DX6" s="2"/>
      <c r="DY6" s="2"/>
      <c r="DZ6" s="2"/>
      <c r="EA6" s="2"/>
      <c r="EB6" s="2"/>
      <c r="EC6" s="2"/>
      <c r="ED6" s="2"/>
      <c r="EE6" s="2"/>
      <c r="EF6" s="2"/>
      <c r="EG6" s="2"/>
    </row>
    <row r="7" spans="1:137" ht="12.75" customHeight="1" x14ac:dyDescent="0.2">
      <c r="A7" s="2"/>
      <c r="B7" s="55"/>
      <c r="C7" s="55"/>
      <c r="D7" s="55"/>
      <c r="E7" s="57"/>
      <c r="F7" s="57"/>
      <c r="G7" s="57"/>
      <c r="H7" s="57"/>
      <c r="I7" s="57"/>
      <c r="J7" s="57"/>
      <c r="K7" s="57"/>
      <c r="L7" s="57"/>
      <c r="M7" s="57"/>
      <c r="N7" s="57"/>
      <c r="O7" s="57"/>
      <c r="P7" s="57"/>
      <c r="Q7" s="57"/>
      <c r="R7" s="57"/>
      <c r="S7" s="57"/>
      <c r="T7" s="57"/>
      <c r="U7" s="57"/>
      <c r="V7" s="57"/>
      <c r="W7" s="57"/>
      <c r="X7" s="57"/>
      <c r="Y7" s="57"/>
      <c r="Z7" s="57"/>
      <c r="AA7" s="57"/>
      <c r="AB7" s="57"/>
      <c r="AC7" s="57"/>
      <c r="AD7" s="57"/>
      <c r="AE7" s="2"/>
      <c r="AF7" s="57"/>
      <c r="AG7" s="57"/>
      <c r="AH7" s="57"/>
      <c r="AI7" s="57"/>
      <c r="AJ7" s="57"/>
      <c r="AK7" s="57"/>
      <c r="AL7" s="57"/>
      <c r="AM7" s="57"/>
      <c r="AN7" s="57"/>
      <c r="AO7" s="57"/>
      <c r="AP7" s="57"/>
      <c r="AQ7" s="57"/>
      <c r="AR7" s="57"/>
      <c r="AS7" s="57"/>
      <c r="AT7" s="57"/>
      <c r="AU7" s="57"/>
      <c r="AV7" s="57"/>
      <c r="AW7" s="57"/>
      <c r="AX7" s="57"/>
      <c r="AY7" s="57"/>
      <c r="AZ7" s="57"/>
      <c r="BA7" s="57"/>
      <c r="BB7" s="57"/>
      <c r="BC7" s="57"/>
      <c r="BD7" s="57"/>
      <c r="BE7" s="57"/>
      <c r="BF7" s="57"/>
      <c r="BG7" s="57"/>
      <c r="BH7" s="57"/>
      <c r="BI7" s="57"/>
      <c r="BJ7" s="57"/>
      <c r="BK7" s="57"/>
      <c r="BL7" s="57"/>
      <c r="BM7" s="2"/>
      <c r="BN7" s="57"/>
      <c r="BO7" s="2"/>
      <c r="BP7" s="2"/>
      <c r="BQ7" s="2"/>
      <c r="BR7" s="2"/>
      <c r="BS7" s="2"/>
      <c r="BT7" s="57"/>
      <c r="BU7" s="2"/>
      <c r="BV7" s="2"/>
      <c r="BW7" s="2"/>
      <c r="BX7" s="2"/>
      <c r="BY7" s="2"/>
      <c r="BZ7" s="57"/>
      <c r="CA7" s="2"/>
      <c r="CB7" s="2"/>
      <c r="CC7" s="2"/>
      <c r="CD7" s="2"/>
      <c r="CE7" s="2"/>
      <c r="CF7" s="57"/>
      <c r="CG7" s="2"/>
      <c r="CH7" s="2"/>
      <c r="CI7" s="2"/>
      <c r="CJ7" s="2"/>
      <c r="CK7" s="2"/>
      <c r="CL7" s="57"/>
      <c r="CM7" s="2"/>
      <c r="CN7" s="2"/>
      <c r="CO7" s="2"/>
      <c r="CP7" s="2"/>
      <c r="CQ7" s="2"/>
      <c r="CR7" s="57"/>
      <c r="CS7" s="2"/>
      <c r="CT7" s="2"/>
      <c r="CU7" s="2"/>
      <c r="CV7" s="2"/>
      <c r="CW7" s="2"/>
      <c r="CX7" s="57"/>
      <c r="CY7" s="5"/>
      <c r="CZ7" s="5"/>
      <c r="DA7" s="5"/>
      <c r="DB7" s="247"/>
      <c r="DC7" s="247"/>
      <c r="DD7" s="57"/>
      <c r="DE7" s="5"/>
      <c r="DF7" s="5"/>
      <c r="DG7" s="5"/>
      <c r="DH7" s="2"/>
      <c r="DI7" s="2"/>
      <c r="DJ7" s="57"/>
      <c r="DK7" s="2"/>
      <c r="DL7" s="2"/>
      <c r="DM7" s="2"/>
      <c r="DN7" s="2"/>
      <c r="DO7" s="2"/>
      <c r="DP7" s="57"/>
      <c r="DQ7" s="2"/>
      <c r="DR7" s="2"/>
      <c r="DS7" s="2"/>
      <c r="DT7" s="2"/>
      <c r="DU7" s="2"/>
      <c r="DV7" s="57"/>
      <c r="DW7" s="2"/>
      <c r="DX7" s="2"/>
      <c r="DY7" s="2"/>
      <c r="DZ7" s="2"/>
      <c r="EA7" s="2"/>
      <c r="EB7" s="57"/>
      <c r="EC7" s="2"/>
      <c r="ED7" s="2"/>
      <c r="EE7" s="2"/>
      <c r="EF7" s="2"/>
      <c r="EG7" s="2"/>
    </row>
    <row r="8" spans="1:137" ht="11.25" customHeight="1" x14ac:dyDescent="0.2">
      <c r="A8" s="129" t="s">
        <v>376</v>
      </c>
      <c r="B8" s="2" t="s">
        <v>108</v>
      </c>
      <c r="C8" s="2"/>
      <c r="D8" s="2"/>
      <c r="E8" s="46">
        <v>1997</v>
      </c>
      <c r="F8" s="63"/>
      <c r="G8" s="46">
        <v>1998</v>
      </c>
      <c r="H8" s="63"/>
      <c r="I8" s="46">
        <v>1999</v>
      </c>
      <c r="J8" s="63"/>
      <c r="K8" s="46">
        <f>2000</f>
        <v>2000</v>
      </c>
      <c r="L8" s="63"/>
      <c r="M8" s="78">
        <v>2001</v>
      </c>
      <c r="N8" s="48"/>
      <c r="O8" s="48"/>
      <c r="P8" s="48"/>
      <c r="Q8" s="46">
        <f>2000+1</f>
        <v>2001</v>
      </c>
      <c r="R8" s="63"/>
      <c r="S8" s="78">
        <f>M8+1</f>
        <v>2002</v>
      </c>
      <c r="T8" s="48"/>
      <c r="U8" s="48"/>
      <c r="V8" s="48"/>
      <c r="W8" s="46">
        <f>Q8+1</f>
        <v>2002</v>
      </c>
      <c r="X8" s="63"/>
      <c r="Y8" s="78">
        <f>S8+1</f>
        <v>2003</v>
      </c>
      <c r="Z8" s="48"/>
      <c r="AA8" s="48"/>
      <c r="AB8" s="48"/>
      <c r="AC8" s="46">
        <f>W8+1</f>
        <v>2003</v>
      </c>
      <c r="AD8" s="63"/>
      <c r="AE8" s="78">
        <f>Y8+1</f>
        <v>2004</v>
      </c>
      <c r="AF8" s="48"/>
      <c r="AG8" s="48"/>
      <c r="AH8" s="48"/>
      <c r="AI8" s="46">
        <f>AC8+1</f>
        <v>2004</v>
      </c>
      <c r="AJ8" s="63"/>
      <c r="AK8" s="78">
        <f>AE8+1</f>
        <v>2005</v>
      </c>
      <c r="AL8" s="48"/>
      <c r="AM8" s="48"/>
      <c r="AN8" s="48"/>
      <c r="AO8" s="46">
        <f>AI8+1</f>
        <v>2005</v>
      </c>
      <c r="AP8" s="63"/>
      <c r="AQ8" s="78">
        <f>AK8+1</f>
        <v>2006</v>
      </c>
      <c r="AR8" s="48"/>
      <c r="AS8" s="48"/>
      <c r="AT8" s="48"/>
      <c r="AU8" s="46">
        <f>AO8+1</f>
        <v>2006</v>
      </c>
      <c r="AV8" s="63"/>
      <c r="AW8" s="78">
        <f>AQ8+1</f>
        <v>2007</v>
      </c>
      <c r="AX8" s="48"/>
      <c r="AY8" s="48"/>
      <c r="AZ8" s="48"/>
      <c r="BA8" s="46">
        <f>AU8+1</f>
        <v>2007</v>
      </c>
      <c r="BB8" s="63"/>
      <c r="BC8" s="78">
        <f>AW8+1</f>
        <v>2008</v>
      </c>
      <c r="BD8" s="48"/>
      <c r="BE8" s="48"/>
      <c r="BF8" s="48"/>
      <c r="BG8" s="46">
        <f>BA8+1</f>
        <v>2008</v>
      </c>
      <c r="BH8" s="63"/>
      <c r="BI8" s="78">
        <f>BC8+1</f>
        <v>2009</v>
      </c>
      <c r="BJ8" s="48"/>
      <c r="BK8" s="48"/>
      <c r="BL8" s="48"/>
      <c r="BM8" s="46">
        <f>BG8+1</f>
        <v>2009</v>
      </c>
      <c r="BN8" s="63"/>
      <c r="BO8" s="78">
        <f>BI8+1</f>
        <v>2010</v>
      </c>
      <c r="BP8" s="48"/>
      <c r="BQ8" s="48"/>
      <c r="BR8" s="48"/>
      <c r="BS8" s="46">
        <f>BM8+1</f>
        <v>2010</v>
      </c>
      <c r="BT8" s="63"/>
      <c r="BU8" s="78">
        <f>BO8+1</f>
        <v>2011</v>
      </c>
      <c r="BV8" s="48"/>
      <c r="BW8" s="48"/>
      <c r="BX8" s="48"/>
      <c r="BY8" s="46">
        <f>BS8+1</f>
        <v>2011</v>
      </c>
      <c r="BZ8" s="63"/>
      <c r="CA8" s="78">
        <f>BU8+1</f>
        <v>2012</v>
      </c>
      <c r="CB8" s="48"/>
      <c r="CC8" s="48"/>
      <c r="CD8" s="48"/>
      <c r="CE8" s="46">
        <f>BY8+1</f>
        <v>2012</v>
      </c>
      <c r="CF8" s="63"/>
      <c r="CG8" s="78">
        <f>CA8+1</f>
        <v>2013</v>
      </c>
      <c r="CH8" s="48"/>
      <c r="CI8" s="48"/>
      <c r="CJ8" s="48"/>
      <c r="CK8" s="46">
        <f>CE8+1</f>
        <v>2013</v>
      </c>
      <c r="CL8" s="63"/>
      <c r="CM8" s="78">
        <f>CG8+1</f>
        <v>2014</v>
      </c>
      <c r="CN8" s="48"/>
      <c r="CO8" s="48"/>
      <c r="CP8" s="48"/>
      <c r="CQ8" s="46">
        <f>CK8+1</f>
        <v>2014</v>
      </c>
      <c r="CR8" s="63"/>
      <c r="CS8" s="78">
        <f>CM8+1</f>
        <v>2015</v>
      </c>
      <c r="CT8" s="48"/>
      <c r="CU8" s="48"/>
      <c r="CV8" s="48"/>
      <c r="CW8" s="46">
        <f>CQ8+1</f>
        <v>2015</v>
      </c>
      <c r="CX8" s="63"/>
      <c r="CY8" s="78">
        <f>CS8+1</f>
        <v>2016</v>
      </c>
      <c r="CZ8" s="48"/>
      <c r="DA8" s="48"/>
      <c r="DB8" s="48"/>
      <c r="DC8" s="46">
        <f>CW8+1</f>
        <v>2016</v>
      </c>
      <c r="DD8" s="63"/>
      <c r="DE8" s="78">
        <f>CY8+1</f>
        <v>2017</v>
      </c>
      <c r="DF8" s="48"/>
      <c r="DG8" s="48"/>
      <c r="DH8" s="48"/>
      <c r="DI8" s="46">
        <f>DC8+1</f>
        <v>2017</v>
      </c>
      <c r="DJ8" s="63"/>
      <c r="DK8" s="88">
        <f>DE8+1</f>
        <v>2018</v>
      </c>
      <c r="DL8" s="48"/>
      <c r="DM8" s="48"/>
      <c r="DN8" s="48"/>
      <c r="DO8" s="98">
        <f>DI8+1</f>
        <v>2018</v>
      </c>
      <c r="DP8" s="63"/>
      <c r="DQ8" s="88">
        <f>DK8+1</f>
        <v>2019</v>
      </c>
      <c r="DR8" s="48"/>
      <c r="DS8" s="48"/>
      <c r="DT8" s="48"/>
      <c r="DU8" s="98">
        <f>DO8+1</f>
        <v>2019</v>
      </c>
      <c r="DV8" s="63"/>
      <c r="DW8" s="88">
        <f>DQ8+1</f>
        <v>2020</v>
      </c>
      <c r="DX8" s="48"/>
      <c r="DY8" s="48"/>
      <c r="DZ8" s="48"/>
      <c r="EA8" s="98">
        <f>DU8+1</f>
        <v>2020</v>
      </c>
      <c r="EB8" s="63"/>
      <c r="EC8" s="88">
        <f>DW8+1</f>
        <v>2021</v>
      </c>
      <c r="ED8" s="48"/>
      <c r="EE8" s="48"/>
      <c r="EF8" s="48"/>
      <c r="EG8" s="98">
        <f>EA8+1</f>
        <v>2021</v>
      </c>
    </row>
    <row r="9" spans="1:137" ht="11.25" customHeight="1" x14ac:dyDescent="0.2">
      <c r="A9" s="51"/>
      <c r="B9" s="65"/>
      <c r="C9" s="65"/>
      <c r="D9" s="65"/>
      <c r="E9" s="89"/>
      <c r="F9" s="58"/>
      <c r="G9" s="89"/>
      <c r="H9" s="58"/>
      <c r="I9" s="89"/>
      <c r="J9" s="58"/>
      <c r="K9" s="89"/>
      <c r="L9" s="58"/>
      <c r="M9" s="79">
        <v>36981</v>
      </c>
      <c r="N9" s="66">
        <f>M9+FLOOR(365/4,1)</f>
        <v>37072</v>
      </c>
      <c r="O9" s="66">
        <f>N9+FLOOR(365/4,1)+1</f>
        <v>37164</v>
      </c>
      <c r="P9" s="66">
        <f>O9+FLOOR(365/4,1)+1</f>
        <v>37256</v>
      </c>
      <c r="Q9" s="97"/>
      <c r="R9" s="58"/>
      <c r="S9" s="79">
        <f>M9+365</f>
        <v>37346</v>
      </c>
      <c r="T9" s="66">
        <f>S9+FLOOR(365/4,1)</f>
        <v>37437</v>
      </c>
      <c r="U9" s="66">
        <f>T9+FLOOR(365/4,1)+1</f>
        <v>37529</v>
      </c>
      <c r="V9" s="66">
        <f>U9+FLOOR(365/4,1)+1</f>
        <v>37621</v>
      </c>
      <c r="W9" s="97"/>
      <c r="X9" s="58"/>
      <c r="Y9" s="79">
        <f>S9+365</f>
        <v>37711</v>
      </c>
      <c r="Z9" s="66">
        <f>Y9+FLOOR(365/4,1)</f>
        <v>37802</v>
      </c>
      <c r="AA9" s="66">
        <f>Z9+FLOOR(365/4,1)+1</f>
        <v>37894</v>
      </c>
      <c r="AB9" s="66">
        <f>AA9+FLOOR(365/4,1)+1</f>
        <v>37986</v>
      </c>
      <c r="AC9" s="97"/>
      <c r="AD9" s="58"/>
      <c r="AE9" s="79">
        <f>Y9+365</f>
        <v>38076</v>
      </c>
      <c r="AF9" s="66">
        <f>AE9+FLOOR(365/4,1)</f>
        <v>38167</v>
      </c>
      <c r="AG9" s="66">
        <f>AF9+FLOOR(365/4,1)+1</f>
        <v>38259</v>
      </c>
      <c r="AH9" s="66">
        <f>AG9+FLOOR(365/4,1)+1</f>
        <v>38351</v>
      </c>
      <c r="AI9" s="97"/>
      <c r="AJ9" s="58"/>
      <c r="AK9" s="79">
        <f>AE9+365</f>
        <v>38441</v>
      </c>
      <c r="AL9" s="66">
        <f>AK9+FLOOR(365/4,1)</f>
        <v>38532</v>
      </c>
      <c r="AM9" s="66">
        <f>AL9+FLOOR(365/4,1)+1</f>
        <v>38624</v>
      </c>
      <c r="AN9" s="66">
        <f>AM9+FLOOR(365/4,1)+1</f>
        <v>38716</v>
      </c>
      <c r="AO9" s="97"/>
      <c r="AP9" s="58"/>
      <c r="AQ9" s="79">
        <f>AK9+365</f>
        <v>38806</v>
      </c>
      <c r="AR9" s="66">
        <f>AQ9+FLOOR(365/4,1)</f>
        <v>38897</v>
      </c>
      <c r="AS9" s="66">
        <f>AR9+FLOOR(365/4,1)+1</f>
        <v>38989</v>
      </c>
      <c r="AT9" s="66">
        <f>AS9+FLOOR(365/4,1)+1</f>
        <v>39081</v>
      </c>
      <c r="AU9" s="97"/>
      <c r="AV9" s="58"/>
      <c r="AW9" s="79">
        <f>AQ9+365</f>
        <v>39171</v>
      </c>
      <c r="AX9" s="66">
        <f>AW9+FLOOR(365/4,1)</f>
        <v>39262</v>
      </c>
      <c r="AY9" s="66">
        <f>AX9+FLOOR(365/4,1)+1</f>
        <v>39354</v>
      </c>
      <c r="AZ9" s="66">
        <f>AY9+FLOOR(365/4,1)+1</f>
        <v>39446</v>
      </c>
      <c r="BA9" s="97"/>
      <c r="BB9" s="58"/>
      <c r="BC9" s="79">
        <f>AW9+365</f>
        <v>39536</v>
      </c>
      <c r="BD9" s="66">
        <f>BC9+FLOOR(365/4,1)</f>
        <v>39627</v>
      </c>
      <c r="BE9" s="66">
        <f>BD9+FLOOR(365/4,1)+1</f>
        <v>39719</v>
      </c>
      <c r="BF9" s="66">
        <f>BE9+FLOOR(365/4,1)+1</f>
        <v>39811</v>
      </c>
      <c r="BG9" s="97"/>
      <c r="BH9" s="58"/>
      <c r="BI9" s="79">
        <f>BC9+365</f>
        <v>39901</v>
      </c>
      <c r="BJ9" s="66">
        <f>BI9+FLOOR(365/4,1)</f>
        <v>39992</v>
      </c>
      <c r="BK9" s="66">
        <f>BJ9+FLOOR(365/4,1)+1</f>
        <v>40084</v>
      </c>
      <c r="BL9" s="66">
        <f>BK9+FLOOR(365/4,1)+1</f>
        <v>40176</v>
      </c>
      <c r="BM9" s="97"/>
      <c r="BN9" s="58"/>
      <c r="BO9" s="79">
        <f>BI9+365</f>
        <v>40266</v>
      </c>
      <c r="BP9" s="66">
        <f>BO9+FLOOR(365/4,1)</f>
        <v>40357</v>
      </c>
      <c r="BQ9" s="66">
        <f>BP9+FLOOR(365/4,1)+1</f>
        <v>40449</v>
      </c>
      <c r="BR9" s="66">
        <f>BQ9+FLOOR(365/4,1)+1</f>
        <v>40541</v>
      </c>
      <c r="BS9" s="97"/>
      <c r="BT9" s="58"/>
      <c r="BU9" s="79">
        <f>BO9+365</f>
        <v>40631</v>
      </c>
      <c r="BV9" s="66">
        <f>BU9+FLOOR(365/4,1)</f>
        <v>40722</v>
      </c>
      <c r="BW9" s="66">
        <f>BV9+FLOOR(365/4,1)+1</f>
        <v>40814</v>
      </c>
      <c r="BX9" s="66">
        <f>BW9+FLOOR(365/4,1)+1</f>
        <v>40906</v>
      </c>
      <c r="BY9" s="97"/>
      <c r="BZ9" s="58"/>
      <c r="CA9" s="79">
        <f>BU9+365</f>
        <v>40996</v>
      </c>
      <c r="CB9" s="66">
        <f>CA9+FLOOR(365/4,1)</f>
        <v>41087</v>
      </c>
      <c r="CC9" s="66">
        <f>CB9+FLOOR(365/4,1)+1</f>
        <v>41179</v>
      </c>
      <c r="CD9" s="66">
        <f>CC9+FLOOR(365/4,1)+1</f>
        <v>41271</v>
      </c>
      <c r="CE9" s="97"/>
      <c r="CF9" s="58"/>
      <c r="CG9" s="79">
        <f>CA9+365</f>
        <v>41361</v>
      </c>
      <c r="CH9" s="66">
        <f>CG9+FLOOR(365/4,1)</f>
        <v>41452</v>
      </c>
      <c r="CI9" s="66">
        <f>CH9+FLOOR(365/4,1)+1</f>
        <v>41544</v>
      </c>
      <c r="CJ9" s="66">
        <f>CI9+FLOOR(365/4,1)+1</f>
        <v>41636</v>
      </c>
      <c r="CK9" s="97"/>
      <c r="CL9" s="58"/>
      <c r="CM9" s="79">
        <f>CG9+365</f>
        <v>41726</v>
      </c>
      <c r="CN9" s="66">
        <f>CM9+FLOOR(365/4,1)</f>
        <v>41817</v>
      </c>
      <c r="CO9" s="66">
        <f>CN9+FLOOR(365/4,1)+1</f>
        <v>41909</v>
      </c>
      <c r="CP9" s="66">
        <f>CO9+FLOOR(365/4,1)+1</f>
        <v>42001</v>
      </c>
      <c r="CQ9" s="97"/>
      <c r="CR9" s="58"/>
      <c r="CS9" s="79">
        <f>CM9+365</f>
        <v>42091</v>
      </c>
      <c r="CT9" s="66">
        <f>CS9+FLOOR(365/4,1)</f>
        <v>42182</v>
      </c>
      <c r="CU9" s="66">
        <f>CT9+FLOOR(365/4,1)+1</f>
        <v>42274</v>
      </c>
      <c r="CV9" s="66">
        <f>CU9+FLOOR(365/4,1)+1</f>
        <v>42366</v>
      </c>
      <c r="CW9" s="97"/>
      <c r="CX9" s="58"/>
      <c r="CY9" s="79">
        <f>CS9+365</f>
        <v>42456</v>
      </c>
      <c r="CZ9" s="66">
        <f>CY9+FLOOR(365/4,1)</f>
        <v>42547</v>
      </c>
      <c r="DA9" s="66">
        <f>CZ9+FLOOR(365/4,1)+1</f>
        <v>42639</v>
      </c>
      <c r="DB9" s="66">
        <f>DA9+FLOOR(365/4,1)+1</f>
        <v>42731</v>
      </c>
      <c r="DC9" s="97"/>
      <c r="DD9" s="58"/>
      <c r="DE9" s="79">
        <v>42825</v>
      </c>
      <c r="DF9" s="66">
        <v>42916</v>
      </c>
      <c r="DG9" s="66">
        <v>43008</v>
      </c>
      <c r="DH9" s="66">
        <v>43100</v>
      </c>
      <c r="DI9" s="97"/>
      <c r="DJ9" s="58"/>
      <c r="DK9" s="79">
        <f>DE9+365</f>
        <v>43190</v>
      </c>
      <c r="DL9" s="102">
        <f>DF9+365</f>
        <v>43281</v>
      </c>
      <c r="DM9" s="102">
        <f>DG9+365</f>
        <v>43373</v>
      </c>
      <c r="DN9" s="103">
        <f>DH9+365</f>
        <v>43465</v>
      </c>
      <c r="DO9" s="97"/>
      <c r="DP9" s="58"/>
      <c r="DQ9" s="101">
        <f>DK9+365</f>
        <v>43555</v>
      </c>
      <c r="DR9" s="102">
        <f>DL9+365</f>
        <v>43646</v>
      </c>
      <c r="DS9" s="102">
        <f>DM9+365</f>
        <v>43738</v>
      </c>
      <c r="DT9" s="103">
        <f>DN9+365</f>
        <v>43830</v>
      </c>
      <c r="DU9" s="97"/>
      <c r="DV9" s="58"/>
      <c r="DW9" s="101">
        <f>DQ9+365</f>
        <v>43920</v>
      </c>
      <c r="DX9" s="102">
        <f>DR9+365</f>
        <v>44011</v>
      </c>
      <c r="DY9" s="102">
        <f>DS9+365</f>
        <v>44103</v>
      </c>
      <c r="DZ9" s="103">
        <f>DT9+365</f>
        <v>44195</v>
      </c>
      <c r="EA9" s="97"/>
      <c r="EB9" s="58"/>
      <c r="EC9" s="101">
        <f>DW9+365</f>
        <v>44285</v>
      </c>
      <c r="ED9" s="102">
        <f>DX9+365</f>
        <v>44376</v>
      </c>
      <c r="EE9" s="102">
        <f>DY9+365</f>
        <v>44468</v>
      </c>
      <c r="EF9" s="103">
        <f>DZ9+365</f>
        <v>44560</v>
      </c>
      <c r="EG9" s="97"/>
    </row>
    <row r="10" spans="1:137" ht="11.25" customHeight="1" outlineLevel="1" x14ac:dyDescent="0.2">
      <c r="A10" s="2"/>
      <c r="B10" s="14"/>
      <c r="C10" s="14"/>
      <c r="D10" s="14"/>
      <c r="E10" s="71"/>
      <c r="F10" s="71"/>
      <c r="G10" s="71"/>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71"/>
      <c r="AT10" s="71"/>
      <c r="AU10" s="71"/>
      <c r="AV10" s="71"/>
      <c r="AW10" s="71"/>
      <c r="AX10" s="71"/>
      <c r="AY10" s="71"/>
      <c r="AZ10" s="71"/>
      <c r="BA10" s="71"/>
      <c r="BB10" s="71"/>
      <c r="BC10" s="71"/>
      <c r="BD10" s="71"/>
      <c r="BE10" s="71"/>
      <c r="BF10" s="71"/>
      <c r="BG10" s="71"/>
      <c r="BH10" s="71"/>
      <c r="BI10" s="71"/>
      <c r="BJ10" s="71"/>
      <c r="BK10" s="71"/>
      <c r="BL10" s="71"/>
      <c r="BM10" s="71"/>
      <c r="BN10" s="71"/>
      <c r="BO10" s="71"/>
      <c r="BP10" s="71"/>
      <c r="BQ10" s="71"/>
      <c r="BR10" s="71"/>
      <c r="BS10" s="71"/>
      <c r="BT10" s="71"/>
      <c r="BU10" s="71"/>
      <c r="BV10" s="71"/>
      <c r="BW10" s="71"/>
      <c r="BX10" s="71"/>
      <c r="BY10" s="71"/>
      <c r="BZ10" s="71"/>
      <c r="CA10" s="71"/>
      <c r="CB10" s="71"/>
      <c r="CC10" s="71"/>
      <c r="CD10" s="71"/>
      <c r="CE10" s="71"/>
      <c r="CF10" s="71"/>
      <c r="CG10" s="71"/>
      <c r="CH10" s="71"/>
      <c r="CI10" s="71"/>
      <c r="CJ10" s="71"/>
      <c r="CK10" s="71"/>
      <c r="CL10" s="71"/>
      <c r="CM10" s="71"/>
      <c r="CN10" s="71"/>
      <c r="CO10" s="71"/>
      <c r="CP10" s="71"/>
      <c r="CQ10" s="71"/>
      <c r="CR10" s="71"/>
      <c r="CS10" s="341"/>
      <c r="CT10" s="341"/>
      <c r="CU10" s="341"/>
      <c r="CV10" s="341"/>
      <c r="CW10" s="341"/>
      <c r="CX10" s="71"/>
      <c r="CY10" s="22"/>
      <c r="CZ10" s="22"/>
      <c r="DA10" s="22"/>
      <c r="DB10" s="22"/>
      <c r="DC10" s="22"/>
      <c r="DD10" s="71"/>
      <c r="DE10" s="341"/>
      <c r="DF10" s="341"/>
      <c r="DG10" s="341"/>
      <c r="DH10" s="341"/>
      <c r="DI10" s="22"/>
      <c r="DJ10" s="71"/>
      <c r="DK10" s="341"/>
      <c r="DL10" s="341"/>
      <c r="DM10" s="341"/>
      <c r="DN10" s="341"/>
      <c r="DO10" s="22"/>
      <c r="DP10" s="71"/>
      <c r="DQ10" s="341"/>
      <c r="DR10" s="341"/>
      <c r="DS10" s="341"/>
      <c r="DT10" s="341"/>
      <c r="DU10" s="22"/>
      <c r="DV10" s="71"/>
      <c r="DW10" s="341"/>
      <c r="DX10" s="341"/>
      <c r="DY10" s="341"/>
      <c r="DZ10" s="341"/>
      <c r="EA10" s="22"/>
      <c r="EB10" s="71"/>
      <c r="EC10" s="341"/>
      <c r="ED10" s="341"/>
      <c r="EE10" s="341"/>
      <c r="EF10" s="341"/>
      <c r="EG10" s="22"/>
    </row>
    <row r="11" spans="1:137" ht="11.25" customHeight="1" x14ac:dyDescent="0.2">
      <c r="A11" s="106" t="s">
        <v>585</v>
      </c>
      <c r="B11" s="74"/>
      <c r="C11" s="74"/>
      <c r="D11" s="74"/>
      <c r="E11" s="107"/>
      <c r="F11" s="75"/>
      <c r="G11" s="107"/>
      <c r="H11" s="75"/>
      <c r="I11" s="107"/>
      <c r="J11" s="75"/>
      <c r="K11" s="107"/>
      <c r="L11" s="75"/>
      <c r="M11" s="109"/>
      <c r="N11" s="110"/>
      <c r="O11" s="110"/>
      <c r="P11" s="110"/>
      <c r="Q11" s="107"/>
      <c r="R11" s="75"/>
      <c r="S11" s="109"/>
      <c r="T11" s="110"/>
      <c r="U11" s="110"/>
      <c r="V11" s="110"/>
      <c r="W11" s="107"/>
      <c r="X11" s="75"/>
      <c r="Y11" s="109"/>
      <c r="Z11" s="110"/>
      <c r="AA11" s="110"/>
      <c r="AB11" s="110"/>
      <c r="AC11" s="107"/>
      <c r="AD11" s="75"/>
      <c r="AE11" s="109"/>
      <c r="AF11" s="110"/>
      <c r="AG11" s="110"/>
      <c r="AH11" s="110"/>
      <c r="AI11" s="107"/>
      <c r="AJ11" s="75"/>
      <c r="AK11" s="109"/>
      <c r="AL11" s="110"/>
      <c r="AM11" s="110"/>
      <c r="AN11" s="110"/>
      <c r="AO11" s="107"/>
      <c r="AP11" s="75"/>
      <c r="AQ11" s="109"/>
      <c r="AR11" s="110"/>
      <c r="AS11" s="110"/>
      <c r="AT11" s="110"/>
      <c r="AU11" s="107"/>
      <c r="AV11" s="75"/>
      <c r="AW11" s="109"/>
      <c r="AX11" s="110"/>
      <c r="AY11" s="110"/>
      <c r="AZ11" s="110"/>
      <c r="BA11" s="107"/>
      <c r="BB11" s="75"/>
      <c r="BC11" s="109"/>
      <c r="BD11" s="110"/>
      <c r="BE11" s="110"/>
      <c r="BF11" s="110"/>
      <c r="BG11" s="107"/>
      <c r="BH11" s="75"/>
      <c r="BI11" s="109"/>
      <c r="BJ11" s="110"/>
      <c r="BK11" s="110"/>
      <c r="BL11" s="110"/>
      <c r="BM11" s="107"/>
      <c r="BN11" s="75"/>
      <c r="BO11" s="109"/>
      <c r="BP11" s="110"/>
      <c r="BQ11" s="110"/>
      <c r="BR11" s="110"/>
      <c r="BS11" s="107"/>
      <c r="BT11" s="75"/>
      <c r="BU11" s="109"/>
      <c r="BV11" s="110"/>
      <c r="BW11" s="110"/>
      <c r="BX11" s="110"/>
      <c r="BY11" s="107"/>
      <c r="BZ11" s="75"/>
      <c r="CA11" s="109"/>
      <c r="CB11" s="110"/>
      <c r="CC11" s="110"/>
      <c r="CD11" s="110"/>
      <c r="CE11" s="107"/>
      <c r="CF11" s="75"/>
      <c r="CG11" s="109"/>
      <c r="CH11" s="110"/>
      <c r="CI11" s="110"/>
      <c r="CJ11" s="110"/>
      <c r="CK11" s="107"/>
      <c r="CL11" s="75"/>
      <c r="CM11" s="109"/>
      <c r="CN11" s="110"/>
      <c r="CO11" s="110"/>
      <c r="CP11" s="110"/>
      <c r="CQ11" s="107"/>
      <c r="CR11" s="75"/>
      <c r="CS11" s="109"/>
      <c r="CT11" s="110"/>
      <c r="CU11" s="110"/>
      <c r="CV11" s="110"/>
      <c r="CW11" s="107"/>
      <c r="CX11" s="75"/>
      <c r="CY11" s="109"/>
      <c r="CZ11" s="110"/>
      <c r="DA11" s="110"/>
      <c r="DB11" s="110"/>
      <c r="DC11" s="107"/>
      <c r="DD11" s="75"/>
      <c r="DE11" s="109"/>
      <c r="DF11" s="110"/>
      <c r="DG11" s="110"/>
      <c r="DH11" s="110"/>
      <c r="DI11" s="107"/>
      <c r="DJ11" s="75"/>
      <c r="DK11" s="109"/>
      <c r="DL11" s="110"/>
      <c r="DM11" s="110"/>
      <c r="DN11" s="110"/>
      <c r="DO11" s="107"/>
      <c r="DP11" s="75"/>
      <c r="DQ11" s="109"/>
      <c r="DR11" s="110"/>
      <c r="DS11" s="110"/>
      <c r="DT11" s="110"/>
      <c r="DU11" s="107"/>
      <c r="DV11" s="75"/>
      <c r="DW11" s="109"/>
      <c r="DX11" s="110"/>
      <c r="DY11" s="110"/>
      <c r="DZ11" s="110"/>
      <c r="EA11" s="107"/>
      <c r="EB11" s="75"/>
      <c r="EC11" s="109"/>
      <c r="ED11" s="110"/>
      <c r="EE11" s="110"/>
      <c r="EF11" s="110"/>
      <c r="EG11" s="107"/>
    </row>
    <row r="12" spans="1:137" ht="11.25" customHeight="1" x14ac:dyDescent="0.2">
      <c r="A12" s="129" t="s">
        <v>380</v>
      </c>
      <c r="B12" s="14"/>
      <c r="C12" s="14"/>
      <c r="D12" s="14"/>
      <c r="E12" s="224"/>
      <c r="F12" s="71"/>
      <c r="G12" s="224"/>
      <c r="H12" s="71"/>
      <c r="I12" s="224"/>
      <c r="J12" s="71"/>
      <c r="K12" s="224"/>
      <c r="L12" s="71"/>
      <c r="M12" s="415"/>
      <c r="N12" s="416"/>
      <c r="O12" s="416"/>
      <c r="P12" s="416"/>
      <c r="Q12" s="224"/>
      <c r="R12" s="71"/>
      <c r="S12" s="415"/>
      <c r="T12" s="416"/>
      <c r="U12" s="416"/>
      <c r="V12" s="416"/>
      <c r="W12" s="224"/>
      <c r="X12" s="71"/>
      <c r="Y12" s="415"/>
      <c r="Z12" s="416"/>
      <c r="AA12" s="416"/>
      <c r="AB12" s="416"/>
      <c r="AC12" s="224"/>
      <c r="AD12" s="71"/>
      <c r="AE12" s="415"/>
      <c r="AF12" s="416"/>
      <c r="AG12" s="416"/>
      <c r="AH12" s="416"/>
      <c r="AI12" s="224"/>
      <c r="AJ12" s="71"/>
      <c r="AK12" s="415"/>
      <c r="AL12" s="416"/>
      <c r="AM12" s="416"/>
      <c r="AN12" s="416"/>
      <c r="AO12" s="224"/>
      <c r="AP12" s="71"/>
      <c r="AQ12" s="415"/>
      <c r="AR12" s="416"/>
      <c r="AS12" s="416"/>
      <c r="AT12" s="416"/>
      <c r="AU12" s="224"/>
      <c r="AV12" s="71"/>
      <c r="AW12" s="415"/>
      <c r="AX12" s="416"/>
      <c r="AY12" s="416"/>
      <c r="AZ12" s="416"/>
      <c r="BA12" s="224"/>
      <c r="BB12" s="71"/>
      <c r="BC12" s="415"/>
      <c r="BD12" s="416"/>
      <c r="BE12" s="416"/>
      <c r="BF12" s="416"/>
      <c r="BG12" s="224"/>
      <c r="BH12" s="71"/>
      <c r="BI12" s="415"/>
      <c r="BJ12" s="416"/>
      <c r="BK12" s="416"/>
      <c r="BL12" s="416"/>
      <c r="BM12" s="224"/>
      <c r="BN12" s="71"/>
      <c r="BO12" s="415"/>
      <c r="BP12" s="416"/>
      <c r="BQ12" s="416"/>
      <c r="BR12" s="416"/>
      <c r="BS12" s="224"/>
      <c r="BT12" s="71"/>
      <c r="BU12" s="415"/>
      <c r="BV12" s="416"/>
      <c r="BW12" s="416"/>
      <c r="BX12" s="416"/>
      <c r="BY12" s="224"/>
      <c r="BZ12" s="71"/>
      <c r="CA12" s="415"/>
      <c r="CB12" s="416"/>
      <c r="CC12" s="416"/>
      <c r="CD12" s="416"/>
      <c r="CE12" s="224"/>
      <c r="CF12" s="71"/>
      <c r="CG12" s="415"/>
      <c r="CH12" s="416"/>
      <c r="CI12" s="416"/>
      <c r="CJ12" s="416"/>
      <c r="CK12" s="224"/>
      <c r="CL12" s="71"/>
      <c r="CM12" s="415"/>
      <c r="CN12" s="416"/>
      <c r="CO12" s="416"/>
      <c r="CP12" s="416"/>
      <c r="CQ12" s="224"/>
      <c r="CR12" s="71"/>
      <c r="CS12" s="411"/>
      <c r="CT12" s="412"/>
      <c r="CU12" s="412"/>
      <c r="CV12" s="412"/>
      <c r="CW12" s="414"/>
      <c r="CX12" s="71"/>
      <c r="CY12" s="413"/>
      <c r="CZ12" s="211"/>
      <c r="DA12" s="211"/>
      <c r="DB12" s="211"/>
      <c r="DC12" s="213"/>
      <c r="DD12" s="71"/>
      <c r="DE12" s="411"/>
      <c r="DF12" s="412"/>
      <c r="DG12" s="412"/>
      <c r="DH12" s="412"/>
      <c r="DI12" s="213"/>
      <c r="DJ12" s="71"/>
      <c r="DK12" s="1302"/>
      <c r="DL12" s="412"/>
      <c r="DM12" s="412"/>
      <c r="DN12" s="412"/>
      <c r="DO12" s="213"/>
      <c r="DP12" s="71"/>
      <c r="DQ12" s="411"/>
      <c r="DR12" s="412"/>
      <c r="DS12" s="412"/>
      <c r="DT12" s="412"/>
      <c r="DU12" s="213"/>
      <c r="DV12" s="71"/>
      <c r="DW12" s="411"/>
      <c r="DX12" s="412"/>
      <c r="DY12" s="412"/>
      <c r="DZ12" s="412"/>
      <c r="EA12" s="213"/>
      <c r="EB12" s="71"/>
      <c r="EC12" s="411"/>
      <c r="ED12" s="412"/>
      <c r="EE12" s="412"/>
      <c r="EF12" s="412"/>
      <c r="EG12" s="213"/>
    </row>
    <row r="13" spans="1:137" ht="11.25" customHeight="1" x14ac:dyDescent="0.2">
      <c r="A13" s="51" t="s">
        <v>377</v>
      </c>
      <c r="B13" s="14"/>
      <c r="C13" s="14"/>
      <c r="D13" s="14"/>
      <c r="E13" s="93"/>
      <c r="F13" s="67"/>
      <c r="G13" s="93"/>
      <c r="H13" s="67"/>
      <c r="I13" s="93"/>
      <c r="J13" s="67"/>
      <c r="K13" s="93"/>
      <c r="L13" s="67"/>
      <c r="M13" s="82"/>
      <c r="N13" s="67"/>
      <c r="O13" s="67"/>
      <c r="P13" s="67"/>
      <c r="Q13" s="93"/>
      <c r="R13" s="67"/>
      <c r="S13" s="790" t="s">
        <v>501</v>
      </c>
      <c r="T13" s="67" t="s">
        <v>501</v>
      </c>
      <c r="U13" s="67" t="s">
        <v>501</v>
      </c>
      <c r="V13" s="67" t="s">
        <v>501</v>
      </c>
      <c r="W13" s="93"/>
      <c r="X13" s="67"/>
      <c r="Y13" s="790"/>
      <c r="Z13" s="67"/>
      <c r="AA13" s="67"/>
      <c r="AB13" s="67"/>
      <c r="AC13" s="93"/>
      <c r="AD13" s="67"/>
      <c r="AE13" s="790"/>
      <c r="AF13" s="67"/>
      <c r="AG13" s="67"/>
      <c r="AH13" s="67"/>
      <c r="AI13" s="93"/>
      <c r="AJ13" s="67"/>
      <c r="AK13" s="790"/>
      <c r="AL13" s="67"/>
      <c r="AM13" s="67">
        <f>+AM70</f>
        <v>54</v>
      </c>
      <c r="AN13" s="67">
        <f>+AN70</f>
        <v>135</v>
      </c>
      <c r="AO13" s="93">
        <f>+AO70</f>
        <v>189</v>
      </c>
      <c r="AP13" s="67"/>
      <c r="AQ13" s="82">
        <f>+AQ70</f>
        <v>165</v>
      </c>
      <c r="AR13" s="67">
        <f>+AR70</f>
        <v>170</v>
      </c>
      <c r="AS13" s="67">
        <f>+AS70</f>
        <v>175</v>
      </c>
      <c r="AT13" s="67">
        <f>+AT70</f>
        <v>185</v>
      </c>
      <c r="AU13" s="93">
        <f>+AU70</f>
        <v>695</v>
      </c>
      <c r="AV13" s="67"/>
      <c r="AW13" s="82">
        <f>+AW70</f>
        <v>188.10000000000002</v>
      </c>
      <c r="AX13" s="67">
        <f>+AX70</f>
        <v>193.8</v>
      </c>
      <c r="AY13" s="67">
        <f>+AY70</f>
        <v>199.50000000000003</v>
      </c>
      <c r="AZ13" s="67">
        <f>+AZ70</f>
        <v>210.90000000000003</v>
      </c>
      <c r="BA13" s="93">
        <f>+BA70</f>
        <v>792.30000000000018</v>
      </c>
      <c r="BB13" s="67"/>
      <c r="BC13" s="82">
        <f>+BC70</f>
        <v>212.553</v>
      </c>
      <c r="BD13" s="67">
        <f>+BD70</f>
        <v>218.994</v>
      </c>
      <c r="BE13" s="67">
        <f>+BE70</f>
        <v>225.435</v>
      </c>
      <c r="BF13" s="67">
        <f>+BF70</f>
        <v>238.31700000000001</v>
      </c>
      <c r="BG13" s="93">
        <f>+BG70</f>
        <v>895.29899999999998</v>
      </c>
      <c r="BH13" s="67"/>
      <c r="BI13" s="82">
        <f>+BI70</f>
        <v>197.67428999999998</v>
      </c>
      <c r="BJ13" s="67">
        <f>+BJ70</f>
        <v>203.66441999999998</v>
      </c>
      <c r="BK13" s="67">
        <f>+BK70</f>
        <v>214.16325000000001</v>
      </c>
      <c r="BL13" s="67">
        <f>+BL70</f>
        <v>259.76553000000001</v>
      </c>
      <c r="BM13" s="93">
        <f>+BM70</f>
        <v>875.26749000000007</v>
      </c>
      <c r="BN13" s="67"/>
      <c r="BO13" s="82">
        <f>+BO70</f>
        <v>340.03733691510001</v>
      </c>
      <c r="BP13" s="67">
        <f>+BP70</f>
        <v>364.11125007599998</v>
      </c>
      <c r="BQ13" s="67">
        <f>+BQ70</f>
        <v>380.85293237249999</v>
      </c>
      <c r="BR13" s="67">
        <f>+BR70</f>
        <v>465.71803280520004</v>
      </c>
      <c r="BS13" s="93">
        <f>+BS70</f>
        <v>1550.7195521688</v>
      </c>
      <c r="BT13" s="67"/>
      <c r="BU13" s="82">
        <f>+BU70</f>
        <v>402.94424424439353</v>
      </c>
      <c r="BV13" s="67">
        <f>+BV70</f>
        <v>467.88295634765996</v>
      </c>
      <c r="BW13" s="67">
        <f>+BW70</f>
        <v>571.10801473918229</v>
      </c>
      <c r="BX13" s="67">
        <f>+BX70</f>
        <v>651.32064041905642</v>
      </c>
      <c r="BY13" s="93">
        <f>+BY70</f>
        <v>2093.2558557502921</v>
      </c>
      <c r="BZ13" s="67"/>
      <c r="CA13" s="82">
        <f>+CA70</f>
        <v>541.96000850870928</v>
      </c>
      <c r="CB13" s="67">
        <f>+CB70</f>
        <v>554.44130327197706</v>
      </c>
      <c r="CC13" s="67">
        <f>+CC70</f>
        <v>526.53017864871538</v>
      </c>
      <c r="CD13" s="67">
        <f>+CD70</f>
        <v>701.66121271704537</v>
      </c>
      <c r="CE13" s="93">
        <f>+CE70</f>
        <v>2324.5927031464471</v>
      </c>
      <c r="CF13" s="67"/>
      <c r="CG13" s="82">
        <f>+CG70</f>
        <v>543.17399892776882</v>
      </c>
      <c r="CH13" s="67">
        <f>+CH70</f>
        <v>585.01874114742657</v>
      </c>
      <c r="CI13" s="67">
        <f>+CI70</f>
        <v>587.08114919331763</v>
      </c>
      <c r="CJ13" s="67">
        <f>+CJ70</f>
        <v>735.62863202467759</v>
      </c>
      <c r="CK13" s="93">
        <f>+CK70</f>
        <v>2450.9025212931906</v>
      </c>
      <c r="CL13" s="67"/>
      <c r="CM13" s="82">
        <f>+CM70</f>
        <v>574.89536046515047</v>
      </c>
      <c r="CN13" s="67">
        <f>+CN70</f>
        <v>605.61140083581597</v>
      </c>
      <c r="CO13" s="67">
        <f>+CO70</f>
        <v>598.1182747981519</v>
      </c>
      <c r="CP13" s="67">
        <f>+CP70</f>
        <v>732.870024654585</v>
      </c>
      <c r="CQ13" s="93">
        <f>+CQ70</f>
        <v>2511.4950607537035</v>
      </c>
      <c r="CR13" s="67"/>
      <c r="CS13" s="82">
        <f>+CS70</f>
        <v>557.70000000000005</v>
      </c>
      <c r="CT13" s="67">
        <f>+CT70</f>
        <v>578.29999999999995</v>
      </c>
      <c r="CU13" s="67">
        <f>+CU70</f>
        <v>804.5</v>
      </c>
      <c r="CV13" s="67">
        <f>+CV70</f>
        <v>1374.2</v>
      </c>
      <c r="CW13" s="93">
        <f>+CW70</f>
        <v>3314.7</v>
      </c>
      <c r="CX13" s="67"/>
      <c r="CY13" s="82">
        <f>+CY70</f>
        <v>1258.0999999999999</v>
      </c>
      <c r="CZ13" s="67">
        <f>+CZ70</f>
        <v>1328.3</v>
      </c>
      <c r="DA13" s="67">
        <f>+DA70</f>
        <v>1325.4</v>
      </c>
      <c r="DB13" s="67">
        <f>+DB70</f>
        <v>1454.1</v>
      </c>
      <c r="DC13" s="93">
        <f>+DC70</f>
        <v>5365.9</v>
      </c>
      <c r="DD13" s="67"/>
      <c r="DE13" s="82">
        <f>+DE70</f>
        <v>1308.0999999999999</v>
      </c>
      <c r="DF13" s="67">
        <f>+DF70</f>
        <v>1384.3</v>
      </c>
      <c r="DG13" s="67">
        <f>+DG70</f>
        <v>1392.6</v>
      </c>
      <c r="DH13" s="67">
        <f>+DH70</f>
        <v>1625.1</v>
      </c>
      <c r="DI13" s="93">
        <f>+DI70</f>
        <v>5710.0999999999995</v>
      </c>
      <c r="DJ13" s="67"/>
      <c r="DK13" s="82">
        <f>+DK70</f>
        <v>1476</v>
      </c>
      <c r="DL13" s="67">
        <f>+DL70</f>
        <v>1546.9655</v>
      </c>
      <c r="DM13" s="67">
        <f>+DM70</f>
        <v>1556.1559999999997</v>
      </c>
      <c r="DN13" s="67">
        <f>+DN70</f>
        <v>1801.4805000000001</v>
      </c>
      <c r="DO13" s="93">
        <f>+DO70</f>
        <v>6380.6020000000008</v>
      </c>
      <c r="DP13" s="67"/>
      <c r="DQ13" s="82">
        <f>+DQ70</f>
        <v>1615.0399999999997</v>
      </c>
      <c r="DR13" s="67">
        <f>+DR70</f>
        <v>1653.8441200000002</v>
      </c>
      <c r="DS13" s="67">
        <f>+DS70</f>
        <v>1618.4022399999997</v>
      </c>
      <c r="DT13" s="67">
        <f>+DT70</f>
        <v>1873.5397200000002</v>
      </c>
      <c r="DU13" s="93">
        <f>+DU70</f>
        <v>6760.8260799999989</v>
      </c>
      <c r="DV13" s="67"/>
      <c r="DW13" s="82">
        <f>+DW70</f>
        <v>1679.6415999999997</v>
      </c>
      <c r="DX13" s="67">
        <f>+DX70</f>
        <v>1719.9978848000003</v>
      </c>
      <c r="DY13" s="67">
        <f>+DY70</f>
        <v>1683.1383295999997</v>
      </c>
      <c r="DZ13" s="67">
        <f>+DZ70</f>
        <v>1948.4813088000003</v>
      </c>
      <c r="EA13" s="93">
        <f>+EA70</f>
        <v>7031.2591231999995</v>
      </c>
      <c r="EB13" s="67"/>
      <c r="EC13" s="82">
        <f t="shared" ref="EC13:EG13" si="0">+EC70</f>
        <v>1746.8272639999998</v>
      </c>
      <c r="ED13" s="67">
        <f t="shared" si="0"/>
        <v>1788.7978001920003</v>
      </c>
      <c r="EE13" s="67">
        <f t="shared" si="0"/>
        <v>1750.4638627839997</v>
      </c>
      <c r="EF13" s="67">
        <f t="shared" si="0"/>
        <v>2026.4205611520003</v>
      </c>
      <c r="EG13" s="93">
        <f t="shared" si="0"/>
        <v>7312.5094881280002</v>
      </c>
    </row>
    <row r="14" spans="1:137" ht="11.25" customHeight="1" x14ac:dyDescent="0.2">
      <c r="A14" s="51" t="s">
        <v>115</v>
      </c>
      <c r="B14" s="14"/>
      <c r="C14" s="14"/>
      <c r="D14" s="14"/>
      <c r="E14" s="93"/>
      <c r="F14" s="67"/>
      <c r="G14" s="93"/>
      <c r="H14" s="67"/>
      <c r="I14" s="93"/>
      <c r="J14" s="67"/>
      <c r="K14" s="93"/>
      <c r="L14" s="67"/>
      <c r="M14" s="82"/>
      <c r="N14" s="67"/>
      <c r="O14" s="67"/>
      <c r="P14" s="67"/>
      <c r="Q14" s="93"/>
      <c r="R14" s="67"/>
      <c r="S14" s="790" t="s">
        <v>501</v>
      </c>
      <c r="T14" s="67" t="s">
        <v>501</v>
      </c>
      <c r="U14" s="67" t="s">
        <v>501</v>
      </c>
      <c r="V14" s="67" t="s">
        <v>501</v>
      </c>
      <c r="W14" s="93"/>
      <c r="X14" s="67"/>
      <c r="Y14" s="790"/>
      <c r="Z14" s="67"/>
      <c r="AA14" s="67"/>
      <c r="AB14" s="67"/>
      <c r="AC14" s="93"/>
      <c r="AD14" s="67"/>
      <c r="AE14" s="82">
        <f>+AE146</f>
        <v>78.75</v>
      </c>
      <c r="AF14" s="67">
        <f>+AF146</f>
        <v>80.400000000000006</v>
      </c>
      <c r="AG14" s="67">
        <f>+AG146</f>
        <v>82.87</v>
      </c>
      <c r="AH14" s="67">
        <f>+AH146</f>
        <v>85.906000000000063</v>
      </c>
      <c r="AI14" s="93">
        <f>+AI146</f>
        <v>327.92600000000004</v>
      </c>
      <c r="AJ14" s="67"/>
      <c r="AK14" s="82">
        <f>+AK146</f>
        <v>84.262500000000003</v>
      </c>
      <c r="AL14" s="67">
        <f>+AL146</f>
        <v>84.420000000000016</v>
      </c>
      <c r="AM14" s="67">
        <f>+AM146</f>
        <v>87.013500000000008</v>
      </c>
      <c r="AN14" s="67">
        <f>+AN146</f>
        <v>90.201300000000074</v>
      </c>
      <c r="AO14" s="93">
        <f>+AO146</f>
        <v>345.89730000000009</v>
      </c>
      <c r="AP14" s="67"/>
      <c r="AQ14" s="82">
        <f>+AQ146</f>
        <v>97.744500000000002</v>
      </c>
      <c r="AR14" s="67">
        <f>+AR146</f>
        <v>97.927200000000013</v>
      </c>
      <c r="AS14" s="67">
        <f>+AS146</f>
        <v>100.93566</v>
      </c>
      <c r="AT14" s="67">
        <f>+AT146</f>
        <v>104.63350800000008</v>
      </c>
      <c r="AU14" s="93">
        <f>+AU146</f>
        <v>401.24086800000009</v>
      </c>
      <c r="AV14" s="67"/>
      <c r="AW14" s="82">
        <f>+AW146</f>
        <v>113.38361999999999</v>
      </c>
      <c r="AX14" s="67">
        <f>+AX146</f>
        <v>113.59555200000001</v>
      </c>
      <c r="AY14" s="67">
        <f>+AY146</f>
        <v>117.08536559999999</v>
      </c>
      <c r="AZ14" s="67">
        <f>+AZ146</f>
        <v>120.53780121600008</v>
      </c>
      <c r="BA14" s="93">
        <f>+BA146</f>
        <v>464.60233881600004</v>
      </c>
      <c r="BB14" s="67"/>
      <c r="BC14" s="82">
        <f>+BC146</f>
        <v>133.79267159999998</v>
      </c>
      <c r="BD14" s="67">
        <f>+BD146</f>
        <v>134.04275136000001</v>
      </c>
      <c r="BE14" s="67">
        <f>+BE146</f>
        <v>138.16073140799998</v>
      </c>
      <c r="BF14" s="67">
        <f>+BF146</f>
        <v>141.33057192576007</v>
      </c>
      <c r="BG14" s="93">
        <f>+BG146</f>
        <v>547.32672629375998</v>
      </c>
      <c r="BH14" s="67"/>
      <c r="BI14" s="82">
        <f>+BI146</f>
        <v>133.67225819555998</v>
      </c>
      <c r="BJ14" s="67">
        <f>+BJ146</f>
        <v>135.90460517639042</v>
      </c>
      <c r="BK14" s="67">
        <f>+BK146</f>
        <v>139.80484411175519</v>
      </c>
      <c r="BL14" s="67">
        <f>+BL146</f>
        <v>162.55135730041295</v>
      </c>
      <c r="BM14" s="93">
        <f>+BM146</f>
        <v>571.93306478411853</v>
      </c>
      <c r="BN14" s="67"/>
      <c r="BO14" s="82">
        <f>+BO146</f>
        <v>167.09032274444996</v>
      </c>
      <c r="BP14" s="67">
        <f>+BP146</f>
        <v>165.8036183151963</v>
      </c>
      <c r="BQ14" s="67">
        <f>+BQ146</f>
        <v>168.76541756950527</v>
      </c>
      <c r="BR14" s="67">
        <f>+BR146</f>
        <v>205.18857832031125</v>
      </c>
      <c r="BS14" s="93">
        <f>+BS146</f>
        <v>706.84793694946279</v>
      </c>
      <c r="BT14" s="67"/>
      <c r="BU14" s="82">
        <f>+BU146</f>
        <v>213.48963446735627</v>
      </c>
      <c r="BV14" s="67">
        <f>+BV146</f>
        <v>226.33022918115873</v>
      </c>
      <c r="BW14" s="67">
        <f>+BW146</f>
        <v>985.69973612733099</v>
      </c>
      <c r="BX14" s="67">
        <f>+BX146</f>
        <v>1066.1619048381206</v>
      </c>
      <c r="BY14" s="93">
        <f>+BY146</f>
        <v>2491.6815046139664</v>
      </c>
      <c r="BZ14" s="67"/>
      <c r="CA14" s="82">
        <f>+CA146</f>
        <v>993.57008432935277</v>
      </c>
      <c r="CB14" s="67">
        <f>+CB146</f>
        <v>1018.1578524829016</v>
      </c>
      <c r="CC14" s="67">
        <f>+CC146</f>
        <v>980.77123744669439</v>
      </c>
      <c r="CD14" s="67">
        <f>+CD146</f>
        <v>1124.8008096042172</v>
      </c>
      <c r="CE14" s="93">
        <f>+CE146</f>
        <v>4117.2999838631658</v>
      </c>
      <c r="CF14" s="67"/>
      <c r="CG14" s="82">
        <f>+CG146</f>
        <v>1013.4414860159399</v>
      </c>
      <c r="CH14" s="67">
        <f>+CH146</f>
        <v>1078.0458973659461</v>
      </c>
      <c r="CI14" s="67">
        <f>+CI146</f>
        <v>1076.788741592726</v>
      </c>
      <c r="CJ14" s="67">
        <f>+CJ146</f>
        <v>1192.2888581804702</v>
      </c>
      <c r="CK14" s="93">
        <f>+CK146</f>
        <v>4360.5649831550818</v>
      </c>
      <c r="CL14" s="67"/>
      <c r="CM14" s="82">
        <f>+CM146</f>
        <v>1070.7009299758404</v>
      </c>
      <c r="CN14" s="67">
        <f>+CN146</f>
        <v>1163.6427416168021</v>
      </c>
      <c r="CO14" s="67">
        <f>+CO146</f>
        <v>1130.6281786723623</v>
      </c>
      <c r="CP14" s="67">
        <f>+CP146</f>
        <v>1253.7871174854188</v>
      </c>
      <c r="CQ14" s="93">
        <f>+CQ146</f>
        <v>4618.7589677504238</v>
      </c>
      <c r="CR14" s="67"/>
      <c r="CS14" s="82">
        <f>+CS146</f>
        <v>1124.2</v>
      </c>
      <c r="CT14" s="67">
        <f>+CT146</f>
        <v>1245</v>
      </c>
      <c r="CU14" s="67">
        <f>+CU146</f>
        <v>1175.8</v>
      </c>
      <c r="CV14" s="67">
        <f>+CV146</f>
        <v>1287.4000000000001</v>
      </c>
      <c r="CW14" s="93">
        <f>+CW146</f>
        <v>4832.3999999999996</v>
      </c>
      <c r="CX14" s="67"/>
      <c r="CY14" s="82">
        <f>+CY146</f>
        <v>1136.2</v>
      </c>
      <c r="CZ14" s="67">
        <f>+CZ146</f>
        <v>1257.5999999999999</v>
      </c>
      <c r="DA14" s="67">
        <f>+DA146</f>
        <v>1212.7</v>
      </c>
      <c r="DB14" s="67">
        <f>+DB146</f>
        <v>1431.8</v>
      </c>
      <c r="DC14" s="93">
        <f>+DC146</f>
        <v>5038.3</v>
      </c>
      <c r="DD14" s="67"/>
      <c r="DE14" s="82">
        <f>+DE146</f>
        <v>1327.3</v>
      </c>
      <c r="DF14" s="67">
        <f>+DF146</f>
        <v>1440</v>
      </c>
      <c r="DG14" s="67">
        <f>+DG146</f>
        <v>1448.7</v>
      </c>
      <c r="DH14" s="67">
        <f>+DH146</f>
        <v>1623.9</v>
      </c>
      <c r="DI14" s="93">
        <f>+DI146</f>
        <v>5839.9</v>
      </c>
      <c r="DJ14" s="67"/>
      <c r="DK14" s="82">
        <f>+DK146</f>
        <v>1519.7</v>
      </c>
      <c r="DL14" s="67">
        <f>+DL146</f>
        <v>1569.6000000000001</v>
      </c>
      <c r="DM14" s="67">
        <f>+DM146</f>
        <v>1521.1350000000002</v>
      </c>
      <c r="DN14" s="67">
        <f>+DN146</f>
        <v>1705.0950000000003</v>
      </c>
      <c r="DO14" s="93">
        <f>+DO146</f>
        <v>6315.5300000000007</v>
      </c>
      <c r="DP14" s="67"/>
      <c r="DQ14" s="82">
        <f>+DQ146</f>
        <v>1519.7</v>
      </c>
      <c r="DR14" s="67">
        <f>+DR146</f>
        <v>1616.6880000000001</v>
      </c>
      <c r="DS14" s="67">
        <f>+DS146</f>
        <v>1566.7690500000003</v>
      </c>
      <c r="DT14" s="67">
        <f>+DT146</f>
        <v>1756.2478500000002</v>
      </c>
      <c r="DU14" s="93">
        <f>+DU146</f>
        <v>6459.4048999999995</v>
      </c>
      <c r="DV14" s="67"/>
      <c r="DW14" s="82">
        <f>+DW146</f>
        <v>1595.6850000000002</v>
      </c>
      <c r="DX14" s="67">
        <f>+DX146</f>
        <v>1697.5224000000003</v>
      </c>
      <c r="DY14" s="67">
        <f>+DY146</f>
        <v>1645.1075025000005</v>
      </c>
      <c r="DZ14" s="67">
        <f>+DZ146</f>
        <v>1844.0602425000002</v>
      </c>
      <c r="EA14" s="93">
        <f>+EA146</f>
        <v>6782.375145</v>
      </c>
      <c r="EB14" s="67"/>
      <c r="EC14" s="82">
        <f t="shared" ref="EC14:EG14" si="1">+EC146</f>
        <v>1675.4692500000003</v>
      </c>
      <c r="ED14" s="67">
        <f t="shared" si="1"/>
        <v>1782.3985200000004</v>
      </c>
      <c r="EE14" s="67">
        <f t="shared" si="1"/>
        <v>1727.3628776250005</v>
      </c>
      <c r="EF14" s="67">
        <f t="shared" si="1"/>
        <v>1936.2632546250002</v>
      </c>
      <c r="EG14" s="93">
        <f t="shared" si="1"/>
        <v>7121.4939022500021</v>
      </c>
    </row>
    <row r="15" spans="1:137" ht="11.25" customHeight="1" x14ac:dyDescent="0.2">
      <c r="A15" s="51" t="s">
        <v>163</v>
      </c>
      <c r="B15" s="14"/>
      <c r="C15" s="14"/>
      <c r="D15" s="14"/>
      <c r="E15" s="93"/>
      <c r="F15" s="67"/>
      <c r="G15" s="93"/>
      <c r="H15" s="67"/>
      <c r="I15" s="93"/>
      <c r="J15" s="67"/>
      <c r="K15" s="93"/>
      <c r="L15" s="67"/>
      <c r="M15" s="82"/>
      <c r="N15" s="67"/>
      <c r="O15" s="67"/>
      <c r="P15" s="67"/>
      <c r="Q15" s="93"/>
      <c r="R15" s="67"/>
      <c r="S15" s="82" t="s">
        <v>501</v>
      </c>
      <c r="T15" s="67" t="s">
        <v>501</v>
      </c>
      <c r="U15" s="67" t="s">
        <v>501</v>
      </c>
      <c r="V15" s="67" t="s">
        <v>501</v>
      </c>
      <c r="W15" s="93"/>
      <c r="X15" s="67"/>
      <c r="Y15" s="82"/>
      <c r="Z15" s="67"/>
      <c r="AA15" s="67"/>
      <c r="AB15" s="67"/>
      <c r="AC15" s="93"/>
      <c r="AD15" s="67"/>
      <c r="AE15" s="82"/>
      <c r="AF15" s="67">
        <f>+AF213</f>
        <v>30</v>
      </c>
      <c r="AG15" s="67">
        <f>+AG213</f>
        <v>125</v>
      </c>
      <c r="AH15" s="67">
        <f>+AH213</f>
        <v>190</v>
      </c>
      <c r="AI15" s="93">
        <f>+AI213</f>
        <v>345</v>
      </c>
      <c r="AJ15" s="67"/>
      <c r="AK15" s="82">
        <f>+AK213</f>
        <v>127.12102500000002</v>
      </c>
      <c r="AL15" s="67">
        <f>+AL213</f>
        <v>142.08758</v>
      </c>
      <c r="AM15" s="67">
        <f>+AM213</f>
        <v>150.76378</v>
      </c>
      <c r="AN15" s="67">
        <f>+AN213</f>
        <v>226.66431500000004</v>
      </c>
      <c r="AO15" s="93">
        <f>+AO213</f>
        <v>646.63670000000002</v>
      </c>
      <c r="AP15" s="67"/>
      <c r="AQ15" s="82">
        <f>+AQ213</f>
        <v>127.72389999999996</v>
      </c>
      <c r="AR15" s="67">
        <f>+AR213</f>
        <v>240.25738599999994</v>
      </c>
      <c r="AS15" s="67">
        <f>+AS213</f>
        <v>349.06677200000013</v>
      </c>
      <c r="AT15" s="67">
        <f>+AT213</f>
        <v>406.68707399999994</v>
      </c>
      <c r="AU15" s="93">
        <f>+AU213</f>
        <v>1123.735132</v>
      </c>
      <c r="AV15" s="67"/>
      <c r="AW15" s="82">
        <f>+AW213</f>
        <v>373.45537999999999</v>
      </c>
      <c r="AX15" s="67">
        <f>+AX213</f>
        <v>390.517448</v>
      </c>
      <c r="AY15" s="67">
        <f>+AY213</f>
        <v>415.59763440000006</v>
      </c>
      <c r="AZ15" s="67">
        <f>+AZ213</f>
        <v>525.513198784</v>
      </c>
      <c r="BA15" s="93">
        <f>+BA213</f>
        <v>1705.083661184</v>
      </c>
      <c r="BB15" s="67"/>
      <c r="BC15" s="82">
        <f>+BC213</f>
        <v>402.53512840000008</v>
      </c>
      <c r="BD15" s="67">
        <f>+BD213</f>
        <v>477.22824863999995</v>
      </c>
      <c r="BE15" s="67">
        <f>+BE213</f>
        <v>461.69326859200004</v>
      </c>
      <c r="BF15" s="67">
        <f>+BF213</f>
        <v>454.06362807424</v>
      </c>
      <c r="BG15" s="93">
        <f>+BG213</f>
        <v>1795.52027370624</v>
      </c>
      <c r="BH15" s="67"/>
      <c r="BI15" s="82">
        <f>+BI213</f>
        <v>376.6</v>
      </c>
      <c r="BJ15" s="67">
        <f>+BJ213</f>
        <v>388.5</v>
      </c>
      <c r="BK15" s="67">
        <f>+BK213</f>
        <v>402.9</v>
      </c>
      <c r="BL15" s="67">
        <f>+BL213</f>
        <v>489</v>
      </c>
      <c r="BM15" s="93">
        <f>+BM213</f>
        <v>1657</v>
      </c>
      <c r="BN15" s="67"/>
      <c r="BO15" s="82">
        <f>+BO213</f>
        <v>431.8</v>
      </c>
      <c r="BP15" s="67">
        <f>+BP213</f>
        <v>428.3</v>
      </c>
      <c r="BQ15" s="67">
        <f>+BQ213</f>
        <v>443</v>
      </c>
      <c r="BR15" s="67">
        <f>+BR213</f>
        <v>521.5</v>
      </c>
      <c r="BS15" s="93">
        <f>+BS213</f>
        <v>1824.6</v>
      </c>
      <c r="BT15" s="67"/>
      <c r="BU15" s="82">
        <f>+BU213</f>
        <v>463.5</v>
      </c>
      <c r="BV15" s="67">
        <f>+BV213</f>
        <v>504.7</v>
      </c>
      <c r="BW15" s="67">
        <f>+BW213</f>
        <v>492.6</v>
      </c>
      <c r="BX15" s="67">
        <f>+BX213</f>
        <v>550.39999999999986</v>
      </c>
      <c r="BY15" s="93">
        <f>+BY213</f>
        <v>2011.2</v>
      </c>
      <c r="BZ15" s="67"/>
      <c r="CA15" s="82">
        <f>+CA213</f>
        <v>464.7</v>
      </c>
      <c r="CB15" s="67">
        <f>+CB213</f>
        <v>498.8</v>
      </c>
      <c r="CC15" s="67">
        <f>+CC213</f>
        <v>488.9</v>
      </c>
      <c r="CD15" s="67">
        <f>+CD213</f>
        <v>570.5</v>
      </c>
      <c r="CE15" s="93">
        <f>+CE213</f>
        <v>2022.9</v>
      </c>
      <c r="CF15" s="67"/>
      <c r="CG15" s="82">
        <f>+CG213</f>
        <v>479.8</v>
      </c>
      <c r="CH15" s="67">
        <f>+CH213</f>
        <v>514.70000000000005</v>
      </c>
      <c r="CI15" s="67">
        <f>+CI213</f>
        <v>510.2</v>
      </c>
      <c r="CJ15" s="67">
        <f>+CJ213</f>
        <v>590.20000000000005</v>
      </c>
      <c r="CK15" s="93">
        <f>+CK213</f>
        <v>2094.9</v>
      </c>
      <c r="CL15" s="67"/>
      <c r="CM15" s="82">
        <f>+CM213</f>
        <v>509.7</v>
      </c>
      <c r="CN15" s="67">
        <f>+CN213</f>
        <v>528.1</v>
      </c>
      <c r="CO15" s="67">
        <f>+CO213</f>
        <v>528.4</v>
      </c>
      <c r="CP15" s="67">
        <f>+CP213</f>
        <v>626.90000000000009</v>
      </c>
      <c r="CQ15" s="93">
        <f>+CQ213</f>
        <v>2193.1</v>
      </c>
      <c r="CR15" s="67"/>
      <c r="CS15" s="82">
        <f>+CS213</f>
        <v>662.4</v>
      </c>
      <c r="CT15" s="67">
        <f>+CT213</f>
        <v>687.6</v>
      </c>
      <c r="CU15" s="67">
        <f>+CU213</f>
        <v>652.20000000000005</v>
      </c>
      <c r="CV15" s="67">
        <f>+CV213</f>
        <v>734.60000000000014</v>
      </c>
      <c r="CW15" s="93">
        <f>+CW213</f>
        <v>2736.8</v>
      </c>
      <c r="CX15" s="67"/>
      <c r="CY15" s="82">
        <f>+CY213</f>
        <v>655.9</v>
      </c>
      <c r="CZ15" s="67">
        <f>+CZ213</f>
        <v>714.6</v>
      </c>
      <c r="DA15" s="67">
        <f>+DA213</f>
        <v>675.6</v>
      </c>
      <c r="DB15" s="67">
        <f>+DB213</f>
        <v>739.3</v>
      </c>
      <c r="DC15" s="93">
        <f>+DC213</f>
        <v>2785.3999999999996</v>
      </c>
      <c r="DD15" s="67"/>
      <c r="DE15" s="82">
        <f>+DE213</f>
        <v>655.5</v>
      </c>
      <c r="DF15" s="67">
        <f>+DF213</f>
        <v>702.6</v>
      </c>
      <c r="DG15" s="67">
        <f>+DG213</f>
        <v>694</v>
      </c>
      <c r="DH15" s="67">
        <f>+DH213</f>
        <v>758.8</v>
      </c>
      <c r="DI15" s="93">
        <f>+DI213</f>
        <v>2810.8999999999996</v>
      </c>
      <c r="DJ15" s="67"/>
      <c r="DK15" s="82">
        <f>+DK213</f>
        <v>672.6</v>
      </c>
      <c r="DL15" s="67">
        <f>+DL213</f>
        <v>727.19099999999992</v>
      </c>
      <c r="DM15" s="67">
        <f>+DM213</f>
        <v>700.94</v>
      </c>
      <c r="DN15" s="67">
        <f>+DN213</f>
        <v>789.15199999999993</v>
      </c>
      <c r="DO15" s="93">
        <f>+DO213</f>
        <v>2889.8829999999998</v>
      </c>
      <c r="DP15" s="67"/>
      <c r="DQ15" s="82">
        <f>+DQ213</f>
        <v>692.77800000000002</v>
      </c>
      <c r="DR15" s="67">
        <f>+DR213</f>
        <v>749.00672999999995</v>
      </c>
      <c r="DS15" s="67">
        <f>+DS213</f>
        <v>721.96820000000002</v>
      </c>
      <c r="DT15" s="67">
        <f>+DT213</f>
        <v>812.82655999999997</v>
      </c>
      <c r="DU15" s="93">
        <f>+DU213</f>
        <v>2976.5794899999996</v>
      </c>
      <c r="DV15" s="67"/>
      <c r="DW15" s="82">
        <f>+DW213</f>
        <v>713.56134000000009</v>
      </c>
      <c r="DX15" s="67">
        <f>+DX213</f>
        <v>771.47693189999995</v>
      </c>
      <c r="DY15" s="67">
        <f>+DY213</f>
        <v>743.62724600000001</v>
      </c>
      <c r="DZ15" s="67">
        <f>+DZ213</f>
        <v>837.21135679999998</v>
      </c>
      <c r="EA15" s="93">
        <f>+EA213</f>
        <v>3065.8768746999999</v>
      </c>
      <c r="EB15" s="67"/>
      <c r="EC15" s="82">
        <f t="shared" ref="EC15:EG15" si="2">+EC213</f>
        <v>734.96818020000012</v>
      </c>
      <c r="ED15" s="67">
        <f t="shared" si="2"/>
        <v>794.62123985699998</v>
      </c>
      <c r="EE15" s="67">
        <f t="shared" si="2"/>
        <v>765.93606338000006</v>
      </c>
      <c r="EF15" s="67">
        <f t="shared" si="2"/>
        <v>862.32769750399996</v>
      </c>
      <c r="EG15" s="93">
        <f t="shared" si="2"/>
        <v>3157.8531809410001</v>
      </c>
    </row>
    <row r="16" spans="1:137" ht="11.25" customHeight="1" x14ac:dyDescent="0.2">
      <c r="A16" s="51" t="s">
        <v>231</v>
      </c>
      <c r="B16" s="14"/>
      <c r="C16" s="14"/>
      <c r="D16" s="14"/>
      <c r="E16" s="93"/>
      <c r="F16" s="67"/>
      <c r="G16" s="93"/>
      <c r="H16" s="67"/>
      <c r="I16" s="93"/>
      <c r="J16" s="67"/>
      <c r="K16" s="93"/>
      <c r="L16" s="67"/>
      <c r="M16" s="82"/>
      <c r="N16" s="67"/>
      <c r="O16" s="67"/>
      <c r="P16" s="67"/>
      <c r="Q16" s="93"/>
      <c r="R16" s="67"/>
      <c r="S16" s="82">
        <f>+S311</f>
        <v>156.147785</v>
      </c>
      <c r="T16" s="67">
        <f>+T311</f>
        <v>205.0600718831169</v>
      </c>
      <c r="U16" s="67">
        <f>+U311</f>
        <v>217.1392228338762</v>
      </c>
      <c r="V16" s="67">
        <f>+V311</f>
        <v>266.06033028300698</v>
      </c>
      <c r="W16" s="93">
        <f>+W311</f>
        <v>844.40741000000003</v>
      </c>
      <c r="X16" s="67"/>
      <c r="Y16" s="82">
        <f>+Y311</f>
        <v>223.654507</v>
      </c>
      <c r="Z16" s="67">
        <f>+Z311</f>
        <v>244.50004300000001</v>
      </c>
      <c r="AA16" s="67">
        <f>+AA311</f>
        <v>262.09071899999998</v>
      </c>
      <c r="AB16" s="67">
        <f>+AB311</f>
        <v>320.27545699999996</v>
      </c>
      <c r="AC16" s="93">
        <f>+AC311</f>
        <v>1050.520726</v>
      </c>
      <c r="AD16" s="67"/>
      <c r="AE16" s="82">
        <f>+AE311</f>
        <v>296.03693160000006</v>
      </c>
      <c r="AF16" s="67">
        <f>+AF311</f>
        <v>287.15146960000004</v>
      </c>
      <c r="AG16" s="67">
        <f>+AG311</f>
        <v>323.54052720000004</v>
      </c>
      <c r="AH16" s="67">
        <f>+AH311</f>
        <v>387.44867159999995</v>
      </c>
      <c r="AI16" s="93">
        <f>+AI311</f>
        <v>1294.1776</v>
      </c>
      <c r="AJ16" s="67"/>
      <c r="AK16" s="82">
        <f>+AK311</f>
        <v>369.14457519000007</v>
      </c>
      <c r="AL16" s="67">
        <f>+AL311</f>
        <v>385.56481015999998</v>
      </c>
      <c r="AM16" s="67">
        <f>+AM311</f>
        <v>406.96923801599996</v>
      </c>
      <c r="AN16" s="67">
        <f>+AN311</f>
        <v>463.13189663399982</v>
      </c>
      <c r="AO16" s="93">
        <f>+AO311</f>
        <v>1624.8105199999998</v>
      </c>
      <c r="AP16" s="67"/>
      <c r="AQ16" s="82">
        <f>+AQ311</f>
        <v>403.50722594850004</v>
      </c>
      <c r="AR16" s="67">
        <f>+AR311</f>
        <v>408.92408755280007</v>
      </c>
      <c r="AS16" s="67">
        <f>+AS311</f>
        <v>439.48841654783996</v>
      </c>
      <c r="AT16" s="67">
        <f>+AT311</f>
        <v>481.03886995085998</v>
      </c>
      <c r="AU16" s="93">
        <f>+AU311</f>
        <v>1732.9585999999999</v>
      </c>
      <c r="AV16" s="67"/>
      <c r="AW16" s="82">
        <f>+AW311</f>
        <v>458.358698668785</v>
      </c>
      <c r="AX16" s="67">
        <f>+AX311</f>
        <v>472.39734218715608</v>
      </c>
      <c r="AY16" s="67">
        <f>+AY311</f>
        <v>547.09464361559048</v>
      </c>
      <c r="AZ16" s="67">
        <f>+AZ311</f>
        <v>596.96774752846852</v>
      </c>
      <c r="BA16" s="93">
        <f>+BA311</f>
        <v>2074.818432</v>
      </c>
      <c r="BB16" s="67"/>
      <c r="BC16" s="82">
        <f>+BC311</f>
        <v>521.81249261864059</v>
      </c>
      <c r="BD16" s="67">
        <f>+BD311</f>
        <v>544.33201060059866</v>
      </c>
      <c r="BE16" s="67">
        <f>+BE311</f>
        <v>571.39648422492246</v>
      </c>
      <c r="BF16" s="67">
        <f>+BF311</f>
        <v>584.9532135558386</v>
      </c>
      <c r="BG16" s="93">
        <f>+BG311</f>
        <v>2222.4942010000004</v>
      </c>
      <c r="BH16" s="67"/>
      <c r="BI16" s="82">
        <f>+BI311</f>
        <v>474.68010354125818</v>
      </c>
      <c r="BJ16" s="67">
        <f>+BJ311</f>
        <v>491.75775924802463</v>
      </c>
      <c r="BK16" s="67">
        <f>+BK311</f>
        <v>533.01679235181473</v>
      </c>
      <c r="BL16" s="67">
        <f>+BL311</f>
        <v>623.11284485890258</v>
      </c>
      <c r="BM16" s="93">
        <f>+BM311</f>
        <v>2122.5675000000001</v>
      </c>
      <c r="BN16" s="67"/>
      <c r="BO16" s="82">
        <f>+BO311</f>
        <v>529.72600000000011</v>
      </c>
      <c r="BP16" s="67">
        <f>+BP311</f>
        <v>589.67399999999998</v>
      </c>
      <c r="BQ16" s="67">
        <f>+BQ311</f>
        <v>591.42600000000016</v>
      </c>
      <c r="BR16" s="67">
        <f>+BR311</f>
        <v>640.85400000000004</v>
      </c>
      <c r="BS16" s="93">
        <f>+BS311</f>
        <v>2351.6800000000003</v>
      </c>
      <c r="BT16" s="67"/>
      <c r="BU16" s="82">
        <f>+BU311</f>
        <v>661.43358000000001</v>
      </c>
      <c r="BV16" s="67">
        <f>+BV311</f>
        <v>714.64867000000004</v>
      </c>
      <c r="BW16" s="67">
        <f>+BW311</f>
        <v>721.79015000000004</v>
      </c>
      <c r="BX16" s="67">
        <f>+BX311</f>
        <v>769.19559999999979</v>
      </c>
      <c r="BY16" s="93">
        <f>+BY311</f>
        <v>2867.0680000000002</v>
      </c>
      <c r="BZ16" s="67"/>
      <c r="CA16" s="82">
        <f>+CA311</f>
        <v>739.05509660000007</v>
      </c>
      <c r="CB16" s="67">
        <f>+CB311</f>
        <v>807.86077264999994</v>
      </c>
      <c r="CC16" s="67">
        <f>+CC311</f>
        <v>824.16359950000015</v>
      </c>
      <c r="CD16" s="67">
        <f>+CD311</f>
        <v>884.91801124999984</v>
      </c>
      <c r="CE16" s="93">
        <f>+CE311</f>
        <v>3255.99748</v>
      </c>
      <c r="CF16" s="67"/>
      <c r="CG16" s="82">
        <f>+CG311</f>
        <v>786.5474121179999</v>
      </c>
      <c r="CH16" s="67">
        <f>+CH311</f>
        <v>863.87690023124992</v>
      </c>
      <c r="CI16" s="67">
        <f>+CI311</f>
        <v>862.34258531249998</v>
      </c>
      <c r="CJ16" s="67">
        <f>+CJ311</f>
        <v>941.76691433824999</v>
      </c>
      <c r="CK16" s="93">
        <f>+CK311</f>
        <v>3454.5338119999997</v>
      </c>
      <c r="CL16" s="67"/>
      <c r="CM16" s="82">
        <f>+CM311</f>
        <v>804.95549228448999</v>
      </c>
      <c r="CN16" s="67">
        <f>+CN311</f>
        <v>884.61197587818754</v>
      </c>
      <c r="CO16" s="67">
        <f>+CO311</f>
        <v>903.37099457812508</v>
      </c>
      <c r="CP16" s="67">
        <f>+CP311</f>
        <v>950.56430725919768</v>
      </c>
      <c r="CQ16" s="93">
        <f>+CQ311</f>
        <v>3543.5027700000001</v>
      </c>
      <c r="CR16" s="67"/>
      <c r="CS16" s="82">
        <f>+CS311</f>
        <v>847.9</v>
      </c>
      <c r="CT16" s="67">
        <f>+CT311</f>
        <v>895.4</v>
      </c>
      <c r="CU16" s="67">
        <f>+CU311</f>
        <v>879.7</v>
      </c>
      <c r="CV16" s="67">
        <f>+CV311</f>
        <v>926.8</v>
      </c>
      <c r="CW16" s="93">
        <f>+CW311</f>
        <v>3549.8</v>
      </c>
      <c r="CX16" s="67"/>
      <c r="CY16" s="82">
        <f>+CY311</f>
        <v>873.9</v>
      </c>
      <c r="CZ16" s="67">
        <f>+CZ311</f>
        <v>941.4</v>
      </c>
      <c r="DA16" s="67">
        <f>+DA311</f>
        <v>918.4</v>
      </c>
      <c r="DB16" s="67">
        <f>+DB311</f>
        <v>959.1</v>
      </c>
      <c r="DC16" s="93">
        <f>+DC311</f>
        <v>3692.7999999999997</v>
      </c>
      <c r="DD16" s="67"/>
      <c r="DE16" s="82">
        <f>+DE311</f>
        <v>914.8</v>
      </c>
      <c r="DF16" s="67">
        <f>+DF311</f>
        <v>983.2</v>
      </c>
      <c r="DG16" s="67">
        <f>+DG311</f>
        <v>992.9</v>
      </c>
      <c r="DH16" s="67">
        <f>+DH311</f>
        <v>1077.9000000000001</v>
      </c>
      <c r="DI16" s="93">
        <f>+DI311</f>
        <v>3968.8</v>
      </c>
      <c r="DJ16" s="67"/>
      <c r="DK16" s="82">
        <f>+DK311</f>
        <v>1027.0999999999999</v>
      </c>
      <c r="DL16" s="67">
        <f>+DL311</f>
        <v>1086.4359999999999</v>
      </c>
      <c r="DM16" s="67">
        <f>+DM311</f>
        <v>1072.3320000000001</v>
      </c>
      <c r="DN16" s="67">
        <f>+DN311</f>
        <v>1142.5740000000001</v>
      </c>
      <c r="DO16" s="93">
        <f>+DO311</f>
        <v>4328.4420000000009</v>
      </c>
      <c r="DP16" s="67"/>
      <c r="DQ16" s="82">
        <f>+DQ311</f>
        <v>1086.15825</v>
      </c>
      <c r="DR16" s="67">
        <f>+DR311</f>
        <v>1148.90607</v>
      </c>
      <c r="DS16" s="67">
        <f>+DS311</f>
        <v>1133.9910900000002</v>
      </c>
      <c r="DT16" s="67">
        <f>+DT311</f>
        <v>1208.2720050000003</v>
      </c>
      <c r="DU16" s="93">
        <f>+DU311</f>
        <v>4577.3274149999997</v>
      </c>
      <c r="DV16" s="67"/>
      <c r="DW16" s="82">
        <f>+DW311</f>
        <v>1135.0353712499998</v>
      </c>
      <c r="DX16" s="67">
        <f>+DX311</f>
        <v>1200.60684315</v>
      </c>
      <c r="DY16" s="67">
        <f>+DY311</f>
        <v>1185.0206890500001</v>
      </c>
      <c r="DZ16" s="67">
        <f>+DZ311</f>
        <v>1262.6442452250001</v>
      </c>
      <c r="EA16" s="93">
        <f>+EA311</f>
        <v>4783.3071486750005</v>
      </c>
      <c r="EB16" s="67"/>
      <c r="EC16" s="82">
        <f t="shared" ref="EC16:EG16" si="3">+EC311</f>
        <v>1186.1119629562497</v>
      </c>
      <c r="ED16" s="67">
        <f t="shared" si="3"/>
        <v>1254.63415109175</v>
      </c>
      <c r="EE16" s="67">
        <f t="shared" si="3"/>
        <v>1238.34662005725</v>
      </c>
      <c r="EF16" s="67">
        <f t="shared" si="3"/>
        <v>1319.4632362601251</v>
      </c>
      <c r="EG16" s="93">
        <f t="shared" si="3"/>
        <v>4998.5559703653753</v>
      </c>
    </row>
    <row r="17" spans="1:137" ht="11.25" customHeight="1" x14ac:dyDescent="0.2">
      <c r="A17" s="50" t="s">
        <v>239</v>
      </c>
      <c r="B17" s="343"/>
      <c r="C17" s="343"/>
      <c r="D17" s="343"/>
      <c r="E17" s="163"/>
      <c r="F17" s="344"/>
      <c r="G17" s="163"/>
      <c r="H17" s="344"/>
      <c r="I17" s="163"/>
      <c r="J17" s="344"/>
      <c r="K17" s="163"/>
      <c r="L17" s="164"/>
      <c r="M17" s="165"/>
      <c r="N17" s="164"/>
      <c r="O17" s="164"/>
      <c r="P17" s="164"/>
      <c r="Q17" s="163"/>
      <c r="R17" s="164"/>
      <c r="S17" s="165">
        <f>+SUM(S13:S16)</f>
        <v>156.147785</v>
      </c>
      <c r="T17" s="164">
        <f>+SUM(T13:T16)</f>
        <v>205.0600718831169</v>
      </c>
      <c r="U17" s="164">
        <f>+SUM(U13:U16)</f>
        <v>217.1392228338762</v>
      </c>
      <c r="V17" s="164">
        <f>+SUM(V13:V16)</f>
        <v>266.06033028300698</v>
      </c>
      <c r="W17" s="163">
        <f>+SUM(W13:W16)</f>
        <v>844.40741000000003</v>
      </c>
      <c r="X17" s="164"/>
      <c r="Y17" s="165">
        <f>+SUM(Y13:Y16)</f>
        <v>223.654507</v>
      </c>
      <c r="Z17" s="164">
        <f>+SUM(Z13:Z16)</f>
        <v>244.50004300000001</v>
      </c>
      <c r="AA17" s="164">
        <f>+SUM(AA13:AA16)</f>
        <v>262.09071899999998</v>
      </c>
      <c r="AB17" s="164">
        <f>+SUM(AB13:AB16)</f>
        <v>320.27545699999996</v>
      </c>
      <c r="AC17" s="163">
        <f>+SUM(AC13:AC16)</f>
        <v>1050.520726</v>
      </c>
      <c r="AD17" s="164"/>
      <c r="AE17" s="165">
        <f>+SUM(AE13:AE16)</f>
        <v>374.78693160000006</v>
      </c>
      <c r="AF17" s="164">
        <f>+SUM(AF13:AF16)</f>
        <v>397.55146960000002</v>
      </c>
      <c r="AG17" s="164">
        <f>+SUM(AG13:AG16)</f>
        <v>531.41052720000005</v>
      </c>
      <c r="AH17" s="164">
        <f>+SUM(AH13:AH16)</f>
        <v>663.35467160000007</v>
      </c>
      <c r="AI17" s="163">
        <f>+SUM(AI13:AI16)</f>
        <v>1967.1035999999999</v>
      </c>
      <c r="AJ17" s="164"/>
      <c r="AK17" s="165">
        <f>+SUM(AK13:AK16)</f>
        <v>580.52810019000003</v>
      </c>
      <c r="AL17" s="164">
        <f>+SUM(AL13:AL16)</f>
        <v>612.07239015999994</v>
      </c>
      <c r="AM17" s="164">
        <f>+SUM(AM13:AM16)</f>
        <v>698.74651801599998</v>
      </c>
      <c r="AN17" s="164">
        <f>+SUM(AN13:AN16)</f>
        <v>914.99751163399992</v>
      </c>
      <c r="AO17" s="163">
        <f>+SUM(AO13:AO16)</f>
        <v>2806.3445199999996</v>
      </c>
      <c r="AP17" s="164"/>
      <c r="AQ17" s="165">
        <f>+SUM(AQ13:AQ16)</f>
        <v>793.97562594850001</v>
      </c>
      <c r="AR17" s="164">
        <f>+SUM(AR13:AR16)</f>
        <v>917.10867355280004</v>
      </c>
      <c r="AS17" s="164">
        <f>+SUM(AS13:AS16)</f>
        <v>1064.49084854784</v>
      </c>
      <c r="AT17" s="164">
        <f>+SUM(AT13:AT16)</f>
        <v>1177.3594519508601</v>
      </c>
      <c r="AU17" s="163">
        <f>+SUM(AU13:AU16)</f>
        <v>3952.9346</v>
      </c>
      <c r="AV17" s="164"/>
      <c r="AW17" s="165">
        <f>+SUM(AW13:AW16)</f>
        <v>1133.297698668785</v>
      </c>
      <c r="AX17" s="164">
        <f>+SUM(AX13:AX16)</f>
        <v>1170.310342187156</v>
      </c>
      <c r="AY17" s="164">
        <f>+SUM(AY13:AY16)</f>
        <v>1279.2776436155905</v>
      </c>
      <c r="AZ17" s="164">
        <f>+SUM(AZ13:AZ16)</f>
        <v>1453.9187475284687</v>
      </c>
      <c r="BA17" s="163">
        <f>+SUM(BA13:BA16)</f>
        <v>5036.8044320000008</v>
      </c>
      <c r="BB17" s="164"/>
      <c r="BC17" s="165">
        <f>+SUM(BC13:BC16)</f>
        <v>1270.6932926186405</v>
      </c>
      <c r="BD17" s="164">
        <f>+SUM(BD13:BD16)</f>
        <v>1374.5970106005987</v>
      </c>
      <c r="BE17" s="164">
        <f>+SUM(BE13:BE16)</f>
        <v>1396.6854842249224</v>
      </c>
      <c r="BF17" s="164">
        <f>+SUM(BF13:BF16)</f>
        <v>1418.6644135558386</v>
      </c>
      <c r="BG17" s="163">
        <f>+SUM(BG13:BG16)</f>
        <v>5460.6402010000002</v>
      </c>
      <c r="BH17" s="164"/>
      <c r="BI17" s="165">
        <f>+SUM(BI13:BI16)</f>
        <v>1182.6266517368181</v>
      </c>
      <c r="BJ17" s="164">
        <f>+SUM(BJ13:BJ16)</f>
        <v>1219.8267844244151</v>
      </c>
      <c r="BK17" s="164">
        <f>+SUM(BK13:BK16)</f>
        <v>1289.88488646357</v>
      </c>
      <c r="BL17" s="164">
        <f>+SUM(BL13:BL16)</f>
        <v>1534.4297321593156</v>
      </c>
      <c r="BM17" s="163">
        <f>+SUM(BM13:BM16)</f>
        <v>5226.7680547841192</v>
      </c>
      <c r="BN17" s="164"/>
      <c r="BO17" s="165">
        <f>+SUM(BO13:BO16)</f>
        <v>1468.6536596595502</v>
      </c>
      <c r="BP17" s="164">
        <f>+SUM(BP13:BP16)</f>
        <v>1547.8888683911962</v>
      </c>
      <c r="BQ17" s="164">
        <f>+SUM(BQ13:BQ16)</f>
        <v>1584.0443499420053</v>
      </c>
      <c r="BR17" s="164">
        <f>+SUM(BR13:BR16)</f>
        <v>1833.2606111255113</v>
      </c>
      <c r="BS17" s="163">
        <f>+SUM(BS13:BS16)</f>
        <v>6433.8474891182632</v>
      </c>
      <c r="BT17" s="164"/>
      <c r="BU17" s="165">
        <f>+SUM(BU13:BU16)</f>
        <v>1741.3674587117498</v>
      </c>
      <c r="BV17" s="164">
        <f>+SUM(BV13:BV16)</f>
        <v>1913.5618555288188</v>
      </c>
      <c r="BW17" s="164">
        <f>+SUM(BW13:BW16)</f>
        <v>2771.197900866513</v>
      </c>
      <c r="BX17" s="164">
        <f>+SUM(BX13:BX16)</f>
        <v>3037.0781452571764</v>
      </c>
      <c r="BY17" s="163">
        <f>+SUM(BY13:BY16)</f>
        <v>9463.205360364258</v>
      </c>
      <c r="BZ17" s="164"/>
      <c r="CA17" s="165">
        <f>+SUM(CA13:CA16)</f>
        <v>2739.2851894380619</v>
      </c>
      <c r="CB17" s="164">
        <f>+SUM(CB13:CB16)</f>
        <v>2879.2599284048788</v>
      </c>
      <c r="CC17" s="164">
        <f>+SUM(CC13:CC16)</f>
        <v>2820.3650155954101</v>
      </c>
      <c r="CD17" s="164">
        <f>+SUM(CD13:CD16)</f>
        <v>3281.8800335712622</v>
      </c>
      <c r="CE17" s="163">
        <f>+SUM(CE13:CE16)</f>
        <v>11720.790167009613</v>
      </c>
      <c r="CF17" s="164"/>
      <c r="CG17" s="165">
        <f>+SUM(CG13:CG16)</f>
        <v>2822.9628970617086</v>
      </c>
      <c r="CH17" s="164">
        <f>+SUM(CH13:CH16)</f>
        <v>3041.6415387446232</v>
      </c>
      <c r="CI17" s="164">
        <f>+SUM(CI13:CI16)</f>
        <v>3036.4124760985433</v>
      </c>
      <c r="CJ17" s="164">
        <f>+SUM(CJ13:CJ16)</f>
        <v>3459.884404543398</v>
      </c>
      <c r="CK17" s="163">
        <f>+SUM(CK13:CK16)</f>
        <v>12360.901316448271</v>
      </c>
      <c r="CL17" s="164"/>
      <c r="CM17" s="165">
        <f>+SUM(CM13:CM16)</f>
        <v>2960.2517827254806</v>
      </c>
      <c r="CN17" s="164">
        <f>+SUM(CN13:CN16)</f>
        <v>3181.9661183308053</v>
      </c>
      <c r="CO17" s="164">
        <f>+SUM(CO13:CO16)</f>
        <v>3160.5174480486394</v>
      </c>
      <c r="CP17" s="164">
        <f>+SUM(CP13:CP16)</f>
        <v>3564.1214493992011</v>
      </c>
      <c r="CQ17" s="163">
        <f>+SUM(CQ13:CQ16)</f>
        <v>12866.856798504126</v>
      </c>
      <c r="CR17" s="164"/>
      <c r="CS17" s="165">
        <f>+SUM(CS13:CS16)</f>
        <v>3192.2000000000003</v>
      </c>
      <c r="CT17" s="164">
        <f>+SUM(CT13:CT16)</f>
        <v>3406.3</v>
      </c>
      <c r="CU17" s="164">
        <f>+SUM(CU13:CU16)</f>
        <v>3512.2</v>
      </c>
      <c r="CV17" s="164">
        <f>+SUM(CV13:CV16)</f>
        <v>4323.0000000000009</v>
      </c>
      <c r="CW17" s="163">
        <f>+SUM(CW13:CW16)</f>
        <v>14433.7</v>
      </c>
      <c r="CX17" s="164"/>
      <c r="CY17" s="165">
        <f>+SUM(CY13:CY16)</f>
        <v>3924.1000000000004</v>
      </c>
      <c r="CZ17" s="164">
        <f>+SUM(CZ13:CZ16)</f>
        <v>4241.8999999999996</v>
      </c>
      <c r="DA17" s="164">
        <f>+SUM(DA13:DA16)</f>
        <v>4132.1000000000004</v>
      </c>
      <c r="DB17" s="164">
        <f>+SUM(DB13:DB16)</f>
        <v>4584.3</v>
      </c>
      <c r="DC17" s="163">
        <f>+SUM(DC13:DC16)</f>
        <v>16882.400000000001</v>
      </c>
      <c r="DD17" s="164"/>
      <c r="DE17" s="165">
        <f>+SUM(DE13:DE16)</f>
        <v>4205.7</v>
      </c>
      <c r="DF17" s="164">
        <f>+SUM(DF13:DF16)</f>
        <v>4510.1000000000004</v>
      </c>
      <c r="DG17" s="164">
        <f>+SUM(DG13:DG16)</f>
        <v>4528.2</v>
      </c>
      <c r="DH17" s="164">
        <f>+SUM(DH13:DH16)</f>
        <v>5085.7000000000007</v>
      </c>
      <c r="DI17" s="163">
        <f>+SUM(DI13:DI16)</f>
        <v>18329.7</v>
      </c>
      <c r="DJ17" s="164"/>
      <c r="DK17" s="165">
        <f>+SUM(DK13:DK16)</f>
        <v>4695.3999999999996</v>
      </c>
      <c r="DL17" s="164">
        <f>+SUM(DL13:DL16)</f>
        <v>4930.1925000000001</v>
      </c>
      <c r="DM17" s="164">
        <f>+SUM(DM13:DM16)</f>
        <v>4850.5630000000001</v>
      </c>
      <c r="DN17" s="164">
        <f>+SUM(DN13:DN16)</f>
        <v>5438.3014999999996</v>
      </c>
      <c r="DO17" s="163">
        <f>+SUM(DO13:DO16)</f>
        <v>19914.457000000002</v>
      </c>
      <c r="DP17" s="164"/>
      <c r="DQ17" s="165">
        <f>+SUM(DQ13:DQ16)</f>
        <v>4913.6762500000004</v>
      </c>
      <c r="DR17" s="164">
        <f>+SUM(DR13:DR16)</f>
        <v>5168.4449199999999</v>
      </c>
      <c r="DS17" s="164">
        <f>+SUM(DS13:DS16)</f>
        <v>5041.1305800000009</v>
      </c>
      <c r="DT17" s="164">
        <f>+SUM(DT13:DT16)</f>
        <v>5650.8861350000006</v>
      </c>
      <c r="DU17" s="163">
        <f>+SUM(DU13:DU16)</f>
        <v>20774.137884999996</v>
      </c>
      <c r="DV17" s="164"/>
      <c r="DW17" s="165">
        <f>+SUM(DW13:DW16)</f>
        <v>5123.9233112499996</v>
      </c>
      <c r="DX17" s="164">
        <f>+SUM(DX13:DX16)</f>
        <v>5389.6040598500003</v>
      </c>
      <c r="DY17" s="164">
        <f>+SUM(DY13:DY16)</f>
        <v>5256.8937671500007</v>
      </c>
      <c r="DZ17" s="164">
        <f>+SUM(DZ13:DZ16)</f>
        <v>5892.3971533250015</v>
      </c>
      <c r="EA17" s="163">
        <f>+SUM(EA13:EA16)</f>
        <v>21662.818291575</v>
      </c>
      <c r="EB17" s="164"/>
      <c r="EC17" s="165">
        <f t="shared" ref="EC17:EG17" si="4">+SUM(EC13:EC16)</f>
        <v>5343.3766571562501</v>
      </c>
      <c r="ED17" s="164">
        <f t="shared" si="4"/>
        <v>5620.4517111407504</v>
      </c>
      <c r="EE17" s="164">
        <f t="shared" si="4"/>
        <v>5482.1094238462501</v>
      </c>
      <c r="EF17" s="164">
        <f t="shared" si="4"/>
        <v>6144.4747495411257</v>
      </c>
      <c r="EG17" s="163">
        <f t="shared" si="4"/>
        <v>22590.412541684378</v>
      </c>
    </row>
    <row r="18" spans="1:137" ht="11.25" customHeight="1" x14ac:dyDescent="0.2">
      <c r="A18" s="50"/>
      <c r="B18" s="343"/>
      <c r="C18" s="343"/>
      <c r="D18" s="343"/>
      <c r="E18" s="163"/>
      <c r="F18" s="344"/>
      <c r="G18" s="163"/>
      <c r="H18" s="344"/>
      <c r="I18" s="163"/>
      <c r="J18" s="344"/>
      <c r="K18" s="163"/>
      <c r="L18" s="164"/>
      <c r="M18" s="165"/>
      <c r="N18" s="164"/>
      <c r="O18" s="164"/>
      <c r="P18" s="164"/>
      <c r="Q18" s="163"/>
      <c r="R18" s="164"/>
      <c r="S18" s="165"/>
      <c r="T18" s="164"/>
      <c r="U18" s="164"/>
      <c r="V18" s="164"/>
      <c r="W18" s="163"/>
      <c r="X18" s="164"/>
      <c r="Y18" s="165"/>
      <c r="Z18" s="164"/>
      <c r="AA18" s="164"/>
      <c r="AB18" s="164"/>
      <c r="AC18" s="163"/>
      <c r="AD18" s="164"/>
      <c r="AE18" s="165"/>
      <c r="AF18" s="164"/>
      <c r="AG18" s="164"/>
      <c r="AH18" s="164"/>
      <c r="AI18" s="163"/>
      <c r="AJ18" s="164"/>
      <c r="AK18" s="165"/>
      <c r="AL18" s="164"/>
      <c r="AM18" s="164"/>
      <c r="AN18" s="164"/>
      <c r="AO18" s="163"/>
      <c r="AP18" s="164"/>
      <c r="AQ18" s="165"/>
      <c r="AR18" s="164"/>
      <c r="AS18" s="164"/>
      <c r="AT18" s="164"/>
      <c r="AU18" s="163"/>
      <c r="AV18" s="164"/>
      <c r="AW18" s="165"/>
      <c r="AX18" s="164"/>
      <c r="AY18" s="164"/>
      <c r="AZ18" s="164"/>
      <c r="BA18" s="163"/>
      <c r="BB18" s="164"/>
      <c r="BC18" s="165"/>
      <c r="BD18" s="164"/>
      <c r="BE18" s="164"/>
      <c r="BF18" s="164"/>
      <c r="BG18" s="163"/>
      <c r="BH18" s="164"/>
      <c r="BI18" s="165"/>
      <c r="BJ18" s="164"/>
      <c r="BK18" s="164"/>
      <c r="BL18" s="164"/>
      <c r="BM18" s="163"/>
      <c r="BN18" s="164"/>
      <c r="BO18" s="165"/>
      <c r="BP18" s="164"/>
      <c r="BQ18" s="164"/>
      <c r="BR18" s="164"/>
      <c r="BS18" s="163"/>
      <c r="BT18" s="164"/>
      <c r="BU18" s="165"/>
      <c r="BV18" s="164"/>
      <c r="BW18" s="164"/>
      <c r="BX18" s="164"/>
      <c r="BY18" s="163"/>
      <c r="BZ18" s="164"/>
      <c r="CA18" s="165"/>
      <c r="CB18" s="164"/>
      <c r="CC18" s="164"/>
      <c r="CD18" s="164"/>
      <c r="CE18" s="163"/>
      <c r="CF18" s="164"/>
      <c r="CG18" s="165"/>
      <c r="CH18" s="164"/>
      <c r="CI18" s="164"/>
      <c r="CJ18" s="164"/>
      <c r="CK18" s="163"/>
      <c r="CL18" s="164"/>
      <c r="CM18" s="165"/>
      <c r="CN18" s="164"/>
      <c r="CO18" s="164"/>
      <c r="CP18" s="164"/>
      <c r="CQ18" s="163"/>
      <c r="CR18" s="164"/>
      <c r="CS18" s="165"/>
      <c r="CT18" s="164"/>
      <c r="CU18" s="164"/>
      <c r="CV18" s="164"/>
      <c r="CW18" s="163"/>
      <c r="CX18" s="164"/>
      <c r="CY18" s="165"/>
      <c r="CZ18" s="164"/>
      <c r="DA18" s="164"/>
      <c r="DB18" s="164"/>
      <c r="DC18" s="163"/>
      <c r="DD18" s="164"/>
      <c r="DE18" s="165"/>
      <c r="DF18" s="164"/>
      <c r="DG18" s="164"/>
      <c r="DH18" s="164"/>
      <c r="DI18" s="163"/>
      <c r="DJ18" s="164"/>
      <c r="DK18" s="165"/>
      <c r="DL18" s="164"/>
      <c r="DM18" s="164"/>
      <c r="DN18" s="164"/>
      <c r="DO18" s="163"/>
      <c r="DP18" s="164"/>
      <c r="DQ18" s="165"/>
      <c r="DR18" s="164"/>
      <c r="DS18" s="164"/>
      <c r="DT18" s="164"/>
      <c r="DU18" s="458"/>
      <c r="DV18" s="164"/>
      <c r="DW18" s="165"/>
      <c r="DX18" s="164"/>
      <c r="DY18" s="164"/>
      <c r="DZ18" s="164"/>
      <c r="EA18" s="163"/>
      <c r="EB18" s="164"/>
      <c r="EC18" s="165"/>
      <c r="ED18" s="164"/>
      <c r="EE18" s="164"/>
      <c r="EF18" s="164"/>
      <c r="EG18" s="163"/>
    </row>
    <row r="19" spans="1:137" ht="11.25" customHeight="1" x14ac:dyDescent="0.2">
      <c r="A19" s="538" t="s">
        <v>619</v>
      </c>
      <c r="B19" s="539"/>
      <c r="C19" s="539"/>
      <c r="D19" s="539"/>
      <c r="E19" s="776"/>
      <c r="F19" s="541"/>
      <c r="G19" s="540"/>
      <c r="H19" s="541"/>
      <c r="I19" s="540"/>
      <c r="J19" s="541"/>
      <c r="K19" s="777"/>
      <c r="L19" s="541"/>
      <c r="M19" s="778"/>
      <c r="N19" s="779"/>
      <c r="O19" s="779"/>
      <c r="P19" s="779"/>
      <c r="Q19" s="777"/>
      <c r="R19" s="541"/>
      <c r="S19" s="542">
        <f t="shared" ref="S19:W20" si="5">+S312</f>
        <v>0</v>
      </c>
      <c r="T19" s="543">
        <f t="shared" si="5"/>
        <v>0.01</v>
      </c>
      <c r="U19" s="543">
        <f t="shared" si="5"/>
        <v>0.01</v>
      </c>
      <c r="V19" s="543">
        <f t="shared" si="5"/>
        <v>1.9999999999999997E-2</v>
      </c>
      <c r="W19" s="540">
        <f t="shared" si="5"/>
        <v>0.01</v>
      </c>
      <c r="X19" s="541"/>
      <c r="Y19" s="542">
        <f t="shared" ref="Y19:AC20" si="6">+Y312</f>
        <v>5.2507314148888096E-2</v>
      </c>
      <c r="Z19" s="543">
        <f t="shared" si="6"/>
        <v>4.9516091127553841E-2</v>
      </c>
      <c r="AA19" s="543">
        <f t="shared" si="6"/>
        <v>2.2250731414888834E-2</v>
      </c>
      <c r="AB19" s="543">
        <f t="shared" si="6"/>
        <v>9.7434172660007135E-3</v>
      </c>
      <c r="AC19" s="540">
        <f t="shared" si="6"/>
        <v>3.3504388489332876E-2</v>
      </c>
      <c r="AD19" s="541"/>
      <c r="AE19" s="542">
        <f t="shared" ref="AE19:AI20" si="7">+AE312</f>
        <v>7.7846707437989965E-2</v>
      </c>
      <c r="AF19" s="543">
        <f t="shared" si="7"/>
        <v>5.9999999999999984E-2</v>
      </c>
      <c r="AG19" s="543">
        <f t="shared" si="7"/>
        <v>7.0000000000000007E-2</v>
      </c>
      <c r="AH19" s="543">
        <f t="shared" si="7"/>
        <v>8.2500000000000018E-2</v>
      </c>
      <c r="AI19" s="540">
        <f t="shared" si="7"/>
        <v>7.2460601427501145E-2</v>
      </c>
      <c r="AJ19" s="541"/>
      <c r="AK19" s="778">
        <v>6.7820591930926058E-2</v>
      </c>
      <c r="AL19" s="779">
        <v>8.2920755692761763E-2</v>
      </c>
      <c r="AM19" s="779">
        <v>5.5670437749656999E-2</v>
      </c>
      <c r="AN19" s="779">
        <v>5.2566721750663535E-2</v>
      </c>
      <c r="AO19" s="777">
        <v>6.7777958715877232E-2</v>
      </c>
      <c r="AP19" s="793"/>
      <c r="AQ19" s="778">
        <v>7.193601572561388E-2</v>
      </c>
      <c r="AR19" s="779">
        <v>5.8059181724534406E-2</v>
      </c>
      <c r="AS19" s="779">
        <v>7.1606501378582918E-2</v>
      </c>
      <c r="AT19" s="779">
        <v>5.0944672789118191E-2</v>
      </c>
      <c r="AU19" s="777">
        <v>6.0538993266304644E-2</v>
      </c>
      <c r="AV19" s="793"/>
      <c r="AW19" s="778">
        <v>5.5523756221036655E-2</v>
      </c>
      <c r="AX19" s="779">
        <v>5.7515247885375931E-2</v>
      </c>
      <c r="AY19" s="779">
        <v>6.952957108348766E-2</v>
      </c>
      <c r="AZ19" s="779">
        <v>8.6419938700768445E-2</v>
      </c>
      <c r="BA19" s="777">
        <v>6.7368657790973827E-2</v>
      </c>
      <c r="BB19" s="793"/>
      <c r="BC19" s="778">
        <v>3.8466103825769121E-2</v>
      </c>
      <c r="BD19" s="779">
        <v>8.5739577419187182E-2</v>
      </c>
      <c r="BE19" s="779">
        <v>3.9431856036204395E-2</v>
      </c>
      <c r="BF19" s="779">
        <v>6.6067308457547404E-3</v>
      </c>
      <c r="BG19" s="777">
        <v>4.2679701339111885E-2</v>
      </c>
      <c r="BH19" s="793"/>
      <c r="BI19" s="798">
        <v>-1.572145454766562E-2</v>
      </c>
      <c r="BJ19" s="799">
        <v>-6.8503599485554248E-2</v>
      </c>
      <c r="BK19" s="799">
        <v>-5.7832997611371187E-2</v>
      </c>
      <c r="BL19" s="799">
        <v>-2.1515583152833737E-2</v>
      </c>
      <c r="BM19" s="800">
        <v>-4.1617979654916253E-2</v>
      </c>
      <c r="BN19" s="541"/>
      <c r="BO19" s="542">
        <f>((+BI$70*(1+BO71)+BI$146*(1+BO147)+BI$213*(1+BO214)+BI$311*(1+BO312))/BI$343-1)</f>
        <v>6.6029313382879318E-2</v>
      </c>
      <c r="BP19" s="543">
        <f>((+BJ$70*(1+BP71)+BJ$146*(1+BP147)+BJ$213*(1+BP214)+BJ$311*(1+BP312))/BJ$343-1)</f>
        <v>7.7628482655535791E-2</v>
      </c>
      <c r="BQ19" s="543">
        <f>((+BK$70*(1+BQ71)+BK$146*(1+BQ147)+BK$213*(1+BQ214)+BK$311*(1+BQ312))/BK$343-1)</f>
        <v>9.7744593884907527E-2</v>
      </c>
      <c r="BR19" s="543">
        <f>((+BL$70*(1+BR71)+BL$146*(1+BR147)+BL$213*(1+BR214)+BL$311*(1+BR312))/BL$343-1)</f>
        <v>0.10210044279101593</v>
      </c>
      <c r="BS19" s="540">
        <f>+SUMPRODUCT(BO19:BR19,BI$17:BL$17)/BM$17</f>
        <v>8.7152625269798153E-2</v>
      </c>
      <c r="BT19" s="541"/>
      <c r="BU19" s="542">
        <f>((+BO$70*(1+BU71)+BO$146*(1+BU147)+BO$213*(1+BU214)+BO$311*(1+BU312))/BO$343-1)</f>
        <v>8.299748893621528E-2</v>
      </c>
      <c r="BV19" s="543">
        <f>((+BP$70*(1+BV71)+BP$146*(1+BV147)+BP$213*(1+BV214)+BP$311*(1+BV312))/BP$343-1)</f>
        <v>7.9113803793383397E-2</v>
      </c>
      <c r="BW19" s="543">
        <f>((+BQ$70*(1+BW71)+BQ$146*(1+BW147)+BQ$213*(1+BW214)+BQ$311*(1+BW312))/BQ$343-1)</f>
        <v>6.4512189411868093E-2</v>
      </c>
      <c r="BX19" s="543">
        <f>((+BR$70*(1+BX71)+BR$146*(1+BX147)+BR$213*(1+BX214)+BR$311*(1+BX312))/BR$343-1)</f>
        <v>4.964871698369544E-2</v>
      </c>
      <c r="BY19" s="540">
        <f t="shared" ref="BY19" si="8">+SUMPRODUCT(BU19:BX19,BO$17:BR$17)/BS$17</f>
        <v>6.8009561808239347E-2</v>
      </c>
      <c r="BZ19" s="541"/>
      <c r="CA19" s="542">
        <f>((+BU$70*(1+CA71)+BU$146*(1+CA147)+BU$213*(1+CA214)+BU$311*(1+CA312))/BU$343-1)</f>
        <v>1.5565430109347966E-2</v>
      </c>
      <c r="CB19" s="543">
        <f>((+BV$70*(1+CB71)+BV$146*(1+CB147)+BV$213*(1+CB214)+BV$311*(1+CB312))/BV$343-1)</f>
        <v>4.5109821456820853E-2</v>
      </c>
      <c r="CC19" s="543">
        <f>((+BW$70*(1+CC71)+BW$146*(1+CC147)+BW$213*(1+CC214)+BW$311*(1+CC312))/BW$343-1)</f>
        <v>3.1876163034763927E-2</v>
      </c>
      <c r="CD19" s="543">
        <f>((+BX$70*(1+CD71)+BX$146*(1+CD147)+BX$213*(1+CD214)+BX$311*(1+CD312))/BX$343-1)</f>
        <v>5.855969533352634E-2</v>
      </c>
      <c r="CE19" s="540">
        <f t="shared" ref="CE19" si="9">+SUMPRODUCT(CA19:CD19,BU$17:BX$17)/BY$17</f>
        <v>4.0114430538801552E-2</v>
      </c>
      <c r="CF19" s="541"/>
      <c r="CG19" s="542">
        <f>((+CA$70*(1+CG71)+CA$146*(1+CG147)+CA$213*(1+CG214)+CA$311*(1+CG312))/CA$343-1)</f>
        <v>3.0016309053847667E-2</v>
      </c>
      <c r="CH19" s="543">
        <f>((+CB$70*(1+CH71)+CB$146*(1+CH147)+CB$213*(1+CH214)+CB$311*(1+CH312))/CB$343-1)</f>
        <v>4.5217557539055653E-2</v>
      </c>
      <c r="CI19" s="543">
        <f>((+CC$70*(1+CI71)+CC$146*(1+CI147)+CC$213*(1+CI214)+CC$311*(1+CI312))/CC$343-1)</f>
        <v>4.7041072026672293E-2</v>
      </c>
      <c r="CJ19" s="543">
        <f>((+CD$70*(1+CJ71)+CD$146*(1+CJ147)+CD$213*(1+CJ214)+CD$311*(1+CJ312))/CD$343-1)</f>
        <v>3.9828304727510977E-2</v>
      </c>
      <c r="CK19" s="540">
        <f>+SUMPRODUCT(CG19:CJ19,CA$17:CD$17)/CE$17</f>
        <v>4.059462181576446E-2</v>
      </c>
      <c r="CL19" s="541"/>
      <c r="CM19" s="542">
        <f>((+CG$70*(1+CM71)+CG$146*(1+CM147)+CG$213*(1+CM214)+CG$311*(1+CM312))/CG$343-1)</f>
        <v>4.2859131782993165E-2</v>
      </c>
      <c r="CN19" s="543">
        <f>((+CH$70*(1+CN71)+CH$146*(1+CN147)+CH$213*(1+CN214)+CH$311*(1+CN312))/CH$343-1)</f>
        <v>3.9440873414967825E-2</v>
      </c>
      <c r="CO19" s="543">
        <f>((+CI$70*(1+CO71)+CI$146*(1+CO147)+CI$213*(1+CO214)+CI$311*(1+CO312))/CI$343-1)</f>
        <v>3.5117396163564685E-2</v>
      </c>
      <c r="CP19" s="543">
        <f>((+CJ$70*(1+CP71)+CJ$146*(1+CP147)+CJ$213*(1+CP214)+CJ$311*(1+CP312))/CJ$343-1)</f>
        <v>4.485348145094914E-2</v>
      </c>
      <c r="CQ19" s="540">
        <f>+SUMPRODUCT(CM19:CP19,CG$17:CJ$17)/CK$17</f>
        <v>4.0674501450694033E-2</v>
      </c>
      <c r="CR19" s="541"/>
      <c r="CS19" s="542">
        <f t="shared" ref="CS19" si="10">+CS20-CS24</f>
        <v>3.5000000000000003E-2</v>
      </c>
      <c r="CT19" s="543">
        <f t="shared" ref="CT19" si="11">+CT20-CT24</f>
        <v>4.4999999999999998E-2</v>
      </c>
      <c r="CU19" s="543">
        <f t="shared" ref="CU19" si="12">+CU20-CU24</f>
        <v>0.03</v>
      </c>
      <c r="CV19" s="543">
        <f>+CV20-CV24</f>
        <v>3.3894627844330477E-2</v>
      </c>
      <c r="CW19" s="540">
        <f>+SUMPRODUCT(CS19:CV19,CM$17:CP$17)/CQ$17</f>
        <v>3.5938643642546682E-2</v>
      </c>
      <c r="CX19" s="543"/>
      <c r="CY19" s="542">
        <f t="shared" ref="CY19:DA19" si="13">+CY20-CY24</f>
        <v>2.5000000000000001E-2</v>
      </c>
      <c r="CZ19" s="543">
        <f t="shared" si="13"/>
        <v>0.03</v>
      </c>
      <c r="DA19" s="543">
        <f t="shared" si="13"/>
        <v>3.4999999999999996E-2</v>
      </c>
      <c r="DB19" s="543">
        <f>+DB20-DB24</f>
        <v>3.0000000000000002E-2</v>
      </c>
      <c r="DC19" s="540">
        <f>+SUMPRODUCT(CY19:DB19,CS$17:CV$17)/CW$17</f>
        <v>3.0110851687370526E-2</v>
      </c>
      <c r="DD19" s="541"/>
      <c r="DE19" s="542">
        <f>+DE20-DE24</f>
        <v>3.0000000000000002E-2</v>
      </c>
      <c r="DF19" s="543">
        <f>+DF20-DF24</f>
        <v>2.1999999999999999E-2</v>
      </c>
      <c r="DG19" s="543">
        <f t="shared" ref="DG19" si="14">+DG20-DG24</f>
        <v>0.03</v>
      </c>
      <c r="DH19" s="543">
        <f>+DH20-DH24</f>
        <v>5.5E-2</v>
      </c>
      <c r="DI19" s="540">
        <f>+SUMPRODUCT(DE19:DH19,CY$17:DB$17)/DC$17</f>
        <v>3.4778485286452165E-2</v>
      </c>
      <c r="DJ19" s="541"/>
      <c r="DK19" s="542">
        <f>+DK20-DK24</f>
        <v>5.5E-2</v>
      </c>
      <c r="DL19" s="543">
        <f>((+DF$70*(1+DL71)+DF$146*(1+DL147)+DF$213*(1+DL214)+DF$311*(1+DL312))/DF$343-1)</f>
        <v>4.8167224673510534E-2</v>
      </c>
      <c r="DM19" s="543">
        <f>((+DG$70*(1+DM71)+DG$146*(1+DM147)+DG$213*(1+DM214)+DG$311*(1+DM312))/DG$343-1)</f>
        <v>4.3523033434919034E-2</v>
      </c>
      <c r="DN19" s="543">
        <f>((+DH$70*(1+DN71)+DH$146*(1+DN147)+DH$213*(1+DN214)+DH$311*(1+DN312))/DH$343-1)</f>
        <v>3.2225160744833392E-2</v>
      </c>
      <c r="DO19" s="540">
        <f>+SUMPRODUCT(DK19:DN19,DE$17:DH$17)/DI$17</f>
        <v>4.4164443498802462E-2</v>
      </c>
      <c r="DP19" s="541"/>
      <c r="DQ19" s="542">
        <f>((+DK$70*(1+DQ71)+DK$146*(1+DQ147)+DK$213*(1+DQ214)+DK$311*(1+DQ312))/DK$343-1)</f>
        <v>2.9449301443966514E-2</v>
      </c>
      <c r="DR19" s="543">
        <f>((+DL$70*(1+DR71)+DL$146*(1+DR147)+DL$213*(1+DR214)+DL$311*(1+DR312))/DL$343-1)</f>
        <v>3.9197743292984866E-2</v>
      </c>
      <c r="DS19" s="543">
        <f>((+DM$70*(1+DS71)+DM$146*(1+DS147)+DM$213*(1+DS214)+DM$311*(1+DS312))/DM$343-1)</f>
        <v>3.9287723919883222E-2</v>
      </c>
      <c r="DT19" s="543">
        <f>((+DN$70*(1+DT71)+DN$146*(1+DT147)+DN$213*(1+DT214)+DN$311*(1+DT312))/DN$343-1)</f>
        <v>3.9090262832982114E-2</v>
      </c>
      <c r="DU19" s="540">
        <f>+SUMPRODUCT(DQ19:DT19,DK$17:DN$17)/DO$17</f>
        <v>3.6891836167061993E-2</v>
      </c>
      <c r="DV19" s="541"/>
      <c r="DW19" s="542">
        <f>((+DQ$70*(1+DW71)+DQ$146*(1+DW147)+DQ$213*(1+DW214)+DQ$311*(1+DW312))/DQ$343-1)</f>
        <v>4.2788138768808714E-2</v>
      </c>
      <c r="DX19" s="543">
        <f>((+DR$70*(1+DX71)+DR$146*(1+DX147)+DR$213*(1+DX214)+DR$311*(1+DX312))/DR$343-1)</f>
        <v>4.2790267338284949E-2</v>
      </c>
      <c r="DY19" s="543">
        <f>((+DS$70*(1+DY71)+DS$146*(1+DY147)+DS$213*(1+DY214)+DS$311*(1+DY312))/DS$343-1)</f>
        <v>4.2800555098892135E-2</v>
      </c>
      <c r="DZ19" s="543">
        <f>((+DT$70*(1+DZ71)+DT$146*(1+DZ147)+DT$213*(1+DZ214)+DT$311*(1+DZ312))/DT$343-1)</f>
        <v>4.2738609937501559E-2</v>
      </c>
      <c r="EA19" s="540">
        <f>+SUMPRODUCT(DW19:DZ19,DQ$17:DT$17)/DU$17</f>
        <v>4.2778208727336633E-2</v>
      </c>
      <c r="EB19" s="541"/>
      <c r="EC19" s="542">
        <f t="shared" ref="EC19:EF19" si="15">((+DW$70*(1+EC71)+DW$146*(1+EC147)+DW$213*(1+EC214)+DW$311*(1+EC312))/DW$343-1)</f>
        <v>4.2829162845669844E-2</v>
      </c>
      <c r="ED19" s="543">
        <f t="shared" si="15"/>
        <v>4.2832024157480442E-2</v>
      </c>
      <c r="EE19" s="543">
        <f t="shared" si="15"/>
        <v>4.2841964603433258E-2</v>
      </c>
      <c r="EF19" s="543">
        <f t="shared" si="15"/>
        <v>4.2780143574314256E-2</v>
      </c>
      <c r="EG19" s="540">
        <f t="shared" ref="EG19" si="16">+SUMPRODUCT(EC19:EF19,DW$17:DZ$17)/EA$17</f>
        <v>4.2819647823484214E-2</v>
      </c>
    </row>
    <row r="20" spans="1:137" ht="11.25" customHeight="1" x14ac:dyDescent="0.2">
      <c r="A20" s="538" t="s">
        <v>620</v>
      </c>
      <c r="B20" s="539"/>
      <c r="C20" s="539"/>
      <c r="D20" s="539"/>
      <c r="E20" s="776"/>
      <c r="F20" s="541"/>
      <c r="G20" s="540"/>
      <c r="H20" s="541"/>
      <c r="I20" s="540"/>
      <c r="J20" s="541"/>
      <c r="K20" s="777"/>
      <c r="L20" s="541"/>
      <c r="M20" s="778"/>
      <c r="N20" s="779"/>
      <c r="O20" s="779"/>
      <c r="P20" s="779"/>
      <c r="Q20" s="777"/>
      <c r="R20" s="541"/>
      <c r="S20" s="542">
        <f t="shared" si="5"/>
        <v>0</v>
      </c>
      <c r="T20" s="543">
        <f t="shared" si="5"/>
        <v>0.01</v>
      </c>
      <c r="U20" s="543">
        <f t="shared" si="5"/>
        <v>0.01</v>
      </c>
      <c r="V20" s="543">
        <f t="shared" si="5"/>
        <v>1.9999999999999997E-2</v>
      </c>
      <c r="W20" s="540">
        <f t="shared" si="5"/>
        <v>0.01</v>
      </c>
      <c r="X20" s="541"/>
      <c r="Y20" s="542">
        <f t="shared" si="6"/>
        <v>5.2507314148888096E-2</v>
      </c>
      <c r="Z20" s="543">
        <f t="shared" si="6"/>
        <v>4.9516091127553841E-2</v>
      </c>
      <c r="AA20" s="543">
        <f t="shared" si="6"/>
        <v>2.2250731414888834E-2</v>
      </c>
      <c r="AB20" s="543">
        <f t="shared" si="6"/>
        <v>9.7434172660007135E-3</v>
      </c>
      <c r="AC20" s="540">
        <f t="shared" si="6"/>
        <v>3.3504388489332876E-2</v>
      </c>
      <c r="AD20" s="541"/>
      <c r="AE20" s="542">
        <f t="shared" si="7"/>
        <v>7.7846707437989965E-2</v>
      </c>
      <c r="AF20" s="543">
        <f t="shared" si="7"/>
        <v>5.9999999999999984E-2</v>
      </c>
      <c r="AG20" s="543">
        <f t="shared" si="7"/>
        <v>7.0000000000000007E-2</v>
      </c>
      <c r="AH20" s="543">
        <f t="shared" si="7"/>
        <v>8.2500000000000018E-2</v>
      </c>
      <c r="AI20" s="540">
        <f t="shared" si="7"/>
        <v>7.2460601427501145E-2</v>
      </c>
      <c r="AJ20" s="541"/>
      <c r="AK20" s="778">
        <v>6.7820591930926058E-2</v>
      </c>
      <c r="AL20" s="779">
        <v>8.2920755692761763E-2</v>
      </c>
      <c r="AM20" s="779">
        <v>5.5670437749656999E-2</v>
      </c>
      <c r="AN20" s="779">
        <v>5.2566721750663535E-2</v>
      </c>
      <c r="AO20" s="777">
        <v>6.7777958715877232E-2</v>
      </c>
      <c r="AP20" s="793"/>
      <c r="AQ20" s="778">
        <v>7.193601572561388E-2</v>
      </c>
      <c r="AR20" s="779">
        <v>5.8059181724534406E-2</v>
      </c>
      <c r="AS20" s="779">
        <v>7.1606501378582918E-2</v>
      </c>
      <c r="AT20" s="779">
        <v>5.0944672789118191E-2</v>
      </c>
      <c r="AU20" s="777">
        <v>6.0538993266304644E-2</v>
      </c>
      <c r="AV20" s="793"/>
      <c r="AW20" s="778">
        <v>5.5523756221036655E-2</v>
      </c>
      <c r="AX20" s="779">
        <v>5.7515247885375931E-2</v>
      </c>
      <c r="AY20" s="779">
        <v>6.952957108348766E-2</v>
      </c>
      <c r="AZ20" s="779">
        <v>8.6419938700768445E-2</v>
      </c>
      <c r="BA20" s="777">
        <v>6.7368657790973827E-2</v>
      </c>
      <c r="BB20" s="793"/>
      <c r="BC20" s="778">
        <v>3.8466103825769121E-2</v>
      </c>
      <c r="BD20" s="779">
        <v>8.5739577419187182E-2</v>
      </c>
      <c r="BE20" s="779">
        <v>3.9431856036204395E-2</v>
      </c>
      <c r="BF20" s="779">
        <v>6.6067308457547404E-3</v>
      </c>
      <c r="BG20" s="777">
        <v>4.2679701339111885E-2</v>
      </c>
      <c r="BH20" s="793"/>
      <c r="BI20" s="798">
        <v>-1.572145454766562E-2</v>
      </c>
      <c r="BJ20" s="799">
        <v>-6.8503599485554248E-2</v>
      </c>
      <c r="BK20" s="799">
        <v>-5.7832997611371187E-2</v>
      </c>
      <c r="BL20" s="799">
        <v>-2.1515583152833737E-2</v>
      </c>
      <c r="BM20" s="800">
        <v>-4.1617979654916253E-2</v>
      </c>
      <c r="BN20" s="541"/>
      <c r="BO20" s="542">
        <f>((+BI$70*(1+BO72)+BI$146*(1+BO149)+BI$213*(1+BO215)+BI$311*(1+BO313))/BI$343-1)</f>
        <v>6.6029313382879318E-2</v>
      </c>
      <c r="BP20" s="543">
        <f>((+BJ$70*(1+BP72)+BJ$146*(1+BP149)+BJ$213*(1+BP215)+BJ$311*(1+BP313))/BJ$343-1)</f>
        <v>7.7628482655535791E-2</v>
      </c>
      <c r="BQ20" s="543">
        <f>((+BK$70*(1+BQ72)+BK$146*(1+BQ149)+BK$213*(1+BQ215)+BK$311*(1+BQ313))/BK$343-1)</f>
        <v>9.7744593884907527E-2</v>
      </c>
      <c r="BR20" s="543">
        <f>((+BL$70*(1+BR72)+BL$146*(1+BR149)+BL$213*(1+BR215)+BL$311*(1+BR313))/BL$343-1)</f>
        <v>0.10210044279101593</v>
      </c>
      <c r="BS20" s="540">
        <f>((+BM$70*(1+BS72)+BM$146*(1+BS149)+BM$213*(1+BS215)+BM$311*(1+BS313))/BM$343-1)</f>
        <v>8.6510326456322284E-2</v>
      </c>
      <c r="BT20" s="541"/>
      <c r="BU20" s="542">
        <f>((+BO$70*(1+BU72)+BO$146*(1+BU149)+BO$213*(1+BU215)+BO$311*(1+BU313))/BO$343-1)</f>
        <v>8.299748893621528E-2</v>
      </c>
      <c r="BV20" s="543">
        <f>((+BP$70*(1+BV72)+BP$146*(1+BV149)+BP$213*(1+BV215)+BP$311*(1+BV313))/BP$343-1)</f>
        <v>7.9113803793383397E-2</v>
      </c>
      <c r="BW20" s="543">
        <f>((+BQ$70*(1+BW72)+BQ$146*(1+BW149)+BQ$213*(1+BW215)+BQ$311*(1+BW313))/BQ$343-1)</f>
        <v>6.4512189411868093E-2</v>
      </c>
      <c r="BX20" s="543">
        <f>((+BR$70*(1+BX72)+BR$146*(1+BX149)+BR$213*(1+BX215)+BR$311*(1+BX313))/BR$343-1)</f>
        <v>4.964871698369544E-2</v>
      </c>
      <c r="BY20" s="540">
        <f>((+BS$70*(1+BY72)+BS$146*(1+BY149)+BS$213*(1+BY215)+BS$311*(1+BY313))/BS$343-1)</f>
        <v>6.813481829464374E-2</v>
      </c>
      <c r="BZ20" s="541"/>
      <c r="CA20" s="542">
        <f>((+BU$70*(1+CA72)+BU$146*(1+CA149)+BU$213*(1+CA215)+BU$311*(1+CA313))/BU$343-1)</f>
        <v>1.5565430109347966E-2</v>
      </c>
      <c r="CB20" s="543">
        <f>((+BV$70*(1+CB72)+BV$146*(1+CB149)+BV$213*(1+CB215)+BV$311*(1+CB313))/BV$343-1)</f>
        <v>4.5109821456820853E-2</v>
      </c>
      <c r="CC20" s="543">
        <f>((+BW$70*(1+CC72)+BW$146*(1+CC149)+BW$213*(1+CC215)+BW$311*(1+CC313))/BW$343-1)</f>
        <v>3.1876163034763927E-2</v>
      </c>
      <c r="CD20" s="543">
        <f>((+BX$70*(1+CD72)+BX$146*(1+CD149)+BX$213*(1+CD215)+BX$311*(1+CD313))/BX$343-1)</f>
        <v>5.855969533352634E-2</v>
      </c>
      <c r="CE20" s="540">
        <f>((+BY$70*(1+CE72)+BY$146*(1+CE149)+BY$213*(1+CE215)+BY$311*(1+CE313))/BY$343-1)</f>
        <v>4.0521618174939933E-2</v>
      </c>
      <c r="CF20" s="541"/>
      <c r="CG20" s="542">
        <f>((+CA$70*(1+CG72)+CA$146*(1+CG149)+CA$213*(1+CG215)+CA$311*(1+CG313))/CA$343-1)</f>
        <v>3.0016309053847667E-2</v>
      </c>
      <c r="CH20" s="543">
        <f>((+CB$70*(1+CH72)+CB$146*(1+CH149)+CB$213*(1+CH215)+CB$311*(1+CH313))/CB$343-1)</f>
        <v>4.5217557539055653E-2</v>
      </c>
      <c r="CI20" s="543">
        <f>((+CC$70*(1+CI72)+CC$146*(1+CI149)+CC$213*(1+CI215)+CC$311*(1+CI313))/CC$343-1)</f>
        <v>4.7041072026672293E-2</v>
      </c>
      <c r="CJ20" s="543">
        <f>((+CD$70*(1+CJ72)+CD$146*(1+CJ149)+CD$213*(1+CJ215)+CD$311*(1+CJ313))/CD$343-1)</f>
        <v>3.9828304727510977E-2</v>
      </c>
      <c r="CK20" s="540">
        <f>((+CE$70*(1+CK72)+CE$146*(1+CK149)+CE$213*(1+CK215)+CE$311*(1+CK313))/CE$343-1)</f>
        <v>4.0754430211666026E-2</v>
      </c>
      <c r="CL20" s="541"/>
      <c r="CM20" s="542">
        <f>((+CG$70*(1+CM72)+CG$146*(1+CM149)+CG$213*(1+CM215)+CG$311*(1+CM313))/CG$343-1)</f>
        <v>4.2859131782993165E-2</v>
      </c>
      <c r="CN20" s="543">
        <f>((+CH$70*(1+CN72)+CH$146*(1+CN149)+CH$213*(1+CN215)+CH$311*(1+CN313))/CH$343-1)</f>
        <v>3.9440873414967825E-2</v>
      </c>
      <c r="CO20" s="543">
        <f>((+CI$70*(1+CO72)+CI$146*(1+CO149)+CI$213*(1+CO215)+CI$311*(1+CO313))/CI$343-1)</f>
        <v>3.5117396163564685E-2</v>
      </c>
      <c r="CP20" s="543">
        <f>((+CJ$70*(1+CP72)+CJ$146*(1+CP149)+CJ$213*(1+CP215)+CJ$311*(1+CP313))/CJ$343-1)</f>
        <v>4.485348145094914E-2</v>
      </c>
      <c r="CQ20" s="540">
        <f>((+CK$70*(1+CQ72)+CK$146*(1+CQ149)+CK$213*(1+CQ215)+CK$311*(1+CQ313))/CK$343-1)</f>
        <v>4.0674501450694178E-2</v>
      </c>
      <c r="CR20" s="541"/>
      <c r="CS20" s="778">
        <v>5.5E-2</v>
      </c>
      <c r="CT20" s="779">
        <v>4.4999999999999998E-2</v>
      </c>
      <c r="CU20" s="779">
        <v>0.03</v>
      </c>
      <c r="CV20" s="543">
        <f>(SUMPRODUCT(CW20,CQ$17)-SUMPRODUCT(CS20:CU20,CM$17:CO$17))/CP$17</f>
        <v>1.3894627844330475E-2</v>
      </c>
      <c r="CW20" s="777">
        <v>3.5000000000000003E-2</v>
      </c>
      <c r="CX20" s="543"/>
      <c r="CY20" s="778">
        <v>0.02</v>
      </c>
      <c r="CZ20" s="779">
        <v>0.03</v>
      </c>
      <c r="DA20" s="779">
        <v>0.03</v>
      </c>
      <c r="DB20" s="799">
        <v>3.5000000000000003E-2</v>
      </c>
      <c r="DC20" s="540">
        <f>+SUMPRODUCT(CY20:DB20,CS$17:CV$17)/CW$17</f>
        <v>2.9285907286419978E-2</v>
      </c>
      <c r="DD20" s="541"/>
      <c r="DE20" s="778">
        <v>2.5000000000000001E-2</v>
      </c>
      <c r="DF20" s="779">
        <v>0.02</v>
      </c>
      <c r="DG20" s="779">
        <v>0.03</v>
      </c>
      <c r="DH20" s="799">
        <v>5.5E-2</v>
      </c>
      <c r="DI20" s="540">
        <f>((+DC$70*(1+DI72)+DC$146*(1+DI149)+DC$213*(1+DI215)+DC$311*(1+DI313))/DC$343-1)</f>
        <v>3.4112033834051925E-2</v>
      </c>
      <c r="DJ20" s="541"/>
      <c r="DK20" s="778">
        <v>5.5E-2</v>
      </c>
      <c r="DL20" s="543">
        <f>((+DF$70*(1+DL72)+DF$146*(1+DL149)+DF$213*(1+DL215)+DF$311*(1+DL313))/DF$343-1)</f>
        <v>4.8167224673510534E-2</v>
      </c>
      <c r="DM20" s="543">
        <f>((+DG$70*(1+DM72)+DG$146*(1+DM149)+DG$213*(1+DM215)+DG$311*(1+DM313))/DG$343-1)</f>
        <v>4.3523033434919034E-2</v>
      </c>
      <c r="DN20" s="543">
        <f>((+DH$70*(1+DN72)+DH$146*(1+DN149)+DH$213*(1+DN215)+DH$311*(1+DN313))/DH$343-1)</f>
        <v>3.2225160744833392E-2</v>
      </c>
      <c r="DO20" s="540">
        <f>((+DI$70*(1+DO72)+DI$146*(1+DO149)+DI$213*(1+DO215)+DI$311*(1+DO313))/DI$343-1)</f>
        <v>4.3522125293921743E-2</v>
      </c>
      <c r="DP20" s="541"/>
      <c r="DQ20" s="542">
        <f>((+DK$70*(1+DQ72)+DK$146*(1+DQ149)+DK$213*(1+DQ215)+DK$311*(1+DQ313))/DK$343-1)</f>
        <v>2.9449301443966514E-2</v>
      </c>
      <c r="DR20" s="543">
        <f>((+DL$70*(1+DR72)+DL$146*(1+DR149)+DL$213*(1+DR215)+DL$311*(1+DR313))/DL$343-1)</f>
        <v>3.9197743292984866E-2</v>
      </c>
      <c r="DS20" s="543">
        <f>((+DM$70*(1+DS72)+DM$146*(1+DS149)+DM$213*(1+DS215)+DM$311*(1+DS313))/DM$343-1)</f>
        <v>3.9287723919883222E-2</v>
      </c>
      <c r="DT20" s="543">
        <f>((+DN$70*(1+DT72)+DN$146*(1+DT149)+DN$213*(1+DT215)+DN$311*(1+DT313))/DN$343-1)</f>
        <v>3.9090262832982114E-2</v>
      </c>
      <c r="DU20" s="540">
        <f>((+DO$70*(1+DU72)+DO$146*(1+DU149)+DO$213*(1+DU215)+DO$311*(1+DU313))/DO$343-1)</f>
        <v>3.6891836167062042E-2</v>
      </c>
      <c r="DV20" s="541"/>
      <c r="DW20" s="542">
        <f>((+DQ$70*(1+DW72)+DQ$146*(1+DW149)+DQ$213*(1+DW215)+DQ$311*(1+DW313))/DQ$343-1)</f>
        <v>4.2788138768808714E-2</v>
      </c>
      <c r="DX20" s="543">
        <f>((+DR$70*(1+DX72)+DR$146*(1+DX149)+DR$213*(1+DX215)+DR$311*(1+DX313))/DR$343-1)</f>
        <v>4.2790267338284949E-2</v>
      </c>
      <c r="DY20" s="543">
        <f>((+DS$70*(1+DY72)+DS$146*(1+DY149)+DS$213*(1+DY215)+DS$311*(1+DY313))/DS$343-1)</f>
        <v>4.2800555098892135E-2</v>
      </c>
      <c r="DZ20" s="543">
        <f>((+DT$70*(1+DZ72)+DT$146*(1+DZ149)+DT$213*(1+DZ215)+DT$311*(1+DZ313))/DT$343-1)</f>
        <v>4.2738609937501559E-2</v>
      </c>
      <c r="EA20" s="540">
        <f>((+DU$70*(1+EA72)+DU$146*(1+EA149)+DU$213*(1+EA215)+DU$311*(1+EA313))/DU$343-1)</f>
        <v>4.2778208727336731E-2</v>
      </c>
      <c r="EB20" s="541"/>
      <c r="EC20" s="542">
        <f t="shared" ref="EC20:EG20" si="17">((+DW$70*(1+EC72)+DW$146*(1+EC149)+DW$213*(1+EC215)+DW$311*(1+EC313))/DW$343-1)</f>
        <v>4.2829162845669844E-2</v>
      </c>
      <c r="ED20" s="543">
        <f t="shared" si="17"/>
        <v>4.2832024157480442E-2</v>
      </c>
      <c r="EE20" s="543">
        <f t="shared" si="17"/>
        <v>4.2841964603433258E-2</v>
      </c>
      <c r="EF20" s="543">
        <f t="shared" si="17"/>
        <v>4.2780143574314256E-2</v>
      </c>
      <c r="EG20" s="540">
        <f t="shared" si="17"/>
        <v>4.2819647823484353E-2</v>
      </c>
    </row>
    <row r="21" spans="1:137" ht="11.25" customHeight="1" x14ac:dyDescent="0.2">
      <c r="A21" s="538" t="s">
        <v>504</v>
      </c>
      <c r="B21" s="539"/>
      <c r="C21" s="539"/>
      <c r="D21" s="539"/>
      <c r="E21" s="776"/>
      <c r="F21" s="541"/>
      <c r="G21" s="540"/>
      <c r="H21" s="541"/>
      <c r="I21" s="540"/>
      <c r="J21" s="541"/>
      <c r="K21" s="540"/>
      <c r="L21" s="541"/>
      <c r="M21" s="542"/>
      <c r="N21" s="543"/>
      <c r="O21" s="543"/>
      <c r="P21" s="543"/>
      <c r="Q21" s="540"/>
      <c r="R21" s="541"/>
      <c r="S21" s="542">
        <f t="shared" ref="S21:W23" si="18">+S314</f>
        <v>0</v>
      </c>
      <c r="T21" s="543">
        <f t="shared" si="18"/>
        <v>0</v>
      </c>
      <c r="U21" s="543">
        <f t="shared" si="18"/>
        <v>0</v>
      </c>
      <c r="V21" s="543">
        <f t="shared" si="18"/>
        <v>0</v>
      </c>
      <c r="W21" s="540">
        <f t="shared" si="18"/>
        <v>0</v>
      </c>
      <c r="X21" s="541"/>
      <c r="Y21" s="542">
        <f t="shared" ref="Y21:AC22" si="19">+Y314</f>
        <v>0.37981852383850323</v>
      </c>
      <c r="Z21" s="543">
        <f t="shared" si="19"/>
        <v>0.12207076367036454</v>
      </c>
      <c r="AA21" s="543">
        <f t="shared" si="19"/>
        <v>0.17097309915485098</v>
      </c>
      <c r="AB21" s="543">
        <f t="shared" si="19"/>
        <v>0.19402663240402959</v>
      </c>
      <c r="AC21" s="540">
        <f t="shared" si="19"/>
        <v>0.1880805608344549</v>
      </c>
      <c r="AD21" s="541"/>
      <c r="AE21" s="542">
        <f>+AE23-AE19-AE22</f>
        <v>0.56742326669982535</v>
      </c>
      <c r="AF21" s="543">
        <f>+AF23-AF19-AF22</f>
        <v>0.55156221529192673</v>
      </c>
      <c r="AG21" s="543">
        <f>+AG23-AG19-AG22</f>
        <v>0.93687437733912793</v>
      </c>
      <c r="AH21" s="543">
        <f>+AH23-AH19-AH22</f>
        <v>0.98355307585760821</v>
      </c>
      <c r="AI21" s="540">
        <f>+AI23-AI19-AI22</f>
        <v>0.76257428772573577</v>
      </c>
      <c r="AJ21" s="541"/>
      <c r="AK21" s="778">
        <v>0.46317780741263692</v>
      </c>
      <c r="AL21" s="779">
        <v>0.46860073246864836</v>
      </c>
      <c r="AM21" s="779">
        <v>0.25670267057893525</v>
      </c>
      <c r="AN21" s="779">
        <v>3.3450906719076023E-2</v>
      </c>
      <c r="AO21" s="777">
        <v>0.36375033538042401</v>
      </c>
      <c r="AP21" s="794"/>
      <c r="AQ21" s="778">
        <v>0.32823095444167927</v>
      </c>
      <c r="AR21" s="779">
        <v>0.45954165589158963</v>
      </c>
      <c r="AS21" s="779">
        <v>0.43805323527780138</v>
      </c>
      <c r="AT21" s="779">
        <v>1.5198994539808988E-2</v>
      </c>
      <c r="AU21" s="777">
        <v>0.33786086497445933</v>
      </c>
      <c r="AV21" s="794"/>
      <c r="AW21" s="778">
        <v>0.34117282000434351</v>
      </c>
      <c r="AX21" s="779">
        <v>0.18948842868025653</v>
      </c>
      <c r="AY21" s="779">
        <v>0.10811358076374752</v>
      </c>
      <c r="AZ21" s="779">
        <v>0.11087534350671117</v>
      </c>
      <c r="BA21" s="777">
        <v>0.16814006297595341</v>
      </c>
      <c r="BB21" s="794"/>
      <c r="BC21" s="778">
        <v>1.8146315039794282E-2</v>
      </c>
      <c r="BD21" s="779">
        <v>1.8160782956026193E-2</v>
      </c>
      <c r="BE21" s="779">
        <v>1.6225842223724668E-2</v>
      </c>
      <c r="BF21" s="779">
        <v>1.9637146480232927E-2</v>
      </c>
      <c r="BG21" s="777">
        <v>1.868511571757716E-2</v>
      </c>
      <c r="BH21" s="794"/>
      <c r="BI21" s="798">
        <v>2.6604482959889198E-2</v>
      </c>
      <c r="BJ21" s="799">
        <v>2.9484602895864971E-2</v>
      </c>
      <c r="BK21" s="799">
        <v>7.9421284480800155E-3</v>
      </c>
      <c r="BL21" s="799">
        <v>3.9581896447310416E-2</v>
      </c>
      <c r="BM21" s="800">
        <v>2.6842651239675087E-2</v>
      </c>
      <c r="BN21" s="541"/>
      <c r="BO21" s="542">
        <f t="shared" ref="BO21:BR22" si="20">+((BI$13*BO73)+(BI$14*BO150)+(BI$15*BO216)+(BI$16*BO314))/BI$17</f>
        <v>0.13255787103344366</v>
      </c>
      <c r="BP21" s="543">
        <f t="shared" si="20"/>
        <v>0.20429736233169285</v>
      </c>
      <c r="BQ21" s="543">
        <f t="shared" si="20"/>
        <v>0.15191262505072692</v>
      </c>
      <c r="BR21" s="543">
        <f t="shared" si="20"/>
        <v>0.11037088653456538</v>
      </c>
      <c r="BS21" s="540">
        <f>+BS23-BS19-BS22</f>
        <v>0.14791977935733513</v>
      </c>
      <c r="BT21" s="541"/>
      <c r="BU21" s="542">
        <f t="shared" ref="BU21:BY22" si="21">+((BO$13*BU73)+(BO$14*BU150)+(BO$15*BU216)+(BO$16*BU314))/BO$17</f>
        <v>8.7979069021581036E-2</v>
      </c>
      <c r="BV21" s="543">
        <f t="shared" si="21"/>
        <v>9.4257052202976643E-2</v>
      </c>
      <c r="BW21" s="543">
        <f t="shared" si="21"/>
        <v>0.64367714710515389</v>
      </c>
      <c r="BX21" s="543">
        <f t="shared" si="21"/>
        <v>0.61005661721271187</v>
      </c>
      <c r="BY21" s="540">
        <f t="shared" si="21"/>
        <v>0.37340431675371871</v>
      </c>
      <c r="BZ21" s="541"/>
      <c r="CA21" s="542">
        <f t="shared" ref="CA21:CE22" si="22">+((BU$13*CA73)+(BU$14*CA150)+(BU$15*CA216)+(BU$16*CA314))/BU$17</f>
        <v>0.56770275423542338</v>
      </c>
      <c r="CB21" s="543">
        <f t="shared" si="22"/>
        <v>0.4989521511475915</v>
      </c>
      <c r="CC21" s="543">
        <f t="shared" si="22"/>
        <v>1.8808171344449197E-2</v>
      </c>
      <c r="CD21" s="543">
        <f t="shared" si="22"/>
        <v>2.9315074648733699E-2</v>
      </c>
      <c r="CE21" s="540">
        <f t="shared" si="22"/>
        <v>0.22010312247739319</v>
      </c>
      <c r="CF21" s="541"/>
      <c r="CG21" s="542">
        <f t="shared" ref="CG21:CK22" si="23">+((CA$13*CG73)+(CA$14*CG150)+(CA$15*CG216)+(CA$16*CG314))/CA$17</f>
        <v>1.628966174400831E-2</v>
      </c>
      <c r="CH21" s="543">
        <f t="shared" si="23"/>
        <v>2.229573162726986E-2</v>
      </c>
      <c r="CI21" s="543">
        <f t="shared" si="23"/>
        <v>3.9389806614367029E-2</v>
      </c>
      <c r="CJ21" s="543">
        <f t="shared" si="23"/>
        <v>2.8487635149882385E-2</v>
      </c>
      <c r="CK21" s="540">
        <f t="shared" si="23"/>
        <v>2.8059891903593311E-2</v>
      </c>
      <c r="CL21" s="541"/>
      <c r="CM21" s="542">
        <f t="shared" ref="CM21:CQ22" si="24">+((CG$13*CM73)+(CG$14*CM150)+(CG$15*CM216)+(CG$16*CM314))/CG$17</f>
        <v>8.2072112511277842E-3</v>
      </c>
      <c r="CN21" s="543">
        <f t="shared" si="24"/>
        <v>8.7190489674422971E-4</v>
      </c>
      <c r="CO21" s="543">
        <f t="shared" si="24"/>
        <v>9.2218767329206308E-3</v>
      </c>
      <c r="CP21" s="543">
        <f t="shared" si="24"/>
        <v>2.4851700429007556E-2</v>
      </c>
      <c r="CQ21" s="540">
        <f t="shared" si="24"/>
        <v>1.1310348956641885E-2</v>
      </c>
      <c r="CR21" s="541"/>
      <c r="CS21" s="542">
        <f>+CS23-CS22-CS19</f>
        <v>-2.1645780731202852E-2</v>
      </c>
      <c r="CT21" s="543">
        <f>+CT23-CT22-CT19</f>
        <v>-3.9498343688563323E-2</v>
      </c>
      <c r="CU21" s="543">
        <f>+CU23-CU22-CU19</f>
        <v>1.1273725816162011E-2</v>
      </c>
      <c r="CV21" s="543">
        <f>(SUMPRODUCT(CW21,CQ$17)-SUMPRODUCT(CS21:CU21,CM$17:CO$17))/CP$17</f>
        <v>0.13651132948492831</v>
      </c>
      <c r="CW21" s="540">
        <f>+CW23-CW22-CW19</f>
        <v>2.583493525342994E-2</v>
      </c>
      <c r="CX21" s="543"/>
      <c r="CY21" s="542">
        <f>+CY23-CY22-CY19</f>
        <v>0.18427761418457494</v>
      </c>
      <c r="CZ21" s="543">
        <f>+CZ23-CZ22-CZ19</f>
        <v>0.21031016058479848</v>
      </c>
      <c r="DA21" s="543">
        <f>+DA23-DA22-DA19</f>
        <v>0.13999999999999999</v>
      </c>
      <c r="DB21" s="543">
        <f>(SUMPRODUCT(DC21,CW$17)-SUMPRODUCT(CY21:DA21,CS$17:CU$17))/CV$17</f>
        <v>8.3758385380523478E-2</v>
      </c>
      <c r="DC21" s="540">
        <f>+DC23-DC22-DC19</f>
        <v>0.14954072760276313</v>
      </c>
      <c r="DD21" s="541"/>
      <c r="DE21" s="542">
        <f>+DE23-DE22-DE19</f>
        <v>5.6761677836956084E-2</v>
      </c>
      <c r="DF21" s="543">
        <f t="shared" ref="DF21" si="25">+DF23-DF22-DF19</f>
        <v>5.6226384403215708E-2</v>
      </c>
      <c r="DG21" s="543">
        <f t="shared" ref="DG21" si="26">+DG23-DG22-DG19</f>
        <v>7.5859248324096532E-2</v>
      </c>
      <c r="DH21" s="543">
        <f t="shared" ref="DH21" si="27">+DH23-DH22-DH19</f>
        <v>8.4373295813973931E-2</v>
      </c>
      <c r="DI21" s="540">
        <f>+SUMPRODUCT(DE21:DH21,CY$17:DB$17)/DC$17</f>
        <v>6.8799205089323787E-2</v>
      </c>
      <c r="DJ21" s="541"/>
      <c r="DK21" s="542">
        <f>+DK23-DK22-DK19</f>
        <v>1.1437216159022136E-2</v>
      </c>
      <c r="DL21" s="543">
        <f t="shared" ref="DL21:DN21" si="28">+DL23-DL22-DL19</f>
        <v>9.9776058180529592E-3</v>
      </c>
      <c r="DM21" s="543">
        <f t="shared" si="28"/>
        <v>1.7667064175610703E-2</v>
      </c>
      <c r="DN21" s="543">
        <f t="shared" si="28"/>
        <v>1.7106789625813468E-2</v>
      </c>
      <c r="DO21" s="540">
        <f>+SUMPRODUCT(DK21:DN21,DE$17:DH$17)/DI$17</f>
        <v>1.4190166778507011E-2</v>
      </c>
      <c r="DP21" s="541"/>
      <c r="DQ21" s="542">
        <f>+DQ23-DQ22-DQ19</f>
        <v>1.7037952038165161E-2</v>
      </c>
      <c r="DR21" s="543">
        <f>+DR23-DR22-DR19</f>
        <v>9.1274326509565018E-3</v>
      </c>
      <c r="DS21" s="543">
        <f>+DS23-DS22-DS19</f>
        <v>0</v>
      </c>
      <c r="DT21" s="543">
        <f>+DT23-DT22-DT19</f>
        <v>0</v>
      </c>
      <c r="DU21" s="540">
        <f>+SUMPRODUCT(DQ21:DT21,DK$17:DN$17)/DO$17</f>
        <v>6.2768470162154824E-3</v>
      </c>
      <c r="DV21" s="541"/>
      <c r="DW21" s="542">
        <f>+DW23-DW22-DW19</f>
        <v>0</v>
      </c>
      <c r="DX21" s="543">
        <f>+DX23-DX22-DX19</f>
        <v>0</v>
      </c>
      <c r="DY21" s="543">
        <f>+DY23-DY22-DY19</f>
        <v>0</v>
      </c>
      <c r="DZ21" s="543">
        <f>+DZ23-DZ22-DZ19</f>
        <v>0</v>
      </c>
      <c r="EA21" s="540">
        <f>+SUMPRODUCT(DW21:DZ21,DQ$17:DT$17)/DU$17</f>
        <v>0</v>
      </c>
      <c r="EB21" s="541"/>
      <c r="EC21" s="542">
        <f t="shared" ref="EC21:EF21" si="29">+EC23-EC22-EC19</f>
        <v>0</v>
      </c>
      <c r="ED21" s="543">
        <f t="shared" si="29"/>
        <v>0</v>
      </c>
      <c r="EE21" s="543">
        <f t="shared" si="29"/>
        <v>0</v>
      </c>
      <c r="EF21" s="543">
        <f t="shared" si="29"/>
        <v>0</v>
      </c>
      <c r="EG21" s="540">
        <f t="shared" ref="EG21:EG22" si="30">+SUMPRODUCT(EC21:EF21,DW$17:DZ$17)/EA$17</f>
        <v>0</v>
      </c>
    </row>
    <row r="22" spans="1:137" ht="11.25" customHeight="1" x14ac:dyDescent="0.2">
      <c r="A22" s="538" t="s">
        <v>379</v>
      </c>
      <c r="B22" s="539"/>
      <c r="C22" s="539"/>
      <c r="D22" s="539"/>
      <c r="E22" s="776"/>
      <c r="F22" s="541"/>
      <c r="G22" s="540"/>
      <c r="H22" s="541"/>
      <c r="I22" s="540"/>
      <c r="J22" s="541"/>
      <c r="K22" s="777"/>
      <c r="L22" s="541"/>
      <c r="M22" s="778"/>
      <c r="N22" s="779"/>
      <c r="O22" s="779"/>
      <c r="P22" s="779"/>
      <c r="Q22" s="777"/>
      <c r="R22" s="541"/>
      <c r="S22" s="542">
        <f t="shared" si="18"/>
        <v>0</v>
      </c>
      <c r="T22" s="543">
        <f t="shared" si="18"/>
        <v>0</v>
      </c>
      <c r="U22" s="543">
        <f t="shared" si="18"/>
        <v>0</v>
      </c>
      <c r="V22" s="543">
        <f t="shared" si="18"/>
        <v>0</v>
      </c>
      <c r="W22" s="540">
        <f t="shared" si="18"/>
        <v>0</v>
      </c>
      <c r="X22" s="541"/>
      <c r="Y22" s="542">
        <f t="shared" si="19"/>
        <v>0</v>
      </c>
      <c r="Z22" s="543">
        <f t="shared" si="19"/>
        <v>2.0746887966804982E-2</v>
      </c>
      <c r="AA22" s="543">
        <f t="shared" si="19"/>
        <v>1.3793103448275862E-2</v>
      </c>
      <c r="AB22" s="543">
        <f t="shared" si="19"/>
        <v>0</v>
      </c>
      <c r="AC22" s="540">
        <f t="shared" si="19"/>
        <v>2.2507314148888104E-2</v>
      </c>
      <c r="AD22" s="541"/>
      <c r="AE22" s="542">
        <f>+((Y$13*AE74)+(Y$14*AE151)+(Y$15*AE217)+(Y$16*AE315))/Y$17</f>
        <v>3.0470598351519999E-2</v>
      </c>
      <c r="AF22" s="543">
        <f>+((Z$13*AF74)+(Z$14*AF151)+(Z$15*AF217)+(Z$16*AF315))/Z$17</f>
        <v>1.4414879526007481E-2</v>
      </c>
      <c r="AG22" s="543">
        <f>+((AA$13*AG74)+(AA$14*AG151)+(AA$15*AG217)+(AA$16*AG315))/AA$17</f>
        <v>2.070801561084926E-2</v>
      </c>
      <c r="AH22" s="543">
        <f>+((AB$13*AH74)+(AB$14*AH151)+(AB$15*AH217)+(AB$16*AH315))/AB$17</f>
        <v>5.1473770700108425E-3</v>
      </c>
      <c r="AI22" s="540">
        <f>+((AC$13*AI74)+(AC$14*AI151)+(AC$15*AI217)+(AC$16*AI315))/AC$17</f>
        <v>3.7468481142000916E-2</v>
      </c>
      <c r="AJ22" s="541"/>
      <c r="AK22" s="778">
        <v>1.795662347879631E-2</v>
      </c>
      <c r="AL22" s="779">
        <v>2.0936062527518163E-2</v>
      </c>
      <c r="AM22" s="779">
        <v>3.0441674622512073E-3</v>
      </c>
      <c r="AN22" s="779">
        <v>-7.1429975971936566E-2</v>
      </c>
      <c r="AO22" s="777">
        <v>-5.1694332818531391E-3</v>
      </c>
      <c r="AP22" s="793"/>
      <c r="AQ22" s="778">
        <v>-3.2488772180596044E-2</v>
      </c>
      <c r="AR22" s="779">
        <v>1.6500492107103023E-3</v>
      </c>
      <c r="AS22" s="779">
        <v>1.9175724278790881E-2</v>
      </c>
      <c r="AT22" s="779">
        <v>6.0984214376688134E-2</v>
      </c>
      <c r="AU22" s="777">
        <v>1.0636876849765969E-2</v>
      </c>
      <c r="AV22" s="793"/>
      <c r="AW22" s="778">
        <v>4.1229679136567332E-2</v>
      </c>
      <c r="AX22" s="779">
        <v>3.2770579979531415E-2</v>
      </c>
      <c r="AY22" s="779">
        <v>3.7935687201316098E-2</v>
      </c>
      <c r="AZ22" s="779">
        <v>4.3112026527849755E-2</v>
      </c>
      <c r="BA22" s="777">
        <v>4.7534523105612403E-2</v>
      </c>
      <c r="BB22" s="793"/>
      <c r="BC22" s="778">
        <v>6.488882843388831E-2</v>
      </c>
      <c r="BD22" s="779">
        <v>6.7890459688556434E-2</v>
      </c>
      <c r="BE22" s="779">
        <v>3.4881455759818762E-2</v>
      </c>
      <c r="BF22" s="779">
        <v>-6.928248803171054E-2</v>
      </c>
      <c r="BG22" s="777">
        <v>2.3821027419235721E-2</v>
      </c>
      <c r="BH22" s="793"/>
      <c r="BI22" s="798">
        <v>-8.0389048149977244E-2</v>
      </c>
      <c r="BJ22" s="799">
        <v>-7.1708765931830495E-2</v>
      </c>
      <c r="BK22" s="799">
        <v>-2.4859540325674841E-2</v>
      </c>
      <c r="BL22" s="799">
        <v>6.1722562934079503E-2</v>
      </c>
      <c r="BM22" s="800">
        <v>-2.7244019601495202E-2</v>
      </c>
      <c r="BN22" s="541"/>
      <c r="BO22" s="542">
        <f t="shared" si="20"/>
        <v>4.3270216228817091E-2</v>
      </c>
      <c r="BP22" s="543">
        <f t="shared" si="20"/>
        <v>-1.2984313160166978E-2</v>
      </c>
      <c r="BQ22" s="543">
        <f t="shared" si="20"/>
        <v>-2.1606276897758681E-2</v>
      </c>
      <c r="BR22" s="543">
        <f t="shared" si="20"/>
        <v>-1.7720880541153748E-2</v>
      </c>
      <c r="BS22" s="540">
        <f>+((BM$13*BS74)+(BM$14*BS151)+(BM$15*BS217)+(BM$16*BS315))/BM$17</f>
        <v>-4.1305641470892451E-3</v>
      </c>
      <c r="BT22" s="541"/>
      <c r="BU22" s="542">
        <f t="shared" si="21"/>
        <v>1.4713102268439374E-2</v>
      </c>
      <c r="BV22" s="543">
        <f t="shared" si="21"/>
        <v>6.2868963673436931E-2</v>
      </c>
      <c r="BW22" s="543">
        <f t="shared" si="21"/>
        <v>4.1255305590361002E-2</v>
      </c>
      <c r="BX22" s="543">
        <f t="shared" si="21"/>
        <v>-3.0515410444375652E-3</v>
      </c>
      <c r="BY22" s="540">
        <f t="shared" si="21"/>
        <v>2.8742748787861441E-2</v>
      </c>
      <c r="BZ22" s="541"/>
      <c r="CA22" s="542">
        <f t="shared" si="22"/>
        <v>-1.020261697476665E-2</v>
      </c>
      <c r="CB22" s="543">
        <f t="shared" si="22"/>
        <v>-3.9402000372061194E-2</v>
      </c>
      <c r="CC22" s="543">
        <f t="shared" si="22"/>
        <v>-3.2942146167565307E-2</v>
      </c>
      <c r="CD22" s="543">
        <f t="shared" si="22"/>
        <v>-7.2703612032569429E-3</v>
      </c>
      <c r="CE22" s="540">
        <f t="shared" si="22"/>
        <v>-2.3014200676598425E-2</v>
      </c>
      <c r="CF22" s="541"/>
      <c r="CG22" s="542">
        <f t="shared" si="23"/>
        <v>-9.5612008931114552E-3</v>
      </c>
      <c r="CH22" s="543">
        <f t="shared" si="23"/>
        <v>-4.6000319608644697E-3</v>
      </c>
      <c r="CI22" s="543">
        <f t="shared" si="23"/>
        <v>-3.4044664129922199E-3</v>
      </c>
      <c r="CJ22" s="543">
        <f t="shared" si="23"/>
        <v>-7.7397775410640137E-3</v>
      </c>
      <c r="CK22" s="540">
        <f t="shared" si="23"/>
        <v>-9.1462301109594933E-3</v>
      </c>
      <c r="CL22" s="541"/>
      <c r="CM22" s="542">
        <f t="shared" si="24"/>
        <v>-2.4334382918480496E-3</v>
      </c>
      <c r="CN22" s="543">
        <f t="shared" si="24"/>
        <v>5.8217111732319438E-3</v>
      </c>
      <c r="CO22" s="543">
        <f t="shared" si="24"/>
        <v>-3.4670353704569002E-3</v>
      </c>
      <c r="CP22" s="543">
        <f t="shared" si="24"/>
        <v>-3.9577861811424121E-2</v>
      </c>
      <c r="CQ22" s="540">
        <f t="shared" si="24"/>
        <v>-1.1052925695454673E-2</v>
      </c>
      <c r="CR22" s="541"/>
      <c r="CS22" s="778">
        <v>6.5000000000000002E-2</v>
      </c>
      <c r="CT22" s="779">
        <v>6.5000000000000002E-2</v>
      </c>
      <c r="CU22" s="779">
        <v>7.0000000000000007E-2</v>
      </c>
      <c r="CV22" s="543">
        <f>(SUMPRODUCT(CW22,CQ$17)-SUMPRODUCT(CS22:CU22,CM$17:CO$17))/CP$17</f>
        <v>4.2515673253426187E-2</v>
      </c>
      <c r="CW22" s="777">
        <v>0.06</v>
      </c>
      <c r="CX22" s="543"/>
      <c r="CY22" s="778">
        <v>0.02</v>
      </c>
      <c r="CZ22" s="779">
        <v>5.0000000000000001E-3</v>
      </c>
      <c r="DA22" s="779">
        <f>DA23-14.5%-3%</f>
        <v>1.4990604179717093E-3</v>
      </c>
      <c r="DB22" s="779">
        <v>-1.4999999999999999E-2</v>
      </c>
      <c r="DC22" s="777">
        <v>-0.01</v>
      </c>
      <c r="DD22" s="541"/>
      <c r="DE22" s="778">
        <v>-1.4999999999999999E-2</v>
      </c>
      <c r="DF22" s="779">
        <v>-1.4999999999999999E-2</v>
      </c>
      <c r="DG22" s="779">
        <v>-0.01</v>
      </c>
      <c r="DH22" s="779">
        <v>-0.03</v>
      </c>
      <c r="DI22" s="540">
        <f>+SUMPRODUCT(DE22:DH22,CY$17:DB$17)/DC$17</f>
        <v>-1.7849357911197461E-2</v>
      </c>
      <c r="DJ22" s="541"/>
      <c r="DK22" s="778">
        <v>0.05</v>
      </c>
      <c r="DL22" s="543">
        <f>((+DF$70*(1+DL74)+DF$146*(1+DL151)+DF$213*(1+DL217)+DF$311*(1+DL315))/DF$343-1)</f>
        <v>3.499999999999992E-2</v>
      </c>
      <c r="DM22" s="543">
        <f>((+DG$70*(1+DM74)+DG$146*(1+DM151)+DG$213*(1+DM217)+DG$311*(1+DM315))/DG$343-1)</f>
        <v>1.0000000000000009E-2</v>
      </c>
      <c r="DN22" s="543">
        <f>((+DH$70*(1+DN74)+DH$146*(1+DN151)+DH$213*(1+DN217)+DH$311*(1+DN315))/DH$343-1)</f>
        <v>2.0000000000000018E-2</v>
      </c>
      <c r="DO22" s="540">
        <f>+SUMPRODUCT(DK22:DN22,DE$17:DH$17)/DI$17</f>
        <v>2.8103815119723714E-2</v>
      </c>
      <c r="DP22" s="541"/>
      <c r="DQ22" s="542">
        <f>((+DK$70*(1+DQ74)+DK$146*(1+DQ151)+DK$213*(1+DQ217)+DK$311*(1+DQ315))/DK$343-1)</f>
        <v>0</v>
      </c>
      <c r="DR22" s="543">
        <f>((+DL$70*(1+DR74)+DL$146*(1+DR151)+DL$213*(1+DR217)+DL$311*(1+DR315))/DL$343-1)</f>
        <v>0</v>
      </c>
      <c r="DS22" s="543">
        <f>((+DM$70*(1+DS74)+DM$146*(1+DS151)+DM$213*(1+DS217)+DM$311*(1+DS315))/DM$343-1)</f>
        <v>0</v>
      </c>
      <c r="DT22" s="543">
        <f>((+DN$70*(1+DT74)+DN$146*(1+DT151)+DN$213*(1+DT217)+DN$311*(1+DT315))/DN$343-1)</f>
        <v>0</v>
      </c>
      <c r="DU22" s="540">
        <f>+SUMPRODUCT(DQ22:DT22,DK$17:DN$17)/DO$17</f>
        <v>0</v>
      </c>
      <c r="DV22" s="541"/>
      <c r="DW22" s="542">
        <f>((+DQ$70*(1+DW74)+DQ$146*(1+DW151)+DQ$213*(1+DW217)+DQ$311*(1+DW315))/DQ$343-1)</f>
        <v>0</v>
      </c>
      <c r="DX22" s="543">
        <f>((+DR$70*(1+DX74)+DR$146*(1+DX151)+DR$213*(1+DX217)+DR$311*(1+DX315))/DR$343-1)</f>
        <v>0</v>
      </c>
      <c r="DY22" s="543">
        <f>((+DS$70*(1+DY74)+DS$146*(1+DY151)+DS$213*(1+DY217)+DS$311*(1+DY315))/DS$343-1)</f>
        <v>0</v>
      </c>
      <c r="DZ22" s="543">
        <f>((+DT$70*(1+DZ74)+DT$146*(1+DZ151)+DT$213*(1+DZ217)+DT$311*(1+DZ315))/DT$343-1)</f>
        <v>0</v>
      </c>
      <c r="EA22" s="540">
        <f>+SUMPRODUCT(DW22:DZ22,DQ$17:DT$17)/DU$17</f>
        <v>0</v>
      </c>
      <c r="EB22" s="541"/>
      <c r="EC22" s="542">
        <f t="shared" ref="EC22:EF22" si="31">((+DW$70*(1+EC74)+DW$146*(1+EC151)+DW$213*(1+EC217)+DW$311*(1+EC315))/DW$343-1)</f>
        <v>0</v>
      </c>
      <c r="ED22" s="543">
        <f t="shared" si="31"/>
        <v>0</v>
      </c>
      <c r="EE22" s="543">
        <f t="shared" si="31"/>
        <v>0</v>
      </c>
      <c r="EF22" s="543">
        <f t="shared" si="31"/>
        <v>0</v>
      </c>
      <c r="EG22" s="540">
        <f t="shared" si="30"/>
        <v>0</v>
      </c>
    </row>
    <row r="23" spans="1:137" ht="11.25" customHeight="1" x14ac:dyDescent="0.2">
      <c r="A23" s="538" t="s">
        <v>378</v>
      </c>
      <c r="B23" s="539"/>
      <c r="C23" s="539"/>
      <c r="D23" s="539"/>
      <c r="E23" s="776"/>
      <c r="F23" s="541"/>
      <c r="G23" s="540"/>
      <c r="H23" s="541"/>
      <c r="I23" s="540"/>
      <c r="J23" s="541"/>
      <c r="K23" s="540"/>
      <c r="L23" s="541"/>
      <c r="M23" s="542"/>
      <c r="N23" s="543"/>
      <c r="O23" s="543"/>
      <c r="P23" s="543"/>
      <c r="Q23" s="540"/>
      <c r="R23" s="541"/>
      <c r="S23" s="542">
        <f t="shared" si="18"/>
        <v>0</v>
      </c>
      <c r="T23" s="543">
        <f t="shared" si="18"/>
        <v>0</v>
      </c>
      <c r="U23" s="543">
        <f t="shared" si="18"/>
        <v>0</v>
      </c>
      <c r="V23" s="543">
        <f t="shared" si="18"/>
        <v>0</v>
      </c>
      <c r="W23" s="540">
        <f t="shared" si="18"/>
        <v>0</v>
      </c>
      <c r="X23" s="541"/>
      <c r="Y23" s="542">
        <f>IF(ISERROR(Y17/S17-1),"-",Y17/S17-1)</f>
        <v>0.43232583798739133</v>
      </c>
      <c r="Z23" s="543">
        <f>IF(ISERROR(Z17/T17-1),"-",Z17/T17-1)</f>
        <v>0.19233374276472337</v>
      </c>
      <c r="AA23" s="543">
        <f>IF(ISERROR(AA17/U17-1),"-",AA17/U17-1)</f>
        <v>0.20701693401801569</v>
      </c>
      <c r="AB23" s="543">
        <f>IF(ISERROR(AB17/V17-1),"-",AB17/V17-1)</f>
        <v>0.20377004967003032</v>
      </c>
      <c r="AC23" s="540">
        <f>IF(ISERROR(AC17/W17-1),"-",AC17/W17-1)</f>
        <v>0.24409226347267587</v>
      </c>
      <c r="AD23" s="541"/>
      <c r="AE23" s="542">
        <f>IF(ISERROR(AE17/Y17-1),"-",AE17/Y17-1)</f>
        <v>0.67574057248933528</v>
      </c>
      <c r="AF23" s="543">
        <f>IF(ISERROR(AF17/Z17-1),"-",AF17/Z17-1)</f>
        <v>0.62597709481793418</v>
      </c>
      <c r="AG23" s="543">
        <f>IF(ISERROR(AG17/AA17-1),"-",AG17/AA17-1)</f>
        <v>1.0275823929499772</v>
      </c>
      <c r="AH23" s="543">
        <f>IF(ISERROR(AH17/AB17-1),"-",AH17/AB17-1)</f>
        <v>1.0712004529276191</v>
      </c>
      <c r="AI23" s="540">
        <f>IF(ISERROR(AI17/AC17-1),"-",AI17/AC17-1)</f>
        <v>0.87250337029523783</v>
      </c>
      <c r="AJ23" s="541"/>
      <c r="AK23" s="542">
        <f>IF(ISERROR(AK17/AE17-1),"-",AK17/AE17-1)</f>
        <v>0.5489550228223592</v>
      </c>
      <c r="AL23" s="543">
        <f>IF(ISERROR(AL17/AF17-1),"-",AL17/AF17-1)</f>
        <v>0.53960540197686124</v>
      </c>
      <c r="AM23" s="543">
        <f>IF(ISERROR(AM17/AG17-1),"-",AM17/AG17-1)</f>
        <v>0.3148902444550592</v>
      </c>
      <c r="AN23" s="543">
        <f>IF(ISERROR(AN17/AH17-1),"-",AN17/AH17-1)</f>
        <v>0.37934886239218257</v>
      </c>
      <c r="AO23" s="540">
        <f>IF(ISERROR(AO17/AI17-1),"-",AO17/AI17-1)</f>
        <v>0.42663788526440594</v>
      </c>
      <c r="AP23" s="541"/>
      <c r="AQ23" s="542">
        <f>IF(ISERROR(AQ17/AK17-1),"-",AQ17/AK17-1)</f>
        <v>0.36767819798669721</v>
      </c>
      <c r="AR23" s="543">
        <f>IF(ISERROR(AR17/AL17-1),"-",AR17/AL17-1)</f>
        <v>0.4983663506093805</v>
      </c>
      <c r="AS23" s="543">
        <f>IF(ISERROR(AS17/AM17-1),"-",AS17/AM17-1)</f>
        <v>0.52342919943318433</v>
      </c>
      <c r="AT23" s="543">
        <f>IF(ISERROR(AT17/AN17-1),"-",AT17/AN17-1)</f>
        <v>0.28673514078561269</v>
      </c>
      <c r="AU23" s="540">
        <f>IF(ISERROR(AU17/AO17-1),"-",AU17/AO17-1)</f>
        <v>0.40857067684619164</v>
      </c>
      <c r="AV23" s="541"/>
      <c r="AW23" s="542">
        <f>IF(ISERROR(AW17/AQ17-1),"-",AW17/AQ17-1)</f>
        <v>0.42737089355220914</v>
      </c>
      <c r="AX23" s="543">
        <f>IF(ISERROR(AX17/AR17-1),"-",AX17/AR17-1)</f>
        <v>0.27608687600071913</v>
      </c>
      <c r="AY23" s="543">
        <f>IF(ISERROR(AY17/AS17-1),"-",AY17/AS17-1)</f>
        <v>0.20177420534968338</v>
      </c>
      <c r="AZ23" s="543">
        <f>IF(ISERROR(AZ17/AT17-1),"-",AZ17/AT17-1)</f>
        <v>0.23489792783279184</v>
      </c>
      <c r="BA23" s="540">
        <f>IF(ISERROR(BA17/AU17-1),"-",BA17/AU17-1)</f>
        <v>0.27419371724490471</v>
      </c>
      <c r="BB23" s="541"/>
      <c r="BC23" s="542">
        <f>IF(ISERROR(BC17/AW17-1),"-",BC17/AW17-1)</f>
        <v>0.12123521834664075</v>
      </c>
      <c r="BD23" s="543">
        <f>IF(ISERROR(BD17/AX17-1),"-",BD17/AX17-1)</f>
        <v>0.17455768871670196</v>
      </c>
      <c r="BE23" s="543">
        <f>IF(ISERROR(BE17/AY17-1),"-",BE17/AY17-1)</f>
        <v>9.1776668806237582E-2</v>
      </c>
      <c r="BF23" s="543">
        <f>IF(ISERROR(BF17/AZ17-1),"-",BF17/AZ17-1)</f>
        <v>-2.4247802040216704E-2</v>
      </c>
      <c r="BG23" s="540">
        <f>IF(ISERROR(BG17/BA17-1),"-",BG17/BA17-1)</f>
        <v>8.4147751758490319E-2</v>
      </c>
      <c r="BH23" s="541"/>
      <c r="BI23" s="542">
        <f>IF(ISERROR(BI17/BC17-1),"-",BI17/BC17-1)</f>
        <v>-6.9305977605606972E-2</v>
      </c>
      <c r="BJ23" s="543">
        <f>IF(ISERROR(BJ17/BD17-1),"-",BJ17/BD17-1)</f>
        <v>-0.11259316365642336</v>
      </c>
      <c r="BK23" s="543">
        <f>IF(ISERROR(BK17/BE17-1),"-",BK17/BE17-1)</f>
        <v>-7.6467178164037808E-2</v>
      </c>
      <c r="BL23" s="543">
        <f>IF(ISERROR(BL17/BF17-1),"-",BL17/BF17-1)</f>
        <v>8.1601622975312926E-2</v>
      </c>
      <c r="BM23" s="540">
        <f>IF(ISERROR(BM17/BG17-1),"-",BM17/BG17-1)</f>
        <v>-4.282870462204269E-2</v>
      </c>
      <c r="BN23" s="541"/>
      <c r="BO23" s="542">
        <f>IF(ISERROR(BO17/BI17-1),"-",BO17/BI17-1)</f>
        <v>0.24185740064513994</v>
      </c>
      <c r="BP23" s="543">
        <f>IF(ISERROR(BP17/BJ17-1),"-",BP17/BJ17-1)</f>
        <v>0.2689415318270616</v>
      </c>
      <c r="BQ23" s="543">
        <f>IF(ISERROR(BQ17/BK17-1),"-",BQ17/BK17-1)</f>
        <v>0.22805094203787557</v>
      </c>
      <c r="BR23" s="543">
        <f>IF(ISERROR(BR17/BL17-1),"-",BR17/BL17-1)</f>
        <v>0.1947504487844276</v>
      </c>
      <c r="BS23" s="540">
        <f>IF(ISERROR(BS17/BM17-1),"-",BS17/BM17-1)</f>
        <v>0.23094184048004407</v>
      </c>
      <c r="BT23" s="541"/>
      <c r="BU23" s="542">
        <f>IF(ISERROR(BU17/BO17-1),"-",BU17/BO17-1)</f>
        <v>0.1856896602262359</v>
      </c>
      <c r="BV23" s="543">
        <f>IF(ISERROR(BV17/BP17-1),"-",BV17/BP17-1)</f>
        <v>0.23623981966979724</v>
      </c>
      <c r="BW23" s="543">
        <f>IF(ISERROR(BW17/BQ17-1),"-",BW17/BQ17-1)</f>
        <v>0.7494446421073826</v>
      </c>
      <c r="BX23" s="543">
        <f>IF(ISERROR(BX17/BR17-1),"-",BX17/BR17-1)</f>
        <v>0.65665379315196959</v>
      </c>
      <c r="BY23" s="540">
        <f>IF(ISERROR(BY17/BS17-1),"-",BY17/BS17-1)</f>
        <v>0.47084701282858021</v>
      </c>
      <c r="BZ23" s="541"/>
      <c r="CA23" s="542">
        <f>IF(ISERROR(CA17/BU17-1),"-",CA17/BU17-1)</f>
        <v>0.57306556737000469</v>
      </c>
      <c r="CB23" s="543">
        <f>IF(ISERROR(CB17/BV17-1),"-",CB17/BV17-1)</f>
        <v>0.50465997223235104</v>
      </c>
      <c r="CC23" s="543">
        <f>IF(ISERROR(CC17/BW17-1),"-",CC17/BW17-1)</f>
        <v>1.7742188211647747E-2</v>
      </c>
      <c r="CD23" s="543">
        <f>IF(ISERROR(CD17/BX17-1),"-",CD17/BX17-1)</f>
        <v>8.060440877900299E-2</v>
      </c>
      <c r="CE23" s="540">
        <f>IF(ISERROR(CE17/BY17-1),"-",CE17/BY17-1)</f>
        <v>0.23856449486989217</v>
      </c>
      <c r="CF23" s="541"/>
      <c r="CG23" s="542">
        <f>IF(ISERROR(CG17/CA17-1),"-",CG17/CA17-1)</f>
        <v>3.0547278518602283E-2</v>
      </c>
      <c r="CH23" s="543">
        <f>IF(ISERROR(CH17/CB17-1),"-",CH17/CB17-1)</f>
        <v>5.6396995886961898E-2</v>
      </c>
      <c r="CI23" s="543">
        <f>IF(ISERROR(CI17/CC17-1),"-",CI17/CC17-1)</f>
        <v>7.6602659339654045E-2</v>
      </c>
      <c r="CJ23" s="543">
        <f>IF(ISERROR(CJ17/CD17-1),"-",CJ17/CD17-1)</f>
        <v>5.4238536799419812E-2</v>
      </c>
      <c r="CK23" s="540">
        <f>IF(ISERROR(CK17/CE17-1),"-",CK17/CE17-1)</f>
        <v>5.4613310222067835E-2</v>
      </c>
      <c r="CL23" s="541"/>
      <c r="CM23" s="542">
        <f>IF(ISERROR(CM17/CG17-1),"-",CM17/CG17-1)</f>
        <v>4.8632904742272665E-2</v>
      </c>
      <c r="CN23" s="543">
        <f>IF(ISERROR(CN17/CH17-1),"-",CN17/CH17-1)</f>
        <v>4.6134489484943808E-2</v>
      </c>
      <c r="CO23" s="543">
        <f>IF(ISERROR(CO17/CI17-1),"-",CO17/CI17-1)</f>
        <v>4.0872237526028643E-2</v>
      </c>
      <c r="CP23" s="543">
        <f>IF(ISERROR(CP17/CJ17-1),"-",CP17/CJ17-1)</f>
        <v>3.0127320068532581E-2</v>
      </c>
      <c r="CQ23" s="540">
        <f>IF(ISERROR(CQ17/CK17-1),"-",CQ17/CK17-1)</f>
        <v>4.093192471188134E-2</v>
      </c>
      <c r="CR23" s="541"/>
      <c r="CS23" s="542">
        <f>IF(ISERROR(CS17/CM17-1),"-",CS17/CM17-1)</f>
        <v>7.8354219268797154E-2</v>
      </c>
      <c r="CT23" s="543">
        <f>IF(ISERROR(CT17/CN17-1),"-",CT17/CN17-1)</f>
        <v>7.0501656311436678E-2</v>
      </c>
      <c r="CU23" s="543">
        <f>IF(ISERROR(CU17/CO17-1),"-",CU17/CO17-1)</f>
        <v>0.11127372581616202</v>
      </c>
      <c r="CV23" s="543">
        <f>IF(ISERROR(CV17/CP17-1),"-",CV17/CP17-1)</f>
        <v>0.21292163058268487</v>
      </c>
      <c r="CW23" s="540">
        <f>IF(ISERROR(CW17/CQ17-1),"-",CW17/CQ17-1)</f>
        <v>0.12177357889597662</v>
      </c>
      <c r="CX23" s="543"/>
      <c r="CY23" s="542">
        <f>IF(ISERROR(CY17/CS17-1),"-",CY17/CS17-1)</f>
        <v>0.22927761418457493</v>
      </c>
      <c r="CZ23" s="543">
        <f>IF(ISERROR(CZ17/CT17-1),"-",CZ17/CT17-1)</f>
        <v>0.24531016058479849</v>
      </c>
      <c r="DA23" s="543">
        <f>IF(ISERROR(DA17/CU17-1),"-",DA17/CU17-1)</f>
        <v>0.1764990604179717</v>
      </c>
      <c r="DB23" s="543">
        <f>IF(ISERROR(DB17/CV17-1),"-",DB17/CV17-1)</f>
        <v>6.0444136016654992E-2</v>
      </c>
      <c r="DC23" s="540">
        <f>IF(ISERROR(DC17/CW17-1),"-",DC17/CW17-1)</f>
        <v>0.16965157929013364</v>
      </c>
      <c r="DD23" s="541"/>
      <c r="DE23" s="542">
        <f>IF(ISERROR(DE17/CY17-1),"-",DE17/CY17-1)</f>
        <v>7.1761677836956084E-2</v>
      </c>
      <c r="DF23" s="543">
        <f>IF(ISERROR(DF17/CZ17-1),"-",DF17/CZ17-1)</f>
        <v>6.3226384403215707E-2</v>
      </c>
      <c r="DG23" s="543">
        <f>IF(ISERROR(DG17/DA17-1),"-",DG17/DA17-1)</f>
        <v>9.5859248324096535E-2</v>
      </c>
      <c r="DH23" s="543">
        <f>IF(ISERROR(DH17/DB17-1),"-",DH17/DB17-1)</f>
        <v>0.10937329581397393</v>
      </c>
      <c r="DI23" s="540">
        <f>IF(ISERROR(DI17/DC17-1),"-",DI17/DC17-1)</f>
        <v>8.5728332464578338E-2</v>
      </c>
      <c r="DJ23" s="541"/>
      <c r="DK23" s="542">
        <f>IF(ISERROR(DK17/DE17-1),"-",DK17/DE17-1)</f>
        <v>0.11643721615902214</v>
      </c>
      <c r="DL23" s="543">
        <f>IF(ISERROR(DL17/DF17-1),"-",DL17/DF17-1)</f>
        <v>9.3144830491563413E-2</v>
      </c>
      <c r="DM23" s="543">
        <f>IF(ISERROR(DM17/DG17-1),"-",DM17/DG17-1)</f>
        <v>7.1190097610529746E-2</v>
      </c>
      <c r="DN23" s="543">
        <f>IF(ISERROR(DN17/DH17-1),"-",DN17/DH17-1)</f>
        <v>6.9331950370646878E-2</v>
      </c>
      <c r="DO23" s="540">
        <f>IF(ISERROR(DO17/DI17-1),"-",DO17/DI17-1)</f>
        <v>8.6458425397033301E-2</v>
      </c>
      <c r="DP23" s="541"/>
      <c r="DQ23" s="542">
        <f>IF(ISERROR(DQ17/DK17-1),"-",DQ17/DK17-1)</f>
        <v>4.6487253482131674E-2</v>
      </c>
      <c r="DR23" s="543">
        <f>IF(ISERROR(DR17/DL17-1),"-",DR17/DL17-1)</f>
        <v>4.8325175943941368E-2</v>
      </c>
      <c r="DS23" s="543">
        <f>IF(ISERROR(DS17/DM17-1),"-",DS17/DM17-1)</f>
        <v>3.9287723919883222E-2</v>
      </c>
      <c r="DT23" s="543">
        <f>IF(ISERROR(DT17/DN17-1),"-",DT17/DN17-1)</f>
        <v>3.9090262832982114E-2</v>
      </c>
      <c r="DU23" s="540">
        <f>IF(ISERROR(DU17/DO17-1),"-",DU17/DO17-1)</f>
        <v>4.3168683183277157E-2</v>
      </c>
      <c r="DV23" s="541"/>
      <c r="DW23" s="542">
        <f>IF(ISERROR(DW17/DQ17-1),"-",DW17/DQ17-1)</f>
        <v>4.2788138768808714E-2</v>
      </c>
      <c r="DX23" s="543">
        <f>IF(ISERROR(DX17/DR17-1),"-",DX17/DR17-1)</f>
        <v>4.2790267338284949E-2</v>
      </c>
      <c r="DY23" s="543">
        <f>IF(ISERROR(DY17/DS17-1),"-",DY17/DS17-1)</f>
        <v>4.2800555098892135E-2</v>
      </c>
      <c r="DZ23" s="543">
        <f>IF(ISERROR(DZ17/DT17-1),"-",DZ17/DT17-1)</f>
        <v>4.2738609937501559E-2</v>
      </c>
      <c r="EA23" s="540">
        <f>IF(ISERROR(EA17/DU17-1),"-",EA17/DU17-1)</f>
        <v>4.2778208727336731E-2</v>
      </c>
      <c r="EB23" s="541"/>
      <c r="EC23" s="542">
        <f t="shared" ref="EC23:EG23" si="32">IF(ISERROR(EC17/DW17-1),"-",EC17/DW17-1)</f>
        <v>4.2829162845669844E-2</v>
      </c>
      <c r="ED23" s="543">
        <f t="shared" si="32"/>
        <v>4.2832024157480442E-2</v>
      </c>
      <c r="EE23" s="543">
        <f t="shared" si="32"/>
        <v>4.2841964603433258E-2</v>
      </c>
      <c r="EF23" s="543">
        <f t="shared" si="32"/>
        <v>4.2780143574314256E-2</v>
      </c>
      <c r="EG23" s="540">
        <f t="shared" si="32"/>
        <v>4.2819647823484353E-2</v>
      </c>
    </row>
    <row r="24" spans="1:137" ht="11.25" customHeight="1" x14ac:dyDescent="0.2">
      <c r="A24" s="538" t="s">
        <v>622</v>
      </c>
      <c r="B24" s="539"/>
      <c r="C24" s="539"/>
      <c r="D24" s="539"/>
      <c r="E24" s="776"/>
      <c r="F24" s="541"/>
      <c r="G24" s="540"/>
      <c r="H24" s="541"/>
      <c r="I24" s="540"/>
      <c r="J24" s="541"/>
      <c r="K24" s="540"/>
      <c r="L24" s="541"/>
      <c r="M24" s="542"/>
      <c r="N24" s="543"/>
      <c r="O24" s="543"/>
      <c r="P24" s="543"/>
      <c r="Q24" s="540"/>
      <c r="R24" s="541"/>
      <c r="S24" s="542"/>
      <c r="T24" s="543"/>
      <c r="U24" s="543"/>
      <c r="V24" s="543"/>
      <c r="W24" s="540"/>
      <c r="X24" s="541"/>
      <c r="Y24" s="542"/>
      <c r="Z24" s="543"/>
      <c r="AA24" s="543"/>
      <c r="AB24" s="543"/>
      <c r="AC24" s="540"/>
      <c r="AD24" s="541"/>
      <c r="AE24" s="542"/>
      <c r="AF24" s="543"/>
      <c r="AG24" s="543"/>
      <c r="AH24" s="543"/>
      <c r="AI24" s="540"/>
      <c r="AJ24" s="541"/>
      <c r="AK24" s="542"/>
      <c r="AL24" s="543"/>
      <c r="AM24" s="543"/>
      <c r="AN24" s="543"/>
      <c r="AO24" s="540"/>
      <c r="AP24" s="541"/>
      <c r="AQ24" s="542"/>
      <c r="AR24" s="543"/>
      <c r="AS24" s="543"/>
      <c r="AT24" s="543"/>
      <c r="AU24" s="540"/>
      <c r="AV24" s="541"/>
      <c r="AW24" s="542"/>
      <c r="AX24" s="543"/>
      <c r="AY24" s="543"/>
      <c r="AZ24" s="543"/>
      <c r="BA24" s="540"/>
      <c r="BB24" s="541"/>
      <c r="BC24" s="542"/>
      <c r="BD24" s="543"/>
      <c r="BE24" s="543"/>
      <c r="BF24" s="543"/>
      <c r="BG24" s="540"/>
      <c r="BH24" s="541"/>
      <c r="BI24" s="542"/>
      <c r="BJ24" s="543"/>
      <c r="BK24" s="543"/>
      <c r="BL24" s="543"/>
      <c r="BM24" s="540"/>
      <c r="BN24" s="541"/>
      <c r="BO24" s="542"/>
      <c r="BP24" s="543"/>
      <c r="BQ24" s="543"/>
      <c r="BR24" s="543"/>
      <c r="BS24" s="540"/>
      <c r="BT24" s="541"/>
      <c r="BU24" s="542"/>
      <c r="BV24" s="543"/>
      <c r="BW24" s="543"/>
      <c r="BX24" s="543"/>
      <c r="BY24" s="540"/>
      <c r="BZ24" s="541"/>
      <c r="CA24" s="542"/>
      <c r="CB24" s="543"/>
      <c r="CC24" s="543"/>
      <c r="CD24" s="543"/>
      <c r="CE24" s="540"/>
      <c r="CF24" s="541"/>
      <c r="CG24" s="542"/>
      <c r="CH24" s="543"/>
      <c r="CI24" s="543"/>
      <c r="CJ24" s="543"/>
      <c r="CK24" s="540"/>
      <c r="CL24" s="541"/>
      <c r="CM24" s="798"/>
      <c r="CN24" s="799"/>
      <c r="CO24" s="799"/>
      <c r="CP24" s="799"/>
      <c r="CQ24" s="540"/>
      <c r="CR24" s="541"/>
      <c r="CS24" s="798">
        <v>0.02</v>
      </c>
      <c r="CT24" s="799">
        <v>0</v>
      </c>
      <c r="CU24" s="799">
        <v>0</v>
      </c>
      <c r="CV24" s="799">
        <v>-0.02</v>
      </c>
      <c r="CW24" s="540">
        <f>+SUMPRODUCT(CS24:CV24,CM$17:CP$17)/CQ$17</f>
        <v>-9.3864364254667826E-4</v>
      </c>
      <c r="CX24" s="543"/>
      <c r="CY24" s="798">
        <v>-5.0000000000000001E-3</v>
      </c>
      <c r="CZ24" s="799">
        <v>0</v>
      </c>
      <c r="DA24" s="799">
        <v>-5.0000000000000001E-3</v>
      </c>
      <c r="DB24" s="799">
        <v>5.0000000000000001E-3</v>
      </c>
      <c r="DC24" s="540">
        <f>+SUMPRODUCT(CY24:DB24,CS$17:CV$17)/CW$17</f>
        <v>-8.2494440095055323E-4</v>
      </c>
      <c r="DD24" s="541"/>
      <c r="DE24" s="798">
        <v>-5.0000000000000001E-3</v>
      </c>
      <c r="DF24" s="799">
        <v>-2E-3</v>
      </c>
      <c r="DG24" s="799">
        <v>0</v>
      </c>
      <c r="DH24" s="799">
        <v>0</v>
      </c>
      <c r="DI24" s="540">
        <f>+SUMPRODUCT(DE24:DH24,CY$17:DB$17)/DC$17</f>
        <v>-1.6647099938397385E-3</v>
      </c>
      <c r="DJ24" s="541"/>
      <c r="DK24" s="798">
        <v>0</v>
      </c>
      <c r="DL24" s="543">
        <f>+DK24</f>
        <v>0</v>
      </c>
      <c r="DM24" s="543">
        <f>+DL24</f>
        <v>0</v>
      </c>
      <c r="DN24" s="543">
        <f>+DM24</f>
        <v>0</v>
      </c>
      <c r="DO24" s="540">
        <f>+SUMPRODUCT(DK24:DN24,DE$17:DH$17)/DI$17</f>
        <v>0</v>
      </c>
      <c r="DP24" s="541"/>
      <c r="DQ24" s="542">
        <v>0</v>
      </c>
      <c r="DR24" s="543">
        <f>+DQ24</f>
        <v>0</v>
      </c>
      <c r="DS24" s="543">
        <f>+DR24</f>
        <v>0</v>
      </c>
      <c r="DT24" s="543">
        <f>+DS24</f>
        <v>0</v>
      </c>
      <c r="DU24" s="540">
        <f>+SUMPRODUCT(DQ24:DT24,DK$17:DN$17)/DO$17</f>
        <v>0</v>
      </c>
      <c r="DV24" s="541"/>
      <c r="DW24" s="542">
        <v>0</v>
      </c>
      <c r="DX24" s="543">
        <f>+DW24</f>
        <v>0</v>
      </c>
      <c r="DY24" s="543">
        <f>+DX24</f>
        <v>0</v>
      </c>
      <c r="DZ24" s="543">
        <f>+DY24</f>
        <v>0</v>
      </c>
      <c r="EA24" s="540">
        <f>+SUMPRODUCT(DW24:DZ24,DQ$17:DT$17)/DU$17</f>
        <v>0</v>
      </c>
      <c r="EB24" s="541"/>
      <c r="EC24" s="542">
        <v>0</v>
      </c>
      <c r="ED24" s="543">
        <f t="shared" ref="ED24:EF24" si="33">+EC24</f>
        <v>0</v>
      </c>
      <c r="EE24" s="543">
        <f t="shared" si="33"/>
        <v>0</v>
      </c>
      <c r="EF24" s="543">
        <f t="shared" si="33"/>
        <v>0</v>
      </c>
      <c r="EG24" s="540">
        <f t="shared" ref="EG24" si="34">+SUMPRODUCT(EC24:EF24,DW$17:DZ$17)/EA$17</f>
        <v>0</v>
      </c>
    </row>
    <row r="25" spans="1:137" ht="11.25" customHeight="1" outlineLevel="1" x14ac:dyDescent="0.2">
      <c r="A25" s="417" t="s">
        <v>170</v>
      </c>
      <c r="B25" s="173"/>
      <c r="C25" s="173"/>
      <c r="D25" s="173"/>
      <c r="E25" s="383"/>
      <c r="F25" s="342"/>
      <c r="G25" s="383"/>
      <c r="H25" s="342"/>
      <c r="I25" s="383"/>
      <c r="J25" s="342"/>
      <c r="K25" s="383"/>
      <c r="L25" s="342"/>
      <c r="M25" s="771">
        <f>+'Pro Forma IS'!M11-DHR!M17</f>
        <v>0</v>
      </c>
      <c r="N25" s="772">
        <f>+'Pro Forma IS'!N11-DHR!N17</f>
        <v>0</v>
      </c>
      <c r="O25" s="772">
        <f>+'Pro Forma IS'!O11-DHR!O17</f>
        <v>0</v>
      </c>
      <c r="P25" s="772">
        <f>+'Pro Forma IS'!P11-DHR!P17</f>
        <v>0</v>
      </c>
      <c r="Q25" s="773"/>
      <c r="R25" s="774"/>
      <c r="S25" s="771">
        <f>+'Pro Forma IS'!S11-DHR!S17</f>
        <v>0</v>
      </c>
      <c r="T25" s="772">
        <f>+'Pro Forma IS'!T11-DHR!T17</f>
        <v>0</v>
      </c>
      <c r="U25" s="772">
        <f>+'Pro Forma IS'!U11-DHR!U17</f>
        <v>0</v>
      </c>
      <c r="V25" s="772">
        <f>+'Pro Forma IS'!V11-DHR!V17</f>
        <v>0</v>
      </c>
      <c r="W25" s="773">
        <f>+'Pro Forma IS'!W11-DHR!W17</f>
        <v>0</v>
      </c>
      <c r="X25" s="774"/>
      <c r="Y25" s="771">
        <f>+'Pro Forma IS'!Y11-DHR!Y17</f>
        <v>0</v>
      </c>
      <c r="Z25" s="772">
        <f>+'Pro Forma IS'!Z11-DHR!Z17</f>
        <v>0</v>
      </c>
      <c r="AA25" s="772">
        <f>+'Pro Forma IS'!AA11-DHR!AA17</f>
        <v>0</v>
      </c>
      <c r="AB25" s="772">
        <f>+'Pro Forma IS'!AB11-DHR!AB17</f>
        <v>0</v>
      </c>
      <c r="AC25" s="773">
        <f>+'Pro Forma IS'!AC11-DHR!AC17</f>
        <v>0</v>
      </c>
      <c r="AD25" s="774"/>
      <c r="AE25" s="771">
        <f>+'Pro Forma IS'!AE11-DHR!AE17</f>
        <v>0</v>
      </c>
      <c r="AF25" s="772">
        <f>+'Pro Forma IS'!AF11-DHR!AF17</f>
        <v>0</v>
      </c>
      <c r="AG25" s="772">
        <f>+'Pro Forma IS'!AG11-DHR!AG17</f>
        <v>0</v>
      </c>
      <c r="AH25" s="772">
        <f>+'Pro Forma IS'!AH11-DHR!AH17</f>
        <v>0</v>
      </c>
      <c r="AI25" s="773">
        <f>+'Pro Forma IS'!AI11-DHR!AI17</f>
        <v>0</v>
      </c>
      <c r="AJ25" s="774"/>
      <c r="AK25" s="771">
        <f>+'Pro Forma IS'!AK11-DHR!AK17</f>
        <v>0</v>
      </c>
      <c r="AL25" s="772">
        <f>+'Pro Forma IS'!AL11-DHR!AL17</f>
        <v>0</v>
      </c>
      <c r="AM25" s="772">
        <f>+'Pro Forma IS'!AM11-DHR!AM17</f>
        <v>0</v>
      </c>
      <c r="AN25" s="772">
        <f>+'Pro Forma IS'!AN11-DHR!AN17</f>
        <v>0</v>
      </c>
      <c r="AO25" s="773">
        <f>+'Pro Forma IS'!AO11-DHR!AO17</f>
        <v>0</v>
      </c>
      <c r="AP25" s="774"/>
      <c r="AQ25" s="771">
        <f>+'Pro Forma IS'!AQ11-DHR!AQ17</f>
        <v>0</v>
      </c>
      <c r="AR25" s="772">
        <f>+'Pro Forma IS'!AR11-DHR!AR17</f>
        <v>0</v>
      </c>
      <c r="AS25" s="772">
        <f>+'Pro Forma IS'!AS11-DHR!AS17</f>
        <v>0</v>
      </c>
      <c r="AT25" s="772">
        <f>+'Pro Forma IS'!AT11-DHR!AT17</f>
        <v>0</v>
      </c>
      <c r="AU25" s="773">
        <f>+'Pro Forma IS'!AU11-DHR!AU17</f>
        <v>0</v>
      </c>
      <c r="AV25" s="774"/>
      <c r="AW25" s="771">
        <f>+'Pro Forma IS'!AW11-DHR!AW17</f>
        <v>0</v>
      </c>
      <c r="AX25" s="772">
        <f>+'Pro Forma IS'!AX11-DHR!AX17</f>
        <v>0</v>
      </c>
      <c r="AY25" s="772">
        <f>+'Pro Forma IS'!AY11-DHR!AY17</f>
        <v>0</v>
      </c>
      <c r="AZ25" s="772">
        <f>+'Pro Forma IS'!AZ11-DHR!AZ17</f>
        <v>0</v>
      </c>
      <c r="BA25" s="773">
        <f>+'Pro Forma IS'!BA11-DHR!BA17</f>
        <v>0</v>
      </c>
      <c r="BB25" s="774"/>
      <c r="BC25" s="771">
        <f>+'Pro Forma IS'!BC11-DHR!BC17</f>
        <v>0</v>
      </c>
      <c r="BD25" s="772">
        <f>+'Pro Forma IS'!BD11-DHR!BD17</f>
        <v>0</v>
      </c>
      <c r="BE25" s="772">
        <f>+'Pro Forma IS'!BE11-DHR!BE17</f>
        <v>0</v>
      </c>
      <c r="BF25" s="772">
        <f>+'Pro Forma IS'!BF11-DHR!BF17</f>
        <v>0</v>
      </c>
      <c r="BG25" s="773">
        <f>+'Pro Forma IS'!BG11-DHR!BG17</f>
        <v>0</v>
      </c>
      <c r="BH25" s="774"/>
      <c r="BI25" s="771">
        <f>+'Pro Forma IS'!BI11-DHR!BI17</f>
        <v>0</v>
      </c>
      <c r="BJ25" s="772">
        <f>+'Pro Forma IS'!BJ11-DHR!BJ17</f>
        <v>0</v>
      </c>
      <c r="BK25" s="772">
        <f>+'Pro Forma IS'!BK11-DHR!BK17</f>
        <v>0</v>
      </c>
      <c r="BL25" s="772">
        <f>+'Pro Forma IS'!BL11-DHR!BL17</f>
        <v>0</v>
      </c>
      <c r="BM25" s="773">
        <f>+'Pro Forma IS'!BM11-DHR!BM17</f>
        <v>0</v>
      </c>
      <c r="BN25" s="774"/>
      <c r="BO25" s="771">
        <f>+'Pro Forma IS'!BO11-DHR!BO17</f>
        <v>0</v>
      </c>
      <c r="BP25" s="772">
        <f>+'Pro Forma IS'!BP11-DHR!BP17</f>
        <v>0</v>
      </c>
      <c r="BQ25" s="772">
        <f>+'Pro Forma IS'!BQ11-DHR!BQ17</f>
        <v>0</v>
      </c>
      <c r="BR25" s="772">
        <f>+'Pro Forma IS'!BR11-DHR!BR17</f>
        <v>0</v>
      </c>
      <c r="BS25" s="773">
        <f>+'Pro Forma IS'!BS11-DHR!BS17</f>
        <v>0</v>
      </c>
      <c r="BT25" s="342"/>
      <c r="BU25" s="771">
        <f>+'Pro Forma IS'!BU11-DHR!BU17</f>
        <v>0</v>
      </c>
      <c r="BV25" s="772">
        <f>+'Pro Forma IS'!BV11-DHR!BV17</f>
        <v>0</v>
      </c>
      <c r="BW25" s="772">
        <f>+'Pro Forma IS'!BW11-DHR!BW17</f>
        <v>0</v>
      </c>
      <c r="BX25" s="772">
        <f>+'Pro Forma IS'!BX11-DHR!BX17</f>
        <v>0</v>
      </c>
      <c r="BY25" s="773">
        <f>+'Pro Forma IS'!BY11-DHR!BY17</f>
        <v>0</v>
      </c>
      <c r="BZ25" s="774"/>
      <c r="CA25" s="771">
        <f>+'Pro Forma IS'!CA11-DHR!CA17</f>
        <v>0</v>
      </c>
      <c r="CB25" s="772">
        <f>+'Pro Forma IS'!CB11-DHR!CB17</f>
        <v>0</v>
      </c>
      <c r="CC25" s="772">
        <f>+'Pro Forma IS'!CC11-DHR!CC17</f>
        <v>0</v>
      </c>
      <c r="CD25" s="772">
        <f>+'Pro Forma IS'!CD11-DHR!CD17</f>
        <v>0</v>
      </c>
      <c r="CE25" s="773">
        <f>+'Pro Forma IS'!CE11-DHR!CE17</f>
        <v>0</v>
      </c>
      <c r="CF25" s="774"/>
      <c r="CG25" s="771">
        <f>+'Pro Forma IS'!CG11-DHR!CG17</f>
        <v>0</v>
      </c>
      <c r="CH25" s="772">
        <f>+'Pro Forma IS'!CH11-DHR!CH17</f>
        <v>0</v>
      </c>
      <c r="CI25" s="772">
        <f>+'Pro Forma IS'!CI11-DHR!CI17</f>
        <v>0</v>
      </c>
      <c r="CJ25" s="772">
        <f>+'Pro Forma IS'!CJ11-DHR!CJ17</f>
        <v>0</v>
      </c>
      <c r="CK25" s="773">
        <f>+'Pro Forma IS'!CK11-DHR!CK17</f>
        <v>0</v>
      </c>
      <c r="CL25" s="774"/>
      <c r="CM25" s="771">
        <f>+'Pro Forma IS'!CM11-DHR!CM17</f>
        <v>0</v>
      </c>
      <c r="CN25" s="772">
        <f>+'Pro Forma IS'!CN11-DHR!CN17</f>
        <v>0</v>
      </c>
      <c r="CO25" s="772">
        <f>+'Pro Forma IS'!CO11-DHR!CO17</f>
        <v>0</v>
      </c>
      <c r="CP25" s="772">
        <f>+'Pro Forma IS'!CP11-DHR!CP17</f>
        <v>0</v>
      </c>
      <c r="CQ25" s="773">
        <f>+'Pro Forma IS'!CQ11-DHR!CQ17</f>
        <v>0</v>
      </c>
      <c r="CR25" s="342"/>
      <c r="CS25" s="382">
        <f>+'Pro Forma IS'!CS11-DHR!CS17</f>
        <v>0</v>
      </c>
      <c r="CT25" s="338">
        <f>+'Pro Forma IS'!CT11-DHR!CT17</f>
        <v>0</v>
      </c>
      <c r="CU25" s="338">
        <f>+'Pro Forma IS'!CU11-DHR!CU17</f>
        <v>0</v>
      </c>
      <c r="CV25" s="338">
        <f>+'Pro Forma IS'!CV11-DHR!CV17</f>
        <v>0</v>
      </c>
      <c r="CW25" s="383">
        <f>+'Pro Forma IS'!CW11-DHR!CW17</f>
        <v>0</v>
      </c>
      <c r="CX25" s="342"/>
      <c r="CY25" s="382">
        <f>+'Pro Forma IS'!CY11-DHR!CY17</f>
        <v>0</v>
      </c>
      <c r="CZ25" s="338">
        <f>+'Pro Forma IS'!CZ11-DHR!CZ17</f>
        <v>0</v>
      </c>
      <c r="DA25" s="338">
        <f>+'Pro Forma IS'!DA11-DHR!DA17</f>
        <v>0</v>
      </c>
      <c r="DB25" s="338">
        <f>+'Pro Forma IS'!DB11-DHR!DB17</f>
        <v>0</v>
      </c>
      <c r="DC25" s="383">
        <f>+'Pro Forma IS'!DC11-DHR!DC17</f>
        <v>0</v>
      </c>
      <c r="DD25" s="342"/>
      <c r="DE25" s="382">
        <f>+'Pro Forma IS'!DE11-DHR!DE17</f>
        <v>0</v>
      </c>
      <c r="DF25" s="338">
        <f>+'Pro Forma IS'!DF11-DHR!DF17</f>
        <v>0</v>
      </c>
      <c r="DG25" s="338">
        <f>+'Pro Forma IS'!DG11-DHR!DG17</f>
        <v>0</v>
      </c>
      <c r="DH25" s="338">
        <f>+'Pro Forma IS'!DH11-DHR!DH17</f>
        <v>0</v>
      </c>
      <c r="DI25" s="383">
        <f>+'Pro Forma IS'!DI11-DHR!DI17</f>
        <v>0</v>
      </c>
      <c r="DJ25" s="342"/>
      <c r="DK25" s="382">
        <f>+'Pro Forma IS'!DK11-DHR!DK17</f>
        <v>0</v>
      </c>
      <c r="DL25" s="338">
        <f>+'Pro Forma IS'!DL11-DHR!DL17</f>
        <v>0</v>
      </c>
      <c r="DM25" s="338">
        <f>+'Pro Forma IS'!DM11-DHR!DM17</f>
        <v>0</v>
      </c>
      <c r="DN25" s="338">
        <f>+'Pro Forma IS'!DN11-DHR!DN17</f>
        <v>0</v>
      </c>
      <c r="DO25" s="383">
        <f>+'Pro Forma IS'!DO11-DHR!DO17</f>
        <v>0</v>
      </c>
      <c r="DP25" s="342"/>
      <c r="DQ25" s="382">
        <f>+'Pro Forma IS'!DQ11-DHR!DQ17</f>
        <v>0</v>
      </c>
      <c r="DR25" s="338">
        <f>+'Pro Forma IS'!DR11-DHR!DR17</f>
        <v>0</v>
      </c>
      <c r="DS25" s="338">
        <f>+'Pro Forma IS'!DS11-DHR!DS17</f>
        <v>0</v>
      </c>
      <c r="DT25" s="338">
        <f>+'Pro Forma IS'!DT11-DHR!DT17</f>
        <v>0</v>
      </c>
      <c r="DU25" s="383">
        <f>+'Pro Forma IS'!DU11-DHR!DU17</f>
        <v>0</v>
      </c>
      <c r="DV25" s="342"/>
      <c r="DW25" s="382">
        <f>+'Pro Forma IS'!DW11-DHR!DW17</f>
        <v>0</v>
      </c>
      <c r="DX25" s="338">
        <f>+'Pro Forma IS'!DX11-DHR!DX17</f>
        <v>0</v>
      </c>
      <c r="DY25" s="338">
        <f>+'Pro Forma IS'!DY11-DHR!DY17</f>
        <v>0</v>
      </c>
      <c r="DZ25" s="338">
        <f>+'Pro Forma IS'!DZ11-DHR!DZ17</f>
        <v>0</v>
      </c>
      <c r="EA25" s="383">
        <f>+'Pro Forma IS'!EA11-DHR!EA17</f>
        <v>0</v>
      </c>
      <c r="EB25" s="342"/>
      <c r="EC25" s="382">
        <f>+'Pro Forma IS'!EC11-DHR!EC17</f>
        <v>0</v>
      </c>
      <c r="ED25" s="338">
        <f>+'Pro Forma IS'!ED11-DHR!ED17</f>
        <v>0</v>
      </c>
      <c r="EE25" s="338">
        <f>+'Pro Forma IS'!EE11-DHR!EE17</f>
        <v>0</v>
      </c>
      <c r="EF25" s="338">
        <f>+'Pro Forma IS'!EF11-DHR!EF17</f>
        <v>0</v>
      </c>
      <c r="EG25" s="383">
        <f>+'Pro Forma IS'!EG11-DHR!EG17</f>
        <v>0</v>
      </c>
    </row>
    <row r="26" spans="1:137" ht="11.25" customHeight="1" x14ac:dyDescent="0.2">
      <c r="A26" s="51"/>
      <c r="B26" s="14"/>
      <c r="C26" s="14"/>
      <c r="D26" s="14"/>
      <c r="E26" s="93"/>
      <c r="F26" s="67"/>
      <c r="G26" s="93"/>
      <c r="H26" s="67"/>
      <c r="I26" s="93"/>
      <c r="J26" s="67"/>
      <c r="K26" s="93"/>
      <c r="L26" s="67"/>
      <c r="M26" s="82"/>
      <c r="N26" s="67"/>
      <c r="O26" s="67"/>
      <c r="P26" s="67"/>
      <c r="Q26" s="93"/>
      <c r="R26" s="67"/>
      <c r="S26" s="82"/>
      <c r="T26" s="67"/>
      <c r="U26" s="67"/>
      <c r="V26" s="67"/>
      <c r="W26" s="93"/>
      <c r="X26" s="67"/>
      <c r="Y26" s="82"/>
      <c r="Z26" s="67"/>
      <c r="AA26" s="67"/>
      <c r="AB26" s="67"/>
      <c r="AC26" s="93"/>
      <c r="AD26" s="67"/>
      <c r="AE26" s="82"/>
      <c r="AF26" s="67"/>
      <c r="AG26" s="67"/>
      <c r="AH26" s="67"/>
      <c r="AI26" s="93"/>
      <c r="AJ26" s="67"/>
      <c r="AK26" s="82"/>
      <c r="AL26" s="67"/>
      <c r="AM26" s="67"/>
      <c r="AN26" s="67"/>
      <c r="AO26" s="93"/>
      <c r="AP26" s="67"/>
      <c r="AQ26" s="82"/>
      <c r="AR26" s="67"/>
      <c r="AS26" s="67"/>
      <c r="AT26" s="67"/>
      <c r="AU26" s="93"/>
      <c r="AV26" s="67"/>
      <c r="AW26" s="82"/>
      <c r="AX26" s="67"/>
      <c r="AY26" s="67"/>
      <c r="AZ26" s="67"/>
      <c r="BA26" s="93"/>
      <c r="BB26" s="67"/>
      <c r="BC26" s="82"/>
      <c r="BD26" s="67"/>
      <c r="BE26" s="67"/>
      <c r="BF26" s="67"/>
      <c r="BG26" s="93"/>
      <c r="BH26" s="67"/>
      <c r="BI26" s="82"/>
      <c r="BJ26" s="67"/>
      <c r="BK26" s="67"/>
      <c r="BL26" s="67"/>
      <c r="BM26" s="93"/>
      <c r="BN26" s="67"/>
      <c r="BO26" s="82"/>
      <c r="BP26" s="67"/>
      <c r="BQ26" s="67"/>
      <c r="BR26" s="67"/>
      <c r="BS26" s="93"/>
      <c r="BT26" s="67"/>
      <c r="BU26" s="82"/>
      <c r="BV26" s="67"/>
      <c r="BW26" s="67"/>
      <c r="BX26" s="67"/>
      <c r="BY26" s="93"/>
      <c r="BZ26" s="67"/>
      <c r="CA26" s="82"/>
      <c r="CB26" s="67"/>
      <c r="CC26" s="67"/>
      <c r="CD26" s="67"/>
      <c r="CE26" s="93"/>
      <c r="CF26" s="67"/>
      <c r="CG26" s="82"/>
      <c r="CH26" s="67"/>
      <c r="CI26" s="67"/>
      <c r="CJ26" s="67"/>
      <c r="CK26" s="93"/>
      <c r="CL26" s="67"/>
      <c r="CM26" s="82"/>
      <c r="CN26" s="67"/>
      <c r="CO26" s="67"/>
      <c r="CP26" s="67"/>
      <c r="CQ26" s="93"/>
      <c r="CR26" s="67"/>
      <c r="CS26" s="82"/>
      <c r="CT26" s="67"/>
      <c r="CU26" s="67"/>
      <c r="CV26" s="67"/>
      <c r="CW26" s="93"/>
      <c r="CX26" s="67"/>
      <c r="CY26" s="82"/>
      <c r="CZ26" s="67"/>
      <c r="DA26" s="67"/>
      <c r="DB26" s="67"/>
      <c r="DC26" s="792"/>
      <c r="DD26" s="67"/>
      <c r="DE26" s="82"/>
      <c r="DF26" s="67"/>
      <c r="DG26" s="67"/>
      <c r="DH26" s="67"/>
      <c r="DI26" s="93"/>
      <c r="DJ26" s="67"/>
      <c r="DK26" s="82"/>
      <c r="DL26" s="67"/>
      <c r="DM26" s="67"/>
      <c r="DN26" s="67"/>
      <c r="DO26" s="950"/>
      <c r="DP26" s="67"/>
      <c r="DQ26" s="82"/>
      <c r="DR26" s="67"/>
      <c r="DS26" s="67"/>
      <c r="DT26" s="67"/>
      <c r="DU26" s="93"/>
      <c r="DV26" s="67"/>
      <c r="DW26" s="82"/>
      <c r="DX26" s="67"/>
      <c r="DY26" s="67"/>
      <c r="DZ26" s="67"/>
      <c r="EA26" s="93"/>
      <c r="EB26" s="67"/>
      <c r="EC26" s="82"/>
      <c r="ED26" s="67"/>
      <c r="EE26" s="67"/>
      <c r="EF26" s="67"/>
      <c r="EG26" s="93"/>
    </row>
    <row r="27" spans="1:137" ht="11.25" customHeight="1" x14ac:dyDescent="0.2">
      <c r="A27" s="50" t="s">
        <v>407</v>
      </c>
      <c r="B27" s="14"/>
      <c r="C27" s="14"/>
      <c r="D27" s="14"/>
      <c r="E27" s="92"/>
      <c r="F27" s="71"/>
      <c r="G27" s="92"/>
      <c r="H27" s="71"/>
      <c r="I27" s="92"/>
      <c r="J27" s="71"/>
      <c r="K27" s="92"/>
      <c r="L27" s="71"/>
      <c r="M27" s="84"/>
      <c r="N27" s="71"/>
      <c r="O27" s="71"/>
      <c r="P27" s="71"/>
      <c r="Q27" s="93"/>
      <c r="R27" s="71"/>
      <c r="S27" s="84"/>
      <c r="T27" s="71"/>
      <c r="U27" s="71"/>
      <c r="V27" s="71"/>
      <c r="W27" s="93"/>
      <c r="X27" s="71"/>
      <c r="Y27" s="84"/>
      <c r="Z27" s="71"/>
      <c r="AA27" s="71"/>
      <c r="AB27" s="71"/>
      <c r="AC27" s="93"/>
      <c r="AD27" s="71"/>
      <c r="AE27" s="84"/>
      <c r="AF27" s="71"/>
      <c r="AG27" s="71"/>
      <c r="AH27" s="71"/>
      <c r="AI27" s="93"/>
      <c r="AJ27" s="71"/>
      <c r="AK27" s="84"/>
      <c r="AL27" s="71"/>
      <c r="AM27" s="71"/>
      <c r="AN27" s="71"/>
      <c r="AO27" s="93"/>
      <c r="AP27" s="71"/>
      <c r="AQ27" s="84"/>
      <c r="AR27" s="71"/>
      <c r="AS27" s="71"/>
      <c r="AT27" s="71"/>
      <c r="AU27" s="93"/>
      <c r="AV27" s="71"/>
      <c r="AW27" s="84"/>
      <c r="AX27" s="71"/>
      <c r="AY27" s="71"/>
      <c r="AZ27" s="71"/>
      <c r="BA27" s="93"/>
      <c r="BB27" s="71"/>
      <c r="BC27" s="84"/>
      <c r="BD27" s="71"/>
      <c r="BE27" s="71"/>
      <c r="BF27" s="71"/>
      <c r="BG27" s="93"/>
      <c r="BH27" s="71"/>
      <c r="BI27" s="84"/>
      <c r="BJ27" s="71"/>
      <c r="BK27" s="71"/>
      <c r="BL27" s="71"/>
      <c r="BM27" s="93"/>
      <c r="BN27" s="71"/>
      <c r="BO27" s="84"/>
      <c r="BP27" s="71"/>
      <c r="BQ27" s="71"/>
      <c r="BR27" s="71"/>
      <c r="BS27" s="93"/>
      <c r="BT27" s="71"/>
      <c r="BU27" s="84"/>
      <c r="BV27" s="71"/>
      <c r="BW27" s="71"/>
      <c r="BX27" s="71"/>
      <c r="BY27" s="93"/>
      <c r="BZ27" s="71"/>
      <c r="CA27" s="84"/>
      <c r="CB27" s="71"/>
      <c r="CC27" s="71"/>
      <c r="CD27" s="71"/>
      <c r="CE27" s="93"/>
      <c r="CF27" s="71"/>
      <c r="CG27" s="84"/>
      <c r="CH27" s="71"/>
      <c r="CI27" s="71"/>
      <c r="CJ27" s="71"/>
      <c r="CK27" s="93"/>
      <c r="CL27" s="71"/>
      <c r="CM27" s="84"/>
      <c r="CN27" s="71"/>
      <c r="CO27" s="71"/>
      <c r="CP27" s="71"/>
      <c r="CQ27" s="93"/>
      <c r="CR27" s="71"/>
      <c r="CS27" s="84"/>
      <c r="CT27" s="71"/>
      <c r="CU27" s="71"/>
      <c r="CV27" s="71"/>
      <c r="CW27" s="93"/>
      <c r="CX27" s="71"/>
      <c r="CY27" s="84"/>
      <c r="CZ27" s="71"/>
      <c r="DA27" s="71"/>
      <c r="DB27" s="71"/>
      <c r="DC27" s="93"/>
      <c r="DD27" s="71"/>
      <c r="DE27" s="84"/>
      <c r="DF27" s="71"/>
      <c r="DG27" s="71"/>
      <c r="DH27" s="71"/>
      <c r="DI27" s="92"/>
      <c r="DJ27" s="71"/>
      <c r="DK27" s="84"/>
      <c r="DL27" s="71"/>
      <c r="DM27" s="71"/>
      <c r="DN27" s="71"/>
      <c r="DO27" s="92"/>
      <c r="DP27" s="71"/>
      <c r="DQ27" s="84"/>
      <c r="DR27" s="71"/>
      <c r="DS27" s="71"/>
      <c r="DT27" s="71"/>
      <c r="DU27" s="92"/>
      <c r="DV27" s="71"/>
      <c r="DW27" s="84"/>
      <c r="DX27" s="71"/>
      <c r="DY27" s="71"/>
      <c r="DZ27" s="71"/>
      <c r="EA27" s="92"/>
      <c r="EB27" s="71"/>
      <c r="EC27" s="84"/>
      <c r="ED27" s="71"/>
      <c r="EE27" s="71"/>
      <c r="EF27" s="71"/>
      <c r="EG27" s="92"/>
    </row>
    <row r="28" spans="1:137" ht="11.25" customHeight="1" x14ac:dyDescent="0.2">
      <c r="A28" s="51" t="s">
        <v>377</v>
      </c>
      <c r="B28" s="14"/>
      <c r="C28" s="14"/>
      <c r="D28" s="14"/>
      <c r="E28" s="92"/>
      <c r="F28" s="71"/>
      <c r="G28" s="92"/>
      <c r="H28" s="71"/>
      <c r="I28" s="92"/>
      <c r="J28" s="71"/>
      <c r="K28" s="92"/>
      <c r="L28" s="71"/>
      <c r="M28" s="84"/>
      <c r="N28" s="71"/>
      <c r="O28" s="71"/>
      <c r="P28" s="71"/>
      <c r="Q28" s="93"/>
      <c r="R28" s="71"/>
      <c r="S28" s="84"/>
      <c r="T28" s="71"/>
      <c r="U28" s="71"/>
      <c r="V28" s="71"/>
      <c r="W28" s="93"/>
      <c r="X28" s="71"/>
      <c r="Y28" s="84"/>
      <c r="Z28" s="71"/>
      <c r="AA28" s="71"/>
      <c r="AB28" s="71"/>
      <c r="AC28" s="93"/>
      <c r="AD28" s="71"/>
      <c r="AE28" s="84"/>
      <c r="AF28" s="71"/>
      <c r="AG28" s="71"/>
      <c r="AH28" s="71"/>
      <c r="AI28" s="93"/>
      <c r="AJ28" s="71"/>
      <c r="AK28" s="84"/>
      <c r="AL28" s="71"/>
      <c r="AM28" s="71"/>
      <c r="AN28" s="71"/>
      <c r="AO28" s="93"/>
      <c r="AP28" s="71"/>
      <c r="AQ28" s="84"/>
      <c r="AR28" s="71"/>
      <c r="AS28" s="71"/>
      <c r="AT28" s="71"/>
      <c r="AU28" s="93"/>
      <c r="AV28" s="71"/>
      <c r="AW28" s="84"/>
      <c r="AX28" s="71"/>
      <c r="AY28" s="71"/>
      <c r="AZ28" s="71"/>
      <c r="BA28" s="93"/>
      <c r="BB28" s="71"/>
      <c r="BC28" s="84"/>
      <c r="BD28" s="71"/>
      <c r="BE28" s="71"/>
      <c r="BF28" s="71"/>
      <c r="BG28" s="93"/>
      <c r="BH28" s="71"/>
      <c r="BI28" s="84"/>
      <c r="BJ28" s="71"/>
      <c r="BK28" s="71"/>
      <c r="BL28" s="71"/>
      <c r="BM28" s="93"/>
      <c r="BN28" s="67"/>
      <c r="BO28" s="82">
        <f>+BO77</f>
        <v>23.638659279002507</v>
      </c>
      <c r="BP28" s="67">
        <f>+BP77</f>
        <v>21.108050773493009</v>
      </c>
      <c r="BQ28" s="67">
        <f>+BQ77</f>
        <v>46.717926889682794</v>
      </c>
      <c r="BR28" s="67">
        <f>+BR77</f>
        <v>60.93718675428466</v>
      </c>
      <c r="BS28" s="93">
        <f>+BS77</f>
        <v>152.40182369646297</v>
      </c>
      <c r="BT28" s="67"/>
      <c r="BU28" s="82">
        <f>+BU77</f>
        <v>57.928787250063294</v>
      </c>
      <c r="BV28" s="67">
        <f>+BV77</f>
        <v>22.003076680050846</v>
      </c>
      <c r="BW28" s="67">
        <f>+BW77</f>
        <v>17.083896256639999</v>
      </c>
      <c r="BX28" s="67">
        <f>+BX77</f>
        <v>75.946692106905601</v>
      </c>
      <c r="BY28" s="93">
        <f>+BY77</f>
        <v>172.96245229365974</v>
      </c>
      <c r="BZ28" s="67"/>
      <c r="CA28" s="82">
        <f>+CA77</f>
        <v>69.35374540961628</v>
      </c>
      <c r="CB28" s="67">
        <f>+CB77</f>
        <v>70.006568135016948</v>
      </c>
      <c r="CC28" s="67">
        <f>+CC77</f>
        <v>62.424568135016948</v>
      </c>
      <c r="CD28" s="67">
        <f>+CD77</f>
        <v>88.271390860417625</v>
      </c>
      <c r="CE28" s="93">
        <f>+CE77</f>
        <v>290.05627254006782</v>
      </c>
      <c r="CF28" s="67"/>
      <c r="CG28" s="82">
        <f>+CG77</f>
        <v>67.028654298379379</v>
      </c>
      <c r="CH28" s="67">
        <f>+CH77</f>
        <v>81.074098227478515</v>
      </c>
      <c r="CI28" s="67">
        <f>+CI77</f>
        <v>83.148098227478528</v>
      </c>
      <c r="CJ28" s="67">
        <f>+CJ77</f>
        <v>109.02554215657766</v>
      </c>
      <c r="CK28" s="93">
        <f>+CK77</f>
        <v>340.27639290991408</v>
      </c>
      <c r="CL28" s="67"/>
      <c r="CM28" s="82">
        <f>+CM77</f>
        <v>72.550073103999992</v>
      </c>
      <c r="CN28" s="67">
        <f>+CN77</f>
        <v>93.136246543999974</v>
      </c>
      <c r="CO28" s="67">
        <f>+CO77</f>
        <v>90.451365727999999</v>
      </c>
      <c r="CP28" s="67">
        <f>+CP77</f>
        <v>112.36231462400006</v>
      </c>
      <c r="CQ28" s="93">
        <f>+CQ77</f>
        <v>368.5</v>
      </c>
      <c r="CR28" s="67"/>
      <c r="CS28" s="82">
        <f>+CS77</f>
        <v>72.2</v>
      </c>
      <c r="CT28" s="67">
        <f>+CT77</f>
        <v>72.900000000000006</v>
      </c>
      <c r="CU28" s="67">
        <f>+CU77</f>
        <v>51.5</v>
      </c>
      <c r="CV28" s="67">
        <f>+CV77</f>
        <v>132.6</v>
      </c>
      <c r="CW28" s="93">
        <f>+CW77</f>
        <v>329.20000000000005</v>
      </c>
      <c r="CX28" s="71"/>
      <c r="CY28" s="82">
        <f>+CY77</f>
        <v>177.2</v>
      </c>
      <c r="CZ28" s="67">
        <f>+CZ77</f>
        <v>192.2</v>
      </c>
      <c r="DA28" s="67">
        <f>+DA77</f>
        <v>204.7</v>
      </c>
      <c r="DB28" s="67">
        <f>+DB77</f>
        <v>244.8</v>
      </c>
      <c r="DC28" s="93">
        <f>+DC77</f>
        <v>818.89999999999986</v>
      </c>
      <c r="DD28" s="67"/>
      <c r="DE28" s="82">
        <f>+DE77</f>
        <v>211.6</v>
      </c>
      <c r="DF28" s="67">
        <f>+DF77</f>
        <v>221.6</v>
      </c>
      <c r="DG28" s="67">
        <f>+DG77</f>
        <v>246.8</v>
      </c>
      <c r="DH28" s="67">
        <f>+DH77</f>
        <v>324.3</v>
      </c>
      <c r="DI28" s="93">
        <f>+DI77</f>
        <v>1004.3</v>
      </c>
      <c r="DJ28" s="67"/>
      <c r="DK28" s="82">
        <f>+DK77</f>
        <v>271.3</v>
      </c>
      <c r="DL28" s="67">
        <f>+DL77</f>
        <v>272.26637500000004</v>
      </c>
      <c r="DM28" s="67">
        <f>+DM77</f>
        <v>289.51119999999997</v>
      </c>
      <c r="DN28" s="67">
        <f>+DN77</f>
        <v>387.21415000000007</v>
      </c>
      <c r="DO28" s="93">
        <f>+DO77</f>
        <v>1220.291725</v>
      </c>
      <c r="DP28" s="67"/>
      <c r="DQ28" s="82">
        <f>+DQ77</f>
        <v>334.96399999999994</v>
      </c>
      <c r="DR28" s="67">
        <f>+DR77</f>
        <v>324.67389200000008</v>
      </c>
      <c r="DS28" s="67">
        <f>+DS77</f>
        <v>326.29738399999997</v>
      </c>
      <c r="DT28" s="67">
        <f>+DT77</f>
        <v>427.43487700000009</v>
      </c>
      <c r="DU28" s="93">
        <f>+DU77</f>
        <v>1413.3701530000001</v>
      </c>
      <c r="DV28" s="67"/>
      <c r="DW28" s="82">
        <f>+DW77</f>
        <v>372.57455999999991</v>
      </c>
      <c r="DX28" s="67">
        <f>+DX77</f>
        <v>362.82770968000011</v>
      </c>
      <c r="DY28" s="67">
        <f>+DY77</f>
        <v>363.95501535999995</v>
      </c>
      <c r="DZ28" s="67">
        <f>+DZ77</f>
        <v>468.66443308000009</v>
      </c>
      <c r="EA28" s="93">
        <f>+EA77</f>
        <v>1568.0217181200001</v>
      </c>
      <c r="EB28" s="67"/>
      <c r="EC28" s="82">
        <f t="shared" ref="EC28:EG28" si="35">+EC77</f>
        <v>406.08954239999991</v>
      </c>
      <c r="ED28" s="67">
        <f t="shared" si="35"/>
        <v>396.90768006720009</v>
      </c>
      <c r="EE28" s="67">
        <f t="shared" si="35"/>
        <v>397.51895197439995</v>
      </c>
      <c r="EF28" s="67">
        <f t="shared" si="35"/>
        <v>505.9431714032001</v>
      </c>
      <c r="EG28" s="93">
        <f t="shared" si="35"/>
        <v>1706.4593458448001</v>
      </c>
    </row>
    <row r="29" spans="1:137" ht="11.25" customHeight="1" x14ac:dyDescent="0.2">
      <c r="A29" s="51" t="s">
        <v>115</v>
      </c>
      <c r="B29" s="14"/>
      <c r="C29" s="14"/>
      <c r="D29" s="14"/>
      <c r="E29" s="92"/>
      <c r="F29" s="71"/>
      <c r="G29" s="92"/>
      <c r="H29" s="71"/>
      <c r="I29" s="92"/>
      <c r="J29" s="71"/>
      <c r="K29" s="92"/>
      <c r="L29" s="71"/>
      <c r="M29" s="84"/>
      <c r="N29" s="71"/>
      <c r="O29" s="71"/>
      <c r="P29" s="71"/>
      <c r="Q29" s="93"/>
      <c r="R29" s="71"/>
      <c r="S29" s="84"/>
      <c r="T29" s="71"/>
      <c r="U29" s="71"/>
      <c r="V29" s="71"/>
      <c r="W29" s="93"/>
      <c r="X29" s="71"/>
      <c r="Y29" s="84"/>
      <c r="Z29" s="71"/>
      <c r="AA29" s="71"/>
      <c r="AB29" s="71"/>
      <c r="AC29" s="93"/>
      <c r="AD29" s="71"/>
      <c r="AE29" s="84"/>
      <c r="AF29" s="71"/>
      <c r="AG29" s="71"/>
      <c r="AH29" s="71"/>
      <c r="AI29" s="93"/>
      <c r="AJ29" s="71"/>
      <c r="AK29" s="84"/>
      <c r="AL29" s="71"/>
      <c r="AM29" s="71"/>
      <c r="AN29" s="71"/>
      <c r="AO29" s="93"/>
      <c r="AP29" s="71"/>
      <c r="AQ29" s="84"/>
      <c r="AR29" s="71"/>
      <c r="AS29" s="71"/>
      <c r="AT29" s="71"/>
      <c r="AU29" s="93"/>
      <c r="AV29" s="71"/>
      <c r="AW29" s="84"/>
      <c r="AX29" s="71"/>
      <c r="AY29" s="71"/>
      <c r="AZ29" s="71"/>
      <c r="BA29" s="93"/>
      <c r="BB29" s="71"/>
      <c r="BC29" s="84"/>
      <c r="BD29" s="71"/>
      <c r="BE29" s="71"/>
      <c r="BF29" s="71"/>
      <c r="BG29" s="93"/>
      <c r="BH29" s="71"/>
      <c r="BI29" s="84"/>
      <c r="BJ29" s="71"/>
      <c r="BK29" s="71"/>
      <c r="BL29" s="71"/>
      <c r="BM29" s="93"/>
      <c r="BN29" s="67"/>
      <c r="BO29" s="82">
        <f>+BO154</f>
        <v>11.61561111139749</v>
      </c>
      <c r="BP29" s="67">
        <f>+BP154</f>
        <v>9.6118083465069901</v>
      </c>
      <c r="BQ29" s="67">
        <f>+BQ154</f>
        <v>20.701932230317198</v>
      </c>
      <c r="BR29" s="67">
        <f>+BR154</f>
        <v>26.848261095315323</v>
      </c>
      <c r="BS29" s="93">
        <f>+BS154</f>
        <v>68.777612783536995</v>
      </c>
      <c r="BT29" s="67"/>
      <c r="BU29" s="82">
        <f>+BU154</f>
        <v>30.692096298096722</v>
      </c>
      <c r="BV29" s="67">
        <f>+BV154</f>
        <v>10.643677015949153</v>
      </c>
      <c r="BW29" s="67">
        <f>+BW154</f>
        <v>33.162857439360003</v>
      </c>
      <c r="BX29" s="67">
        <f>+BX154</f>
        <v>147.42593173693442</v>
      </c>
      <c r="BY29" s="93">
        <f>+BY154</f>
        <v>221.92456249034029</v>
      </c>
      <c r="BZ29" s="67"/>
      <c r="CA29" s="82">
        <f>+CA154</f>
        <v>134.62785873631398</v>
      </c>
      <c r="CB29" s="67">
        <f>+CB154</f>
        <v>135.89510285032705</v>
      </c>
      <c r="CC29" s="67">
        <f>+CC154</f>
        <v>121.17710285032703</v>
      </c>
      <c r="CD29" s="67">
        <f>+CD154</f>
        <v>171.35034696434013</v>
      </c>
      <c r="CE29" s="93">
        <f>+CE154</f>
        <v>563.05041140130822</v>
      </c>
      <c r="CF29" s="67"/>
      <c r="CG29" s="82">
        <f>+CG154</f>
        <v>130.11444657920705</v>
      </c>
      <c r="CH29" s="67">
        <f>+CH154</f>
        <v>157.37913185334068</v>
      </c>
      <c r="CI29" s="67">
        <f>+CI154</f>
        <v>161.40513185334069</v>
      </c>
      <c r="CJ29" s="67">
        <f>+CJ154</f>
        <v>211.63781712747431</v>
      </c>
      <c r="CK29" s="93">
        <f>+CK154</f>
        <v>660.53652741336282</v>
      </c>
      <c r="CL29" s="67"/>
      <c r="CM29" s="82">
        <f>+CM154</f>
        <v>144.01730929600001</v>
      </c>
      <c r="CN29" s="67">
        <f>+CN154</f>
        <v>184.88239985599998</v>
      </c>
      <c r="CO29" s="67">
        <f>+CO154</f>
        <v>179.55271107200002</v>
      </c>
      <c r="CP29" s="67">
        <f>+CP154</f>
        <v>216.54757977599996</v>
      </c>
      <c r="CQ29" s="93">
        <f>+CQ154</f>
        <v>725</v>
      </c>
      <c r="CR29" s="67"/>
      <c r="CS29" s="82">
        <f>+CS154</f>
        <v>141.6</v>
      </c>
      <c r="CT29" s="67">
        <f>+CT154</f>
        <v>209.5</v>
      </c>
      <c r="CU29" s="67">
        <f>+CU154</f>
        <v>159.19999999999999</v>
      </c>
      <c r="CV29" s="67">
        <f>+CV154</f>
        <v>235.9</v>
      </c>
      <c r="CW29" s="93">
        <f>+CW154</f>
        <v>746.2</v>
      </c>
      <c r="CX29" s="71"/>
      <c r="CY29" s="82">
        <f>+CY154</f>
        <v>180.2</v>
      </c>
      <c r="CZ29" s="67">
        <f>+CZ154</f>
        <v>232.2</v>
      </c>
      <c r="DA29" s="67">
        <f>+DA154</f>
        <v>193.9</v>
      </c>
      <c r="DB29" s="67">
        <f>+DB154</f>
        <v>180.1</v>
      </c>
      <c r="DC29" s="93">
        <f>+DC154</f>
        <v>786.4</v>
      </c>
      <c r="DD29" s="67"/>
      <c r="DE29" s="82">
        <f>+DE154</f>
        <v>154.6</v>
      </c>
      <c r="DF29" s="67">
        <f>+DF154</f>
        <v>157.6</v>
      </c>
      <c r="DG29" s="67">
        <f>+DG154</f>
        <v>242.7</v>
      </c>
      <c r="DH29" s="67">
        <f>+DH154</f>
        <v>316.7</v>
      </c>
      <c r="DI29" s="93">
        <f>+DI154</f>
        <v>871.59999999999991</v>
      </c>
      <c r="DJ29" s="67"/>
      <c r="DK29" s="82">
        <f>+DK154</f>
        <v>248</v>
      </c>
      <c r="DL29" s="67">
        <f>+DL154</f>
        <v>255.1278936252593</v>
      </c>
      <c r="DM29" s="67">
        <f>+DM154</f>
        <v>262.01076336357369</v>
      </c>
      <c r="DN29" s="67">
        <f>+DN154</f>
        <v>348.95104919699986</v>
      </c>
      <c r="DO29" s="93">
        <f>+DO154</f>
        <v>1114.0897061858327</v>
      </c>
      <c r="DP29" s="67"/>
      <c r="DQ29" s="82">
        <f>+DQ154</f>
        <v>254.05980000413797</v>
      </c>
      <c r="DR29" s="67">
        <f>+DR154</f>
        <v>276.22728058385189</v>
      </c>
      <c r="DS29" s="67">
        <f>+DS154</f>
        <v>282.64033939381403</v>
      </c>
      <c r="DT29" s="67">
        <f>+DT154</f>
        <v>371.40751039399964</v>
      </c>
      <c r="DU29" s="93">
        <f>+DU154</f>
        <v>1184.3349303758037</v>
      </c>
      <c r="DV29" s="67"/>
      <c r="DW29" s="82">
        <f>+DW154</f>
        <v>284.55230000827601</v>
      </c>
      <c r="DX29" s="67">
        <f>+DX154</f>
        <v>308.27551554244451</v>
      </c>
      <c r="DY29" s="67">
        <f>+DY154</f>
        <v>313.91782422405436</v>
      </c>
      <c r="DZ29" s="67">
        <f>+DZ154</f>
        <v>405.82502519099944</v>
      </c>
      <c r="EA29" s="93">
        <f>+EA154</f>
        <v>1312.5706649657743</v>
      </c>
      <c r="EB29" s="67"/>
      <c r="EC29" s="82">
        <f t="shared" ref="EC29:EG29" si="36">+EC154</f>
        <v>316.42905999172422</v>
      </c>
      <c r="ED29" s="67">
        <f t="shared" si="36"/>
        <v>341.82596610807434</v>
      </c>
      <c r="EE29" s="67">
        <f t="shared" si="36"/>
        <v>346.57782414309304</v>
      </c>
      <c r="EF29" s="67">
        <f t="shared" si="36"/>
        <v>435.71724308600039</v>
      </c>
      <c r="EG29" s="93">
        <f t="shared" si="36"/>
        <v>1440.550093328892</v>
      </c>
    </row>
    <row r="30" spans="1:137" ht="11.25" customHeight="1" x14ac:dyDescent="0.2">
      <c r="A30" s="51" t="s">
        <v>163</v>
      </c>
      <c r="B30" s="14"/>
      <c r="C30" s="14"/>
      <c r="D30" s="14"/>
      <c r="E30" s="92"/>
      <c r="F30" s="71"/>
      <c r="G30" s="92"/>
      <c r="H30" s="71"/>
      <c r="I30" s="92"/>
      <c r="J30" s="71"/>
      <c r="K30" s="92"/>
      <c r="L30" s="71"/>
      <c r="M30" s="84"/>
      <c r="N30" s="71"/>
      <c r="O30" s="71"/>
      <c r="P30" s="71"/>
      <c r="Q30" s="93"/>
      <c r="R30" s="71"/>
      <c r="S30" s="84"/>
      <c r="T30" s="71"/>
      <c r="U30" s="71"/>
      <c r="V30" s="71"/>
      <c r="W30" s="93"/>
      <c r="X30" s="71"/>
      <c r="Y30" s="84"/>
      <c r="Z30" s="71"/>
      <c r="AA30" s="71"/>
      <c r="AB30" s="71"/>
      <c r="AC30" s="93"/>
      <c r="AD30" s="71"/>
      <c r="AE30" s="84"/>
      <c r="AF30" s="71"/>
      <c r="AG30" s="71"/>
      <c r="AH30" s="71"/>
      <c r="AI30" s="93"/>
      <c r="AJ30" s="71"/>
      <c r="AK30" s="84"/>
      <c r="AL30" s="71"/>
      <c r="AM30" s="71"/>
      <c r="AN30" s="71"/>
      <c r="AO30" s="93"/>
      <c r="AP30" s="71"/>
      <c r="AQ30" s="84"/>
      <c r="AR30" s="71"/>
      <c r="AS30" s="71"/>
      <c r="AT30" s="71"/>
      <c r="AU30" s="93"/>
      <c r="AV30" s="71"/>
      <c r="AW30" s="82"/>
      <c r="AX30" s="67"/>
      <c r="AY30" s="67"/>
      <c r="AZ30" s="67"/>
      <c r="BA30" s="93"/>
      <c r="BB30" s="71"/>
      <c r="BC30" s="82"/>
      <c r="BD30" s="67"/>
      <c r="BE30" s="67"/>
      <c r="BF30" s="67"/>
      <c r="BG30" s="93">
        <f>+BG220</f>
        <v>177.3</v>
      </c>
      <c r="BH30" s="71"/>
      <c r="BI30" s="82">
        <f>+BI220</f>
        <v>30.1</v>
      </c>
      <c r="BJ30" s="67">
        <f>+BJ220</f>
        <v>35.799999999999997</v>
      </c>
      <c r="BK30" s="67">
        <f>+BK220</f>
        <v>126.3</v>
      </c>
      <c r="BL30" s="67">
        <f>+BL220</f>
        <v>23.7</v>
      </c>
      <c r="BM30" s="93">
        <f>+BM220</f>
        <v>215.89999999999998</v>
      </c>
      <c r="BN30" s="71"/>
      <c r="BO30" s="82">
        <f>+BO220</f>
        <v>36.6</v>
      </c>
      <c r="BP30" s="67">
        <f>+BP220</f>
        <v>46.2</v>
      </c>
      <c r="BQ30" s="67">
        <f>+BQ220</f>
        <v>57.3</v>
      </c>
      <c r="BR30" s="67">
        <f>+BR220</f>
        <v>63.2</v>
      </c>
      <c r="BS30" s="93">
        <f>+BS220</f>
        <v>203.3</v>
      </c>
      <c r="BT30" s="71"/>
      <c r="BU30" s="82">
        <f>+BU220</f>
        <v>49.5</v>
      </c>
      <c r="BV30" s="67">
        <f>+BV220</f>
        <v>55</v>
      </c>
      <c r="BW30" s="67">
        <f>+BW220</f>
        <v>71.5</v>
      </c>
      <c r="BX30" s="67">
        <f>+BX220</f>
        <v>60.1</v>
      </c>
      <c r="BY30" s="93">
        <f>+BY220</f>
        <v>236.1</v>
      </c>
      <c r="BZ30" s="71"/>
      <c r="CA30" s="82">
        <f>+CA220</f>
        <v>58.9</v>
      </c>
      <c r="CB30" s="67">
        <f>+CB220</f>
        <v>71.599999999999994</v>
      </c>
      <c r="CC30" s="67">
        <f>+CC220</f>
        <v>76</v>
      </c>
      <c r="CD30" s="67">
        <f>+CD220</f>
        <v>86.6</v>
      </c>
      <c r="CE30" s="93">
        <f>+CE220</f>
        <v>293.10000000000002</v>
      </c>
      <c r="CF30" s="71"/>
      <c r="CG30" s="82">
        <f>+CG220</f>
        <v>62.9</v>
      </c>
      <c r="CH30" s="67">
        <f>+CH220</f>
        <v>78.8</v>
      </c>
      <c r="CI30" s="67">
        <f>+CI220</f>
        <v>82.2</v>
      </c>
      <c r="CJ30" s="67">
        <f>+CJ220</f>
        <v>81</v>
      </c>
      <c r="CK30" s="93">
        <f>+CK220</f>
        <v>304.89999999999998</v>
      </c>
      <c r="CL30" s="71"/>
      <c r="CM30" s="82">
        <f>+CM220</f>
        <v>75.5</v>
      </c>
      <c r="CN30" s="67">
        <f>+CN220</f>
        <v>77.900000000000006</v>
      </c>
      <c r="CO30" s="67">
        <f>+CO220</f>
        <v>91.2</v>
      </c>
      <c r="CP30" s="67">
        <f>+CP220</f>
        <v>59.8</v>
      </c>
      <c r="CQ30" s="93">
        <f>+CQ220</f>
        <v>304.40000000000003</v>
      </c>
      <c r="CR30" s="71"/>
      <c r="CS30" s="82">
        <f>+CS220</f>
        <v>60.1</v>
      </c>
      <c r="CT30" s="67">
        <f>+CT220</f>
        <v>97.3</v>
      </c>
      <c r="CU30" s="67">
        <f>+CU220</f>
        <v>96.8</v>
      </c>
      <c r="CV30" s="67">
        <f>+CV220</f>
        <v>116.2</v>
      </c>
      <c r="CW30" s="93">
        <f>+CW220</f>
        <v>370.4</v>
      </c>
      <c r="CX30" s="71"/>
      <c r="CY30" s="82">
        <f>+CY220</f>
        <v>95.1</v>
      </c>
      <c r="CZ30" s="67">
        <f>+CZ220</f>
        <v>109.2</v>
      </c>
      <c r="DA30" s="67">
        <f>+DA220</f>
        <v>101.3</v>
      </c>
      <c r="DB30" s="67">
        <f>+DB220</f>
        <v>113.8</v>
      </c>
      <c r="DC30" s="93">
        <f>+DC220</f>
        <v>419.40000000000003</v>
      </c>
      <c r="DD30" s="67"/>
      <c r="DE30" s="82">
        <f>+DE220</f>
        <v>89.4</v>
      </c>
      <c r="DF30" s="67">
        <f>+DF220</f>
        <v>109.8</v>
      </c>
      <c r="DG30" s="67">
        <f>+DG220</f>
        <v>102.2</v>
      </c>
      <c r="DH30" s="67">
        <f>+DH220</f>
        <v>99.3</v>
      </c>
      <c r="DI30" s="93">
        <f>+DI220</f>
        <v>400.7</v>
      </c>
      <c r="DJ30" s="67"/>
      <c r="DK30" s="82">
        <f>+DK220</f>
        <v>50.9</v>
      </c>
      <c r="DL30" s="67">
        <f>+DL220</f>
        <v>107.3409</v>
      </c>
      <c r="DM30" s="67">
        <f>+DM220</f>
        <v>101.506</v>
      </c>
      <c r="DN30" s="67">
        <f>+DN220</f>
        <v>129.65199999999999</v>
      </c>
      <c r="DO30" s="93">
        <f>+DO220</f>
        <v>389.39889999999997</v>
      </c>
      <c r="DP30" s="67"/>
      <c r="DQ30" s="82">
        <f>+DQ220</f>
        <v>56.953399999999995</v>
      </c>
      <c r="DR30" s="67">
        <f>+DR220</f>
        <v>113.88561900000002</v>
      </c>
      <c r="DS30" s="67">
        <f>+DS220</f>
        <v>107.81446</v>
      </c>
      <c r="DT30" s="67">
        <f>+DT220</f>
        <v>136.754368</v>
      </c>
      <c r="DU30" s="93">
        <f>+DU220</f>
        <v>415.407847</v>
      </c>
      <c r="DV30" s="67"/>
      <c r="DW30" s="82">
        <f>+DW220</f>
        <v>63.188402000000018</v>
      </c>
      <c r="DX30" s="67">
        <f>+DX220</f>
        <v>120.62667957000002</v>
      </c>
      <c r="DY30" s="67">
        <f>+DY220</f>
        <v>114.3121738</v>
      </c>
      <c r="DZ30" s="67">
        <f>+DZ220</f>
        <v>144.06980704</v>
      </c>
      <c r="EA30" s="93">
        <f>+EA220</f>
        <v>442.19706241000006</v>
      </c>
      <c r="EB30" s="67"/>
      <c r="EC30" s="82">
        <f t="shared" ref="EC30:EG30" si="37">+EC220</f>
        <v>69.610454060000023</v>
      </c>
      <c r="ED30" s="67">
        <f t="shared" si="37"/>
        <v>127.56997195710002</v>
      </c>
      <c r="EE30" s="67">
        <f t="shared" si="37"/>
        <v>121.00481901400001</v>
      </c>
      <c r="EF30" s="67">
        <f t="shared" si="37"/>
        <v>151.60470925120001</v>
      </c>
      <c r="EG30" s="93">
        <f t="shared" si="37"/>
        <v>469.78995428230007</v>
      </c>
    </row>
    <row r="31" spans="1:137" ht="11.25" customHeight="1" x14ac:dyDescent="0.2">
      <c r="A31" s="51" t="s">
        <v>466</v>
      </c>
      <c r="B31" s="14"/>
      <c r="C31" s="14"/>
      <c r="D31" s="14"/>
      <c r="E31" s="92"/>
      <c r="F31" s="71"/>
      <c r="G31" s="92"/>
      <c r="H31" s="71"/>
      <c r="I31" s="92"/>
      <c r="J31" s="71"/>
      <c r="K31" s="92"/>
      <c r="M31" s="150"/>
      <c r="Q31" s="153"/>
      <c r="S31" s="150"/>
      <c r="W31" s="153"/>
      <c r="Y31" s="150"/>
      <c r="AC31" s="153"/>
      <c r="AE31" s="150"/>
      <c r="AI31" s="153"/>
      <c r="AK31" s="150"/>
      <c r="AO31" s="153"/>
      <c r="AQ31" s="150"/>
      <c r="AU31" s="153"/>
      <c r="AW31" s="150"/>
      <c r="BA31" s="153"/>
      <c r="BC31" s="150"/>
      <c r="BG31" s="153"/>
      <c r="BI31" s="150"/>
      <c r="BM31" s="153"/>
      <c r="BO31" s="82">
        <f>+BO318</f>
        <v>95.860485206669438</v>
      </c>
      <c r="BP31" s="67">
        <f>+BP318</f>
        <v>124.91673781934195</v>
      </c>
      <c r="BQ31" s="67">
        <f>+BQ318</f>
        <v>125.17615759429596</v>
      </c>
      <c r="BR31" s="67">
        <f>+BR318</f>
        <v>132.81766960962096</v>
      </c>
      <c r="BS31" s="93">
        <f>+BS318</f>
        <v>478.77105022992828</v>
      </c>
      <c r="BU31" s="82">
        <f>+BU318</f>
        <v>137.04794774459242</v>
      </c>
      <c r="BV31" s="67">
        <f>+BV318</f>
        <v>155.20866794313943</v>
      </c>
      <c r="BW31" s="67">
        <f>+BW318</f>
        <v>157.04238784566445</v>
      </c>
      <c r="BX31" s="67">
        <f>+BX318</f>
        <v>154.03017431521459</v>
      </c>
      <c r="BY31" s="93">
        <f>+BY318</f>
        <v>603.32917784861093</v>
      </c>
      <c r="CA31" s="82">
        <f>+CA318</f>
        <v>144.94525521681973</v>
      </c>
      <c r="CB31" s="67">
        <f>+CB318</f>
        <v>177.62719048400439</v>
      </c>
      <c r="CC31" s="67">
        <f>+CC318</f>
        <v>178.77215696924583</v>
      </c>
      <c r="CD31" s="67">
        <f>+CD318</f>
        <v>223.95266422360217</v>
      </c>
      <c r="CE31" s="93">
        <f>+CE318</f>
        <v>725.29726689367203</v>
      </c>
      <c r="CG31" s="82">
        <f>+CG318</f>
        <v>155.53931704829625</v>
      </c>
      <c r="CH31" s="67">
        <f>+CH318</f>
        <v>195.17887571610811</v>
      </c>
      <c r="CI31" s="67">
        <f>+CI318</f>
        <v>186.92707821672599</v>
      </c>
      <c r="CJ31" s="67">
        <f>+CJ318</f>
        <v>210.15082186007521</v>
      </c>
      <c r="CK31" s="93">
        <f>+CK318</f>
        <v>747.79609284120556</v>
      </c>
      <c r="CM31" s="82">
        <f>+CM318</f>
        <v>166.61075182840042</v>
      </c>
      <c r="CN31" s="67">
        <f>+CN318</f>
        <v>198.17209352291118</v>
      </c>
      <c r="CO31" s="67">
        <f>+CO318</f>
        <v>201.64118564500976</v>
      </c>
      <c r="CP31" s="67">
        <f>+CP318</f>
        <v>215.37596900367862</v>
      </c>
      <c r="CQ31" s="93">
        <f>+CQ318</f>
        <v>781.8</v>
      </c>
      <c r="CR31" s="71"/>
      <c r="CS31" s="82">
        <f>+CS318</f>
        <v>209.5</v>
      </c>
      <c r="CT31" s="67">
        <f>+CT318</f>
        <v>236.5</v>
      </c>
      <c r="CU31" s="67">
        <f>+CU318</f>
        <v>215.6</v>
      </c>
      <c r="CV31" s="67">
        <f>+CV318</f>
        <v>205</v>
      </c>
      <c r="CW31" s="93">
        <f>+CW318</f>
        <v>866.6</v>
      </c>
      <c r="CX31" s="71"/>
      <c r="CY31" s="82">
        <f>+CY318</f>
        <v>198.4</v>
      </c>
      <c r="CZ31" s="67">
        <f>+CZ318</f>
        <v>218.3</v>
      </c>
      <c r="DA31" s="67">
        <f>+DA318</f>
        <v>223.4</v>
      </c>
      <c r="DB31" s="67">
        <f>+DB318</f>
        <v>229.9</v>
      </c>
      <c r="DC31" s="93">
        <f>+DC318</f>
        <v>870</v>
      </c>
      <c r="DD31" s="67"/>
      <c r="DE31" s="82">
        <f>+DE318</f>
        <v>208</v>
      </c>
      <c r="DF31" s="67">
        <f>+DF318</f>
        <v>235.2</v>
      </c>
      <c r="DG31" s="67">
        <f>+DG318</f>
        <v>222.8</v>
      </c>
      <c r="DH31" s="67">
        <f>+DH318</f>
        <v>248.6</v>
      </c>
      <c r="DI31" s="93">
        <f>+DI318</f>
        <v>914.6</v>
      </c>
      <c r="DJ31" s="67"/>
      <c r="DK31" s="82">
        <f>+DK318</f>
        <v>227.2</v>
      </c>
      <c r="DL31" s="67">
        <f>+DL318</f>
        <v>266.17079999999993</v>
      </c>
      <c r="DM31" s="67">
        <f>+DM318</f>
        <v>238.68640000000005</v>
      </c>
      <c r="DN31" s="67">
        <f>+DN318</f>
        <v>277.70330000000001</v>
      </c>
      <c r="DO31" s="93">
        <f>+DO318</f>
        <v>1009.7605</v>
      </c>
      <c r="DP31" s="67"/>
      <c r="DQ31" s="82">
        <f>+DQ318</f>
        <v>241.9645625</v>
      </c>
      <c r="DR31" s="67">
        <f>+DR318</f>
        <v>281.78831749999995</v>
      </c>
      <c r="DS31" s="67">
        <f>+DS318</f>
        <v>254.10117250000008</v>
      </c>
      <c r="DT31" s="67">
        <f>+DT318</f>
        <v>294.12780125000006</v>
      </c>
      <c r="DU31" s="93">
        <f>+DU318</f>
        <v>1071.98185375</v>
      </c>
      <c r="DV31" s="67"/>
      <c r="DW31" s="82">
        <f>+DW318</f>
        <v>254.18384281249996</v>
      </c>
      <c r="DX31" s="67">
        <f>+DX318</f>
        <v>294.71351078749996</v>
      </c>
      <c r="DY31" s="67">
        <f>+DY318</f>
        <v>266.85857226250005</v>
      </c>
      <c r="DZ31" s="67">
        <f>+DZ318</f>
        <v>307.72086130625001</v>
      </c>
      <c r="EA31" s="93">
        <f>+EA318</f>
        <v>1123.47678716875</v>
      </c>
      <c r="EB31" s="67"/>
      <c r="EC31" s="82">
        <f t="shared" ref="EC31:EG31" si="38">+EC318</f>
        <v>266.95299073906244</v>
      </c>
      <c r="ED31" s="67">
        <f t="shared" si="38"/>
        <v>308.22033777293746</v>
      </c>
      <c r="EE31" s="67">
        <f t="shared" si="38"/>
        <v>280.19005501431252</v>
      </c>
      <c r="EF31" s="67">
        <f t="shared" si="38"/>
        <v>321.92560906503127</v>
      </c>
      <c r="EG31" s="93">
        <f t="shared" si="38"/>
        <v>1177.2889925913437</v>
      </c>
    </row>
    <row r="32" spans="1:137" ht="11.25" customHeight="1" x14ac:dyDescent="0.2">
      <c r="A32" s="51" t="s">
        <v>527</v>
      </c>
      <c r="B32" s="14"/>
      <c r="C32" s="14"/>
      <c r="D32" s="14"/>
      <c r="E32" s="92"/>
      <c r="F32" s="71"/>
      <c r="G32" s="92"/>
      <c r="H32" s="71"/>
      <c r="I32" s="92"/>
      <c r="J32" s="71"/>
      <c r="K32" s="92"/>
      <c r="M32" s="150"/>
      <c r="Q32" s="153"/>
      <c r="S32" s="150"/>
      <c r="W32" s="153"/>
      <c r="Y32" s="150"/>
      <c r="AC32" s="153"/>
      <c r="AE32" s="150"/>
      <c r="AI32" s="153"/>
      <c r="AK32" s="150"/>
      <c r="AO32" s="153"/>
      <c r="AQ32" s="150"/>
      <c r="AU32" s="153"/>
      <c r="AW32" s="150"/>
      <c r="BA32" s="153"/>
      <c r="BC32" s="150"/>
      <c r="BG32" s="153"/>
      <c r="BI32" s="150"/>
      <c r="BM32" s="153"/>
      <c r="BO32" s="84">
        <f>+-BO34*BO17</f>
        <v>-7.3432682982977511</v>
      </c>
      <c r="BP32" s="71">
        <f>+-BP34*BP17</f>
        <v>-7.7394443419559815</v>
      </c>
      <c r="BQ32" s="71">
        <f>+-BQ34*BQ17</f>
        <v>-7.9202217497100262</v>
      </c>
      <c r="BR32" s="71">
        <f>+-BR34*BR17</f>
        <v>-9.1663030556275569</v>
      </c>
      <c r="BS32" s="93">
        <f>+SUM(BO32:BR32)</f>
        <v>-32.169237445591314</v>
      </c>
      <c r="BU32" s="82">
        <f>+-BU34*BU17</f>
        <v>-8.706837293558749</v>
      </c>
      <c r="BV32" s="67">
        <f>+-BV34*BV17</f>
        <v>-9.5678092776440948</v>
      </c>
      <c r="BW32" s="67">
        <f>+-BW34*BW17</f>
        <v>-13.855989504332566</v>
      </c>
      <c r="BX32" s="67">
        <f>+-BX34*BX17</f>
        <v>-15.185390726285883</v>
      </c>
      <c r="BY32" s="93">
        <f>+SUM(BU32:BX32)</f>
        <v>-47.316026801821288</v>
      </c>
      <c r="CA32" s="82">
        <f>+-CA34*CA17</f>
        <v>-27.39285189438062</v>
      </c>
      <c r="CB32" s="67">
        <f>+-CB34*CB17</f>
        <v>-28.792599284048787</v>
      </c>
      <c r="CC32" s="67">
        <f>+-CC34*CC17</f>
        <v>-28.203650155954101</v>
      </c>
      <c r="CD32" s="67">
        <f>+-CD34*CD17</f>
        <v>-32.818800335712623</v>
      </c>
      <c r="CE32" s="93">
        <f>+SUM(CA32:CD32)</f>
        <v>-117.20790167009612</v>
      </c>
      <c r="CG32" s="82">
        <f>+-CG34*CG17</f>
        <v>-28.229628970617085</v>
      </c>
      <c r="CH32" s="67">
        <f>+-CH34*CH17</f>
        <v>-30.416415387446232</v>
      </c>
      <c r="CI32" s="67">
        <f>+-CI34*CI17</f>
        <v>-30.364124760985433</v>
      </c>
      <c r="CJ32" s="67">
        <f>+-CJ34*CJ17</f>
        <v>-34.598844045433978</v>
      </c>
      <c r="CK32" s="93">
        <f>+SUM(CG32:CJ32)</f>
        <v>-123.60901316448273</v>
      </c>
      <c r="CM32" s="82">
        <f>+-CM34*CM17</f>
        <v>-30.99015722157408</v>
      </c>
      <c r="CN32" s="67">
        <f>+-CN34*CN17</f>
        <v>-33.311230773081178</v>
      </c>
      <c r="CO32" s="67">
        <f>+-CO34*CO17</f>
        <v>-33.086689851218772</v>
      </c>
      <c r="CP32" s="67">
        <f>+-CP34*CP17</f>
        <v>-37.311922154125959</v>
      </c>
      <c r="CQ32" s="548">
        <v>-134.69999999999999</v>
      </c>
      <c r="CR32" s="71"/>
      <c r="CS32" s="84">
        <f>447.7-SUM(CS28:CS31)</f>
        <v>-35.700000000000045</v>
      </c>
      <c r="CT32" s="71">
        <f>582.9-SUM(CT28:CT31)</f>
        <v>-33.300000000000068</v>
      </c>
      <c r="CU32" s="71">
        <v>-43.1</v>
      </c>
      <c r="CV32" s="71">
        <f>651.6-SUM(CV28:CV31)</f>
        <v>-38.100000000000023</v>
      </c>
      <c r="CW32" s="93">
        <f>+SUM(CS32:CV32)</f>
        <v>-150.20000000000013</v>
      </c>
      <c r="CX32" s="71"/>
      <c r="CY32" s="84">
        <f>613.1-SUM(CY28:CY31)</f>
        <v>-37.799999999999955</v>
      </c>
      <c r="CZ32" s="71">
        <f>710.1-SUM(CZ28:CZ31)</f>
        <v>-41.800000000000068</v>
      </c>
      <c r="DA32" s="71">
        <v>-24.2</v>
      </c>
      <c r="DB32" s="71">
        <f>728.6-SUM(DB28:DB31)</f>
        <v>-39.999999999999886</v>
      </c>
      <c r="DC32" s="93">
        <f>+SUM(CY32:DB32)</f>
        <v>-143.7999999999999</v>
      </c>
      <c r="DD32" s="67"/>
      <c r="DE32" s="550">
        <v>-46.6</v>
      </c>
      <c r="DF32" s="71">
        <f>-40.5-8</f>
        <v>-48.5</v>
      </c>
      <c r="DG32" s="71">
        <f>-47-7</f>
        <v>-54</v>
      </c>
      <c r="DH32" s="71">
        <f>-42.8-8</f>
        <v>-50.8</v>
      </c>
      <c r="DI32" s="93">
        <f>+SUM(DE32:DH32)</f>
        <v>-199.89999999999998</v>
      </c>
      <c r="DJ32" s="67"/>
      <c r="DK32" s="550">
        <v>-54.4</v>
      </c>
      <c r="DL32" s="69">
        <f>+-DL34*DL17</f>
        <v>-54.232117500000001</v>
      </c>
      <c r="DM32" s="69">
        <f>+-DM34*DM17</f>
        <v>-53.356192999999998</v>
      </c>
      <c r="DN32" s="69">
        <f>+-DN34*DN17</f>
        <v>-59.821316499999995</v>
      </c>
      <c r="DO32" s="93">
        <f>+SUM(DK32:DN32)</f>
        <v>-221.80962699999998</v>
      </c>
      <c r="DP32" s="67"/>
      <c r="DQ32" s="81">
        <f>+-DQ34*DQ17</f>
        <v>-56.92890658942796</v>
      </c>
      <c r="DR32" s="69">
        <f>+-DR34*DR17</f>
        <v>-59.880607328023174</v>
      </c>
      <c r="DS32" s="69">
        <f>+-DS34*DS17</f>
        <v>-58.405567907313554</v>
      </c>
      <c r="DT32" s="69">
        <f>+-DT34*DT17</f>
        <v>-65.470078320057937</v>
      </c>
      <c r="DU32" s="93">
        <f>+SUM(DQ32:DT32)</f>
        <v>-240.68516014482265</v>
      </c>
      <c r="DV32" s="67"/>
      <c r="DW32" s="81">
        <f>+-DW34*DW17</f>
        <v>-59.364788544532949</v>
      </c>
      <c r="DX32" s="69">
        <f>+-DX34*DX17</f>
        <v>-62.442914523968149</v>
      </c>
      <c r="DY32" s="69">
        <f>+-DY34*DY17</f>
        <v>-60.905358634612611</v>
      </c>
      <c r="DZ32" s="69">
        <f>+-DZ34*DZ17</f>
        <v>-68.268178459956573</v>
      </c>
      <c r="EA32" s="93">
        <f>+SUM(DW32:DZ32)</f>
        <v>-250.98124016307028</v>
      </c>
      <c r="EB32" s="67"/>
      <c r="EC32" s="81">
        <f t="shared" ref="EC32:EF32" si="39">+-EC34*EC17</f>
        <v>-61.907332740405508</v>
      </c>
      <c r="ED32" s="69">
        <f t="shared" si="39"/>
        <v>-65.117470947322246</v>
      </c>
      <c r="EE32" s="69">
        <f t="shared" si="39"/>
        <v>-63.514663853396094</v>
      </c>
      <c r="EF32" s="69">
        <f t="shared" si="39"/>
        <v>-71.188700936030429</v>
      </c>
      <c r="EG32" s="93">
        <f t="shared" ref="EG32" si="40">+SUM(EC32:EF32)</f>
        <v>-261.72816847715427</v>
      </c>
    </row>
    <row r="33" spans="1:137" ht="11.25" customHeight="1" x14ac:dyDescent="0.2">
      <c r="A33" s="51" t="s">
        <v>406</v>
      </c>
      <c r="B33" s="14"/>
      <c r="C33" s="14"/>
      <c r="D33" s="14"/>
      <c r="E33" s="92"/>
      <c r="F33" s="71"/>
      <c r="G33" s="92"/>
      <c r="H33" s="71"/>
      <c r="I33" s="92"/>
      <c r="J33" s="71"/>
      <c r="K33" s="92"/>
      <c r="L33" s="71"/>
      <c r="M33" s="84"/>
      <c r="N33" s="71"/>
      <c r="O33" s="71"/>
      <c r="P33" s="71"/>
      <c r="Q33" s="93"/>
      <c r="R33" s="71"/>
      <c r="S33" s="84"/>
      <c r="T33" s="71"/>
      <c r="U33" s="71"/>
      <c r="V33" s="71"/>
      <c r="W33" s="93"/>
      <c r="X33" s="71"/>
      <c r="Y33" s="84"/>
      <c r="Z33" s="71"/>
      <c r="AA33" s="71"/>
      <c r="AB33" s="71"/>
      <c r="AC33" s="93"/>
      <c r="AD33" s="71"/>
      <c r="AE33" s="84"/>
      <c r="AF33" s="71"/>
      <c r="AG33" s="71"/>
      <c r="AH33" s="71"/>
      <c r="AI33" s="93"/>
      <c r="AJ33" s="71"/>
      <c r="AK33" s="84"/>
      <c r="AL33" s="71"/>
      <c r="AM33" s="71"/>
      <c r="AN33" s="71"/>
      <c r="AO33" s="93"/>
      <c r="AP33" s="71"/>
      <c r="AQ33" s="84"/>
      <c r="AR33" s="71"/>
      <c r="AS33" s="71"/>
      <c r="AT33" s="71"/>
      <c r="AU33" s="93"/>
      <c r="AV33" s="71"/>
      <c r="AW33" s="84"/>
      <c r="AX33" s="71"/>
      <c r="AY33" s="71"/>
      <c r="AZ33" s="71"/>
      <c r="BA33" s="93"/>
      <c r="BB33" s="71"/>
      <c r="BC33" s="84"/>
      <c r="BD33" s="71"/>
      <c r="BE33" s="71"/>
      <c r="BF33" s="71"/>
      <c r="BG33" s="93"/>
      <c r="BH33" s="71"/>
      <c r="BI33" s="84"/>
      <c r="BJ33" s="71"/>
      <c r="BK33" s="71"/>
      <c r="BL33" s="71"/>
      <c r="BM33" s="93"/>
      <c r="BN33" s="71"/>
      <c r="BO33" s="165">
        <f>+SUM(BO28:BO32)</f>
        <v>160.37148729877168</v>
      </c>
      <c r="BP33" s="164">
        <f>+SUM(BP28:BP32)</f>
        <v>194.09715259738596</v>
      </c>
      <c r="BQ33" s="164">
        <f>+SUM(BQ28:BQ32)</f>
        <v>241.9757949645859</v>
      </c>
      <c r="BR33" s="164">
        <f>+SUM(BR28:BR32)</f>
        <v>274.63681440359341</v>
      </c>
      <c r="BS33" s="163">
        <f>+SUM(BS28:BS32)</f>
        <v>871.08124926433698</v>
      </c>
      <c r="BT33" s="71"/>
      <c r="BU33" s="165">
        <f>+SUM(BU28:BU32)</f>
        <v>266.46199399919368</v>
      </c>
      <c r="BV33" s="164">
        <f>+SUM(BV28:BV32)</f>
        <v>233.28761236149532</v>
      </c>
      <c r="BW33" s="164">
        <f>+SUM(BW28:BW32)</f>
        <v>264.93315203733187</v>
      </c>
      <c r="BX33" s="164">
        <f>+SUM(BX28:BX32)</f>
        <v>422.31740743276873</v>
      </c>
      <c r="BY33" s="163">
        <f>+SUM(BY28:BY32)</f>
        <v>1187.0001658307899</v>
      </c>
      <c r="BZ33" s="71"/>
      <c r="CA33" s="165">
        <f>+SUM(CA28:CA32)</f>
        <v>380.43400746836932</v>
      </c>
      <c r="CB33" s="164">
        <f>+SUM(CB28:CB32)</f>
        <v>426.33626218529963</v>
      </c>
      <c r="CC33" s="164">
        <f>+SUM(CC28:CC32)</f>
        <v>410.17017779863568</v>
      </c>
      <c r="CD33" s="164">
        <f>+SUM(CD28:CD32)</f>
        <v>537.35560171264729</v>
      </c>
      <c r="CE33" s="163">
        <f>+SUM(CE28:CE32)</f>
        <v>1754.2960491649519</v>
      </c>
      <c r="CF33" s="71"/>
      <c r="CG33" s="165">
        <f>+SUM(CG28:CG32)</f>
        <v>387.35278895526562</v>
      </c>
      <c r="CH33" s="164">
        <f>+SUM(CH28:CH32)</f>
        <v>482.01569040948107</v>
      </c>
      <c r="CI33" s="164">
        <f>+SUM(CI28:CI32)</f>
        <v>483.31618353655983</v>
      </c>
      <c r="CJ33" s="164">
        <f>+SUM(CJ28:CJ32)</f>
        <v>577.21533709869311</v>
      </c>
      <c r="CK33" s="163">
        <f>+SUM(CK28:CK32)</f>
        <v>1929.8999999999996</v>
      </c>
      <c r="CL33" s="71"/>
      <c r="CM33" s="165">
        <f>+SUM(CM28:CM32)</f>
        <v>427.68797700682632</v>
      </c>
      <c r="CN33" s="164">
        <f>+SUM(CN28:CN32)</f>
        <v>520.77950914982989</v>
      </c>
      <c r="CO33" s="164">
        <f>+SUM(CO28:CO32)</f>
        <v>529.75857259379097</v>
      </c>
      <c r="CP33" s="164">
        <f>+SUM(CP28:CP32)</f>
        <v>566.77394124955276</v>
      </c>
      <c r="CQ33" s="163">
        <f>+SUM(CQ28:CQ32)</f>
        <v>2044.9999999999998</v>
      </c>
      <c r="CR33" s="71"/>
      <c r="CS33" s="165">
        <f>+SUM(CS28:CS32)</f>
        <v>447.7</v>
      </c>
      <c r="CT33" s="164">
        <f>+SUM(CT28:CT32)</f>
        <v>582.9</v>
      </c>
      <c r="CU33" s="164">
        <f>+SUM(CU28:CU32)</f>
        <v>480</v>
      </c>
      <c r="CV33" s="164">
        <f>+SUM(CV28:CV32)</f>
        <v>651.6</v>
      </c>
      <c r="CW33" s="163">
        <f>+SUM(CW28:CW32)</f>
        <v>2162.1999999999998</v>
      </c>
      <c r="CX33" s="71"/>
      <c r="CY33" s="165">
        <f>+SUM(CY28:CY32)</f>
        <v>613.1</v>
      </c>
      <c r="CZ33" s="164">
        <f>+SUM(CZ28:CZ32)</f>
        <v>710.1</v>
      </c>
      <c r="DA33" s="164">
        <f>+SUM(DA28:DA32)</f>
        <v>699.1</v>
      </c>
      <c r="DB33" s="164">
        <f>+SUM(DB28:DB32)</f>
        <v>728.6</v>
      </c>
      <c r="DC33" s="163">
        <f>+SUM(DC28:DC32)</f>
        <v>2750.9</v>
      </c>
      <c r="DD33" s="164"/>
      <c r="DE33" s="165">
        <f>+SUM(DE28:DE32)</f>
        <v>617</v>
      </c>
      <c r="DF33" s="164">
        <f>+SUM(DF28:DF32)</f>
        <v>675.7</v>
      </c>
      <c r="DG33" s="164">
        <f>+SUM(DG28:DG32)</f>
        <v>760.5</v>
      </c>
      <c r="DH33" s="164">
        <f>+SUM(DH28:DH32)</f>
        <v>938.1</v>
      </c>
      <c r="DI33" s="163">
        <f>+SUM(DI28:DI32)</f>
        <v>2991.2999999999997</v>
      </c>
      <c r="DJ33" s="164"/>
      <c r="DK33" s="165">
        <f>+SUM(DK28:DK32)</f>
        <v>742.99999999999989</v>
      </c>
      <c r="DL33" s="164">
        <f>+SUM(DL28:DL32)</f>
        <v>846.67385112525926</v>
      </c>
      <c r="DM33" s="164">
        <f>+SUM(DM28:DM32)</f>
        <v>838.35817036357366</v>
      </c>
      <c r="DN33" s="164">
        <f>+SUM(DN28:DN32)</f>
        <v>1083.699182697</v>
      </c>
      <c r="DO33" s="163">
        <f>+SUM(DO28:DO32)</f>
        <v>3511.7312041858327</v>
      </c>
      <c r="DP33" s="164"/>
      <c r="DQ33" s="165">
        <f>+SUM(DQ28:DQ32)</f>
        <v>831.01285591470992</v>
      </c>
      <c r="DR33" s="164">
        <f>+SUM(DR28:DR32)</f>
        <v>936.69450175582881</v>
      </c>
      <c r="DS33" s="164">
        <f>+SUM(DS28:DS32)</f>
        <v>912.44778798650054</v>
      </c>
      <c r="DT33" s="164">
        <f>+SUM(DT28:DT32)</f>
        <v>1164.2544783239418</v>
      </c>
      <c r="DU33" s="163">
        <f>+SUM(DU28:DU32)</f>
        <v>3844.4096239809815</v>
      </c>
      <c r="DV33" s="164"/>
      <c r="DW33" s="165">
        <f>+SUM(DW28:DW32)</f>
        <v>915.13431627624288</v>
      </c>
      <c r="DX33" s="164">
        <f>+SUM(DX28:DX32)</f>
        <v>1024.0005010559764</v>
      </c>
      <c r="DY33" s="164">
        <f>+SUM(DY28:DY32)</f>
        <v>998.13822701194158</v>
      </c>
      <c r="DZ33" s="164">
        <f>+SUM(DZ28:DZ32)</f>
        <v>1258.0119481572931</v>
      </c>
      <c r="EA33" s="163">
        <f>+SUM(EA28:EA32)</f>
        <v>4195.2849925014534</v>
      </c>
      <c r="EB33" s="164"/>
      <c r="EC33" s="165">
        <f t="shared" ref="EC33:EG33" si="41">+SUM(EC28:EC32)</f>
        <v>997.17471445038109</v>
      </c>
      <c r="ED33" s="164">
        <f t="shared" si="41"/>
        <v>1109.4064849579897</v>
      </c>
      <c r="EE33" s="164">
        <f t="shared" si="41"/>
        <v>1081.7769862924092</v>
      </c>
      <c r="EF33" s="164">
        <f t="shared" si="41"/>
        <v>1344.0020318694014</v>
      </c>
      <c r="EG33" s="163">
        <f t="shared" si="41"/>
        <v>4532.3602175701817</v>
      </c>
    </row>
    <row r="34" spans="1:137" s="783" customFormat="1" ht="11.25" customHeight="1" x14ac:dyDescent="0.2">
      <c r="A34" s="538" t="s">
        <v>460</v>
      </c>
      <c r="B34" s="539"/>
      <c r="C34" s="539"/>
      <c r="D34" s="539"/>
      <c r="E34" s="781"/>
      <c r="F34" s="541"/>
      <c r="G34" s="781"/>
      <c r="H34" s="541"/>
      <c r="I34" s="781"/>
      <c r="J34" s="541"/>
      <c r="K34" s="781"/>
      <c r="L34" s="541"/>
      <c r="M34" s="782"/>
      <c r="N34" s="541"/>
      <c r="O34" s="541"/>
      <c r="P34" s="541"/>
      <c r="Q34" s="776"/>
      <c r="R34" s="541"/>
      <c r="S34" s="782"/>
      <c r="T34" s="541"/>
      <c r="U34" s="541"/>
      <c r="V34" s="541"/>
      <c r="W34" s="776"/>
      <c r="X34" s="541"/>
      <c r="Y34" s="782"/>
      <c r="Z34" s="541"/>
      <c r="AA34" s="541"/>
      <c r="AB34" s="541"/>
      <c r="AC34" s="776"/>
      <c r="AD34" s="541"/>
      <c r="AE34" s="782"/>
      <c r="AF34" s="541"/>
      <c r="AG34" s="541"/>
      <c r="AH34" s="541"/>
      <c r="AI34" s="776"/>
      <c r="AJ34" s="541"/>
      <c r="AK34" s="782"/>
      <c r="AL34" s="541"/>
      <c r="AM34" s="541"/>
      <c r="AN34" s="541"/>
      <c r="AO34" s="776"/>
      <c r="AP34" s="541"/>
      <c r="AQ34" s="782"/>
      <c r="AR34" s="541"/>
      <c r="AS34" s="541"/>
      <c r="AT34" s="541"/>
      <c r="AU34" s="776"/>
      <c r="AV34" s="541"/>
      <c r="AW34" s="782"/>
      <c r="AX34" s="541"/>
      <c r="AY34" s="541"/>
      <c r="AZ34" s="541"/>
      <c r="BA34" s="776"/>
      <c r="BB34" s="541"/>
      <c r="BC34" s="782"/>
      <c r="BD34" s="541"/>
      <c r="BE34" s="541"/>
      <c r="BF34" s="541"/>
      <c r="BG34" s="776"/>
      <c r="BH34" s="541"/>
      <c r="BI34" s="782"/>
      <c r="BJ34" s="541"/>
      <c r="BK34" s="541"/>
      <c r="BL34" s="541"/>
      <c r="BM34" s="776"/>
      <c r="BN34" s="541"/>
      <c r="BO34" s="880">
        <v>5.0000000000000001E-3</v>
      </c>
      <c r="BP34" s="881">
        <f>+BO34</f>
        <v>5.0000000000000001E-3</v>
      </c>
      <c r="BQ34" s="881">
        <f>+BP34</f>
        <v>5.0000000000000001E-3</v>
      </c>
      <c r="BR34" s="881">
        <f>+BQ34</f>
        <v>5.0000000000000001E-3</v>
      </c>
      <c r="BS34" s="810">
        <f>+BR34</f>
        <v>5.0000000000000001E-3</v>
      </c>
      <c r="BT34" s="541"/>
      <c r="BU34" s="880">
        <v>5.0000000000000001E-3</v>
      </c>
      <c r="BV34" s="881">
        <f>+BU34</f>
        <v>5.0000000000000001E-3</v>
      </c>
      <c r="BW34" s="881">
        <f>+BV34</f>
        <v>5.0000000000000001E-3</v>
      </c>
      <c r="BX34" s="881">
        <f>+BW34</f>
        <v>5.0000000000000001E-3</v>
      </c>
      <c r="BY34" s="810">
        <f>+BX34</f>
        <v>5.0000000000000001E-3</v>
      </c>
      <c r="BZ34" s="541"/>
      <c r="CA34" s="880">
        <v>0.01</v>
      </c>
      <c r="CB34" s="881">
        <f>+CA34</f>
        <v>0.01</v>
      </c>
      <c r="CC34" s="881">
        <f>+CB34</f>
        <v>0.01</v>
      </c>
      <c r="CD34" s="881">
        <f>+CC34</f>
        <v>0.01</v>
      </c>
      <c r="CE34" s="810">
        <f>+CD34</f>
        <v>0.01</v>
      </c>
      <c r="CF34" s="541"/>
      <c r="CG34" s="880">
        <v>0.01</v>
      </c>
      <c r="CH34" s="881">
        <f>+CG34</f>
        <v>0.01</v>
      </c>
      <c r="CI34" s="881">
        <f>+CH34</f>
        <v>0.01</v>
      </c>
      <c r="CJ34" s="881">
        <f>+CI34</f>
        <v>0.01</v>
      </c>
      <c r="CK34" s="810">
        <f>+CJ34</f>
        <v>0.01</v>
      </c>
      <c r="CL34" s="541"/>
      <c r="CM34" s="821">
        <f>+CQ34</f>
        <v>1.0468757219374659E-2</v>
      </c>
      <c r="CN34" s="822">
        <f>+CQ34</f>
        <v>1.0468757219374659E-2</v>
      </c>
      <c r="CO34" s="822">
        <f>+CQ34</f>
        <v>1.0468757219374659E-2</v>
      </c>
      <c r="CP34" s="822">
        <f>+CQ34</f>
        <v>1.0468757219374659E-2</v>
      </c>
      <c r="CQ34" s="810">
        <f>-+CQ32/CQ17</f>
        <v>1.0468757219374659E-2</v>
      </c>
      <c r="CR34" s="541"/>
      <c r="CS34" s="821">
        <f>+-CS32/CS17</f>
        <v>1.1183509805150066E-2</v>
      </c>
      <c r="CT34" s="822">
        <f>+-CT32/CT17</f>
        <v>9.776003288025149E-3</v>
      </c>
      <c r="CU34" s="822">
        <f>+-CU32/CU17</f>
        <v>1.2271510734012871E-2</v>
      </c>
      <c r="CV34" s="822">
        <f>+-CV32/CV17</f>
        <v>8.8133240804996564E-3</v>
      </c>
      <c r="CW34" s="810">
        <f>+-CW32/CW17</f>
        <v>1.040620215190839E-2</v>
      </c>
      <c r="CX34" s="541"/>
      <c r="CY34" s="821">
        <f>+-CY32/CY17</f>
        <v>9.6327820391936877E-3</v>
      </c>
      <c r="CZ34" s="822">
        <f>+-CZ32/CZ17</f>
        <v>9.8540748249605296E-3</v>
      </c>
      <c r="DA34" s="822">
        <f>+-DA32/DA17</f>
        <v>5.8565862394424134E-3</v>
      </c>
      <c r="DB34" s="822">
        <f>+-DB32/DB17</f>
        <v>8.725432454245988E-3</v>
      </c>
      <c r="DC34" s="810">
        <f>+-DC32/DC17</f>
        <v>8.517746291996392E-3</v>
      </c>
      <c r="DD34" s="541"/>
      <c r="DE34" s="821">
        <f>+-DE32/DE17</f>
        <v>1.1080200680029484E-2</v>
      </c>
      <c r="DF34" s="822">
        <f>+-DF32/DF17</f>
        <v>1.0753641826123589E-2</v>
      </c>
      <c r="DG34" s="822">
        <f>+-DG32/DG17</f>
        <v>1.1925268318537168E-2</v>
      </c>
      <c r="DH34" s="822">
        <f>+-DH32/DH17</f>
        <v>9.9887921033486038E-3</v>
      </c>
      <c r="DI34" s="810">
        <f>+-DI32/DI17</f>
        <v>1.0905797694452171E-2</v>
      </c>
      <c r="DJ34" s="541"/>
      <c r="DK34" s="821">
        <f>+-DK32/DK17</f>
        <v>1.1585807385952209E-2</v>
      </c>
      <c r="DL34" s="824">
        <v>1.0999999999999999E-2</v>
      </c>
      <c r="DM34" s="824">
        <v>1.0999999999999999E-2</v>
      </c>
      <c r="DN34" s="824">
        <f>+DM34</f>
        <v>1.0999999999999999E-2</v>
      </c>
      <c r="DO34" s="810">
        <f>+DN34</f>
        <v>1.0999999999999999E-2</v>
      </c>
      <c r="DP34" s="541"/>
      <c r="DQ34" s="823">
        <f>+DK34</f>
        <v>1.1585807385952209E-2</v>
      </c>
      <c r="DR34" s="824">
        <f>+DQ34</f>
        <v>1.1585807385952209E-2</v>
      </c>
      <c r="DS34" s="824">
        <f>+DR34</f>
        <v>1.1585807385952209E-2</v>
      </c>
      <c r="DT34" s="824">
        <f>+DS34</f>
        <v>1.1585807385952209E-2</v>
      </c>
      <c r="DU34" s="810">
        <f>+DT34</f>
        <v>1.1585807385952209E-2</v>
      </c>
      <c r="DV34" s="541"/>
      <c r="DW34" s="823">
        <f>+DQ34</f>
        <v>1.1585807385952209E-2</v>
      </c>
      <c r="DX34" s="824">
        <f>+DW34</f>
        <v>1.1585807385952209E-2</v>
      </c>
      <c r="DY34" s="824">
        <f>+DX34</f>
        <v>1.1585807385952209E-2</v>
      </c>
      <c r="DZ34" s="824">
        <f>+DY34</f>
        <v>1.1585807385952209E-2</v>
      </c>
      <c r="EA34" s="810">
        <f>+DZ34</f>
        <v>1.1585807385952209E-2</v>
      </c>
      <c r="EB34" s="541"/>
      <c r="EC34" s="823">
        <f t="shared" ref="EC34" si="42">+DW34</f>
        <v>1.1585807385952209E-2</v>
      </c>
      <c r="ED34" s="824">
        <f t="shared" ref="ED34:EG34" si="43">+EC34</f>
        <v>1.1585807385952209E-2</v>
      </c>
      <c r="EE34" s="824">
        <f t="shared" si="43"/>
        <v>1.1585807385952209E-2</v>
      </c>
      <c r="EF34" s="824">
        <f t="shared" si="43"/>
        <v>1.1585807385952209E-2</v>
      </c>
      <c r="EG34" s="810">
        <f t="shared" si="43"/>
        <v>1.1585807385952209E-2</v>
      </c>
    </row>
    <row r="35" spans="1:137" s="783" customFormat="1" ht="11.25" customHeight="1" outlineLevel="1" x14ac:dyDescent="0.2">
      <c r="A35" s="538"/>
      <c r="B35" s="539"/>
      <c r="C35" s="539"/>
      <c r="D35" s="539"/>
      <c r="E35" s="781"/>
      <c r="F35" s="541"/>
      <c r="G35" s="781"/>
      <c r="H35" s="541"/>
      <c r="I35" s="781"/>
      <c r="J35" s="541"/>
      <c r="K35" s="781"/>
      <c r="L35" s="541"/>
      <c r="M35" s="782"/>
      <c r="N35" s="541"/>
      <c r="O35" s="541"/>
      <c r="P35" s="541"/>
      <c r="Q35" s="776"/>
      <c r="R35" s="541"/>
      <c r="S35" s="782"/>
      <c r="T35" s="541"/>
      <c r="U35" s="541"/>
      <c r="V35" s="541"/>
      <c r="W35" s="776"/>
      <c r="X35" s="541"/>
      <c r="Y35" s="782"/>
      <c r="Z35" s="541"/>
      <c r="AA35" s="541"/>
      <c r="AB35" s="541"/>
      <c r="AC35" s="776"/>
      <c r="AD35" s="541"/>
      <c r="AE35" s="782"/>
      <c r="AF35" s="541"/>
      <c r="AG35" s="541"/>
      <c r="AH35" s="541"/>
      <c r="AI35" s="776"/>
      <c r="AJ35" s="541"/>
      <c r="AK35" s="782"/>
      <c r="AL35" s="541"/>
      <c r="AM35" s="541"/>
      <c r="AN35" s="541"/>
      <c r="AO35" s="776"/>
      <c r="AP35" s="541"/>
      <c r="AQ35" s="782"/>
      <c r="AR35" s="541"/>
      <c r="AS35" s="541"/>
      <c r="AT35" s="541"/>
      <c r="AU35" s="776"/>
      <c r="AV35" s="541"/>
      <c r="AW35" s="782"/>
      <c r="AX35" s="541"/>
      <c r="AY35" s="541"/>
      <c r="AZ35" s="541"/>
      <c r="BA35" s="776"/>
      <c r="BB35" s="541"/>
      <c r="BC35" s="782"/>
      <c r="BD35" s="541"/>
      <c r="BE35" s="541"/>
      <c r="BF35" s="541"/>
      <c r="BG35" s="776"/>
      <c r="BH35" s="541"/>
      <c r="BI35" s="782"/>
      <c r="BJ35" s="541"/>
      <c r="BK35" s="541"/>
      <c r="BL35" s="541"/>
      <c r="BM35" s="776"/>
      <c r="BN35" s="541"/>
      <c r="BO35" s="880"/>
      <c r="BP35" s="881"/>
      <c r="BQ35" s="881"/>
      <c r="BR35" s="881"/>
      <c r="BS35" s="810"/>
      <c r="BT35" s="541"/>
      <c r="BU35" s="880"/>
      <c r="BV35" s="881"/>
      <c r="BW35" s="881"/>
      <c r="BX35" s="881"/>
      <c r="BY35" s="810"/>
      <c r="BZ35" s="541"/>
      <c r="CA35" s="880"/>
      <c r="CB35" s="881"/>
      <c r="CC35" s="881"/>
      <c r="CD35" s="881"/>
      <c r="CE35" s="877">
        <f>+'Pro Forma IS'!CE20-CE33</f>
        <v>0</v>
      </c>
      <c r="CF35" s="377"/>
      <c r="CG35" s="878"/>
      <c r="CH35" s="377"/>
      <c r="CI35" s="377"/>
      <c r="CJ35" s="377"/>
      <c r="CK35" s="877">
        <f>+'Pro Forma IS'!CK20-CK33</f>
        <v>1.3164482734282501E-3</v>
      </c>
      <c r="CL35" s="377"/>
      <c r="CM35" s="878"/>
      <c r="CN35" s="377"/>
      <c r="CO35" s="377"/>
      <c r="CP35" s="879"/>
      <c r="CQ35" s="877">
        <f>+'Pro Forma IS'!CQ20-CQ33</f>
        <v>0</v>
      </c>
      <c r="CR35" s="71"/>
      <c r="CS35" s="84"/>
      <c r="CT35" s="71"/>
      <c r="CU35" s="71"/>
      <c r="CV35" s="71"/>
      <c r="CW35" s="877">
        <f>+'Pro Forma IS'!CW20-CW33</f>
        <v>0</v>
      </c>
      <c r="CX35" s="71"/>
      <c r="CY35" s="84"/>
      <c r="CZ35" s="71"/>
      <c r="DA35" s="71"/>
      <c r="DB35" s="71"/>
      <c r="DC35" s="877">
        <f>+'Pro Forma IS'!DC20-DC33</f>
        <v>0</v>
      </c>
      <c r="DD35" s="71"/>
      <c r="DE35" s="878"/>
      <c r="DF35" s="377"/>
      <c r="DG35" s="71"/>
      <c r="DH35" s="71"/>
      <c r="DI35" s="877">
        <f>+'Pro Forma IS'!DI20-DI33-76</f>
        <v>4.5474735088646412E-13</v>
      </c>
      <c r="DJ35" s="541"/>
      <c r="DK35" s="878"/>
      <c r="DL35" s="824"/>
      <c r="DM35" s="824"/>
      <c r="DN35" s="824"/>
      <c r="DO35" s="877">
        <f>+'Pro Forma IS'!DO20-DO33</f>
        <v>0</v>
      </c>
      <c r="DP35" s="541"/>
      <c r="DQ35" s="823"/>
      <c r="DR35" s="824"/>
      <c r="DS35" s="824"/>
      <c r="DT35" s="824"/>
      <c r="DU35" s="877">
        <f>+'Pro Forma IS'!DU20-DU33</f>
        <v>0</v>
      </c>
      <c r="DV35" s="541"/>
      <c r="DW35" s="823"/>
      <c r="DX35" s="824"/>
      <c r="DY35" s="824"/>
      <c r="DZ35" s="824"/>
      <c r="EA35" s="877">
        <f>+'Pro Forma IS'!EA20-EA33</f>
        <v>0</v>
      </c>
      <c r="EB35" s="541"/>
      <c r="EC35" s="823"/>
      <c r="ED35" s="824"/>
      <c r="EE35" s="824"/>
      <c r="EF35" s="824"/>
      <c r="EG35" s="877">
        <f>+'Pro Forma IS'!EG20-EG33</f>
        <v>0</v>
      </c>
    </row>
    <row r="36" spans="1:137" ht="11.25" customHeight="1" x14ac:dyDescent="0.2">
      <c r="A36" s="51"/>
      <c r="B36" s="14"/>
      <c r="C36" s="14"/>
      <c r="D36" s="14"/>
      <c r="E36" s="92"/>
      <c r="F36" s="71"/>
      <c r="G36" s="92"/>
      <c r="H36" s="71"/>
      <c r="I36" s="92"/>
      <c r="J36" s="71"/>
      <c r="K36" s="92"/>
      <c r="L36" s="71"/>
      <c r="M36" s="84"/>
      <c r="N36" s="71"/>
      <c r="O36" s="71"/>
      <c r="P36" s="71"/>
      <c r="Q36" s="93"/>
      <c r="R36" s="71"/>
      <c r="S36" s="84"/>
      <c r="T36" s="71"/>
      <c r="U36" s="71"/>
      <c r="V36" s="71"/>
      <c r="W36" s="93"/>
      <c r="X36" s="71"/>
      <c r="Y36" s="84"/>
      <c r="Z36" s="71"/>
      <c r="AA36" s="71"/>
      <c r="AB36" s="71"/>
      <c r="AC36" s="93"/>
      <c r="AD36" s="71"/>
      <c r="AE36" s="84"/>
      <c r="AF36" s="71"/>
      <c r="AG36" s="71"/>
      <c r="AH36" s="71"/>
      <c r="AI36" s="93"/>
      <c r="AJ36" s="71"/>
      <c r="AK36" s="84"/>
      <c r="AL36" s="71"/>
      <c r="AM36" s="71"/>
      <c r="AN36" s="71"/>
      <c r="AO36" s="93"/>
      <c r="AP36" s="71"/>
      <c r="AQ36" s="84"/>
      <c r="AR36" s="71"/>
      <c r="AS36" s="71"/>
      <c r="AT36" s="71"/>
      <c r="AU36" s="93"/>
      <c r="AV36" s="71"/>
      <c r="AW36" s="84"/>
      <c r="AX36" s="71"/>
      <c r="AY36" s="71"/>
      <c r="AZ36" s="71"/>
      <c r="BA36" s="93"/>
      <c r="BB36" s="71"/>
      <c r="BC36" s="84"/>
      <c r="BD36" s="71"/>
      <c r="BE36" s="71"/>
      <c r="BF36" s="71"/>
      <c r="BG36" s="93"/>
      <c r="BH36" s="71"/>
      <c r="BI36" s="84"/>
      <c r="BJ36" s="71"/>
      <c r="BK36" s="71"/>
      <c r="BL36" s="71"/>
      <c r="BM36" s="93"/>
      <c r="BN36" s="71"/>
      <c r="BO36" s="84"/>
      <c r="BP36" s="71"/>
      <c r="BQ36" s="71"/>
      <c r="BR36" s="71"/>
      <c r="BS36" s="93"/>
      <c r="BT36" s="71"/>
      <c r="BU36" s="84"/>
      <c r="BV36" s="71"/>
      <c r="BW36" s="71"/>
      <c r="BX36" s="71"/>
      <c r="BY36" s="93"/>
      <c r="BZ36" s="71"/>
      <c r="CA36" s="84"/>
      <c r="CB36" s="71"/>
      <c r="CC36" s="71"/>
      <c r="CD36" s="71"/>
      <c r="CE36" s="776"/>
      <c r="CF36" s="541"/>
      <c r="CG36" s="782"/>
      <c r="CH36" s="541"/>
      <c r="CI36" s="541"/>
      <c r="CJ36" s="541"/>
      <c r="CK36" s="776"/>
      <c r="CL36" s="541"/>
      <c r="CM36" s="782"/>
      <c r="CN36" s="541"/>
      <c r="CO36" s="541"/>
      <c r="CP36" s="541"/>
      <c r="CQ36" s="776"/>
      <c r="CR36" s="541"/>
      <c r="CS36" s="782"/>
      <c r="CT36" s="541"/>
      <c r="CU36" s="541"/>
      <c r="CV36" s="541"/>
      <c r="CW36" s="776"/>
      <c r="CX36" s="541"/>
      <c r="CY36" s="782"/>
      <c r="CZ36" s="541"/>
      <c r="DA36" s="541"/>
      <c r="DB36" s="541"/>
      <c r="DC36" s="776"/>
      <c r="DD36" s="541"/>
      <c r="DE36" s="782"/>
      <c r="DF36" s="541"/>
      <c r="DG36" s="541"/>
      <c r="DH36" s="541"/>
      <c r="DI36" s="776"/>
      <c r="DJ36" s="71"/>
      <c r="DK36" s="782"/>
      <c r="DL36" s="71"/>
      <c r="DM36" s="71"/>
      <c r="DN36" s="71"/>
      <c r="DO36" s="93"/>
      <c r="DP36" s="71"/>
      <c r="DQ36" s="84"/>
      <c r="DR36" s="71"/>
      <c r="DS36" s="71"/>
      <c r="DT36" s="71"/>
      <c r="DU36" s="792"/>
      <c r="DV36" s="71"/>
      <c r="DW36" s="84"/>
      <c r="DX36" s="71"/>
      <c r="DY36" s="71"/>
      <c r="DZ36" s="71"/>
      <c r="EA36" s="792"/>
      <c r="EB36" s="71"/>
      <c r="EC36" s="84"/>
      <c r="ED36" s="71"/>
      <c r="EE36" s="71"/>
      <c r="EF36" s="71"/>
      <c r="EG36" s="792"/>
    </row>
    <row r="37" spans="1:137" s="783" customFormat="1" ht="11.25" customHeight="1" x14ac:dyDescent="0.2">
      <c r="A37" s="780" t="s">
        <v>408</v>
      </c>
      <c r="B37" s="539"/>
      <c r="C37" s="539"/>
      <c r="D37" s="539"/>
      <c r="E37" s="781"/>
      <c r="F37" s="541"/>
      <c r="G37" s="781"/>
      <c r="H37" s="541"/>
      <c r="I37" s="781"/>
      <c r="J37" s="541"/>
      <c r="K37" s="781"/>
      <c r="L37" s="541"/>
      <c r="M37" s="782"/>
      <c r="N37" s="541"/>
      <c r="O37" s="541"/>
      <c r="P37" s="541"/>
      <c r="Q37" s="776"/>
      <c r="R37" s="541"/>
      <c r="S37" s="782"/>
      <c r="T37" s="541"/>
      <c r="U37" s="541"/>
      <c r="V37" s="541"/>
      <c r="W37" s="776"/>
      <c r="X37" s="541"/>
      <c r="Y37" s="782"/>
      <c r="Z37" s="541"/>
      <c r="AA37" s="541"/>
      <c r="AB37" s="541"/>
      <c r="AC37" s="776"/>
      <c r="AD37" s="541"/>
      <c r="AE37" s="782"/>
      <c r="AF37" s="541"/>
      <c r="AG37" s="541"/>
      <c r="AH37" s="541"/>
      <c r="AI37" s="776"/>
      <c r="AJ37" s="541"/>
      <c r="AK37" s="782"/>
      <c r="AL37" s="541"/>
      <c r="AM37" s="541"/>
      <c r="AN37" s="541"/>
      <c r="AO37" s="776"/>
      <c r="AP37" s="541"/>
      <c r="AQ37" s="782"/>
      <c r="AR37" s="541"/>
      <c r="AS37" s="541"/>
      <c r="AT37" s="541"/>
      <c r="AU37" s="776"/>
      <c r="AV37" s="541"/>
      <c r="AW37" s="782"/>
      <c r="AX37" s="541"/>
      <c r="AY37" s="541"/>
      <c r="AZ37" s="541"/>
      <c r="BA37" s="776"/>
      <c r="BB37" s="541"/>
      <c r="BC37" s="782"/>
      <c r="BD37" s="541"/>
      <c r="BE37" s="541"/>
      <c r="BF37" s="541"/>
      <c r="BG37" s="776"/>
      <c r="BH37" s="541"/>
      <c r="BI37" s="782"/>
      <c r="BJ37" s="541"/>
      <c r="BK37" s="541"/>
      <c r="BL37" s="541"/>
      <c r="BM37" s="776"/>
      <c r="BN37" s="541"/>
      <c r="BO37" s="782"/>
      <c r="BP37" s="541"/>
      <c r="BQ37" s="541"/>
      <c r="BR37" s="541"/>
      <c r="BS37" s="776"/>
      <c r="BT37" s="541"/>
      <c r="BU37" s="782"/>
      <c r="BV37" s="541"/>
      <c r="BW37" s="541"/>
      <c r="BX37" s="541"/>
      <c r="BY37" s="776"/>
      <c r="BZ37" s="541"/>
      <c r="CA37" s="782"/>
      <c r="CB37" s="541"/>
      <c r="CC37" s="541"/>
      <c r="CD37" s="541"/>
      <c r="CE37" s="776"/>
      <c r="CF37" s="541"/>
      <c r="CG37" s="782"/>
      <c r="CH37" s="541"/>
      <c r="CI37" s="541"/>
      <c r="CJ37" s="541"/>
      <c r="CK37" s="776"/>
      <c r="CL37" s="541"/>
      <c r="CM37" s="782"/>
      <c r="CN37" s="541"/>
      <c r="CO37" s="541"/>
      <c r="CP37" s="541"/>
      <c r="CQ37" s="776"/>
      <c r="CR37" s="541"/>
      <c r="CS37" s="782"/>
      <c r="CT37" s="541"/>
      <c r="CU37" s="541"/>
      <c r="CV37" s="541"/>
      <c r="CW37" s="776"/>
      <c r="CX37" s="541"/>
      <c r="CY37" s="782"/>
      <c r="CZ37" s="541"/>
      <c r="DA37" s="541"/>
      <c r="DB37" s="541"/>
      <c r="DC37" s="776"/>
      <c r="DD37" s="541"/>
      <c r="DE37" s="782"/>
      <c r="DF37" s="541"/>
      <c r="DG37" s="541"/>
      <c r="DH37" s="541"/>
      <c r="DI37" s="776"/>
      <c r="DJ37" s="541"/>
      <c r="DK37" s="782"/>
      <c r="DL37" s="541"/>
      <c r="DM37" s="541"/>
      <c r="DN37" s="541"/>
      <c r="DO37" s="776"/>
      <c r="DP37" s="541"/>
      <c r="DQ37" s="782"/>
      <c r="DR37" s="541"/>
      <c r="DS37" s="541"/>
      <c r="DT37" s="541"/>
      <c r="DU37" s="776"/>
      <c r="DV37" s="541"/>
      <c r="DW37" s="782"/>
      <c r="DX37" s="541"/>
      <c r="DY37" s="541"/>
      <c r="DZ37" s="541"/>
      <c r="EA37" s="776"/>
      <c r="EB37" s="541"/>
      <c r="EC37" s="782"/>
      <c r="ED37" s="541"/>
      <c r="EE37" s="541"/>
      <c r="EF37" s="541"/>
      <c r="EG37" s="776"/>
    </row>
    <row r="38" spans="1:137" s="783" customFormat="1" ht="11.25" customHeight="1" x14ac:dyDescent="0.2">
      <c r="A38" s="538" t="s">
        <v>377</v>
      </c>
      <c r="B38" s="539"/>
      <c r="C38" s="539"/>
      <c r="D38" s="539"/>
      <c r="E38" s="540"/>
      <c r="F38" s="541"/>
      <c r="G38" s="540"/>
      <c r="H38" s="541"/>
      <c r="I38" s="540"/>
      <c r="J38" s="541"/>
      <c r="K38" s="540"/>
      <c r="L38" s="541"/>
      <c r="M38" s="542"/>
      <c r="N38" s="543"/>
      <c r="O38" s="543"/>
      <c r="P38" s="543"/>
      <c r="Q38" s="540"/>
      <c r="R38" s="541"/>
      <c r="S38" s="542"/>
      <c r="T38" s="543"/>
      <c r="U38" s="543"/>
      <c r="V38" s="543"/>
      <c r="W38" s="540"/>
      <c r="X38" s="541"/>
      <c r="Y38" s="542"/>
      <c r="Z38" s="543"/>
      <c r="AA38" s="543"/>
      <c r="AB38" s="543"/>
      <c r="AC38" s="540"/>
      <c r="AD38" s="541"/>
      <c r="AE38" s="542"/>
      <c r="AF38" s="543"/>
      <c r="AG38" s="543"/>
      <c r="AH38" s="543"/>
      <c r="AI38" s="540"/>
      <c r="AJ38" s="541"/>
      <c r="AK38" s="542"/>
      <c r="AL38" s="543"/>
      <c r="AM38" s="543"/>
      <c r="AN38" s="543"/>
      <c r="AO38" s="540"/>
      <c r="AP38" s="541"/>
      <c r="AQ38" s="542"/>
      <c r="AR38" s="543"/>
      <c r="AS38" s="543"/>
      <c r="AT38" s="543"/>
      <c r="AU38" s="540"/>
      <c r="AV38" s="541"/>
      <c r="AW38" s="542"/>
      <c r="AX38" s="543"/>
      <c r="AY38" s="543"/>
      <c r="AZ38" s="543"/>
      <c r="BA38" s="540"/>
      <c r="BB38" s="541"/>
      <c r="BC38" s="542"/>
      <c r="BD38" s="543"/>
      <c r="BE38" s="543"/>
      <c r="BF38" s="543"/>
      <c r="BG38" s="540"/>
      <c r="BH38" s="541"/>
      <c r="BI38" s="542"/>
      <c r="BJ38" s="543"/>
      <c r="BK38" s="543"/>
      <c r="BL38" s="543"/>
      <c r="BM38" s="540"/>
      <c r="BN38" s="541"/>
      <c r="BO38" s="542">
        <f t="shared" ref="BO38:BS41" si="44">+BO28/BO13</f>
        <v>6.9517834404474732E-2</v>
      </c>
      <c r="BP38" s="543">
        <f t="shared" si="44"/>
        <v>5.7971432547297509E-2</v>
      </c>
      <c r="BQ38" s="543">
        <f t="shared" si="44"/>
        <v>0.12266658050564645</v>
      </c>
      <c r="BR38" s="543">
        <f t="shared" si="44"/>
        <v>0.13084566725328711</v>
      </c>
      <c r="BS38" s="540">
        <f t="shared" si="44"/>
        <v>9.8278133840072723E-2</v>
      </c>
      <c r="BT38" s="541"/>
      <c r="BU38" s="542">
        <f t="shared" ref="BU38:BY41" si="45">+BU28/BU13</f>
        <v>0.14376377892850198</v>
      </c>
      <c r="BV38" s="543">
        <f t="shared" si="45"/>
        <v>4.7026882218170571E-2</v>
      </c>
      <c r="BW38" s="543">
        <f t="shared" si="45"/>
        <v>2.9913599206696468E-2</v>
      </c>
      <c r="BX38" s="543">
        <f t="shared" si="45"/>
        <v>0.11660415376678664</v>
      </c>
      <c r="BY38" s="540">
        <f t="shared" si="45"/>
        <v>8.2628433508747684E-2</v>
      </c>
      <c r="BZ38" s="541"/>
      <c r="CA38" s="542">
        <f t="shared" ref="CA38:CE41" si="46">+CA28/CA13</f>
        <v>0.12796838202223507</v>
      </c>
      <c r="CB38" s="543">
        <f t="shared" si="46"/>
        <v>0.12626506669304857</v>
      </c>
      <c r="CC38" s="543">
        <f t="shared" si="46"/>
        <v>0.11855838595087384</v>
      </c>
      <c r="CD38" s="543">
        <f t="shared" si="46"/>
        <v>0.12580343513446324</v>
      </c>
      <c r="CE38" s="540">
        <f t="shared" si="46"/>
        <v>0.12477724469644201</v>
      </c>
      <c r="CF38" s="541"/>
      <c r="CG38" s="542">
        <f t="shared" ref="CG38:CK41" si="47">+CG28/CG13</f>
        <v>0.12340180942146467</v>
      </c>
      <c r="CH38" s="543">
        <f t="shared" si="47"/>
        <v>0.13858376240813042</v>
      </c>
      <c r="CI38" s="543">
        <f t="shared" si="47"/>
        <v>0.1416296509293965</v>
      </c>
      <c r="CJ38" s="543">
        <f t="shared" si="47"/>
        <v>0.14820731196460588</v>
      </c>
      <c r="CK38" s="540">
        <f t="shared" si="47"/>
        <v>0.13883717934663967</v>
      </c>
      <c r="CL38" s="541"/>
      <c r="CM38" s="542">
        <f t="shared" ref="CM38:CQ41" si="48">+CM28/CM13</f>
        <v>0.12619700573909554</v>
      </c>
      <c r="CN38" s="543">
        <f t="shared" si="48"/>
        <v>0.15378879330121734</v>
      </c>
      <c r="CO38" s="543">
        <f t="shared" si="48"/>
        <v>0.15122655424384884</v>
      </c>
      <c r="CP38" s="543">
        <f t="shared" si="48"/>
        <v>0.15331820219684722</v>
      </c>
      <c r="CQ38" s="540">
        <f t="shared" si="48"/>
        <v>0.14672535326006678</v>
      </c>
      <c r="CR38" s="541"/>
      <c r="CS38" s="542">
        <f t="shared" ref="CS38:CW41" si="49">+CS28/CS13</f>
        <v>0.12946028330643713</v>
      </c>
      <c r="CT38" s="543">
        <f t="shared" si="49"/>
        <v>0.12605913885526546</v>
      </c>
      <c r="CU38" s="543">
        <f t="shared" si="49"/>
        <v>6.401491609695463E-2</v>
      </c>
      <c r="CV38" s="543">
        <f t="shared" si="49"/>
        <v>9.6492504730024728E-2</v>
      </c>
      <c r="CW38" s="540">
        <f t="shared" si="49"/>
        <v>9.9315171810420266E-2</v>
      </c>
      <c r="CX38" s="541"/>
      <c r="CY38" s="542">
        <f t="shared" ref="CY38:DC41" si="50">+CY28/CY13</f>
        <v>0.14084730943486209</v>
      </c>
      <c r="CZ38" s="543">
        <f t="shared" si="50"/>
        <v>0.14469622826168788</v>
      </c>
      <c r="DA38" s="543">
        <f t="shared" si="50"/>
        <v>0.15444394145163723</v>
      </c>
      <c r="DB38" s="543">
        <f t="shared" si="50"/>
        <v>0.16835155766453477</v>
      </c>
      <c r="DC38" s="540">
        <f t="shared" si="50"/>
        <v>0.15261186380663075</v>
      </c>
      <c r="DD38" s="543"/>
      <c r="DE38" s="542">
        <f t="shared" ref="DE38:DI41" si="51">+DE28/DE13</f>
        <v>0.16176133323140435</v>
      </c>
      <c r="DF38" s="543">
        <f t="shared" si="51"/>
        <v>0.16008090731777794</v>
      </c>
      <c r="DG38" s="543">
        <f t="shared" si="51"/>
        <v>0.17722246158265118</v>
      </c>
      <c r="DH38" s="543">
        <f t="shared" si="51"/>
        <v>0.19955695034151746</v>
      </c>
      <c r="DI38" s="540">
        <f t="shared" si="51"/>
        <v>0.17588133307647852</v>
      </c>
      <c r="DJ38" s="543"/>
      <c r="DK38" s="542">
        <f t="shared" ref="DK38" si="52">+DK28/DK13</f>
        <v>0.18380758807588077</v>
      </c>
      <c r="DL38" s="543">
        <f t="shared" ref="DL38:DO41" si="53">+DL28/DL13</f>
        <v>0.17600028895279179</v>
      </c>
      <c r="DM38" s="543">
        <f t="shared" si="53"/>
        <v>0.18604253044039287</v>
      </c>
      <c r="DN38" s="543">
        <f t="shared" si="53"/>
        <v>0.21494218227729917</v>
      </c>
      <c r="DO38" s="540">
        <f t="shared" si="53"/>
        <v>0.1912502495846003</v>
      </c>
      <c r="DP38" s="543"/>
      <c r="DQ38" s="542">
        <f t="shared" ref="DQ38:DU41" si="54">+DQ28/DQ13</f>
        <v>0.20740291262135921</v>
      </c>
      <c r="DR38" s="543">
        <f t="shared" si="54"/>
        <v>0.19631468774699276</v>
      </c>
      <c r="DS38" s="543">
        <f t="shared" si="54"/>
        <v>0.20161698738133235</v>
      </c>
      <c r="DT38" s="543">
        <f t="shared" si="54"/>
        <v>0.22814294911238928</v>
      </c>
      <c r="DU38" s="540">
        <f t="shared" si="54"/>
        <v>0.20905287849084861</v>
      </c>
      <c r="DV38" s="543"/>
      <c r="DW38" s="542">
        <f t="shared" ref="DW38:EA38" si="55">+DW28/DW13</f>
        <v>0.22181789257898826</v>
      </c>
      <c r="DX38" s="543">
        <f t="shared" si="55"/>
        <v>0.21094660225247275</v>
      </c>
      <c r="DY38" s="543">
        <f t="shared" si="55"/>
        <v>0.21623594980841201</v>
      </c>
      <c r="DZ38" s="543">
        <f t="shared" si="55"/>
        <v>0.24052806201596755</v>
      </c>
      <c r="EA38" s="540">
        <f t="shared" si="55"/>
        <v>0.22300724388697782</v>
      </c>
      <c r="EB38" s="543"/>
      <c r="EC38" s="542">
        <f t="shared" ref="EC38:EG38" si="56">+EC28/EC13</f>
        <v>0.23247263811884261</v>
      </c>
      <c r="ED38" s="543">
        <f t="shared" si="56"/>
        <v>0.22188515662563879</v>
      </c>
      <c r="EE38" s="543">
        <f t="shared" si="56"/>
        <v>0.22709349243129859</v>
      </c>
      <c r="EF38" s="543">
        <f t="shared" si="56"/>
        <v>0.24967333094743982</v>
      </c>
      <c r="EG38" s="540">
        <f t="shared" si="56"/>
        <v>0.23336165903309522</v>
      </c>
    </row>
    <row r="39" spans="1:137" s="783" customFormat="1" ht="11.25" customHeight="1" x14ac:dyDescent="0.2">
      <c r="A39" s="538" t="s">
        <v>115</v>
      </c>
      <c r="B39" s="539"/>
      <c r="C39" s="539"/>
      <c r="D39" s="539"/>
      <c r="E39" s="540"/>
      <c r="F39" s="541"/>
      <c r="G39" s="540"/>
      <c r="H39" s="541"/>
      <c r="I39" s="540"/>
      <c r="J39" s="541"/>
      <c r="K39" s="540"/>
      <c r="L39" s="541"/>
      <c r="M39" s="542"/>
      <c r="N39" s="543"/>
      <c r="O39" s="543"/>
      <c r="P39" s="543"/>
      <c r="Q39" s="540"/>
      <c r="R39" s="541"/>
      <c r="S39" s="542"/>
      <c r="T39" s="543"/>
      <c r="U39" s="543"/>
      <c r="V39" s="543"/>
      <c r="W39" s="540"/>
      <c r="X39" s="541"/>
      <c r="Y39" s="542"/>
      <c r="Z39" s="543"/>
      <c r="AA39" s="543"/>
      <c r="AB39" s="543"/>
      <c r="AC39" s="540"/>
      <c r="AD39" s="541"/>
      <c r="AE39" s="542"/>
      <c r="AF39" s="543"/>
      <c r="AG39" s="543"/>
      <c r="AH39" s="543"/>
      <c r="AI39" s="540"/>
      <c r="AJ39" s="541"/>
      <c r="AK39" s="542"/>
      <c r="AL39" s="543"/>
      <c r="AM39" s="543"/>
      <c r="AN39" s="543"/>
      <c r="AO39" s="540"/>
      <c r="AP39" s="541"/>
      <c r="AQ39" s="542"/>
      <c r="AR39" s="543"/>
      <c r="AS39" s="543"/>
      <c r="AT39" s="543"/>
      <c r="AU39" s="540"/>
      <c r="AV39" s="541"/>
      <c r="AW39" s="542"/>
      <c r="AX39" s="543"/>
      <c r="AY39" s="543"/>
      <c r="AZ39" s="543"/>
      <c r="BA39" s="540"/>
      <c r="BB39" s="541"/>
      <c r="BC39" s="542"/>
      <c r="BD39" s="543"/>
      <c r="BE39" s="543"/>
      <c r="BF39" s="543"/>
      <c r="BG39" s="540"/>
      <c r="BH39" s="541"/>
      <c r="BI39" s="542"/>
      <c r="BJ39" s="543"/>
      <c r="BK39" s="543"/>
      <c r="BL39" s="543"/>
      <c r="BM39" s="540"/>
      <c r="BN39" s="541"/>
      <c r="BO39" s="542">
        <f t="shared" si="44"/>
        <v>6.9516958975311516E-2</v>
      </c>
      <c r="BP39" s="543">
        <f t="shared" si="44"/>
        <v>5.7971040946975791E-2</v>
      </c>
      <c r="BQ39" s="543">
        <f t="shared" si="44"/>
        <v>0.12266690965754995</v>
      </c>
      <c r="BR39" s="543">
        <f t="shared" si="44"/>
        <v>0.13084676211072349</v>
      </c>
      <c r="BS39" s="540">
        <f t="shared" si="44"/>
        <v>9.7301851202056144E-2</v>
      </c>
      <c r="BT39" s="541"/>
      <c r="BU39" s="542">
        <f t="shared" si="45"/>
        <v>0.14376387113440728</v>
      </c>
      <c r="BV39" s="543">
        <f t="shared" si="45"/>
        <v>4.702720027482394E-2</v>
      </c>
      <c r="BW39" s="543">
        <f t="shared" si="45"/>
        <v>3.3643975161900708E-2</v>
      </c>
      <c r="BX39" s="543">
        <f t="shared" si="45"/>
        <v>0.1382772457615794</v>
      </c>
      <c r="BY39" s="540">
        <f t="shared" si="45"/>
        <v>8.906618365123789E-2</v>
      </c>
      <c r="BZ39" s="541"/>
      <c r="CA39" s="542">
        <f t="shared" si="46"/>
        <v>0.13549910656497482</v>
      </c>
      <c r="CB39" s="543">
        <f t="shared" si="46"/>
        <v>0.13347154620369556</v>
      </c>
      <c r="CC39" s="543">
        <f t="shared" si="46"/>
        <v>0.12355287168269256</v>
      </c>
      <c r="CD39" s="543">
        <f t="shared" si="46"/>
        <v>0.15233839227465798</v>
      </c>
      <c r="CE39" s="540">
        <f t="shared" si="46"/>
        <v>0.13675234100212713</v>
      </c>
      <c r="CF39" s="541"/>
      <c r="CG39" s="542">
        <f t="shared" si="47"/>
        <v>0.12838871150885622</v>
      </c>
      <c r="CH39" s="543">
        <f t="shared" si="47"/>
        <v>0.14598555797844462</v>
      </c>
      <c r="CI39" s="543">
        <f t="shared" si="47"/>
        <v>0.14989489174505968</v>
      </c>
      <c r="CJ39" s="543">
        <f t="shared" si="47"/>
        <v>0.17750548927417709</v>
      </c>
      <c r="CK39" s="540">
        <f t="shared" si="47"/>
        <v>0.15147957431319653</v>
      </c>
      <c r="CL39" s="541"/>
      <c r="CM39" s="542">
        <f t="shared" si="48"/>
        <v>0.1345075036959664</v>
      </c>
      <c r="CN39" s="543">
        <f t="shared" si="48"/>
        <v>0.15888244152936365</v>
      </c>
      <c r="CO39" s="543">
        <f t="shared" si="48"/>
        <v>0.15880792152450984</v>
      </c>
      <c r="CP39" s="543">
        <f t="shared" si="48"/>
        <v>0.17271479085724323</v>
      </c>
      <c r="CQ39" s="540">
        <f t="shared" si="48"/>
        <v>0.15696857209093826</v>
      </c>
      <c r="CR39" s="541"/>
      <c r="CS39" s="542">
        <f t="shared" si="49"/>
        <v>0.12595623554527663</v>
      </c>
      <c r="CT39" s="543">
        <f t="shared" si="49"/>
        <v>0.16827309236947791</v>
      </c>
      <c r="CU39" s="543">
        <f t="shared" si="49"/>
        <v>0.13539717639054261</v>
      </c>
      <c r="CV39" s="543">
        <f t="shared" si="49"/>
        <v>0.1832375330122728</v>
      </c>
      <c r="CW39" s="540">
        <f t="shared" si="49"/>
        <v>0.15441602516347985</v>
      </c>
      <c r="CX39" s="541"/>
      <c r="CY39" s="542">
        <f t="shared" si="50"/>
        <v>0.15859883823270549</v>
      </c>
      <c r="CZ39" s="543">
        <f t="shared" si="50"/>
        <v>0.18463740458015268</v>
      </c>
      <c r="DA39" s="543">
        <f t="shared" si="50"/>
        <v>0.15989115197493198</v>
      </c>
      <c r="DB39" s="543">
        <f t="shared" si="50"/>
        <v>0.12578572426316526</v>
      </c>
      <c r="DC39" s="540">
        <f t="shared" si="50"/>
        <v>0.1560843935454419</v>
      </c>
      <c r="DD39" s="543"/>
      <c r="DE39" s="542">
        <f t="shared" si="51"/>
        <v>0.11647705869057486</v>
      </c>
      <c r="DF39" s="543">
        <f t="shared" si="51"/>
        <v>0.10944444444444444</v>
      </c>
      <c r="DG39" s="543">
        <f t="shared" si="51"/>
        <v>0.16752950921515841</v>
      </c>
      <c r="DH39" s="543">
        <f t="shared" si="51"/>
        <v>0.19502432415789148</v>
      </c>
      <c r="DI39" s="540">
        <f t="shared" si="51"/>
        <v>0.14924913097827017</v>
      </c>
      <c r="DJ39" s="543"/>
      <c r="DK39" s="542">
        <f t="shared" ref="DK39" si="57">+DK29/DK14</f>
        <v>0.16319010330986378</v>
      </c>
      <c r="DL39" s="543">
        <f t="shared" si="53"/>
        <v>0.16254325536777478</v>
      </c>
      <c r="DM39" s="543">
        <f t="shared" si="53"/>
        <v>0.17224688365172958</v>
      </c>
      <c r="DN39" s="543">
        <f t="shared" si="53"/>
        <v>0.20465196906741256</v>
      </c>
      <c r="DO39" s="540">
        <f t="shared" si="53"/>
        <v>0.17640478410930399</v>
      </c>
      <c r="DP39" s="543"/>
      <c r="DQ39" s="542">
        <f t="shared" si="54"/>
        <v>0.16717760084499439</v>
      </c>
      <c r="DR39" s="543">
        <f t="shared" si="54"/>
        <v>0.17085998076552303</v>
      </c>
      <c r="DS39" s="543">
        <f t="shared" si="54"/>
        <v>0.18039693814082808</v>
      </c>
      <c r="DT39" s="543">
        <f t="shared" si="54"/>
        <v>0.21147784488049315</v>
      </c>
      <c r="DU39" s="540">
        <f t="shared" si="54"/>
        <v>0.18335047093514817</v>
      </c>
      <c r="DV39" s="543"/>
      <c r="DW39" s="542">
        <f t="shared" ref="DW39:EA39" si="58">+DW29/DW14</f>
        <v>0.17832611073506111</v>
      </c>
      <c r="DX39" s="543">
        <f t="shared" si="58"/>
        <v>0.18160320920798714</v>
      </c>
      <c r="DY39" s="543">
        <f t="shared" si="58"/>
        <v>0.19081903386070923</v>
      </c>
      <c r="DZ39" s="543">
        <f t="shared" si="58"/>
        <v>0.22007145744914536</v>
      </c>
      <c r="EA39" s="540">
        <f t="shared" si="58"/>
        <v>0.19352669778719153</v>
      </c>
      <c r="EB39" s="543"/>
      <c r="EC39" s="542">
        <f t="shared" ref="EC39:EG39" si="59">+EC29/EC14</f>
        <v>0.18885996265925153</v>
      </c>
      <c r="ED39" s="543">
        <f t="shared" si="59"/>
        <v>0.19177864112458659</v>
      </c>
      <c r="EE39" s="543">
        <f t="shared" si="59"/>
        <v>0.2006398473837834</v>
      </c>
      <c r="EF39" s="543">
        <f t="shared" si="59"/>
        <v>0.2250299601798654</v>
      </c>
      <c r="EG39" s="540">
        <f t="shared" si="59"/>
        <v>0.2022820089579459</v>
      </c>
    </row>
    <row r="40" spans="1:137" s="783" customFormat="1" ht="11.25" customHeight="1" x14ac:dyDescent="0.2">
      <c r="A40" s="538" t="s">
        <v>163</v>
      </c>
      <c r="B40" s="539"/>
      <c r="C40" s="539"/>
      <c r="D40" s="539"/>
      <c r="E40" s="540"/>
      <c r="F40" s="541"/>
      <c r="G40" s="540"/>
      <c r="H40" s="541"/>
      <c r="I40" s="540"/>
      <c r="J40" s="541"/>
      <c r="K40" s="540"/>
      <c r="L40" s="541"/>
      <c r="M40" s="542"/>
      <c r="N40" s="543"/>
      <c r="O40" s="543"/>
      <c r="P40" s="543"/>
      <c r="Q40" s="540"/>
      <c r="R40" s="541"/>
      <c r="S40" s="542"/>
      <c r="T40" s="543"/>
      <c r="U40" s="543"/>
      <c r="V40" s="543"/>
      <c r="W40" s="540"/>
      <c r="X40" s="541"/>
      <c r="Y40" s="542"/>
      <c r="Z40" s="543"/>
      <c r="AA40" s="543"/>
      <c r="AB40" s="543"/>
      <c r="AC40" s="540"/>
      <c r="AD40" s="541"/>
      <c r="AE40" s="542"/>
      <c r="AF40" s="543"/>
      <c r="AG40" s="543"/>
      <c r="AH40" s="543"/>
      <c r="AI40" s="540"/>
      <c r="AJ40" s="541"/>
      <c r="AK40" s="542"/>
      <c r="AL40" s="543"/>
      <c r="AM40" s="543"/>
      <c r="AN40" s="543"/>
      <c r="AO40" s="540"/>
      <c r="AP40" s="541"/>
      <c r="AQ40" s="542"/>
      <c r="AR40" s="543"/>
      <c r="AS40" s="543"/>
      <c r="AT40" s="543"/>
      <c r="AU40" s="540"/>
      <c r="AV40" s="541"/>
      <c r="AW40" s="542"/>
      <c r="AX40" s="543"/>
      <c r="AY40" s="543"/>
      <c r="AZ40" s="543"/>
      <c r="BA40" s="540"/>
      <c r="BB40" s="541"/>
      <c r="BC40" s="542"/>
      <c r="BD40" s="543"/>
      <c r="BE40" s="543"/>
      <c r="BF40" s="543"/>
      <c r="BG40" s="540"/>
      <c r="BH40" s="541"/>
      <c r="BI40" s="542"/>
      <c r="BJ40" s="543"/>
      <c r="BK40" s="543"/>
      <c r="BL40" s="543"/>
      <c r="BM40" s="540"/>
      <c r="BN40" s="541"/>
      <c r="BO40" s="542">
        <f t="shared" si="44"/>
        <v>8.4761463640574339E-2</v>
      </c>
      <c r="BP40" s="543">
        <f t="shared" si="44"/>
        <v>0.10786831660051366</v>
      </c>
      <c r="BQ40" s="543">
        <f t="shared" si="44"/>
        <v>0.1293453724604966</v>
      </c>
      <c r="BR40" s="543">
        <f t="shared" si="44"/>
        <v>0.12118887823585811</v>
      </c>
      <c r="BS40" s="540">
        <f t="shared" si="44"/>
        <v>0.11142168146443057</v>
      </c>
      <c r="BT40" s="541"/>
      <c r="BU40" s="542">
        <f t="shared" si="45"/>
        <v>0.10679611650485436</v>
      </c>
      <c r="BV40" s="543">
        <f t="shared" si="45"/>
        <v>0.10897562908658609</v>
      </c>
      <c r="BW40" s="543">
        <f t="shared" si="45"/>
        <v>0.14514819326025172</v>
      </c>
      <c r="BX40" s="543">
        <f t="shared" si="45"/>
        <v>0.1091933139534884</v>
      </c>
      <c r="BY40" s="540">
        <f t="shared" si="45"/>
        <v>0.11739260143198089</v>
      </c>
      <c r="BZ40" s="541"/>
      <c r="CA40" s="542">
        <f t="shared" si="46"/>
        <v>0.12674843985366904</v>
      </c>
      <c r="CB40" s="543">
        <f t="shared" si="46"/>
        <v>0.14354450681635925</v>
      </c>
      <c r="CC40" s="543">
        <f t="shared" si="46"/>
        <v>0.15545101247698917</v>
      </c>
      <c r="CD40" s="543">
        <f t="shared" si="46"/>
        <v>0.15179666958808063</v>
      </c>
      <c r="CE40" s="540">
        <f t="shared" si="46"/>
        <v>0.14489099807207476</v>
      </c>
      <c r="CF40" s="541"/>
      <c r="CG40" s="542">
        <f t="shared" si="47"/>
        <v>0.1310962901208837</v>
      </c>
      <c r="CH40" s="543">
        <f t="shared" si="47"/>
        <v>0.15309889255877207</v>
      </c>
      <c r="CI40" s="543">
        <f t="shared" si="47"/>
        <v>0.16111328890631127</v>
      </c>
      <c r="CJ40" s="543">
        <f t="shared" si="47"/>
        <v>0.13724161301253812</v>
      </c>
      <c r="CK40" s="540">
        <f t="shared" si="47"/>
        <v>0.14554394004487087</v>
      </c>
      <c r="CL40" s="541"/>
      <c r="CM40" s="542">
        <f t="shared" si="48"/>
        <v>0.14812634883264666</v>
      </c>
      <c r="CN40" s="543">
        <f t="shared" si="48"/>
        <v>0.14750994129899642</v>
      </c>
      <c r="CO40" s="543">
        <f t="shared" si="48"/>
        <v>0.17259651778955337</v>
      </c>
      <c r="CP40" s="543">
        <f t="shared" si="48"/>
        <v>9.5390014356356662E-2</v>
      </c>
      <c r="CQ40" s="540">
        <f t="shared" si="48"/>
        <v>0.1387989603757239</v>
      </c>
      <c r="CR40" s="541"/>
      <c r="CS40" s="542">
        <f t="shared" si="49"/>
        <v>9.0730676328502416E-2</v>
      </c>
      <c r="CT40" s="543">
        <f t="shared" si="49"/>
        <v>0.14150668993600929</v>
      </c>
      <c r="CU40" s="543">
        <f t="shared" si="49"/>
        <v>0.14842072983747315</v>
      </c>
      <c r="CV40" s="543">
        <f t="shared" si="49"/>
        <v>0.15818132316907157</v>
      </c>
      <c r="CW40" s="540">
        <f t="shared" si="49"/>
        <v>0.13534054370067231</v>
      </c>
      <c r="CX40" s="541"/>
      <c r="CY40" s="542">
        <f t="shared" si="50"/>
        <v>0.14499161457539259</v>
      </c>
      <c r="CZ40" s="543">
        <f t="shared" si="50"/>
        <v>0.1528127623845508</v>
      </c>
      <c r="DA40" s="543">
        <f t="shared" si="50"/>
        <v>0.14994079336885729</v>
      </c>
      <c r="DB40" s="543">
        <f t="shared" si="50"/>
        <v>0.1539293926687407</v>
      </c>
      <c r="DC40" s="540">
        <f t="shared" si="50"/>
        <v>0.15057083363251242</v>
      </c>
      <c r="DD40" s="543"/>
      <c r="DE40" s="542">
        <f t="shared" si="51"/>
        <v>0.13638443935926775</v>
      </c>
      <c r="DF40" s="543">
        <f t="shared" si="51"/>
        <v>0.15627668659265584</v>
      </c>
      <c r="DG40" s="543">
        <f t="shared" si="51"/>
        <v>0.14726224783861672</v>
      </c>
      <c r="DH40" s="543">
        <f t="shared" si="51"/>
        <v>0.13086452293094361</v>
      </c>
      <c r="DI40" s="540">
        <f t="shared" si="51"/>
        <v>0.14255220747803196</v>
      </c>
      <c r="DJ40" s="543"/>
      <c r="DK40" s="542">
        <f t="shared" ref="DK40" si="60">+DK30/DK15</f>
        <v>7.5676479333928029E-2</v>
      </c>
      <c r="DL40" s="543">
        <f t="shared" si="53"/>
        <v>0.14761032521029552</v>
      </c>
      <c r="DM40" s="543">
        <f t="shared" si="53"/>
        <v>0.14481410677090761</v>
      </c>
      <c r="DN40" s="543">
        <f t="shared" si="53"/>
        <v>0.16429281051052269</v>
      </c>
      <c r="DO40" s="540">
        <f t="shared" si="53"/>
        <v>0.13474555890324971</v>
      </c>
      <c r="DP40" s="543"/>
      <c r="DQ40" s="542">
        <f t="shared" si="54"/>
        <v>8.2210174110609741E-2</v>
      </c>
      <c r="DR40" s="543">
        <f t="shared" si="54"/>
        <v>0.1520488594274714</v>
      </c>
      <c r="DS40" s="543">
        <f t="shared" si="54"/>
        <v>0.14933408424359965</v>
      </c>
      <c r="DT40" s="543">
        <f t="shared" si="54"/>
        <v>0.16824544709759484</v>
      </c>
      <c r="DU40" s="540">
        <f t="shared" si="54"/>
        <v>0.13955879505169877</v>
      </c>
      <c r="DV40" s="543"/>
      <c r="DW40" s="542">
        <f t="shared" ref="DW40:EA40" si="61">+DW30/DW15</f>
        <v>8.8553567097679378E-2</v>
      </c>
      <c r="DX40" s="543">
        <f t="shared" si="61"/>
        <v>0.15635811594900137</v>
      </c>
      <c r="DY40" s="543">
        <f t="shared" si="61"/>
        <v>0.15372241188698993</v>
      </c>
      <c r="DZ40" s="543">
        <f t="shared" si="61"/>
        <v>0.17208295834717946</v>
      </c>
      <c r="EA40" s="540">
        <f t="shared" si="61"/>
        <v>0.14423183985601823</v>
      </c>
      <c r="EB40" s="543"/>
      <c r="EC40" s="542">
        <f t="shared" ref="EC40:EG40" si="62">+EC30/EC15</f>
        <v>9.4712201065708143E-2</v>
      </c>
      <c r="ED40" s="543">
        <f t="shared" si="62"/>
        <v>0.16054186014466151</v>
      </c>
      <c r="EE40" s="543">
        <f t="shared" si="62"/>
        <v>0.15798292416212617</v>
      </c>
      <c r="EF40" s="543">
        <f t="shared" si="62"/>
        <v>0.1758086974244461</v>
      </c>
      <c r="EG40" s="540">
        <f t="shared" si="62"/>
        <v>0.14876877655924101</v>
      </c>
    </row>
    <row r="41" spans="1:137" s="783" customFormat="1" ht="11.25" customHeight="1" x14ac:dyDescent="0.2">
      <c r="A41" s="538" t="s">
        <v>231</v>
      </c>
      <c r="B41" s="539"/>
      <c r="C41" s="539"/>
      <c r="D41" s="539"/>
      <c r="E41" s="540"/>
      <c r="F41" s="541"/>
      <c r="G41" s="540"/>
      <c r="H41" s="541"/>
      <c r="I41" s="540"/>
      <c r="J41" s="541"/>
      <c r="K41" s="540"/>
      <c r="L41" s="541"/>
      <c r="M41" s="542"/>
      <c r="N41" s="543"/>
      <c r="O41" s="543"/>
      <c r="P41" s="543"/>
      <c r="Q41" s="540"/>
      <c r="R41" s="541"/>
      <c r="S41" s="542"/>
      <c r="T41" s="543"/>
      <c r="U41" s="543"/>
      <c r="V41" s="543"/>
      <c r="W41" s="540"/>
      <c r="X41" s="541"/>
      <c r="Y41" s="542"/>
      <c r="Z41" s="543"/>
      <c r="AA41" s="543"/>
      <c r="AB41" s="543"/>
      <c r="AC41" s="540"/>
      <c r="AD41" s="541"/>
      <c r="AE41" s="542"/>
      <c r="AF41" s="543"/>
      <c r="AG41" s="543"/>
      <c r="AH41" s="543"/>
      <c r="AI41" s="540"/>
      <c r="AJ41" s="541"/>
      <c r="AK41" s="542"/>
      <c r="AL41" s="543"/>
      <c r="AM41" s="543"/>
      <c r="AN41" s="543"/>
      <c r="AO41" s="540"/>
      <c r="AP41" s="541"/>
      <c r="AQ41" s="542"/>
      <c r="AR41" s="543"/>
      <c r="AS41" s="543"/>
      <c r="AT41" s="543"/>
      <c r="AU41" s="540"/>
      <c r="AV41" s="541"/>
      <c r="AW41" s="542"/>
      <c r="AX41" s="543"/>
      <c r="AY41" s="543"/>
      <c r="AZ41" s="543"/>
      <c r="BA41" s="540"/>
      <c r="BB41" s="541"/>
      <c r="BC41" s="542"/>
      <c r="BD41" s="543"/>
      <c r="BE41" s="543"/>
      <c r="BF41" s="543"/>
      <c r="BG41" s="540"/>
      <c r="BH41" s="541"/>
      <c r="BI41" s="542"/>
      <c r="BJ41" s="543"/>
      <c r="BK41" s="543"/>
      <c r="BL41" s="543"/>
      <c r="BM41" s="540"/>
      <c r="BN41" s="541"/>
      <c r="BO41" s="542">
        <f t="shared" si="44"/>
        <v>0.18096239415597765</v>
      </c>
      <c r="BP41" s="543">
        <f t="shared" si="44"/>
        <v>0.21184033520104659</v>
      </c>
      <c r="BQ41" s="543">
        <f t="shared" si="44"/>
        <v>0.21165142823328012</v>
      </c>
      <c r="BR41" s="543">
        <f t="shared" si="44"/>
        <v>0.20725105813433473</v>
      </c>
      <c r="BS41" s="540">
        <f t="shared" si="44"/>
        <v>0.20358681888264057</v>
      </c>
      <c r="BT41" s="541"/>
      <c r="BU41" s="542">
        <f t="shared" si="45"/>
        <v>0.20719835201683051</v>
      </c>
      <c r="BV41" s="543">
        <f t="shared" si="45"/>
        <v>0.21718177680669221</v>
      </c>
      <c r="BW41" s="543">
        <f t="shared" si="45"/>
        <v>0.21757347041333888</v>
      </c>
      <c r="BX41" s="543">
        <f t="shared" si="45"/>
        <v>0.2002483819658025</v>
      </c>
      <c r="BY41" s="540">
        <f t="shared" si="45"/>
        <v>0.21043420590254952</v>
      </c>
      <c r="BZ41" s="541"/>
      <c r="CA41" s="542">
        <f t="shared" si="46"/>
        <v>0.19612239450568145</v>
      </c>
      <c r="CB41" s="543">
        <f t="shared" si="46"/>
        <v>0.21987351842983979</v>
      </c>
      <c r="CC41" s="543">
        <f t="shared" si="46"/>
        <v>0.21691343451433975</v>
      </c>
      <c r="CD41" s="543">
        <f t="shared" si="46"/>
        <v>0.25307730363319825</v>
      </c>
      <c r="CE41" s="540">
        <f t="shared" si="46"/>
        <v>0.22275731825617753</v>
      </c>
      <c r="CF41" s="541"/>
      <c r="CG41" s="542">
        <f t="shared" si="47"/>
        <v>0.19774944860534591</v>
      </c>
      <c r="CH41" s="543">
        <f t="shared" si="47"/>
        <v>0.22593366678037224</v>
      </c>
      <c r="CI41" s="543">
        <f t="shared" si="47"/>
        <v>0.21676660923452648</v>
      </c>
      <c r="CJ41" s="543">
        <f t="shared" si="47"/>
        <v>0.22314525883269279</v>
      </c>
      <c r="CK41" s="540">
        <f t="shared" si="47"/>
        <v>0.21646801957577877</v>
      </c>
      <c r="CL41" s="541"/>
      <c r="CM41" s="542">
        <f t="shared" si="48"/>
        <v>0.20698132185613599</v>
      </c>
      <c r="CN41" s="543">
        <f t="shared" si="48"/>
        <v>0.22402149069503416</v>
      </c>
      <c r="CO41" s="543">
        <f t="shared" si="48"/>
        <v>0.22320971877027815</v>
      </c>
      <c r="CP41" s="543">
        <f t="shared" si="48"/>
        <v>0.22657695787535015</v>
      </c>
      <c r="CQ41" s="540">
        <f t="shared" si="48"/>
        <v>0.22062914882383455</v>
      </c>
      <c r="CR41" s="541"/>
      <c r="CS41" s="542">
        <f t="shared" si="49"/>
        <v>0.24708102370562568</v>
      </c>
      <c r="CT41" s="543">
        <f t="shared" si="49"/>
        <v>0.26412776412776412</v>
      </c>
      <c r="CU41" s="543">
        <f t="shared" si="49"/>
        <v>0.24508355121063996</v>
      </c>
      <c r="CV41" s="543">
        <f t="shared" si="49"/>
        <v>0.22119119551143721</v>
      </c>
      <c r="CW41" s="540">
        <f t="shared" si="49"/>
        <v>0.2441264296580089</v>
      </c>
      <c r="CX41" s="541"/>
      <c r="CY41" s="542">
        <f t="shared" si="50"/>
        <v>0.22702826410344434</v>
      </c>
      <c r="CZ41" s="543">
        <f t="shared" si="50"/>
        <v>0.23188867643934569</v>
      </c>
      <c r="DA41" s="543">
        <f t="shared" si="50"/>
        <v>0.24324912891986064</v>
      </c>
      <c r="DB41" s="543">
        <f t="shared" si="50"/>
        <v>0.23970388906266291</v>
      </c>
      <c r="DC41" s="540">
        <f t="shared" si="50"/>
        <v>0.23559358752166379</v>
      </c>
      <c r="DD41" s="543"/>
      <c r="DE41" s="542">
        <f t="shared" si="51"/>
        <v>0.22737210319195453</v>
      </c>
      <c r="DF41" s="543">
        <f t="shared" si="51"/>
        <v>0.2392188771358828</v>
      </c>
      <c r="DG41" s="543">
        <f t="shared" si="51"/>
        <v>0.22439319166079164</v>
      </c>
      <c r="DH41" s="543">
        <f t="shared" si="51"/>
        <v>0.23063363948418217</v>
      </c>
      <c r="DI41" s="540">
        <f t="shared" si="51"/>
        <v>0.23044749042531748</v>
      </c>
      <c r="DJ41" s="543"/>
      <c r="DK41" s="542">
        <f t="shared" ref="DK41" si="63">+DK31/DK16</f>
        <v>0.22120533541037873</v>
      </c>
      <c r="DL41" s="543">
        <f t="shared" si="53"/>
        <v>0.24499445894650027</v>
      </c>
      <c r="DM41" s="543">
        <f t="shared" si="53"/>
        <v>0.22258628857480708</v>
      </c>
      <c r="DN41" s="543">
        <f t="shared" si="53"/>
        <v>0.24305060328696435</v>
      </c>
      <c r="DO41" s="540">
        <f t="shared" si="53"/>
        <v>0.23328497875216989</v>
      </c>
      <c r="DP41" s="543"/>
      <c r="DQ41" s="542">
        <f t="shared" si="54"/>
        <v>0.22277100275213121</v>
      </c>
      <c r="DR41" s="543">
        <f t="shared" si="54"/>
        <v>0.2452666278453903</v>
      </c>
      <c r="DS41" s="543">
        <f t="shared" si="54"/>
        <v>0.22407686862865919</v>
      </c>
      <c r="DT41" s="543">
        <f t="shared" si="54"/>
        <v>0.24342846646521452</v>
      </c>
      <c r="DU41" s="540">
        <f t="shared" si="54"/>
        <v>0.23419383333538532</v>
      </c>
      <c r="DV41" s="543"/>
      <c r="DW41" s="542">
        <f t="shared" ref="DW41:EA41" si="64">+DW31/DW16</f>
        <v>0.22394354330347482</v>
      </c>
      <c r="DX41" s="543">
        <f t="shared" si="64"/>
        <v>0.24547045726831609</v>
      </c>
      <c r="DY41" s="543">
        <f t="shared" si="64"/>
        <v>0.22519317572120495</v>
      </c>
      <c r="DZ41" s="543">
        <f t="shared" si="64"/>
        <v>0.2437114511628847</v>
      </c>
      <c r="EA41" s="540">
        <f t="shared" si="64"/>
        <v>0.23487448166065575</v>
      </c>
      <c r="EB41" s="543"/>
      <c r="EC41" s="542">
        <f t="shared" ref="EC41:EG41" si="65">+EC31/EC16</f>
        <v>0.22506559167796633</v>
      </c>
      <c r="ED41" s="543">
        <f t="shared" si="65"/>
        <v>0.2456655093476709</v>
      </c>
      <c r="EE41" s="543">
        <f t="shared" si="65"/>
        <v>0.22626141217340187</v>
      </c>
      <c r="EF41" s="543">
        <f t="shared" si="65"/>
        <v>0.24398224991663608</v>
      </c>
      <c r="EG41" s="540">
        <f t="shared" si="65"/>
        <v>0.23552581977096246</v>
      </c>
    </row>
    <row r="42" spans="1:137" s="783" customFormat="1" ht="11.25" customHeight="1" x14ac:dyDescent="0.2">
      <c r="A42" s="780" t="s">
        <v>446</v>
      </c>
      <c r="B42" s="539"/>
      <c r="C42" s="539"/>
      <c r="D42" s="539"/>
      <c r="E42" s="540"/>
      <c r="F42" s="541"/>
      <c r="G42" s="540"/>
      <c r="H42" s="541"/>
      <c r="I42" s="540"/>
      <c r="J42" s="541"/>
      <c r="K42" s="540"/>
      <c r="L42" s="541"/>
      <c r="M42" s="542"/>
      <c r="N42" s="543"/>
      <c r="O42" s="543"/>
      <c r="P42" s="543"/>
      <c r="Q42" s="540"/>
      <c r="R42" s="541"/>
      <c r="S42" s="542"/>
      <c r="T42" s="543"/>
      <c r="U42" s="543"/>
      <c r="V42" s="543"/>
      <c r="W42" s="540"/>
      <c r="X42" s="541"/>
      <c r="Y42" s="542"/>
      <c r="Z42" s="543"/>
      <c r="AA42" s="543"/>
      <c r="AB42" s="543"/>
      <c r="AC42" s="540"/>
      <c r="AD42" s="541"/>
      <c r="AE42" s="542"/>
      <c r="AF42" s="543"/>
      <c r="AG42" s="543"/>
      <c r="AH42" s="543"/>
      <c r="AI42" s="540"/>
      <c r="AJ42" s="541"/>
      <c r="AK42" s="542"/>
      <c r="AL42" s="543"/>
      <c r="AM42" s="543"/>
      <c r="AN42" s="543"/>
      <c r="AO42" s="540"/>
      <c r="AP42" s="541"/>
      <c r="AQ42" s="542"/>
      <c r="AR42" s="543"/>
      <c r="AS42" s="543"/>
      <c r="AT42" s="543"/>
      <c r="AU42" s="540"/>
      <c r="AV42" s="541"/>
      <c r="AW42" s="542"/>
      <c r="AX42" s="543"/>
      <c r="AY42" s="543"/>
      <c r="AZ42" s="543"/>
      <c r="BA42" s="540"/>
      <c r="BB42" s="541"/>
      <c r="BC42" s="542"/>
      <c r="BD42" s="543"/>
      <c r="BE42" s="543"/>
      <c r="BF42" s="543"/>
      <c r="BG42" s="540"/>
      <c r="BH42" s="541"/>
      <c r="BI42" s="542"/>
      <c r="BJ42" s="543"/>
      <c r="BK42" s="543"/>
      <c r="BL42" s="543"/>
      <c r="BM42" s="540"/>
      <c r="BN42" s="541"/>
      <c r="BO42" s="902">
        <f>+BO33/BO17</f>
        <v>0.10919626029185638</v>
      </c>
      <c r="BP42" s="789">
        <f>+BP33/BP17</f>
        <v>0.12539475963744187</v>
      </c>
      <c r="BQ42" s="789">
        <f>+BQ33/BQ17</f>
        <v>0.1527582197893923</v>
      </c>
      <c r="BR42" s="789">
        <f>+BR33/BR17</f>
        <v>0.14980784114211834</v>
      </c>
      <c r="BS42" s="903">
        <f>+BS33/BS17</f>
        <v>0.13539040997437687</v>
      </c>
      <c r="BT42" s="541"/>
      <c r="BU42" s="902">
        <f>+BU33/BU17</f>
        <v>0.15301882016120838</v>
      </c>
      <c r="BV42" s="789">
        <f>+BV33/BV17</f>
        <v>0.12191276267734004</v>
      </c>
      <c r="BW42" s="789">
        <f>+BW33/BW17</f>
        <v>9.5602393446708067E-2</v>
      </c>
      <c r="BX42" s="789">
        <f>+BX33/BX17</f>
        <v>0.13905384953372918</v>
      </c>
      <c r="BY42" s="903">
        <f>+BY33/BY17</f>
        <v>0.12543320372211597</v>
      </c>
      <c r="BZ42" s="541"/>
      <c r="CA42" s="902">
        <f>+CA33/CA17</f>
        <v>0.1388807594533126</v>
      </c>
      <c r="CB42" s="789">
        <f>+CB33/CB17</f>
        <v>0.14807147419354097</v>
      </c>
      <c r="CC42" s="789">
        <f>+CC33/CC17</f>
        <v>0.14543159326206725</v>
      </c>
      <c r="CD42" s="789">
        <f>+CD33/CD17</f>
        <v>0.1637340780942288</v>
      </c>
      <c r="CE42" s="903">
        <f>+CE33/CE17</f>
        <v>0.14967387216800032</v>
      </c>
      <c r="CF42" s="541"/>
      <c r="CG42" s="902">
        <f>+CG33/CG17</f>
        <v>0.13721497698692506</v>
      </c>
      <c r="CH42" s="789">
        <f>+CH33/CH17</f>
        <v>0.15847222109164888</v>
      </c>
      <c r="CI42" s="789">
        <f>+CI33/CI17</f>
        <v>0.15917342829442199</v>
      </c>
      <c r="CJ42" s="789">
        <f>+CJ33/CJ17</f>
        <v>0.16683081560202251</v>
      </c>
      <c r="CK42" s="903">
        <f>+CK33/CK17</f>
        <v>0.15612939142487459</v>
      </c>
      <c r="CL42" s="541"/>
      <c r="CM42" s="902">
        <f>+CM33/CM17</f>
        <v>0.14447689196662095</v>
      </c>
      <c r="CN42" s="789">
        <f>+CN33/CN17</f>
        <v>0.16366595047939109</v>
      </c>
      <c r="CO42" s="789">
        <f>+CO33/CO17</f>
        <v>0.16761767061937072</v>
      </c>
      <c r="CP42" s="789">
        <f>+CP33/CP17</f>
        <v>0.1590220617608564</v>
      </c>
      <c r="CQ42" s="903">
        <f>+CQ33/CQ17</f>
        <v>0.15893547523104068</v>
      </c>
      <c r="CR42" s="541"/>
      <c r="CS42" s="902">
        <f>+CS33/CS17</f>
        <v>0.14024810475534114</v>
      </c>
      <c r="CT42" s="789">
        <f>+CT33/CT17</f>
        <v>0.17112409359128672</v>
      </c>
      <c r="CU42" s="789">
        <f>+CU33/CU17</f>
        <v>0.1366664768521155</v>
      </c>
      <c r="CV42" s="789">
        <f>+CV33/CV17</f>
        <v>0.15072866065232474</v>
      </c>
      <c r="CW42" s="903">
        <f>+CW33/CW17</f>
        <v>0.14980219902034819</v>
      </c>
      <c r="CX42" s="541"/>
      <c r="CY42" s="902">
        <f>+CY33/CY17</f>
        <v>0.1562396473076629</v>
      </c>
      <c r="CZ42" s="789">
        <f>+CZ33/CZ17</f>
        <v>0.1674014003158962</v>
      </c>
      <c r="DA42" s="789">
        <f>+DA33/DA17</f>
        <v>0.16918758016504923</v>
      </c>
      <c r="DB42" s="789">
        <f>+DB33/DB17</f>
        <v>0.15893375215409114</v>
      </c>
      <c r="DC42" s="903">
        <f>+DC33/DC17</f>
        <v>0.1629448419655973</v>
      </c>
      <c r="DD42" s="541"/>
      <c r="DE42" s="902">
        <f>+DE33/DE17</f>
        <v>0.14670566136433888</v>
      </c>
      <c r="DF42" s="789">
        <f>+DF33/DF17</f>
        <v>0.14981929447240638</v>
      </c>
      <c r="DG42" s="789">
        <f>+DG33/DG17</f>
        <v>0.16794752881939845</v>
      </c>
      <c r="DH42" s="789">
        <f>+DH33/DH17</f>
        <v>0.18445838331006545</v>
      </c>
      <c r="DI42" s="903">
        <f>+DI33/DI17</f>
        <v>0.16319416029722253</v>
      </c>
      <c r="DJ42" s="541"/>
      <c r="DK42" s="902">
        <f>+DK33/DK17</f>
        <v>0.15823997955445754</v>
      </c>
      <c r="DL42" s="789">
        <f>+DL33/DL17</f>
        <v>0.1717324122993695</v>
      </c>
      <c r="DM42" s="789">
        <f>+DM33/DM17</f>
        <v>0.17283729133372222</v>
      </c>
      <c r="DN42" s="789">
        <f>+DN33/DN17</f>
        <v>0.1992716260209185</v>
      </c>
      <c r="DO42" s="903">
        <f>+DO33/DO17</f>
        <v>0.176340796245955</v>
      </c>
      <c r="DP42" s="541"/>
      <c r="DQ42" s="902">
        <f>+DQ33/DQ17</f>
        <v>0.16912242761510993</v>
      </c>
      <c r="DR42" s="789">
        <f>+DR33/DR17</f>
        <v>0.18123333347931447</v>
      </c>
      <c r="DS42" s="789">
        <f>+DS33/DS17</f>
        <v>0.18100062545622461</v>
      </c>
      <c r="DT42" s="789">
        <f>+DT33/DT17</f>
        <v>0.20603042611545061</v>
      </c>
      <c r="DU42" s="903">
        <f>+DU33/DU17</f>
        <v>0.18505748085733292</v>
      </c>
      <c r="DV42" s="541"/>
      <c r="DW42" s="902">
        <f>+DW33/DW17</f>
        <v>0.17860031477578703</v>
      </c>
      <c r="DX42" s="789">
        <f>+DX33/DX17</f>
        <v>0.18999549682773464</v>
      </c>
      <c r="DY42" s="789">
        <f>+DY33/DY17</f>
        <v>0.18987224608746037</v>
      </c>
      <c r="DZ42" s="789">
        <f>+DZ33/DZ17</f>
        <v>0.21349748080836908</v>
      </c>
      <c r="EA42" s="903">
        <f>+EA33/EA17</f>
        <v>0.19366293600556414</v>
      </c>
      <c r="EB42" s="541"/>
      <c r="EC42" s="902">
        <f t="shared" ref="EC42:EG42" si="66">+EC33/EC17</f>
        <v>0.18661883270289209</v>
      </c>
      <c r="ED42" s="789">
        <f t="shared" si="66"/>
        <v>0.19738742399635703</v>
      </c>
      <c r="EE42" s="789">
        <f t="shared" si="66"/>
        <v>0.19732860157567486</v>
      </c>
      <c r="EF42" s="789">
        <f t="shared" si="66"/>
        <v>0.21873342908110618</v>
      </c>
      <c r="EG42" s="903">
        <f t="shared" si="66"/>
        <v>0.20063202516585124</v>
      </c>
    </row>
    <row r="43" spans="1:137" s="783" customFormat="1" ht="11.25" customHeight="1" x14ac:dyDescent="0.2">
      <c r="A43" s="538" t="s">
        <v>612</v>
      </c>
      <c r="B43" s="539"/>
      <c r="C43" s="539"/>
      <c r="D43" s="539"/>
      <c r="E43" s="540"/>
      <c r="F43" s="541"/>
      <c r="G43" s="540"/>
      <c r="H43" s="541"/>
      <c r="I43" s="540"/>
      <c r="J43" s="541"/>
      <c r="K43" s="540"/>
      <c r="L43" s="541"/>
      <c r="M43" s="542"/>
      <c r="N43" s="543"/>
      <c r="O43" s="543"/>
      <c r="P43" s="543"/>
      <c r="Q43" s="540"/>
      <c r="R43" s="541"/>
      <c r="S43" s="542"/>
      <c r="T43" s="543"/>
      <c r="U43" s="543"/>
      <c r="V43" s="543"/>
      <c r="W43" s="540"/>
      <c r="X43" s="541"/>
      <c r="Y43" s="542"/>
      <c r="Z43" s="543"/>
      <c r="AA43" s="543"/>
      <c r="AB43" s="543"/>
      <c r="AC43" s="540"/>
      <c r="AD43" s="541"/>
      <c r="AE43" s="542"/>
      <c r="AF43" s="543"/>
      <c r="AG43" s="543"/>
      <c r="AH43" s="543"/>
      <c r="AI43" s="540"/>
      <c r="AJ43" s="541"/>
      <c r="AK43" s="542"/>
      <c r="AL43" s="543"/>
      <c r="AM43" s="543"/>
      <c r="AN43" s="543"/>
      <c r="AO43" s="540"/>
      <c r="AP43" s="541"/>
      <c r="AQ43" s="542"/>
      <c r="AR43" s="543"/>
      <c r="AS43" s="543"/>
      <c r="AT43" s="543"/>
      <c r="AU43" s="540"/>
      <c r="AV43" s="541"/>
      <c r="AW43" s="542"/>
      <c r="AX43" s="543"/>
      <c r="AY43" s="543"/>
      <c r="AZ43" s="543"/>
      <c r="BA43" s="540"/>
      <c r="BB43" s="541"/>
      <c r="BC43" s="542"/>
      <c r="BD43" s="543"/>
      <c r="BE43" s="543"/>
      <c r="BF43" s="543"/>
      <c r="BG43" s="540"/>
      <c r="BH43" s="541"/>
      <c r="BI43" s="542"/>
      <c r="BJ43" s="543"/>
      <c r="BK43" s="543"/>
      <c r="BL43" s="543"/>
      <c r="BM43" s="540"/>
      <c r="BN43" s="541"/>
      <c r="BO43" s="542"/>
      <c r="BP43" s="543"/>
      <c r="BQ43" s="543"/>
      <c r="BR43" s="543"/>
      <c r="BS43" s="540"/>
      <c r="BT43" s="541"/>
      <c r="BU43" s="542">
        <f>+BY43</f>
        <v>0.2</v>
      </c>
      <c r="BV43" s="543">
        <f>+BY43</f>
        <v>0.2</v>
      </c>
      <c r="BW43" s="543">
        <f>+BY43</f>
        <v>0.2</v>
      </c>
      <c r="BX43" s="543">
        <f>+BY43</f>
        <v>0.2</v>
      </c>
      <c r="BY43" s="540">
        <f>+CA43</f>
        <v>0.2</v>
      </c>
      <c r="BZ43" s="541"/>
      <c r="CA43" s="542">
        <f>+CE43</f>
        <v>0.2</v>
      </c>
      <c r="CB43" s="543">
        <f>+CE43</f>
        <v>0.2</v>
      </c>
      <c r="CC43" s="543">
        <f>+CE43</f>
        <v>0.2</v>
      </c>
      <c r="CD43" s="543">
        <f>+CE43</f>
        <v>0.2</v>
      </c>
      <c r="CE43" s="540">
        <f>+CG43</f>
        <v>0.2</v>
      </c>
      <c r="CF43" s="541"/>
      <c r="CG43" s="542">
        <f>+CK43</f>
        <v>0.2</v>
      </c>
      <c r="CH43" s="543">
        <f>+CK43</f>
        <v>0.2</v>
      </c>
      <c r="CI43" s="543">
        <f>+CK43</f>
        <v>0.2</v>
      </c>
      <c r="CJ43" s="543">
        <f>+CK43</f>
        <v>0.2</v>
      </c>
      <c r="CK43" s="540">
        <f>+CM43</f>
        <v>0.2</v>
      </c>
      <c r="CL43" s="541"/>
      <c r="CM43" s="542">
        <f>+CQ43</f>
        <v>0.2</v>
      </c>
      <c r="CN43" s="543">
        <f>+CQ43</f>
        <v>0.2</v>
      </c>
      <c r="CO43" s="543">
        <f>+CQ43</f>
        <v>0.2</v>
      </c>
      <c r="CP43" s="543">
        <f>+CQ43</f>
        <v>0.2</v>
      </c>
      <c r="CQ43" s="540">
        <v>0.2</v>
      </c>
      <c r="CR43" s="541"/>
      <c r="CS43" s="542">
        <v>0.1</v>
      </c>
      <c r="CT43" s="543">
        <v>0.1</v>
      </c>
      <c r="CU43" s="543">
        <v>0.1</v>
      </c>
      <c r="CV43" s="543">
        <v>0.1</v>
      </c>
      <c r="CW43" s="540">
        <v>0.1</v>
      </c>
      <c r="CX43" s="541"/>
      <c r="CY43" s="542">
        <f>+DC43</f>
        <v>0.2</v>
      </c>
      <c r="CZ43" s="543">
        <f>+DC43</f>
        <v>0.2</v>
      </c>
      <c r="DA43" s="543">
        <f>+DC43</f>
        <v>0.2</v>
      </c>
      <c r="DB43" s="543">
        <f>+DC43</f>
        <v>0.2</v>
      </c>
      <c r="DC43" s="1049">
        <v>0.2</v>
      </c>
      <c r="DD43" s="541"/>
      <c r="DE43" s="542">
        <v>0.15</v>
      </c>
      <c r="DF43" s="543">
        <v>0.15</v>
      </c>
      <c r="DG43" s="799">
        <v>0.25</v>
      </c>
      <c r="DH43" s="799">
        <v>0.25</v>
      </c>
      <c r="DI43" s="540">
        <f>+DH43</f>
        <v>0.25</v>
      </c>
      <c r="DJ43" s="541"/>
      <c r="DK43" s="798">
        <v>7.0000000000000007E-2</v>
      </c>
      <c r="DL43" s="799">
        <v>0.2</v>
      </c>
      <c r="DM43" s="543">
        <f>+DL43</f>
        <v>0.2</v>
      </c>
      <c r="DN43" s="543">
        <f>+DM43</f>
        <v>0.2</v>
      </c>
      <c r="DO43" s="540">
        <f>+DN43</f>
        <v>0.2</v>
      </c>
      <c r="DP43" s="541"/>
      <c r="DQ43" s="542">
        <f>+DO43</f>
        <v>0.2</v>
      </c>
      <c r="DR43" s="543">
        <f>+DQ43</f>
        <v>0.2</v>
      </c>
      <c r="DS43" s="543">
        <f>+DR43</f>
        <v>0.2</v>
      </c>
      <c r="DT43" s="543">
        <f>+DS43</f>
        <v>0.2</v>
      </c>
      <c r="DU43" s="540">
        <f>+DT43</f>
        <v>0.2</v>
      </c>
      <c r="DV43" s="541"/>
      <c r="DW43" s="542">
        <f>+DU43</f>
        <v>0.2</v>
      </c>
      <c r="DX43" s="543">
        <f>+DW43</f>
        <v>0.2</v>
      </c>
      <c r="DY43" s="543">
        <f>+DX43</f>
        <v>0.2</v>
      </c>
      <c r="DZ43" s="543">
        <f>+DY43</f>
        <v>0.2</v>
      </c>
      <c r="EA43" s="540">
        <f>+DZ43</f>
        <v>0.2</v>
      </c>
      <c r="EB43" s="541"/>
      <c r="EC43" s="542">
        <f t="shared" ref="EC43" si="67">+EA43</f>
        <v>0.2</v>
      </c>
      <c r="ED43" s="543">
        <f t="shared" ref="ED43:EG43" si="68">+EC43</f>
        <v>0.2</v>
      </c>
      <c r="EE43" s="543">
        <f t="shared" si="68"/>
        <v>0.2</v>
      </c>
      <c r="EF43" s="543">
        <f t="shared" si="68"/>
        <v>0.2</v>
      </c>
      <c r="EG43" s="540">
        <f t="shared" si="68"/>
        <v>0.2</v>
      </c>
    </row>
    <row r="44" spans="1:137" s="783" customFormat="1" ht="11.25" customHeight="1" x14ac:dyDescent="0.2">
      <c r="A44" s="544" t="s">
        <v>715</v>
      </c>
      <c r="B44" s="784"/>
      <c r="C44" s="784"/>
      <c r="D44" s="784"/>
      <c r="E44" s="785"/>
      <c r="F44" s="786"/>
      <c r="G44" s="785"/>
      <c r="H44" s="786"/>
      <c r="I44" s="785"/>
      <c r="J44" s="786"/>
      <c r="K44" s="785"/>
      <c r="L44" s="786"/>
      <c r="M44" s="787"/>
      <c r="N44" s="788"/>
      <c r="O44" s="788"/>
      <c r="P44" s="788"/>
      <c r="Q44" s="785"/>
      <c r="R44" s="786"/>
      <c r="S44" s="787"/>
      <c r="T44" s="788"/>
      <c r="U44" s="788"/>
      <c r="V44" s="788"/>
      <c r="W44" s="785"/>
      <c r="X44" s="786"/>
      <c r="Y44" s="787"/>
      <c r="Z44" s="788"/>
      <c r="AA44" s="788"/>
      <c r="AB44" s="788"/>
      <c r="AC44" s="785"/>
      <c r="AD44" s="786"/>
      <c r="AE44" s="787"/>
      <c r="AF44" s="788"/>
      <c r="AG44" s="788"/>
      <c r="AH44" s="788"/>
      <c r="AI44" s="785"/>
      <c r="AJ44" s="786"/>
      <c r="AK44" s="787"/>
      <c r="AL44" s="788"/>
      <c r="AM44" s="788"/>
      <c r="AN44" s="788"/>
      <c r="AO44" s="785"/>
      <c r="AP44" s="786"/>
      <c r="AQ44" s="787"/>
      <c r="AR44" s="788"/>
      <c r="AS44" s="788"/>
      <c r="AT44" s="788"/>
      <c r="AU44" s="785"/>
      <c r="AV44" s="786"/>
      <c r="AW44" s="787"/>
      <c r="AX44" s="788"/>
      <c r="AY44" s="788"/>
      <c r="AZ44" s="788"/>
      <c r="BA44" s="785"/>
      <c r="BB44" s="786"/>
      <c r="BC44" s="787"/>
      <c r="BD44" s="788"/>
      <c r="BE44" s="788"/>
      <c r="BF44" s="788"/>
      <c r="BG44" s="785"/>
      <c r="BH44" s="786"/>
      <c r="BI44" s="787"/>
      <c r="BJ44" s="788"/>
      <c r="BK44" s="788"/>
      <c r="BL44" s="788"/>
      <c r="BM44" s="785"/>
      <c r="BN44" s="786"/>
      <c r="BO44" s="546"/>
      <c r="BP44" s="547"/>
      <c r="BQ44" s="547"/>
      <c r="BR44" s="547"/>
      <c r="BS44" s="545"/>
      <c r="BT44" s="541"/>
      <c r="BU44" s="546">
        <f>+(BU33-BO33)/(BO17*BU19)</f>
        <v>0.87034648299807083</v>
      </c>
      <c r="BV44" s="547">
        <f>+(BV33-BP33)/(BP17*BV19)</f>
        <v>0.32002824913289329</v>
      </c>
      <c r="BW44" s="547">
        <f>+(BW33-BQ33)/(BQ17*BW19)</f>
        <v>0.22465328383238625</v>
      </c>
      <c r="BX44" s="547">
        <f>+(BX33-BR33)/(BR17*BX19)</f>
        <v>1.6225242268953679</v>
      </c>
      <c r="BY44" s="545">
        <f>+(BY33-BS33)/(BS17*BY19)</f>
        <v>0.72199616824861468</v>
      </c>
      <c r="BZ44" s="541"/>
      <c r="CA44" s="546">
        <f>+(CA33-BU33)/(BU17*CA19)</f>
        <v>4.2048128477790989</v>
      </c>
      <c r="CB44" s="547">
        <f>+(CB33-BV33)/(BV17*CB19)</f>
        <v>2.2364189064167164</v>
      </c>
      <c r="CC44" s="547">
        <f>+(CC33-BW33)/(BW17*CC19)</f>
        <v>1.6441588172885551</v>
      </c>
      <c r="CD44" s="547">
        <f>+(CD33-BX33)/(BX17*CD19)</f>
        <v>0.64682572042983866</v>
      </c>
      <c r="CE44" s="545">
        <f>+(CE33-BY33)/(BY17*CE19)</f>
        <v>1.4944133407771698</v>
      </c>
      <c r="CF44" s="541"/>
      <c r="CG44" s="546">
        <f>+(CG33-CA33)/(CA17*CG19)</f>
        <v>8.414631019505335E-2</v>
      </c>
      <c r="CH44" s="547">
        <f>+(CH33-CB33)/(CB17*CH19)</f>
        <v>0.4276680376313674</v>
      </c>
      <c r="CI44" s="547">
        <f>+(CI33-CC33)/(CC17*CI19)</f>
        <v>0.551325508083916</v>
      </c>
      <c r="CJ44" s="547">
        <f>+(CJ33-CD33)/(CD17*CJ19)</f>
        <v>0.30494385644066646</v>
      </c>
      <c r="CK44" s="545">
        <f>+(CK33-CE33)/(CE17*CK19)</f>
        <v>0.36907012494264463</v>
      </c>
      <c r="CL44" s="541"/>
      <c r="CM44" s="546">
        <f>+(CM33-CG33)/(CG17*CM19)</f>
        <v>0.33337693298392629</v>
      </c>
      <c r="CN44" s="547">
        <f>+(CN33-CH33)/(CH17*CN19)</f>
        <v>0.32312607089326051</v>
      </c>
      <c r="CO44" s="547">
        <f>+(CO33-CI33)/(CI17*CO19)</f>
        <v>0.43554344122849364</v>
      </c>
      <c r="CP44" s="547">
        <f>+(CP33-CJ33)/(CJ17*CP19)</f>
        <v>-6.7282297625862283E-2</v>
      </c>
      <c r="CQ44" s="545">
        <f>+(CQ33-CK33)/(CK17*CQ19)</f>
        <v>0.22893012526921169</v>
      </c>
      <c r="CR44" s="541"/>
      <c r="CS44" s="546">
        <f>+(CS33-CM33)/(CM17*CS19)</f>
        <v>0.19314981545009718</v>
      </c>
      <c r="CT44" s="547">
        <f>+(CT33-CN33)/(CN17*CT19)</f>
        <v>0.43383722544165892</v>
      </c>
      <c r="CU44" s="547">
        <f>+(CU33-CO33)/(CO17*CU19)</f>
        <v>-0.52479352312506944</v>
      </c>
      <c r="CV44" s="547">
        <f>+(CV33-CP33)/(CP17*CV19)</f>
        <v>0.70217590830065724</v>
      </c>
      <c r="CW44" s="545">
        <f>+(CW33-CQ33)/(CQ17*CW19)</f>
        <v>0.2534506805849287</v>
      </c>
      <c r="CX44" s="541"/>
      <c r="CY44" s="546">
        <f>+(CY33-CS33)/(CS17*CY19)</f>
        <v>2.0725518451224865</v>
      </c>
      <c r="CZ44" s="547">
        <f>+(CZ33-CT33)/(CT17*CZ19)</f>
        <v>1.2447523706074042</v>
      </c>
      <c r="DA44" s="547">
        <f>+(DA33-CU33)/(CU17*DA19)</f>
        <v>1.7823586356130066</v>
      </c>
      <c r="DB44" s="547">
        <f>+(DB33-CV33)/(CV17*DB19)</f>
        <v>0.59372349448685313</v>
      </c>
      <c r="DC44" s="545">
        <f>+(DC33-CW33)/(CW17*DC19)</f>
        <v>1.3545446387689228</v>
      </c>
      <c r="DD44" s="541"/>
      <c r="DE44" s="546">
        <f>+(DE33-CY33)/(CY17*DE20)</f>
        <v>3.9754338574449953E-2</v>
      </c>
      <c r="DF44" s="547">
        <f>+(DF33-CZ33)/(CZ17*DF19)</f>
        <v>-0.36861697909813124</v>
      </c>
      <c r="DG44" s="547">
        <f>+(DG33-DA33)/(DA17*DG19)</f>
        <v>0.49530908416220948</v>
      </c>
      <c r="DH44" s="547">
        <f>+(DH33-DB33)/(DB17*DH19)</f>
        <v>0.83089913598388165</v>
      </c>
      <c r="DI44" s="545">
        <f>+(DI33-DC33)/(DC17*DI20)</f>
        <v>0.41743865613924874</v>
      </c>
      <c r="DJ44" s="541"/>
      <c r="DK44" s="546">
        <f>+(DK33-DE33)/(DE17*DK20)</f>
        <v>0.54471528899091437</v>
      </c>
      <c r="DL44" s="547">
        <f>+(DL33-DF33)/(DF17*DL19)</f>
        <v>0.78703110917127828</v>
      </c>
      <c r="DM44" s="547">
        <f>+(DM33-DG33)/(DG17*DM19)</f>
        <v>0.39505670441886087</v>
      </c>
      <c r="DN44" s="547">
        <f>+(DN33-DH33)/(DH17*DN19)</f>
        <v>0.88840932162001773</v>
      </c>
      <c r="DO44" s="545">
        <f>+(DO33-DI33)/(DI17*DO19)</f>
        <v>0.64288783636969671</v>
      </c>
      <c r="DP44" s="541"/>
      <c r="DQ44" s="546">
        <f>+(DQ33-DK33)/(DK17*DQ19)</f>
        <v>0.63650016481290039</v>
      </c>
      <c r="DR44" s="547">
        <f>+(DR33-DL33)/(DL17*DR19)</f>
        <v>0.46581900827203032</v>
      </c>
      <c r="DS44" s="547">
        <f>+(DS33-DM33)/(DM17*DS19)</f>
        <v>0.3887839559222333</v>
      </c>
      <c r="DT44" s="547">
        <f>+(DT33-DN33)/(DN17*DT19)</f>
        <v>0.37893282187088234</v>
      </c>
      <c r="DU44" s="545">
        <f>+(DU33-DO33)/(DO17*DU19)</f>
        <v>0.45282030142263513</v>
      </c>
      <c r="DV44" s="541"/>
      <c r="DW44" s="546">
        <f>+(DW33-DQ33)/(DQ17*DW19)</f>
        <v>0.40010766315304735</v>
      </c>
      <c r="DX44" s="547">
        <f>+(DX33-DR33)/(DR17*DX19)</f>
        <v>0.39476550396859988</v>
      </c>
      <c r="DY44" s="547">
        <f>+(DY33-DS33)/(DS17*DY19)</f>
        <v>0.39715041364247383</v>
      </c>
      <c r="DZ44" s="547">
        <f>+(DZ33-DT33)/(DT17*DZ19)</f>
        <v>0.38821197676033997</v>
      </c>
      <c r="EA44" s="545">
        <f>+(EA33-DU33)/(DU17*EA19)</f>
        <v>0.39482739343017048</v>
      </c>
      <c r="EB44" s="541"/>
      <c r="EC44" s="546">
        <f t="shared" ref="EC44:EG44" si="69">+(EC33-DW33)/(DW17*EC19)</f>
        <v>0.37383981472392613</v>
      </c>
      <c r="ED44" s="547">
        <f t="shared" si="69"/>
        <v>0.36996687392953148</v>
      </c>
      <c r="EE44" s="547">
        <f t="shared" si="69"/>
        <v>0.37137186866751509</v>
      </c>
      <c r="EF44" s="547">
        <f t="shared" si="69"/>
        <v>0.34112545106302461</v>
      </c>
      <c r="EG44" s="545">
        <f t="shared" si="69"/>
        <v>0.36338649687509755</v>
      </c>
    </row>
    <row r="45" spans="1:137" ht="11.25" customHeight="1" x14ac:dyDescent="0.2">
      <c r="A45" s="2"/>
      <c r="B45" s="14"/>
      <c r="C45" s="14"/>
      <c r="D45" s="14"/>
      <c r="E45" s="67"/>
      <c r="F45" s="67"/>
      <c r="G45" s="67"/>
      <c r="H45" s="67"/>
      <c r="I45" s="67"/>
      <c r="J45" s="67"/>
      <c r="K45" s="67"/>
      <c r="L45" s="67"/>
      <c r="M45" s="67"/>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c r="AX45" s="67"/>
      <c r="AY45" s="67"/>
      <c r="AZ45" s="67"/>
      <c r="BA45" s="67"/>
      <c r="BB45" s="67"/>
      <c r="BC45" s="67"/>
      <c r="BD45" s="67"/>
      <c r="BE45" s="67"/>
      <c r="BF45" s="67"/>
      <c r="BG45" s="67"/>
      <c r="BH45" s="67"/>
      <c r="BI45" s="67"/>
      <c r="BJ45" s="67"/>
      <c r="BK45" s="67"/>
      <c r="BL45" s="67"/>
      <c r="BM45" s="67"/>
      <c r="BN45" s="67"/>
      <c r="BO45" s="67"/>
      <c r="BP45" s="67"/>
      <c r="BQ45" s="67"/>
      <c r="BR45" s="67"/>
      <c r="BS45" s="67"/>
      <c r="BT45" s="67"/>
      <c r="BU45" s="67"/>
      <c r="BV45" s="67"/>
      <c r="BW45" s="67"/>
      <c r="BX45" s="67"/>
      <c r="BY45" s="67"/>
      <c r="BZ45" s="67"/>
      <c r="CA45" s="67"/>
      <c r="CB45" s="67"/>
      <c r="CC45" s="67"/>
      <c r="CD45" s="67"/>
      <c r="CE45" s="67"/>
      <c r="CF45" s="67"/>
      <c r="CG45" s="67"/>
      <c r="CH45" s="67"/>
      <c r="CI45" s="67"/>
      <c r="CJ45" s="67"/>
      <c r="CK45" s="67"/>
      <c r="CL45" s="67"/>
      <c r="CM45" s="67"/>
      <c r="CN45" s="67"/>
      <c r="CO45" s="67"/>
      <c r="CP45" s="67"/>
      <c r="CQ45" s="67"/>
      <c r="CR45" s="67"/>
      <c r="CS45" s="67"/>
      <c r="CT45" s="67"/>
      <c r="CU45" s="67"/>
      <c r="CV45" s="67"/>
      <c r="CW45" s="67"/>
      <c r="CX45" s="67"/>
      <c r="CY45" s="67"/>
      <c r="CZ45" s="67"/>
      <c r="DA45" s="22"/>
      <c r="DB45" s="22"/>
      <c r="DC45" s="67"/>
      <c r="DD45" s="67"/>
      <c r="DE45" s="67"/>
      <c r="DF45" s="67"/>
      <c r="DG45" s="67"/>
      <c r="DH45" s="67"/>
      <c r="DI45" s="1087"/>
      <c r="DJ45" s="67"/>
      <c r="DK45" s="67"/>
      <c r="DL45" s="67"/>
      <c r="DM45" s="67"/>
      <c r="DN45" s="67"/>
      <c r="DO45" s="67"/>
      <c r="DP45" s="67"/>
      <c r="DQ45" s="67"/>
      <c r="DR45" s="67"/>
      <c r="DS45" s="67"/>
      <c r="DT45" s="67"/>
      <c r="DU45" s="67"/>
      <c r="DV45" s="67"/>
      <c r="DW45" s="67"/>
      <c r="DX45" s="67"/>
      <c r="DY45" s="67"/>
      <c r="DZ45" s="67"/>
      <c r="EA45" s="67"/>
      <c r="EB45" s="67"/>
      <c r="EC45" s="67"/>
      <c r="ED45" s="67"/>
      <c r="EE45" s="67"/>
      <c r="EF45" s="67"/>
      <c r="EG45" s="67"/>
    </row>
    <row r="46" spans="1:137" ht="11.25" customHeight="1" x14ac:dyDescent="0.2">
      <c r="A46" s="106" t="s">
        <v>381</v>
      </c>
      <c r="B46" s="74"/>
      <c r="C46" s="74"/>
      <c r="D46" s="74"/>
      <c r="E46" s="107"/>
      <c r="F46" s="75"/>
      <c r="G46" s="107"/>
      <c r="H46" s="75"/>
      <c r="I46" s="107"/>
      <c r="J46" s="75"/>
      <c r="K46" s="107"/>
      <c r="L46" s="75"/>
      <c r="M46" s="109"/>
      <c r="N46" s="110"/>
      <c r="O46" s="110"/>
      <c r="P46" s="110"/>
      <c r="Q46" s="107"/>
      <c r="R46" s="75"/>
      <c r="S46" s="109"/>
      <c r="T46" s="110"/>
      <c r="U46" s="110"/>
      <c r="V46" s="110"/>
      <c r="W46" s="107"/>
      <c r="X46" s="75"/>
      <c r="Y46" s="109"/>
      <c r="Z46" s="110"/>
      <c r="AA46" s="110"/>
      <c r="AB46" s="110"/>
      <c r="AC46" s="107"/>
      <c r="AD46" s="75"/>
      <c r="AE46" s="109"/>
      <c r="AF46" s="110"/>
      <c r="AG46" s="110"/>
      <c r="AH46" s="110"/>
      <c r="AI46" s="107"/>
      <c r="AJ46" s="75"/>
      <c r="AK46" s="109"/>
      <c r="AL46" s="110"/>
      <c r="AM46" s="110"/>
      <c r="AN46" s="110"/>
      <c r="AO46" s="107"/>
      <c r="AP46" s="75"/>
      <c r="AQ46" s="109"/>
      <c r="AR46" s="110"/>
      <c r="AS46" s="110"/>
      <c r="AT46" s="110"/>
      <c r="AU46" s="107"/>
      <c r="AV46" s="75"/>
      <c r="AW46" s="109"/>
      <c r="AX46" s="110"/>
      <c r="AY46" s="110"/>
      <c r="AZ46" s="110"/>
      <c r="BA46" s="107"/>
      <c r="BB46" s="75"/>
      <c r="BC46" s="109"/>
      <c r="BD46" s="110"/>
      <c r="BE46" s="110"/>
      <c r="BF46" s="110"/>
      <c r="BG46" s="107"/>
      <c r="BH46" s="75"/>
      <c r="BI46" s="109"/>
      <c r="BJ46" s="110"/>
      <c r="BK46" s="110"/>
      <c r="BL46" s="110"/>
      <c r="BM46" s="107"/>
      <c r="BN46" s="75"/>
      <c r="BO46" s="109"/>
      <c r="BP46" s="110"/>
      <c r="BQ46" s="110"/>
      <c r="BR46" s="110"/>
      <c r="BS46" s="107"/>
      <c r="BT46" s="75"/>
      <c r="BU46" s="109"/>
      <c r="BV46" s="110"/>
      <c r="BW46" s="110"/>
      <c r="BX46" s="110"/>
      <c r="BY46" s="107"/>
      <c r="BZ46" s="75"/>
      <c r="CA46" s="109"/>
      <c r="CB46" s="110"/>
      <c r="CC46" s="110"/>
      <c r="CD46" s="110"/>
      <c r="CE46" s="107"/>
      <c r="CF46" s="75"/>
      <c r="CG46" s="109"/>
      <c r="CH46" s="110"/>
      <c r="CI46" s="110"/>
      <c r="CJ46" s="110"/>
      <c r="CK46" s="107"/>
      <c r="CL46" s="75"/>
      <c r="CM46" s="109"/>
      <c r="CN46" s="110"/>
      <c r="CO46" s="110"/>
      <c r="CP46" s="110"/>
      <c r="CQ46" s="107"/>
      <c r="CR46" s="75"/>
      <c r="CS46" s="109"/>
      <c r="CT46" s="110"/>
      <c r="CU46" s="110"/>
      <c r="CV46" s="110"/>
      <c r="CW46" s="107"/>
      <c r="CX46" s="75"/>
      <c r="CY46" s="109"/>
      <c r="CZ46" s="110"/>
      <c r="DA46" s="110"/>
      <c r="DB46" s="110"/>
      <c r="DC46" s="107"/>
      <c r="DD46" s="75"/>
      <c r="DE46" s="109"/>
      <c r="DF46" s="110"/>
      <c r="DG46" s="110"/>
      <c r="DH46" s="110"/>
      <c r="DI46" s="107"/>
      <c r="DJ46" s="75"/>
      <c r="DK46" s="109"/>
      <c r="DL46" s="110"/>
      <c r="DM46" s="110"/>
      <c r="DN46" s="110"/>
      <c r="DO46" s="107"/>
      <c r="DP46" s="75"/>
      <c r="DQ46" s="109"/>
      <c r="DR46" s="110"/>
      <c r="DS46" s="110"/>
      <c r="DT46" s="110"/>
      <c r="DU46" s="107"/>
      <c r="DV46" s="75"/>
      <c r="DW46" s="109"/>
      <c r="DX46" s="110"/>
      <c r="DY46" s="110"/>
      <c r="DZ46" s="110"/>
      <c r="EA46" s="107"/>
      <c r="EB46" s="75"/>
      <c r="EC46" s="109"/>
      <c r="ED46" s="110"/>
      <c r="EE46" s="110"/>
      <c r="EF46" s="110"/>
      <c r="EG46" s="107"/>
    </row>
    <row r="47" spans="1:137" ht="11.25" customHeight="1" x14ac:dyDescent="0.2">
      <c r="A47" s="128" t="s">
        <v>377</v>
      </c>
      <c r="B47" s="14"/>
      <c r="C47" s="14"/>
      <c r="D47" s="14"/>
      <c r="E47" s="145"/>
      <c r="F47" s="71"/>
      <c r="G47" s="145"/>
      <c r="H47" s="71"/>
      <c r="I47" s="145"/>
      <c r="J47" s="71"/>
      <c r="K47" s="145"/>
      <c r="L47" s="71"/>
      <c r="M47" s="422"/>
      <c r="N47" s="144"/>
      <c r="O47" s="144"/>
      <c r="P47" s="144"/>
      <c r="Q47" s="145"/>
      <c r="R47" s="71"/>
      <c r="S47" s="422"/>
      <c r="T47" s="144"/>
      <c r="U47" s="144"/>
      <c r="V47" s="144"/>
      <c r="W47" s="145"/>
      <c r="X47" s="71"/>
      <c r="Y47" s="422"/>
      <c r="Z47" s="144"/>
      <c r="AA47" s="144"/>
      <c r="AB47" s="144"/>
      <c r="AC47" s="145"/>
      <c r="AD47" s="71"/>
      <c r="AE47" s="422"/>
      <c r="AF47" s="144"/>
      <c r="AG47" s="144"/>
      <c r="AH47" s="144"/>
      <c r="AI47" s="145"/>
      <c r="AJ47" s="71"/>
      <c r="AK47" s="422"/>
      <c r="AL47" s="144"/>
      <c r="AM47" s="144">
        <f t="shared" ref="AM47:AO50" si="70">+AM13/AM$17</f>
        <v>7.7281243781115339E-2</v>
      </c>
      <c r="AN47" s="144">
        <f t="shared" si="70"/>
        <v>0.14754138484914281</v>
      </c>
      <c r="AO47" s="145">
        <f t="shared" si="70"/>
        <v>6.7347397531932404E-2</v>
      </c>
      <c r="AP47" s="71"/>
      <c r="AQ47" s="422">
        <f t="shared" ref="AQ47:AU50" si="71">+AQ13/AQ$17</f>
        <v>0.2078149436928716</v>
      </c>
      <c r="AR47" s="144">
        <f t="shared" si="71"/>
        <v>0.18536516435008146</v>
      </c>
      <c r="AS47" s="144">
        <f t="shared" si="71"/>
        <v>0.16439784356881224</v>
      </c>
      <c r="AT47" s="144">
        <f t="shared" si="71"/>
        <v>0.15713128194916076</v>
      </c>
      <c r="AU47" s="145">
        <f t="shared" si="71"/>
        <v>0.17581874488892379</v>
      </c>
      <c r="AV47" s="71"/>
      <c r="AW47" s="422">
        <f t="shared" ref="AW47:BA50" si="72">+AW13/AW$17</f>
        <v>0.16597580690488431</v>
      </c>
      <c r="AX47" s="144">
        <f t="shared" si="72"/>
        <v>0.16559710105424968</v>
      </c>
      <c r="AY47" s="144">
        <f t="shared" si="72"/>
        <v>0.15594738249013573</v>
      </c>
      <c r="AZ47" s="144">
        <f t="shared" si="72"/>
        <v>0.14505624909129972</v>
      </c>
      <c r="BA47" s="145">
        <f t="shared" si="72"/>
        <v>0.15730211698638372</v>
      </c>
      <c r="BB47" s="71"/>
      <c r="BC47" s="422">
        <f t="shared" ref="BC47:BG50" si="73">+BC13/BC$17</f>
        <v>0.16727325251081754</v>
      </c>
      <c r="BD47" s="144">
        <f t="shared" si="73"/>
        <v>0.15931505620277436</v>
      </c>
      <c r="BE47" s="144">
        <f t="shared" si="73"/>
        <v>0.16140713320658806</v>
      </c>
      <c r="BF47" s="144">
        <f t="shared" si="73"/>
        <v>0.16798687393776643</v>
      </c>
      <c r="BG47" s="145">
        <f t="shared" si="73"/>
        <v>0.16395495162564364</v>
      </c>
      <c r="BH47" s="71"/>
      <c r="BI47" s="422">
        <f t="shared" ref="BI47:BM50" si="74">+BI13/BI$17</f>
        <v>0.16714851615232365</v>
      </c>
      <c r="BJ47" s="144">
        <f t="shared" si="74"/>
        <v>0.16696175440687724</v>
      </c>
      <c r="BK47" s="144">
        <f t="shared" si="74"/>
        <v>0.16603283924596057</v>
      </c>
      <c r="BL47" s="144">
        <f t="shared" si="74"/>
        <v>0.1692912516980799</v>
      </c>
      <c r="BM47" s="145">
        <f t="shared" si="74"/>
        <v>0.16745864381696793</v>
      </c>
      <c r="BN47" s="71"/>
      <c r="BO47" s="422">
        <f t="shared" ref="BO47:BS50" si="75">+BO13/BO$17</f>
        <v>0.23152996942378121</v>
      </c>
      <c r="BP47" s="144">
        <f t="shared" si="75"/>
        <v>0.23523087316626309</v>
      </c>
      <c r="BQ47" s="144">
        <f t="shared" si="75"/>
        <v>0.24043072555793257</v>
      </c>
      <c r="BR47" s="144">
        <f t="shared" si="75"/>
        <v>0.25403809473617461</v>
      </c>
      <c r="BS47" s="145">
        <f t="shared" si="75"/>
        <v>0.2410252270964727</v>
      </c>
      <c r="BT47" s="71"/>
      <c r="BU47" s="422">
        <f t="shared" ref="BU47:BY50" si="76">+BU13/BU$17</f>
        <v>0.23139529926813296</v>
      </c>
      <c r="BV47" s="144">
        <f t="shared" si="76"/>
        <v>0.24450892715895983</v>
      </c>
      <c r="BW47" s="144">
        <f t="shared" si="76"/>
        <v>0.20608705519032228</v>
      </c>
      <c r="BX47" s="144">
        <f t="shared" si="76"/>
        <v>0.21445633245762377</v>
      </c>
      <c r="BY47" s="145">
        <f t="shared" si="76"/>
        <v>0.22119945367747132</v>
      </c>
      <c r="BZ47" s="71"/>
      <c r="CA47" s="422">
        <f t="shared" ref="CA47:CE50" si="77">+CA13/CA$17</f>
        <v>0.19784723788467135</v>
      </c>
      <c r="CB47" s="144">
        <f t="shared" si="77"/>
        <v>0.1925638244057874</v>
      </c>
      <c r="CC47" s="144">
        <f t="shared" si="77"/>
        <v>0.18668866467185244</v>
      </c>
      <c r="CD47" s="144">
        <f t="shared" si="77"/>
        <v>0.21379855617498444</v>
      </c>
      <c r="CE47" s="145">
        <f t="shared" si="77"/>
        <v>0.19833071576432229</v>
      </c>
      <c r="CF47" s="71"/>
      <c r="CG47" s="422">
        <f t="shared" ref="CG47:CK50" si="78">+CG13/CG$17</f>
        <v>0.19241273043054638</v>
      </c>
      <c r="CH47" s="144">
        <f t="shared" si="78"/>
        <v>0.19233651753351624</v>
      </c>
      <c r="CI47" s="144">
        <f t="shared" si="78"/>
        <v>0.19334696910073709</v>
      </c>
      <c r="CJ47" s="144">
        <f t="shared" si="78"/>
        <v>0.21261653454626289</v>
      </c>
      <c r="CK47" s="145">
        <f t="shared" si="78"/>
        <v>0.19827862536462854</v>
      </c>
      <c r="CL47" s="71"/>
      <c r="CM47" s="422">
        <f t="shared" ref="CM47:CQ50" si="79">+CM13/CM$17</f>
        <v>0.19420488615865264</v>
      </c>
      <c r="CN47" s="144">
        <f t="shared" si="79"/>
        <v>0.19032616260336152</v>
      </c>
      <c r="CO47" s="144">
        <f t="shared" si="79"/>
        <v>0.18924694599216371</v>
      </c>
      <c r="CP47" s="144">
        <f t="shared" si="79"/>
        <v>0.2056243130486263</v>
      </c>
      <c r="CQ47" s="145">
        <f t="shared" si="79"/>
        <v>0.19519103228425488</v>
      </c>
      <c r="CR47" s="71"/>
      <c r="CS47" s="422">
        <f t="shared" ref="CS47:CW50" si="80">+CS13/CS$17</f>
        <v>0.17470709855272226</v>
      </c>
      <c r="CT47" s="144">
        <f t="shared" si="80"/>
        <v>0.16977365469864661</v>
      </c>
      <c r="CU47" s="144">
        <f t="shared" si="80"/>
        <v>0.22905870964068106</v>
      </c>
      <c r="CV47" s="144">
        <f t="shared" si="80"/>
        <v>0.31788110108720791</v>
      </c>
      <c r="CW47" s="145">
        <f t="shared" si="80"/>
        <v>0.22965005507943215</v>
      </c>
      <c r="CX47" s="71"/>
      <c r="CY47" s="422">
        <f t="shared" ref="CY47:DC50" si="81">+CY13/CY$17</f>
        <v>0.32060854718279347</v>
      </c>
      <c r="CZ47" s="144">
        <f t="shared" si="81"/>
        <v>0.31313798062189113</v>
      </c>
      <c r="DA47" s="144">
        <f t="shared" si="81"/>
        <v>0.32075700007260233</v>
      </c>
      <c r="DB47" s="144">
        <f t="shared" si="81"/>
        <v>0.31719128329297819</v>
      </c>
      <c r="DC47" s="145">
        <f t="shared" si="81"/>
        <v>0.31783988058569868</v>
      </c>
      <c r="DD47" s="71"/>
      <c r="DE47" s="422">
        <f t="shared" ref="DE47:DI50" si="82">+DE13/DE$17</f>
        <v>0.31103026844520532</v>
      </c>
      <c r="DF47" s="144">
        <f t="shared" si="82"/>
        <v>0.30693332742067803</v>
      </c>
      <c r="DG47" s="144">
        <f t="shared" si="82"/>
        <v>0.30753941963694181</v>
      </c>
      <c r="DH47" s="144">
        <f t="shared" si="82"/>
        <v>0.31954303242424831</v>
      </c>
      <c r="DI47" s="145">
        <f t="shared" si="82"/>
        <v>0.31152173794442894</v>
      </c>
      <c r="DJ47" s="71"/>
      <c r="DK47" s="422">
        <f t="shared" ref="DK47:DO50" si="83">+DK13/DK$17</f>
        <v>0.31435021510414451</v>
      </c>
      <c r="DL47" s="144">
        <f t="shared" si="83"/>
        <v>0.31377385365784399</v>
      </c>
      <c r="DM47" s="144">
        <f t="shared" si="83"/>
        <v>0.32081966567592252</v>
      </c>
      <c r="DN47" s="144">
        <f t="shared" si="83"/>
        <v>0.33125793044023033</v>
      </c>
      <c r="DO47" s="145">
        <f t="shared" si="83"/>
        <v>0.32040050100286438</v>
      </c>
      <c r="DP47" s="71"/>
      <c r="DQ47" s="422">
        <f t="shared" ref="DQ47:DU50" si="84">+DQ13/DQ$17</f>
        <v>0.3286826233209808</v>
      </c>
      <c r="DR47" s="144">
        <f t="shared" si="84"/>
        <v>0.31998872883412682</v>
      </c>
      <c r="DS47" s="144">
        <f t="shared" si="84"/>
        <v>0.3210395395074252</v>
      </c>
      <c r="DT47" s="144">
        <f t="shared" si="84"/>
        <v>0.33154795110731777</v>
      </c>
      <c r="DU47" s="145">
        <f t="shared" si="84"/>
        <v>0.32544436344006678</v>
      </c>
      <c r="DV47" s="71"/>
      <c r="DW47" s="422">
        <f t="shared" ref="DW47:EA47" si="85">+DW13/DW$17</f>
        <v>0.327803813205441</v>
      </c>
      <c r="DX47" s="144">
        <f t="shared" si="85"/>
        <v>0.31913251246286728</v>
      </c>
      <c r="DY47" s="144">
        <f t="shared" si="85"/>
        <v>0.32017735266362535</v>
      </c>
      <c r="DZ47" s="144">
        <f t="shared" si="85"/>
        <v>0.33067718588868339</v>
      </c>
      <c r="EA47" s="145">
        <f t="shared" si="85"/>
        <v>0.32457730238796134</v>
      </c>
      <c r="EB47" s="71"/>
      <c r="EC47" s="422">
        <f t="shared" ref="EC47:EG47" si="86">+EC13/EC$17</f>
        <v>0.32691449173071452</v>
      </c>
      <c r="ED47" s="144">
        <f t="shared" si="86"/>
        <v>0.31826584269842229</v>
      </c>
      <c r="EE47" s="144">
        <f t="shared" si="86"/>
        <v>0.31930480175564857</v>
      </c>
      <c r="EF47" s="144">
        <f t="shared" si="86"/>
        <v>0.32979557142835275</v>
      </c>
      <c r="EG47" s="145">
        <f t="shared" si="86"/>
        <v>0.32369968784920505</v>
      </c>
    </row>
    <row r="48" spans="1:137" ht="11.25" customHeight="1" x14ac:dyDescent="0.2">
      <c r="A48" s="51" t="s">
        <v>115</v>
      </c>
      <c r="B48" s="14"/>
      <c r="C48" s="14"/>
      <c r="D48" s="14"/>
      <c r="E48" s="47"/>
      <c r="F48" s="71"/>
      <c r="G48" s="47"/>
      <c r="H48" s="71"/>
      <c r="I48" s="47"/>
      <c r="J48" s="71"/>
      <c r="K48" s="47"/>
      <c r="L48" s="71"/>
      <c r="M48" s="111"/>
      <c r="N48" s="15"/>
      <c r="O48" s="15"/>
      <c r="P48" s="15"/>
      <c r="Q48" s="47"/>
      <c r="R48" s="71"/>
      <c r="S48" s="111"/>
      <c r="T48" s="15"/>
      <c r="U48" s="15"/>
      <c r="V48" s="15"/>
      <c r="W48" s="47"/>
      <c r="X48" s="71"/>
      <c r="Y48" s="111"/>
      <c r="Z48" s="15"/>
      <c r="AA48" s="15"/>
      <c r="AB48" s="15"/>
      <c r="AC48" s="47"/>
      <c r="AD48" s="71"/>
      <c r="AE48" s="111">
        <f t="shared" ref="AE48:AI50" si="87">+AE14/AE$17</f>
        <v>0.21011938613710188</v>
      </c>
      <c r="AF48" s="15">
        <f t="shared" si="87"/>
        <v>0.20223796451034426</v>
      </c>
      <c r="AG48" s="15">
        <f t="shared" si="87"/>
        <v>0.15594346697767111</v>
      </c>
      <c r="AH48" s="15">
        <f t="shared" si="87"/>
        <v>0.1295023667999447</v>
      </c>
      <c r="AI48" s="47">
        <f t="shared" si="87"/>
        <v>0.16670499713385714</v>
      </c>
      <c r="AJ48" s="71"/>
      <c r="AK48" s="111">
        <f t="shared" ref="AK48:AL50" si="88">+AK14/AK$17</f>
        <v>0.14514801259822199</v>
      </c>
      <c r="AL48" s="15">
        <f t="shared" si="88"/>
        <v>0.13792486208687185</v>
      </c>
      <c r="AM48" s="15">
        <f t="shared" si="70"/>
        <v>0.12452799084718667</v>
      </c>
      <c r="AN48" s="15">
        <f t="shared" si="70"/>
        <v>9.8580923831059222E-2</v>
      </c>
      <c r="AO48" s="47">
        <f t="shared" si="70"/>
        <v>0.12325546544085761</v>
      </c>
      <c r="AP48" s="71"/>
      <c r="AQ48" s="111">
        <f t="shared" si="71"/>
        <v>0.12310768341689629</v>
      </c>
      <c r="AR48" s="15">
        <f t="shared" si="71"/>
        <v>0.10677818542554883</v>
      </c>
      <c r="AS48" s="15">
        <f t="shared" si="71"/>
        <v>9.4820599103970393E-2</v>
      </c>
      <c r="AT48" s="15">
        <f t="shared" si="71"/>
        <v>8.8871336469609624E-2</v>
      </c>
      <c r="AU48" s="47">
        <f t="shared" si="71"/>
        <v>0.10150455512216167</v>
      </c>
      <c r="AV48" s="71"/>
      <c r="AW48" s="111">
        <f t="shared" si="72"/>
        <v>0.10004751631736723</v>
      </c>
      <c r="AX48" s="15">
        <f t="shared" si="72"/>
        <v>9.7064469060151065E-2</v>
      </c>
      <c r="AY48" s="15">
        <f t="shared" si="72"/>
        <v>9.1524592948474065E-2</v>
      </c>
      <c r="AZ48" s="15">
        <f t="shared" si="72"/>
        <v>8.2905459071150656E-2</v>
      </c>
      <c r="BA48" s="47">
        <f t="shared" si="72"/>
        <v>9.2241488643925174E-2</v>
      </c>
      <c r="BB48" s="71"/>
      <c r="BC48" s="111">
        <f t="shared" si="73"/>
        <v>0.10529108194494399</v>
      </c>
      <c r="BD48" s="15">
        <f t="shared" si="73"/>
        <v>9.751421713148721E-2</v>
      </c>
      <c r="BE48" s="15">
        <f t="shared" si="73"/>
        <v>9.8920431957285629E-2</v>
      </c>
      <c r="BF48" s="15">
        <f t="shared" si="73"/>
        <v>9.9622271888472447E-2</v>
      </c>
      <c r="BG48" s="47">
        <f t="shared" si="73"/>
        <v>0.10023123775734734</v>
      </c>
      <c r="BH48" s="71"/>
      <c r="BI48" s="111">
        <f t="shared" si="74"/>
        <v>0.11302997272997989</v>
      </c>
      <c r="BJ48" s="15">
        <f t="shared" si="74"/>
        <v>0.11141303577828722</v>
      </c>
      <c r="BK48" s="15">
        <f t="shared" si="74"/>
        <v>0.1083855199629891</v>
      </c>
      <c r="BL48" s="15">
        <f t="shared" si="74"/>
        <v>0.10593600599205262</v>
      </c>
      <c r="BM48" s="47">
        <f t="shared" si="74"/>
        <v>0.10942384639789436</v>
      </c>
      <c r="BN48" s="71"/>
      <c r="BO48" s="111">
        <f t="shared" si="75"/>
        <v>0.11377108663126426</v>
      </c>
      <c r="BP48" s="15">
        <f t="shared" si="75"/>
        <v>0.10711597046855495</v>
      </c>
      <c r="BQ48" s="15">
        <f t="shared" si="75"/>
        <v>0.10654084121804044</v>
      </c>
      <c r="BR48" s="15">
        <f t="shared" si="75"/>
        <v>0.11192548243009369</v>
      </c>
      <c r="BS48" s="47">
        <f t="shared" si="75"/>
        <v>0.10986395592139438</v>
      </c>
      <c r="BT48" s="71"/>
      <c r="BU48" s="111">
        <f t="shared" si="76"/>
        <v>0.12259884230597387</v>
      </c>
      <c r="BV48" s="15">
        <f t="shared" si="76"/>
        <v>0.11827693394244194</v>
      </c>
      <c r="BW48" s="15">
        <f t="shared" si="76"/>
        <v>0.35569445827709278</v>
      </c>
      <c r="BX48" s="15">
        <f t="shared" si="76"/>
        <v>0.35104855846501082</v>
      </c>
      <c r="BY48" s="47">
        <f t="shared" si="76"/>
        <v>0.26330206412407986</v>
      </c>
      <c r="BZ48" s="71"/>
      <c r="CA48" s="111">
        <f t="shared" si="77"/>
        <v>0.3627114431751351</v>
      </c>
      <c r="CB48" s="15">
        <f t="shared" si="77"/>
        <v>0.35361790105798646</v>
      </c>
      <c r="CC48" s="15">
        <f t="shared" si="77"/>
        <v>0.34774620732545242</v>
      </c>
      <c r="CD48" s="15">
        <f t="shared" si="77"/>
        <v>0.34273062942530419</v>
      </c>
      <c r="CE48" s="47">
        <f t="shared" si="77"/>
        <v>0.35128177581850134</v>
      </c>
      <c r="CF48" s="71"/>
      <c r="CG48" s="111">
        <f t="shared" si="78"/>
        <v>0.35899922279204738</v>
      </c>
      <c r="CH48" s="15">
        <f t="shared" si="78"/>
        <v>0.35442897647001759</v>
      </c>
      <c r="CI48" s="15">
        <f t="shared" si="78"/>
        <v>0.35462531855233359</v>
      </c>
      <c r="CJ48" s="15">
        <f t="shared" si="78"/>
        <v>0.34460366843897983</v>
      </c>
      <c r="CK48" s="47">
        <f t="shared" si="78"/>
        <v>0.35277079490575758</v>
      </c>
      <c r="CL48" s="71"/>
      <c r="CM48" s="111">
        <f t="shared" si="79"/>
        <v>0.3616925209618671</v>
      </c>
      <c r="CN48" s="15">
        <f t="shared" si="79"/>
        <v>0.3656992872781516</v>
      </c>
      <c r="CO48" s="15">
        <f t="shared" si="79"/>
        <v>0.35773514851830118</v>
      </c>
      <c r="CP48" s="15">
        <f t="shared" si="79"/>
        <v>0.35178013299652511</v>
      </c>
      <c r="CQ48" s="47">
        <f t="shared" si="79"/>
        <v>0.35896559976383596</v>
      </c>
      <c r="CR48" s="71"/>
      <c r="CS48" s="111">
        <f t="shared" si="80"/>
        <v>0.352170916609235</v>
      </c>
      <c r="CT48" s="15">
        <f t="shared" si="80"/>
        <v>0.36549922202976837</v>
      </c>
      <c r="CU48" s="15">
        <f t="shared" si="80"/>
        <v>0.33477592392232791</v>
      </c>
      <c r="CV48" s="15">
        <f t="shared" si="80"/>
        <v>0.29780245200092526</v>
      </c>
      <c r="CW48" s="47">
        <f t="shared" si="80"/>
        <v>0.33479980878083926</v>
      </c>
      <c r="CX48" s="71"/>
      <c r="CY48" s="111">
        <f t="shared" si="81"/>
        <v>0.28954409928391223</v>
      </c>
      <c r="CZ48" s="15">
        <f t="shared" si="81"/>
        <v>0.29647092104952971</v>
      </c>
      <c r="DA48" s="15">
        <f t="shared" si="81"/>
        <v>0.29348273275090148</v>
      </c>
      <c r="DB48" s="15">
        <f t="shared" si="81"/>
        <v>0.31232685469973603</v>
      </c>
      <c r="DC48" s="47">
        <f t="shared" si="81"/>
        <v>0.29843505662701986</v>
      </c>
      <c r="DD48" s="71"/>
      <c r="DE48" s="111">
        <f t="shared" si="82"/>
        <v>0.31559550134341491</v>
      </c>
      <c r="DF48" s="15">
        <f t="shared" si="82"/>
        <v>0.31928338617769003</v>
      </c>
      <c r="DG48" s="15">
        <f t="shared" si="82"/>
        <v>0.31992844839008883</v>
      </c>
      <c r="DH48" s="15">
        <f t="shared" si="82"/>
        <v>0.31930707670527164</v>
      </c>
      <c r="DI48" s="47">
        <f t="shared" si="82"/>
        <v>0.31860314134983114</v>
      </c>
      <c r="DJ48" s="71"/>
      <c r="DK48" s="111">
        <f t="shared" si="83"/>
        <v>0.32365719640499213</v>
      </c>
      <c r="DL48" s="15">
        <f t="shared" si="83"/>
        <v>0.31836485086535671</v>
      </c>
      <c r="DM48" s="15">
        <f t="shared" si="83"/>
        <v>0.31359967904756625</v>
      </c>
      <c r="DN48" s="15">
        <f t="shared" si="83"/>
        <v>0.31353447395294293</v>
      </c>
      <c r="DO48" s="47">
        <f t="shared" si="83"/>
        <v>0.31713292509055108</v>
      </c>
      <c r="DP48" s="71"/>
      <c r="DQ48" s="111">
        <f t="shared" si="84"/>
        <v>0.309279635588527</v>
      </c>
      <c r="DR48" s="15">
        <f t="shared" si="84"/>
        <v>0.31279969604474378</v>
      </c>
      <c r="DS48" s="15">
        <f t="shared" si="84"/>
        <v>0.31079715653784951</v>
      </c>
      <c r="DT48" s="15">
        <f t="shared" si="84"/>
        <v>0.31079158348675523</v>
      </c>
      <c r="DU48" s="47">
        <f t="shared" si="84"/>
        <v>0.31093491993542721</v>
      </c>
      <c r="DV48" s="71"/>
      <c r="DW48" s="111">
        <f t="shared" ref="DW48:EA48" si="89">+DW14/DW$17</f>
        <v>0.31141859529718979</v>
      </c>
      <c r="DX48" s="15">
        <f t="shared" si="89"/>
        <v>0.31496235737347367</v>
      </c>
      <c r="DY48" s="15">
        <f t="shared" si="89"/>
        <v>0.31294288516541346</v>
      </c>
      <c r="DZ48" s="15">
        <f t="shared" si="89"/>
        <v>0.31295586405940434</v>
      </c>
      <c r="EA48" s="47">
        <f t="shared" si="89"/>
        <v>0.31308830890382205</v>
      </c>
      <c r="EB48" s="71"/>
      <c r="EC48" s="111">
        <f t="shared" ref="EC48:EG48" si="90">+EC14/EC$17</f>
        <v>0.31356001223609914</v>
      </c>
      <c r="ED48" s="15">
        <f t="shared" si="90"/>
        <v>0.31712727225588733</v>
      </c>
      <c r="EE48" s="15">
        <f t="shared" si="90"/>
        <v>0.31509091557188984</v>
      </c>
      <c r="EF48" s="15">
        <f t="shared" si="90"/>
        <v>0.3151226644343525</v>
      </c>
      <c r="EG48" s="47">
        <f t="shared" si="90"/>
        <v>0.31524408370627355</v>
      </c>
    </row>
    <row r="49" spans="1:137" ht="11.25" customHeight="1" x14ac:dyDescent="0.2">
      <c r="A49" s="51" t="s">
        <v>163</v>
      </c>
      <c r="B49" s="14"/>
      <c r="C49" s="14"/>
      <c r="D49" s="14"/>
      <c r="E49" s="47"/>
      <c r="F49" s="71"/>
      <c r="G49" s="47"/>
      <c r="H49" s="71"/>
      <c r="I49" s="47"/>
      <c r="J49" s="71"/>
      <c r="K49" s="47"/>
      <c r="L49" s="71"/>
      <c r="M49" s="111"/>
      <c r="N49" s="15"/>
      <c r="O49" s="15"/>
      <c r="P49" s="15"/>
      <c r="Q49" s="47"/>
      <c r="R49" s="71"/>
      <c r="S49" s="111"/>
      <c r="T49" s="15"/>
      <c r="U49" s="15"/>
      <c r="V49" s="15"/>
      <c r="W49" s="47"/>
      <c r="X49" s="71"/>
      <c r="Y49" s="111"/>
      <c r="Z49" s="15"/>
      <c r="AA49" s="15"/>
      <c r="AB49" s="15"/>
      <c r="AC49" s="47"/>
      <c r="AD49" s="71"/>
      <c r="AE49" s="111">
        <f t="shared" si="87"/>
        <v>0</v>
      </c>
      <c r="AF49" s="15">
        <f t="shared" si="87"/>
        <v>7.5461927056098596E-2</v>
      </c>
      <c r="AG49" s="15">
        <f t="shared" si="87"/>
        <v>0.23522304057208746</v>
      </c>
      <c r="AH49" s="15">
        <f t="shared" si="87"/>
        <v>0.2864229470815714</v>
      </c>
      <c r="AI49" s="47">
        <f t="shared" si="87"/>
        <v>0.1753847636697935</v>
      </c>
      <c r="AJ49" s="71"/>
      <c r="AK49" s="111">
        <f t="shared" si="88"/>
        <v>0.21897480063134722</v>
      </c>
      <c r="AL49" s="15">
        <f t="shared" si="88"/>
        <v>0.23214178957305578</v>
      </c>
      <c r="AM49" s="15">
        <f t="shared" si="70"/>
        <v>0.21576319325078597</v>
      </c>
      <c r="AN49" s="15">
        <f t="shared" si="70"/>
        <v>0.24772123652579509</v>
      </c>
      <c r="AO49" s="47">
        <f t="shared" si="70"/>
        <v>0.23041957086580378</v>
      </c>
      <c r="AP49" s="71"/>
      <c r="AQ49" s="111">
        <f t="shared" si="71"/>
        <v>0.16086627325293304</v>
      </c>
      <c r="AR49" s="15">
        <f t="shared" si="71"/>
        <v>0.26197264613065269</v>
      </c>
      <c r="AS49" s="15">
        <f t="shared" si="71"/>
        <v>0.32791899759043586</v>
      </c>
      <c r="AT49" s="15">
        <f t="shared" si="71"/>
        <v>0.34542303399877405</v>
      </c>
      <c r="AU49" s="47">
        <f t="shared" si="71"/>
        <v>0.2842787057493944</v>
      </c>
      <c r="AV49" s="71"/>
      <c r="AW49" s="111">
        <f t="shared" si="72"/>
        <v>0.32952981413328114</v>
      </c>
      <c r="AX49" s="15">
        <f t="shared" si="72"/>
        <v>0.33368708617081372</v>
      </c>
      <c r="AY49" s="15">
        <f t="shared" si="72"/>
        <v>0.32486898874071374</v>
      </c>
      <c r="AZ49" s="15">
        <f t="shared" si="72"/>
        <v>0.36144605720046274</v>
      </c>
      <c r="BA49" s="47">
        <f t="shared" si="72"/>
        <v>0.33852488898540578</v>
      </c>
      <c r="BB49" s="71"/>
      <c r="BC49" s="111">
        <f t="shared" si="73"/>
        <v>0.31678386180071594</v>
      </c>
      <c r="BD49" s="15">
        <f t="shared" si="73"/>
        <v>0.34717684161955659</v>
      </c>
      <c r="BE49" s="15">
        <f t="shared" si="73"/>
        <v>0.33056351899311992</v>
      </c>
      <c r="BF49" s="15">
        <f t="shared" si="73"/>
        <v>0.3200641559311011</v>
      </c>
      <c r="BG49" s="47">
        <f t="shared" si="73"/>
        <v>0.32881131288917892</v>
      </c>
      <c r="BH49" s="71"/>
      <c r="BI49" s="111">
        <f t="shared" si="74"/>
        <v>0.31844369433660341</v>
      </c>
      <c r="BJ49" s="15">
        <f t="shared" si="74"/>
        <v>0.31848784184823159</v>
      </c>
      <c r="BK49" s="15">
        <f t="shared" si="74"/>
        <v>0.31235345434941569</v>
      </c>
      <c r="BL49" s="15">
        <f t="shared" si="74"/>
        <v>0.31868516996986113</v>
      </c>
      <c r="BM49" s="47">
        <f t="shared" si="74"/>
        <v>0.3170219115583921</v>
      </c>
      <c r="BN49" s="71"/>
      <c r="BO49" s="111">
        <f t="shared" si="75"/>
        <v>0.29401077453488655</v>
      </c>
      <c r="BP49" s="15">
        <f t="shared" si="75"/>
        <v>0.27669945094001169</v>
      </c>
      <c r="BQ49" s="15">
        <f t="shared" si="75"/>
        <v>0.27966388694623295</v>
      </c>
      <c r="BR49" s="15">
        <f t="shared" si="75"/>
        <v>0.28446582926353853</v>
      </c>
      <c r="BS49" s="47">
        <f t="shared" si="75"/>
        <v>0.28359391531832145</v>
      </c>
      <c r="BT49" s="71"/>
      <c r="BU49" s="111">
        <f t="shared" si="76"/>
        <v>0.26617012835584614</v>
      </c>
      <c r="BV49" s="15">
        <f t="shared" si="76"/>
        <v>0.26374898649958955</v>
      </c>
      <c r="BW49" s="15">
        <f t="shared" si="76"/>
        <v>0.17775706305420166</v>
      </c>
      <c r="BX49" s="15">
        <f t="shared" si="76"/>
        <v>0.18122681527293813</v>
      </c>
      <c r="BY49" s="47">
        <f t="shared" si="76"/>
        <v>0.21252841118969279</v>
      </c>
      <c r="BZ49" s="71"/>
      <c r="CA49" s="111">
        <f t="shared" si="77"/>
        <v>0.16964279651923672</v>
      </c>
      <c r="CB49" s="15">
        <f t="shared" si="77"/>
        <v>0.17323896153979301</v>
      </c>
      <c r="CC49" s="15">
        <f t="shared" si="77"/>
        <v>0.17334635669375859</v>
      </c>
      <c r="CD49" s="15">
        <f t="shared" si="77"/>
        <v>0.1738332888966681</v>
      </c>
      <c r="CE49" s="47">
        <f t="shared" si="77"/>
        <v>0.17259075294205301</v>
      </c>
      <c r="CF49" s="71"/>
      <c r="CG49" s="111">
        <f t="shared" si="78"/>
        <v>0.16996326820285226</v>
      </c>
      <c r="CH49" s="15">
        <f t="shared" si="78"/>
        <v>0.16921783630441614</v>
      </c>
      <c r="CI49" s="15">
        <f t="shared" si="78"/>
        <v>0.16802723741128575</v>
      </c>
      <c r="CJ49" s="15">
        <f t="shared" si="78"/>
        <v>0.17058373372965011</v>
      </c>
      <c r="CK49" s="47">
        <f t="shared" si="78"/>
        <v>0.16947793258509242</v>
      </c>
      <c r="CL49" s="71"/>
      <c r="CM49" s="111">
        <f t="shared" si="79"/>
        <v>0.17218129990643</v>
      </c>
      <c r="CN49" s="15">
        <f t="shared" si="79"/>
        <v>0.16596656920942657</v>
      </c>
      <c r="CO49" s="15">
        <f t="shared" si="79"/>
        <v>0.16718781297228519</v>
      </c>
      <c r="CP49" s="15">
        <f t="shared" si="79"/>
        <v>0.17589187374792623</v>
      </c>
      <c r="CQ49" s="47">
        <f t="shared" si="79"/>
        <v>0.17044566783823731</v>
      </c>
      <c r="CR49" s="71"/>
      <c r="CS49" s="111">
        <f t="shared" si="80"/>
        <v>0.20750579537622954</v>
      </c>
      <c r="CT49" s="15">
        <f t="shared" si="80"/>
        <v>0.20186125708246483</v>
      </c>
      <c r="CU49" s="15">
        <f t="shared" si="80"/>
        <v>0.18569557542281193</v>
      </c>
      <c r="CV49" s="15">
        <f t="shared" si="80"/>
        <v>0.16992829053897757</v>
      </c>
      <c r="CW49" s="47">
        <f t="shared" si="80"/>
        <v>0.18961181124728932</v>
      </c>
      <c r="CX49" s="71"/>
      <c r="CY49" s="111">
        <f t="shared" si="81"/>
        <v>0.16714660686526844</v>
      </c>
      <c r="CZ49" s="15">
        <f t="shared" si="81"/>
        <v>0.16846224569178908</v>
      </c>
      <c r="DA49" s="15">
        <f t="shared" si="81"/>
        <v>0.16350039931269814</v>
      </c>
      <c r="DB49" s="15">
        <f t="shared" si="81"/>
        <v>0.16126780533560192</v>
      </c>
      <c r="DC49" s="47">
        <f t="shared" si="81"/>
        <v>0.164988390276264</v>
      </c>
      <c r="DD49" s="71"/>
      <c r="DE49" s="111">
        <f t="shared" si="82"/>
        <v>0.15585990441543621</v>
      </c>
      <c r="DF49" s="15">
        <f t="shared" si="82"/>
        <v>0.15578368550586461</v>
      </c>
      <c r="DG49" s="15">
        <f t="shared" si="82"/>
        <v>0.15326178172342211</v>
      </c>
      <c r="DH49" s="15">
        <f t="shared" si="82"/>
        <v>0.14920266629962442</v>
      </c>
      <c r="DI49" s="47">
        <f t="shared" si="82"/>
        <v>0.15335220980157882</v>
      </c>
      <c r="DJ49" s="71"/>
      <c r="DK49" s="111">
        <f t="shared" si="83"/>
        <v>0.14324658176087235</v>
      </c>
      <c r="DL49" s="15">
        <f t="shared" si="83"/>
        <v>0.14749748615292402</v>
      </c>
      <c r="DM49" s="15">
        <f t="shared" si="83"/>
        <v>0.1445069366174607</v>
      </c>
      <c r="DN49" s="15">
        <f t="shared" si="83"/>
        <v>0.14511001274938506</v>
      </c>
      <c r="DO49" s="47">
        <f t="shared" si="83"/>
        <v>0.14511482788609298</v>
      </c>
      <c r="DP49" s="71"/>
      <c r="DQ49" s="111">
        <f t="shared" si="84"/>
        <v>0.14098975283526261</v>
      </c>
      <c r="DR49" s="15">
        <f t="shared" si="84"/>
        <v>0.14491916651788561</v>
      </c>
      <c r="DS49" s="15">
        <f t="shared" si="84"/>
        <v>0.14321553241733323</v>
      </c>
      <c r="DT49" s="15">
        <f t="shared" si="84"/>
        <v>0.14384054829305101</v>
      </c>
      <c r="DU49" s="47">
        <f t="shared" si="84"/>
        <v>0.14328293700934969</v>
      </c>
      <c r="DV49" s="71"/>
      <c r="DW49" s="111">
        <f t="shared" ref="DW49:EA49" si="91">+DW15/DW$17</f>
        <v>0.13926073765259461</v>
      </c>
      <c r="DX49" s="15">
        <f t="shared" si="91"/>
        <v>0.14314167113817097</v>
      </c>
      <c r="DY49" s="15">
        <f t="shared" si="91"/>
        <v>0.14145753727170216</v>
      </c>
      <c r="DZ49" s="15">
        <f t="shared" si="91"/>
        <v>0.14208332110261318</v>
      </c>
      <c r="EA49" s="47">
        <f t="shared" si="91"/>
        <v>0.14152714727300122</v>
      </c>
      <c r="EB49" s="71"/>
      <c r="EC49" s="111">
        <f t="shared" ref="EC49:EG49" si="92">+EC15/EC$17</f>
        <v>0.13754751486883779</v>
      </c>
      <c r="ED49" s="15">
        <f t="shared" si="92"/>
        <v>0.14138031615535762</v>
      </c>
      <c r="EE49" s="15">
        <f t="shared" si="92"/>
        <v>0.13971557372574644</v>
      </c>
      <c r="EF49" s="15">
        <f t="shared" si="92"/>
        <v>0.14034197106406845</v>
      </c>
      <c r="EG49" s="47">
        <f t="shared" si="92"/>
        <v>0.13978731796571012</v>
      </c>
    </row>
    <row r="50" spans="1:137" ht="11.25" customHeight="1" x14ac:dyDescent="0.2">
      <c r="A50" s="51" t="s">
        <v>231</v>
      </c>
      <c r="B50" s="14"/>
      <c r="C50" s="14"/>
      <c r="D50" s="14"/>
      <c r="E50" s="47"/>
      <c r="F50" s="71"/>
      <c r="G50" s="47"/>
      <c r="H50" s="71"/>
      <c r="I50" s="47"/>
      <c r="J50" s="71"/>
      <c r="K50" s="47"/>
      <c r="L50" s="71"/>
      <c r="M50" s="111"/>
      <c r="N50" s="15"/>
      <c r="O50" s="15"/>
      <c r="P50" s="15"/>
      <c r="Q50" s="47"/>
      <c r="R50" s="71"/>
      <c r="S50" s="111">
        <f>+S16/S$17</f>
        <v>1</v>
      </c>
      <c r="T50" s="15">
        <f>+T16/T$17</f>
        <v>1</v>
      </c>
      <c r="U50" s="15">
        <f>+U16/U$17</f>
        <v>1</v>
      </c>
      <c r="V50" s="15">
        <f>+V16/V$17</f>
        <v>1</v>
      </c>
      <c r="W50" s="47">
        <f>+W16/W$17</f>
        <v>1</v>
      </c>
      <c r="X50" s="71"/>
      <c r="Y50" s="111">
        <f>+Y16/Y$17</f>
        <v>1</v>
      </c>
      <c r="Z50" s="15">
        <f>+Z16/Z$17</f>
        <v>1</v>
      </c>
      <c r="AA50" s="15">
        <f>+AA16/AA$17</f>
        <v>1</v>
      </c>
      <c r="AB50" s="15">
        <f>+AB16/AB$17</f>
        <v>1</v>
      </c>
      <c r="AC50" s="47">
        <f>+AC16/AC$17</f>
        <v>1</v>
      </c>
      <c r="AD50" s="71"/>
      <c r="AE50" s="111">
        <f t="shared" si="87"/>
        <v>0.7898806138628981</v>
      </c>
      <c r="AF50" s="15">
        <f t="shared" si="87"/>
        <v>0.72230010843355719</v>
      </c>
      <c r="AG50" s="15">
        <f t="shared" si="87"/>
        <v>0.60883349245024143</v>
      </c>
      <c r="AH50" s="15">
        <f t="shared" si="87"/>
        <v>0.58407468611848379</v>
      </c>
      <c r="AI50" s="47">
        <f t="shared" si="87"/>
        <v>0.65791023919634939</v>
      </c>
      <c r="AJ50" s="71"/>
      <c r="AK50" s="111">
        <f t="shared" si="88"/>
        <v>0.63587718677043092</v>
      </c>
      <c r="AL50" s="15">
        <f t="shared" si="88"/>
        <v>0.62993334834007242</v>
      </c>
      <c r="AM50" s="15">
        <f t="shared" si="70"/>
        <v>0.58242757212091201</v>
      </c>
      <c r="AN50" s="15">
        <f t="shared" si="70"/>
        <v>0.50615645479400284</v>
      </c>
      <c r="AO50" s="47">
        <f t="shared" si="70"/>
        <v>0.57897756616140628</v>
      </c>
      <c r="AP50" s="71"/>
      <c r="AQ50" s="111">
        <f t="shared" si="71"/>
        <v>0.50821109963729905</v>
      </c>
      <c r="AR50" s="15">
        <f t="shared" si="71"/>
        <v>0.44588400409371703</v>
      </c>
      <c r="AS50" s="15">
        <f t="shared" si="71"/>
        <v>0.41286255973678165</v>
      </c>
      <c r="AT50" s="15">
        <f t="shared" si="71"/>
        <v>0.40857434758245542</v>
      </c>
      <c r="AU50" s="47">
        <f t="shared" si="71"/>
        <v>0.43839799423952014</v>
      </c>
      <c r="AV50" s="71"/>
      <c r="AW50" s="111">
        <f t="shared" si="72"/>
        <v>0.40444686264446733</v>
      </c>
      <c r="AX50" s="15">
        <f t="shared" si="72"/>
        <v>0.40365134371478562</v>
      </c>
      <c r="AY50" s="15">
        <f t="shared" si="72"/>
        <v>0.42765903582067655</v>
      </c>
      <c r="AZ50" s="15">
        <f t="shared" si="72"/>
        <v>0.41059223463708688</v>
      </c>
      <c r="BA50" s="47">
        <f t="shared" si="72"/>
        <v>0.41193150538428525</v>
      </c>
      <c r="BB50" s="71"/>
      <c r="BC50" s="111">
        <f t="shared" si="73"/>
        <v>0.41065180374352267</v>
      </c>
      <c r="BD50" s="15">
        <f t="shared" si="73"/>
        <v>0.39599388504618183</v>
      </c>
      <c r="BE50" s="15">
        <f t="shared" si="73"/>
        <v>0.4091089158430064</v>
      </c>
      <c r="BF50" s="15">
        <f t="shared" si="73"/>
        <v>0.41232669824266011</v>
      </c>
      <c r="BG50" s="47">
        <f t="shared" si="73"/>
        <v>0.40700249772783015</v>
      </c>
      <c r="BH50" s="71"/>
      <c r="BI50" s="111">
        <f t="shared" si="74"/>
        <v>0.40137781678109313</v>
      </c>
      <c r="BJ50" s="15">
        <f t="shared" si="74"/>
        <v>0.40313736796660388</v>
      </c>
      <c r="BK50" s="15">
        <f t="shared" si="74"/>
        <v>0.41322818644163456</v>
      </c>
      <c r="BL50" s="15">
        <f t="shared" si="74"/>
        <v>0.40608757234000631</v>
      </c>
      <c r="BM50" s="47">
        <f t="shared" si="74"/>
        <v>0.40609559822674557</v>
      </c>
      <c r="BN50" s="71"/>
      <c r="BO50" s="111">
        <f t="shared" si="75"/>
        <v>0.36068816941006798</v>
      </c>
      <c r="BP50" s="15">
        <f t="shared" si="75"/>
        <v>0.38095370542517032</v>
      </c>
      <c r="BQ50" s="15">
        <f t="shared" si="75"/>
        <v>0.37336454627779414</v>
      </c>
      <c r="BR50" s="15">
        <f t="shared" si="75"/>
        <v>0.34957059357019316</v>
      </c>
      <c r="BS50" s="47">
        <f t="shared" si="75"/>
        <v>0.36551690166381146</v>
      </c>
      <c r="BT50" s="71"/>
      <c r="BU50" s="111">
        <f t="shared" si="76"/>
        <v>0.37983573007004706</v>
      </c>
      <c r="BV50" s="15">
        <f t="shared" si="76"/>
        <v>0.37346515239900863</v>
      </c>
      <c r="BW50" s="15">
        <f t="shared" si="76"/>
        <v>0.26046142347838341</v>
      </c>
      <c r="BX50" s="15">
        <f t="shared" si="76"/>
        <v>0.25326829380442734</v>
      </c>
      <c r="BY50" s="47">
        <f t="shared" si="76"/>
        <v>0.30297007100875606</v>
      </c>
      <c r="BZ50" s="71"/>
      <c r="CA50" s="111">
        <f t="shared" si="77"/>
        <v>0.26979852242095687</v>
      </c>
      <c r="CB50" s="15">
        <f t="shared" si="77"/>
        <v>0.28057931299643307</v>
      </c>
      <c r="CC50" s="15">
        <f t="shared" si="77"/>
        <v>0.29221877130893648</v>
      </c>
      <c r="CD50" s="15">
        <f t="shared" si="77"/>
        <v>0.26963752550304332</v>
      </c>
      <c r="CE50" s="47">
        <f t="shared" si="77"/>
        <v>0.27779675547512339</v>
      </c>
      <c r="CF50" s="71"/>
      <c r="CG50" s="111">
        <f t="shared" si="78"/>
        <v>0.27862477857455392</v>
      </c>
      <c r="CH50" s="15">
        <f t="shared" si="78"/>
        <v>0.28401666969204986</v>
      </c>
      <c r="CI50" s="15">
        <f t="shared" si="78"/>
        <v>0.28400047493564362</v>
      </c>
      <c r="CJ50" s="15">
        <f t="shared" si="78"/>
        <v>0.27219606328510715</v>
      </c>
      <c r="CK50" s="47">
        <f t="shared" si="78"/>
        <v>0.27947264714452158</v>
      </c>
      <c r="CL50" s="71"/>
      <c r="CM50" s="111">
        <f t="shared" si="79"/>
        <v>0.27192129297305034</v>
      </c>
      <c r="CN50" s="15">
        <f t="shared" si="79"/>
        <v>0.27800798090906037</v>
      </c>
      <c r="CO50" s="15">
        <f t="shared" si="79"/>
        <v>0.28583009251724989</v>
      </c>
      <c r="CP50" s="15">
        <f t="shared" si="79"/>
        <v>0.26670368020692253</v>
      </c>
      <c r="CQ50" s="47">
        <f t="shared" si="79"/>
        <v>0.27539770011367193</v>
      </c>
      <c r="CR50" s="71"/>
      <c r="CS50" s="111">
        <f t="shared" si="80"/>
        <v>0.26561618946181315</v>
      </c>
      <c r="CT50" s="15">
        <f t="shared" si="80"/>
        <v>0.26286586618912011</v>
      </c>
      <c r="CU50" s="15">
        <f t="shared" si="80"/>
        <v>0.25046979101417916</v>
      </c>
      <c r="CV50" s="15">
        <f t="shared" si="80"/>
        <v>0.21438815637288913</v>
      </c>
      <c r="CW50" s="47">
        <f t="shared" si="80"/>
        <v>0.24593832489243922</v>
      </c>
      <c r="CX50" s="71"/>
      <c r="CY50" s="111">
        <f t="shared" si="81"/>
        <v>0.22270074666802575</v>
      </c>
      <c r="CZ50" s="15">
        <f t="shared" si="81"/>
        <v>0.22192885263679013</v>
      </c>
      <c r="DA50" s="15">
        <f t="shared" si="81"/>
        <v>0.22225986786379803</v>
      </c>
      <c r="DB50" s="15">
        <f t="shared" si="81"/>
        <v>0.20921405667168377</v>
      </c>
      <c r="DC50" s="47">
        <f t="shared" si="81"/>
        <v>0.21873667251101736</v>
      </c>
      <c r="DD50" s="71"/>
      <c r="DE50" s="111">
        <f t="shared" si="82"/>
        <v>0.2175143257959436</v>
      </c>
      <c r="DF50" s="15">
        <f t="shared" si="82"/>
        <v>0.21799960089576728</v>
      </c>
      <c r="DG50" s="15">
        <f t="shared" si="82"/>
        <v>0.21927035024954727</v>
      </c>
      <c r="DH50" s="15">
        <f t="shared" si="82"/>
        <v>0.21194722457085552</v>
      </c>
      <c r="DI50" s="47">
        <f t="shared" si="82"/>
        <v>0.21652291090416101</v>
      </c>
      <c r="DJ50" s="71"/>
      <c r="DK50" s="111">
        <f t="shared" si="83"/>
        <v>0.21874600672999106</v>
      </c>
      <c r="DL50" s="15">
        <f t="shared" si="83"/>
        <v>0.22036380932387525</v>
      </c>
      <c r="DM50" s="15">
        <f t="shared" si="83"/>
        <v>0.22107371865905051</v>
      </c>
      <c r="DN50" s="15">
        <f t="shared" si="83"/>
        <v>0.21009758285744182</v>
      </c>
      <c r="DO50" s="47">
        <f t="shared" si="83"/>
        <v>0.21735174602049157</v>
      </c>
      <c r="DP50" s="71"/>
      <c r="DQ50" s="111">
        <f t="shared" si="84"/>
        <v>0.22104798825522945</v>
      </c>
      <c r="DR50" s="15">
        <f t="shared" si="84"/>
        <v>0.22229240860324387</v>
      </c>
      <c r="DS50" s="15">
        <f t="shared" si="84"/>
        <v>0.22494777153739193</v>
      </c>
      <c r="DT50" s="15">
        <f t="shared" si="84"/>
        <v>0.21381991711287598</v>
      </c>
      <c r="DU50" s="47">
        <f t="shared" si="84"/>
        <v>0.22033777961515635</v>
      </c>
      <c r="DV50" s="71"/>
      <c r="DW50" s="111">
        <f t="shared" ref="DW50:EA50" si="93">+DW16/DW$17</f>
        <v>0.22151685384477462</v>
      </c>
      <c r="DX50" s="15">
        <f t="shared" si="93"/>
        <v>0.22276345902548814</v>
      </c>
      <c r="DY50" s="15">
        <f t="shared" si="93"/>
        <v>0.22542222489925895</v>
      </c>
      <c r="DZ50" s="15">
        <f t="shared" si="93"/>
        <v>0.21428362894929895</v>
      </c>
      <c r="EA50" s="47">
        <f t="shared" si="93"/>
        <v>0.22080724143521535</v>
      </c>
      <c r="EB50" s="71"/>
      <c r="EC50" s="111">
        <f t="shared" ref="EC50:EG50" si="94">+EC16/EC$17</f>
        <v>0.22197798116434853</v>
      </c>
      <c r="ED50" s="15">
        <f t="shared" si="94"/>
        <v>0.22322656889033288</v>
      </c>
      <c r="EE50" s="15">
        <f t="shared" si="94"/>
        <v>0.22588870894671517</v>
      </c>
      <c r="EF50" s="15">
        <f t="shared" si="94"/>
        <v>0.21473979307322627</v>
      </c>
      <c r="EG50" s="47">
        <f t="shared" si="94"/>
        <v>0.22126891047881123</v>
      </c>
    </row>
    <row r="51" spans="1:137" ht="11.25" customHeight="1" x14ac:dyDescent="0.2">
      <c r="A51" s="409" t="s">
        <v>239</v>
      </c>
      <c r="B51" s="343"/>
      <c r="C51" s="343"/>
      <c r="D51" s="343"/>
      <c r="E51" s="425"/>
      <c r="F51" s="344"/>
      <c r="G51" s="425"/>
      <c r="H51" s="344"/>
      <c r="I51" s="425"/>
      <c r="J51" s="344"/>
      <c r="K51" s="425"/>
      <c r="L51" s="344"/>
      <c r="M51" s="423"/>
      <c r="N51" s="424"/>
      <c r="O51" s="424"/>
      <c r="P51" s="424"/>
      <c r="Q51" s="425"/>
      <c r="R51" s="344"/>
      <c r="S51" s="423">
        <f>+SUM(S47:S50)</f>
        <v>1</v>
      </c>
      <c r="T51" s="424">
        <f>+SUM(T47:T50)</f>
        <v>1</v>
      </c>
      <c r="U51" s="424">
        <f>+SUM(U47:U50)</f>
        <v>1</v>
      </c>
      <c r="V51" s="424">
        <f>+SUM(V47:V50)</f>
        <v>1</v>
      </c>
      <c r="W51" s="425">
        <f>+SUM(W47:W50)</f>
        <v>1</v>
      </c>
      <c r="X51" s="344"/>
      <c r="Y51" s="423">
        <f>+SUM(Y47:Y50)</f>
        <v>1</v>
      </c>
      <c r="Z51" s="424">
        <f>+SUM(Z47:Z50)</f>
        <v>1</v>
      </c>
      <c r="AA51" s="424">
        <f>+SUM(AA47:AA50)</f>
        <v>1</v>
      </c>
      <c r="AB51" s="424">
        <f>+SUM(AB47:AB50)</f>
        <v>1</v>
      </c>
      <c r="AC51" s="425">
        <f>+SUM(AC47:AC50)</f>
        <v>1</v>
      </c>
      <c r="AD51" s="344"/>
      <c r="AE51" s="423">
        <f>+SUM(AE47:AE50)</f>
        <v>1</v>
      </c>
      <c r="AF51" s="424">
        <f>+SUM(AF47:AF50)</f>
        <v>1</v>
      </c>
      <c r="AG51" s="424">
        <f>+SUM(AG47:AG50)</f>
        <v>1</v>
      </c>
      <c r="AH51" s="424">
        <f>+SUM(AH47:AH50)</f>
        <v>0.99999999999999989</v>
      </c>
      <c r="AI51" s="425">
        <f>+SUM(AI47:AI50)</f>
        <v>1</v>
      </c>
      <c r="AJ51" s="344"/>
      <c r="AK51" s="423">
        <f>+SUM(AK47:AK50)</f>
        <v>1</v>
      </c>
      <c r="AL51" s="424">
        <f>+SUM(AL47:AL50)</f>
        <v>1</v>
      </c>
      <c r="AM51" s="424">
        <f>+SUM(AM47:AM50)</f>
        <v>1</v>
      </c>
      <c r="AN51" s="424">
        <f>+SUM(AN47:AN50)</f>
        <v>1</v>
      </c>
      <c r="AO51" s="425">
        <f>+SUM(AO47:AO50)</f>
        <v>1</v>
      </c>
      <c r="AP51" s="344"/>
      <c r="AQ51" s="423">
        <f>+SUM(AQ47:AQ50)</f>
        <v>1</v>
      </c>
      <c r="AR51" s="424">
        <f>+SUM(AR47:AR50)</f>
        <v>1</v>
      </c>
      <c r="AS51" s="424">
        <f>+SUM(AS47:AS50)</f>
        <v>1</v>
      </c>
      <c r="AT51" s="424">
        <f>+SUM(AT47:AT50)</f>
        <v>0.99999999999999978</v>
      </c>
      <c r="AU51" s="425">
        <f>+SUM(AU47:AU50)</f>
        <v>1</v>
      </c>
      <c r="AV51" s="344"/>
      <c r="AW51" s="423">
        <f>+SUM(AW47:AW50)</f>
        <v>1</v>
      </c>
      <c r="AX51" s="424">
        <f>+SUM(AX47:AX50)</f>
        <v>1</v>
      </c>
      <c r="AY51" s="424">
        <f>+SUM(AY47:AY50)</f>
        <v>1</v>
      </c>
      <c r="AZ51" s="424">
        <f>+SUM(AZ47:AZ50)</f>
        <v>1</v>
      </c>
      <c r="BA51" s="425">
        <f>+SUM(BA47:BA50)</f>
        <v>0.99999999999999989</v>
      </c>
      <c r="BB51" s="344"/>
      <c r="BC51" s="423">
        <f>+SUM(BC47:BC50)</f>
        <v>1.0000000000000002</v>
      </c>
      <c r="BD51" s="424">
        <f>+SUM(BD47:BD50)</f>
        <v>1</v>
      </c>
      <c r="BE51" s="424">
        <f>+SUM(BE47:BE50)</f>
        <v>1</v>
      </c>
      <c r="BF51" s="424">
        <f>+SUM(BF47:BF50)</f>
        <v>1</v>
      </c>
      <c r="BG51" s="425">
        <f>+SUM(BG47:BG50)</f>
        <v>1</v>
      </c>
      <c r="BH51" s="344"/>
      <c r="BI51" s="423">
        <f>+SUM(BI47:BI50)</f>
        <v>1</v>
      </c>
      <c r="BJ51" s="424">
        <f>+SUM(BJ47:BJ50)</f>
        <v>1</v>
      </c>
      <c r="BK51" s="424">
        <f>+SUM(BK47:BK50)</f>
        <v>1</v>
      </c>
      <c r="BL51" s="424">
        <f>+SUM(BL47:BL50)</f>
        <v>1</v>
      </c>
      <c r="BM51" s="425">
        <f>+SUM(BM47:BM50)</f>
        <v>1</v>
      </c>
      <c r="BN51" s="344"/>
      <c r="BO51" s="423">
        <f>+SUM(BO47:BO50)</f>
        <v>1</v>
      </c>
      <c r="BP51" s="424">
        <f>+SUM(BP47:BP50)</f>
        <v>1</v>
      </c>
      <c r="BQ51" s="424">
        <f>+SUM(BQ47:BQ50)</f>
        <v>1</v>
      </c>
      <c r="BR51" s="424">
        <f>+SUM(BR47:BR50)</f>
        <v>1</v>
      </c>
      <c r="BS51" s="425">
        <f>+SUM(BS47:BS50)</f>
        <v>1</v>
      </c>
      <c r="BT51" s="344"/>
      <c r="BU51" s="423">
        <f>+SUM(BU47:BU50)</f>
        <v>1</v>
      </c>
      <c r="BV51" s="424">
        <f>+SUM(BV47:BV50)</f>
        <v>1</v>
      </c>
      <c r="BW51" s="424">
        <f>+SUM(BW47:BW50)</f>
        <v>1.0000000000000002</v>
      </c>
      <c r="BX51" s="424">
        <f>+SUM(BX47:BX50)</f>
        <v>1</v>
      </c>
      <c r="BY51" s="425">
        <f>+SUM(BY47:BY50)</f>
        <v>1</v>
      </c>
      <c r="BZ51" s="344"/>
      <c r="CA51" s="423">
        <f>+SUM(CA47:CA50)</f>
        <v>1</v>
      </c>
      <c r="CB51" s="424">
        <f>+SUM(CB47:CB50)</f>
        <v>1</v>
      </c>
      <c r="CC51" s="424">
        <f>+SUM(CC47:CC50)</f>
        <v>0.99999999999999989</v>
      </c>
      <c r="CD51" s="424">
        <f>+SUM(CD47:CD50)</f>
        <v>1</v>
      </c>
      <c r="CE51" s="425">
        <f>+SUM(CE47:CE50)</f>
        <v>1</v>
      </c>
      <c r="CF51" s="344"/>
      <c r="CG51" s="423">
        <f>+SUM(CG47:CG50)</f>
        <v>0.99999999999999989</v>
      </c>
      <c r="CH51" s="424">
        <f>+SUM(CH47:CH50)</f>
        <v>0.99999999999999978</v>
      </c>
      <c r="CI51" s="424">
        <f>+SUM(CI47:CI50)</f>
        <v>1</v>
      </c>
      <c r="CJ51" s="424">
        <f>+SUM(CJ47:CJ50)</f>
        <v>0.99999999999999989</v>
      </c>
      <c r="CK51" s="425">
        <f>+SUM(CK47:CK50)</f>
        <v>1</v>
      </c>
      <c r="CL51" s="344"/>
      <c r="CM51" s="423">
        <f>+SUM(CM47:CM50)</f>
        <v>1</v>
      </c>
      <c r="CN51" s="424">
        <f>+SUM(CN47:CN50)</f>
        <v>1</v>
      </c>
      <c r="CO51" s="424">
        <f>+SUM(CO47:CO50)</f>
        <v>1</v>
      </c>
      <c r="CP51" s="424">
        <f>+SUM(CP47:CP50)</f>
        <v>1.0000000000000002</v>
      </c>
      <c r="CQ51" s="425">
        <f>+SUM(CQ47:CQ50)</f>
        <v>1</v>
      </c>
      <c r="CR51" s="344"/>
      <c r="CS51" s="423">
        <f>+SUM(CS47:CS50)</f>
        <v>1</v>
      </c>
      <c r="CT51" s="424">
        <f>+SUM(CT47:CT50)</f>
        <v>0.99999999999999989</v>
      </c>
      <c r="CU51" s="424">
        <f>+SUM(CU47:CU50)</f>
        <v>1</v>
      </c>
      <c r="CV51" s="424">
        <f>+SUM(CV47:CV50)</f>
        <v>0.99999999999999978</v>
      </c>
      <c r="CW51" s="425">
        <f>+SUM(CW47:CW50)</f>
        <v>1</v>
      </c>
      <c r="CX51" s="344"/>
      <c r="CY51" s="423">
        <f>+SUM(CY47:CY50)</f>
        <v>1</v>
      </c>
      <c r="CZ51" s="424">
        <f>+SUM(CZ47:CZ50)</f>
        <v>1</v>
      </c>
      <c r="DA51" s="424">
        <f>+SUM(DA47:DA50)</f>
        <v>1</v>
      </c>
      <c r="DB51" s="424">
        <f>+SUM(DB47:DB50)</f>
        <v>0.99999999999999989</v>
      </c>
      <c r="DC51" s="425">
        <f>+SUM(DC47:DC50)</f>
        <v>0.99999999999999989</v>
      </c>
      <c r="DD51" s="344"/>
      <c r="DE51" s="423">
        <f>+SUM(DE47:DE50)</f>
        <v>1</v>
      </c>
      <c r="DF51" s="424">
        <f>+SUM(DF47:DF50)</f>
        <v>1</v>
      </c>
      <c r="DG51" s="424">
        <f>+SUM(DG47:DG50)</f>
        <v>1</v>
      </c>
      <c r="DH51" s="424">
        <f>+SUM(DH47:DH50)</f>
        <v>1</v>
      </c>
      <c r="DI51" s="425">
        <f>+SUM(DI47:DI50)</f>
        <v>0.99999999999999989</v>
      </c>
      <c r="DJ51" s="344"/>
      <c r="DK51" s="423">
        <f>+SUM(DK47:DK50)</f>
        <v>1</v>
      </c>
      <c r="DL51" s="424">
        <f>+SUM(DL47:DL50)</f>
        <v>1</v>
      </c>
      <c r="DM51" s="424">
        <f>+SUM(DM47:DM50)</f>
        <v>1</v>
      </c>
      <c r="DN51" s="424">
        <f>+SUM(DN47:DN50)</f>
        <v>1</v>
      </c>
      <c r="DO51" s="425">
        <f>+SUM(DO47:DO50)</f>
        <v>1</v>
      </c>
      <c r="DP51" s="344"/>
      <c r="DQ51" s="423">
        <f>+SUM(DQ47:DQ50)</f>
        <v>0.99999999999999978</v>
      </c>
      <c r="DR51" s="424">
        <f>+SUM(DR47:DR50)</f>
        <v>1.0000000000000002</v>
      </c>
      <c r="DS51" s="424">
        <f>+SUM(DS47:DS50)</f>
        <v>0.99999999999999978</v>
      </c>
      <c r="DT51" s="424">
        <f>+SUM(DT47:DT50)</f>
        <v>1</v>
      </c>
      <c r="DU51" s="425">
        <f>+SUM(DU47:DU50)</f>
        <v>1</v>
      </c>
      <c r="DV51" s="344"/>
      <c r="DW51" s="423">
        <f>+SUM(DW47:DW50)</f>
        <v>1</v>
      </c>
      <c r="DX51" s="424">
        <f>+SUM(DX47:DX50)</f>
        <v>1</v>
      </c>
      <c r="DY51" s="424">
        <f>+SUM(DY47:DY50)</f>
        <v>1</v>
      </c>
      <c r="DZ51" s="424">
        <f>+SUM(DZ47:DZ50)</f>
        <v>0.99999999999999989</v>
      </c>
      <c r="EA51" s="425">
        <f>+SUM(EA47:EA50)</f>
        <v>0.99999999999999989</v>
      </c>
      <c r="EB51" s="344"/>
      <c r="EC51" s="423">
        <f t="shared" ref="EC51:EG51" si="95">+SUM(EC47:EC50)</f>
        <v>0.99999999999999989</v>
      </c>
      <c r="ED51" s="424">
        <f t="shared" si="95"/>
        <v>1</v>
      </c>
      <c r="EE51" s="424">
        <f t="shared" si="95"/>
        <v>1</v>
      </c>
      <c r="EF51" s="424">
        <f t="shared" si="95"/>
        <v>1</v>
      </c>
      <c r="EG51" s="425">
        <f t="shared" si="95"/>
        <v>1</v>
      </c>
    </row>
    <row r="52" spans="1:137" ht="11.25" customHeight="1" x14ac:dyDescent="0.2">
      <c r="A52" s="2"/>
      <c r="B52" s="14"/>
      <c r="C52" s="14"/>
      <c r="D52" s="14"/>
      <c r="E52" s="71"/>
      <c r="F52" s="71"/>
      <c r="G52" s="71"/>
      <c r="H52" s="71"/>
      <c r="I52" s="71"/>
      <c r="J52" s="71"/>
      <c r="K52" s="71"/>
      <c r="L52" s="71"/>
      <c r="M52" s="71"/>
      <c r="N52" s="71"/>
      <c r="O52" s="71"/>
      <c r="P52" s="71"/>
      <c r="Q52" s="71"/>
      <c r="R52" s="71"/>
      <c r="S52" s="71"/>
      <c r="T52" s="71"/>
      <c r="U52" s="71"/>
      <c r="V52" s="71"/>
      <c r="W52" s="71"/>
      <c r="X52" s="71"/>
      <c r="Y52" s="71"/>
      <c r="Z52" s="71"/>
      <c r="AA52" s="71"/>
      <c r="AB52" s="71"/>
      <c r="AC52" s="71"/>
      <c r="AD52" s="71"/>
      <c r="AE52" s="71"/>
      <c r="AF52" s="71"/>
      <c r="AG52" s="71"/>
      <c r="AH52" s="71"/>
      <c r="AI52" s="71"/>
      <c r="AJ52" s="71"/>
      <c r="AK52" s="71"/>
      <c r="AL52" s="71"/>
      <c r="AM52" s="71"/>
      <c r="AN52" s="71"/>
      <c r="AO52" s="71"/>
      <c r="AP52" s="71"/>
      <c r="AQ52" s="71"/>
      <c r="AR52" s="71"/>
      <c r="AS52" s="71"/>
      <c r="AT52" s="71"/>
      <c r="AU52" s="71"/>
      <c r="AV52" s="71"/>
      <c r="AW52" s="71"/>
      <c r="AX52" s="71"/>
      <c r="AY52" s="71"/>
      <c r="AZ52" s="71"/>
      <c r="BA52" s="71"/>
      <c r="BB52" s="71"/>
      <c r="BC52" s="71"/>
      <c r="BD52" s="71"/>
      <c r="BE52" s="71"/>
      <c r="BF52" s="71"/>
      <c r="BG52" s="69"/>
      <c r="BH52" s="71"/>
      <c r="BI52" s="69"/>
      <c r="BJ52" s="69"/>
      <c r="BK52" s="69"/>
      <c r="BL52" s="69"/>
      <c r="BM52" s="69"/>
      <c r="BN52" s="71"/>
      <c r="BO52" s="69"/>
      <c r="BP52" s="69"/>
      <c r="BQ52" s="69"/>
      <c r="BR52" s="69"/>
      <c r="BS52" s="69"/>
      <c r="BT52" s="71"/>
      <c r="BU52" s="69"/>
      <c r="BV52" s="69"/>
      <c r="BW52" s="69"/>
      <c r="BX52" s="69"/>
      <c r="BY52" s="69"/>
      <c r="BZ52" s="71"/>
      <c r="CA52" s="69"/>
      <c r="CB52" s="69"/>
      <c r="CC52" s="69"/>
      <c r="CD52" s="69"/>
      <c r="CE52" s="69"/>
      <c r="CF52" s="71"/>
      <c r="CG52" s="69"/>
      <c r="CH52" s="69"/>
      <c r="CI52" s="69"/>
      <c r="CJ52" s="69"/>
      <c r="CK52" s="69"/>
      <c r="CL52" s="71"/>
      <c r="CM52" s="69"/>
      <c r="CN52" s="69"/>
      <c r="CO52" s="69"/>
      <c r="CP52" s="69"/>
      <c r="CQ52" s="69"/>
      <c r="CR52" s="71"/>
      <c r="CS52" s="69"/>
      <c r="CT52" s="69"/>
      <c r="CU52" s="69"/>
      <c r="CV52" s="69"/>
      <c r="CW52" s="67"/>
      <c r="CX52" s="71"/>
      <c r="CY52" s="69"/>
      <c r="CZ52" s="69"/>
      <c r="DA52" s="69"/>
      <c r="DB52" s="69"/>
      <c r="DC52" s="67"/>
      <c r="DD52" s="71"/>
      <c r="DE52" s="67"/>
      <c r="DF52" s="67"/>
      <c r="DG52" s="67"/>
      <c r="DH52" s="67"/>
      <c r="DI52" s="67"/>
      <c r="DJ52" s="71"/>
      <c r="DK52" s="67"/>
      <c r="DL52" s="67"/>
      <c r="DM52" s="67"/>
      <c r="DN52" s="67"/>
      <c r="DO52" s="67"/>
      <c r="DP52" s="71"/>
      <c r="DQ52" s="67"/>
      <c r="DR52" s="67"/>
      <c r="DS52" s="67"/>
      <c r="DT52" s="67"/>
      <c r="DU52" s="67"/>
      <c r="DV52" s="71"/>
      <c r="DW52" s="67"/>
      <c r="DX52" s="67"/>
      <c r="DY52" s="67"/>
      <c r="DZ52" s="67"/>
      <c r="EA52" s="67"/>
      <c r="EB52" s="71"/>
      <c r="EC52" s="67"/>
      <c r="ED52" s="67"/>
      <c r="EE52" s="67"/>
      <c r="EF52" s="67"/>
      <c r="EG52" s="67"/>
    </row>
    <row r="53" spans="1:137" ht="11.25" customHeight="1" x14ac:dyDescent="0.2">
      <c r="A53" s="106" t="s">
        <v>401</v>
      </c>
      <c r="B53" s="74"/>
      <c r="C53" s="74"/>
      <c r="D53" s="74"/>
      <c r="E53" s="107"/>
      <c r="F53" s="75"/>
      <c r="G53" s="107"/>
      <c r="H53" s="75"/>
      <c r="I53" s="107"/>
      <c r="J53" s="75"/>
      <c r="K53" s="107"/>
      <c r="L53" s="75"/>
      <c r="M53" s="109"/>
      <c r="N53" s="110"/>
      <c r="O53" s="110"/>
      <c r="P53" s="110"/>
      <c r="Q53" s="107"/>
      <c r="R53" s="75"/>
      <c r="S53" s="109"/>
      <c r="T53" s="110"/>
      <c r="U53" s="110"/>
      <c r="V53" s="110"/>
      <c r="W53" s="107"/>
      <c r="X53" s="75"/>
      <c r="Y53" s="109"/>
      <c r="Z53" s="110"/>
      <c r="AA53" s="110"/>
      <c r="AB53" s="110"/>
      <c r="AC53" s="107"/>
      <c r="AD53" s="75"/>
      <c r="AE53" s="109"/>
      <c r="AF53" s="110"/>
      <c r="AG53" s="110"/>
      <c r="AH53" s="110"/>
      <c r="AI53" s="107"/>
      <c r="AJ53" s="75"/>
      <c r="AK53" s="109"/>
      <c r="AL53" s="110"/>
      <c r="AM53" s="110"/>
      <c r="AN53" s="110"/>
      <c r="AO53" s="107"/>
      <c r="AP53" s="75"/>
      <c r="AQ53" s="109"/>
      <c r="AR53" s="110"/>
      <c r="AS53" s="110"/>
      <c r="AT53" s="110"/>
      <c r="AU53" s="107"/>
      <c r="AV53" s="75"/>
      <c r="AW53" s="109"/>
      <c r="AX53" s="110"/>
      <c r="AY53" s="110"/>
      <c r="AZ53" s="110"/>
      <c r="BA53" s="107"/>
      <c r="BB53" s="75"/>
      <c r="BC53" s="109"/>
      <c r="BD53" s="110"/>
      <c r="BE53" s="110"/>
      <c r="BF53" s="110"/>
      <c r="BG53" s="107"/>
      <c r="BH53" s="75"/>
      <c r="BI53" s="109"/>
      <c r="BJ53" s="110"/>
      <c r="BK53" s="110"/>
      <c r="BL53" s="110"/>
      <c r="BM53" s="107"/>
      <c r="BN53" s="75"/>
      <c r="BO53" s="109"/>
      <c r="BP53" s="110"/>
      <c r="BQ53" s="110"/>
      <c r="BR53" s="110"/>
      <c r="BS53" s="107"/>
      <c r="BT53" s="75"/>
      <c r="BU53" s="109"/>
      <c r="BV53" s="110"/>
      <c r="BW53" s="110"/>
      <c r="BX53" s="110"/>
      <c r="BY53" s="107"/>
      <c r="BZ53" s="75"/>
      <c r="CA53" s="109"/>
      <c r="CB53" s="110"/>
      <c r="CC53" s="110"/>
      <c r="CD53" s="110"/>
      <c r="CE53" s="107"/>
      <c r="CF53" s="75"/>
      <c r="CG53" s="109"/>
      <c r="CH53" s="110"/>
      <c r="CI53" s="110"/>
      <c r="CJ53" s="110"/>
      <c r="CK53" s="107"/>
      <c r="CL53" s="75"/>
      <c r="CM53" s="109"/>
      <c r="CN53" s="110"/>
      <c r="CO53" s="110"/>
      <c r="CP53" s="110"/>
      <c r="CQ53" s="107"/>
      <c r="CR53" s="75"/>
      <c r="CS53" s="109"/>
      <c r="CT53" s="110"/>
      <c r="CU53" s="110"/>
      <c r="CV53" s="110"/>
      <c r="CW53" s="107"/>
      <c r="CX53" s="75"/>
      <c r="CY53" s="109"/>
      <c r="CZ53" s="110"/>
      <c r="DA53" s="110"/>
      <c r="DB53" s="110"/>
      <c r="DC53" s="107"/>
      <c r="DD53" s="75"/>
      <c r="DE53" s="109"/>
      <c r="DF53" s="110"/>
      <c r="DG53" s="110"/>
      <c r="DH53" s="110"/>
      <c r="DI53" s="107"/>
      <c r="DJ53" s="75"/>
      <c r="DK53" s="109"/>
      <c r="DL53" s="110"/>
      <c r="DM53" s="110"/>
      <c r="DN53" s="110"/>
      <c r="DO53" s="107"/>
      <c r="DP53" s="75"/>
      <c r="DQ53" s="109"/>
      <c r="DR53" s="110"/>
      <c r="DS53" s="110"/>
      <c r="DT53" s="110"/>
      <c r="DU53" s="107"/>
      <c r="DV53" s="75"/>
      <c r="DW53" s="109"/>
      <c r="DX53" s="110"/>
      <c r="DY53" s="110"/>
      <c r="DZ53" s="110"/>
      <c r="EA53" s="107"/>
      <c r="EB53" s="75"/>
      <c r="EC53" s="109"/>
      <c r="ED53" s="110"/>
      <c r="EE53" s="110"/>
      <c r="EF53" s="110"/>
      <c r="EG53" s="107"/>
    </row>
    <row r="54" spans="1:137" ht="11.25" customHeight="1" x14ac:dyDescent="0.2">
      <c r="A54" s="128" t="s">
        <v>377</v>
      </c>
      <c r="E54" s="145"/>
      <c r="F54" s="15"/>
      <c r="G54" s="145"/>
      <c r="H54" s="15"/>
      <c r="I54" s="145"/>
      <c r="J54" s="15"/>
      <c r="K54" s="145"/>
      <c r="L54" s="15"/>
      <c r="M54" s="422"/>
      <c r="N54" s="144"/>
      <c r="O54" s="144"/>
      <c r="P54" s="144"/>
      <c r="Q54" s="145"/>
      <c r="R54" s="15"/>
      <c r="S54" s="422">
        <f>+S71</f>
        <v>0</v>
      </c>
      <c r="T54" s="144">
        <f>+T71</f>
        <v>0</v>
      </c>
      <c r="U54" s="144">
        <f>+U71</f>
        <v>0</v>
      </c>
      <c r="V54" s="144">
        <f>+V71</f>
        <v>0</v>
      </c>
      <c r="W54" s="145">
        <f>+W71</f>
        <v>0</v>
      </c>
      <c r="X54" s="15"/>
      <c r="Y54" s="422">
        <f>+Y71</f>
        <v>0</v>
      </c>
      <c r="Z54" s="144">
        <f>+Z71</f>
        <v>0</v>
      </c>
      <c r="AA54" s="144">
        <f>+AA71</f>
        <v>0</v>
      </c>
      <c r="AB54" s="144">
        <f>+AB71</f>
        <v>0</v>
      </c>
      <c r="AC54" s="145">
        <f>+AC71</f>
        <v>0</v>
      </c>
      <c r="AD54" s="15"/>
      <c r="AE54" s="422">
        <f>+AE71</f>
        <v>0</v>
      </c>
      <c r="AF54" s="144">
        <f>+AF71</f>
        <v>0</v>
      </c>
      <c r="AG54" s="144">
        <f>+AG71</f>
        <v>0</v>
      </c>
      <c r="AH54" s="144">
        <f>+AH71</f>
        <v>0</v>
      </c>
      <c r="AI54" s="145">
        <f>+AI71</f>
        <v>0</v>
      </c>
      <c r="AJ54" s="15"/>
      <c r="AK54" s="422">
        <f>+AK71</f>
        <v>0</v>
      </c>
      <c r="AL54" s="144">
        <f>+AL71</f>
        <v>0</v>
      </c>
      <c r="AM54" s="144">
        <f>+AM71</f>
        <v>0</v>
      </c>
      <c r="AN54" s="144">
        <f>+AN71</f>
        <v>0</v>
      </c>
      <c r="AO54" s="145">
        <f>+AO71</f>
        <v>0</v>
      </c>
      <c r="AP54" s="15"/>
      <c r="AQ54" s="422">
        <f>+AQ71</f>
        <v>0</v>
      </c>
      <c r="AR54" s="144">
        <f>+AR71</f>
        <v>0</v>
      </c>
      <c r="AS54" s="144">
        <f>+AS71</f>
        <v>0</v>
      </c>
      <c r="AT54" s="144">
        <f>+AT71</f>
        <v>0</v>
      </c>
      <c r="AU54" s="145">
        <f>+AU71</f>
        <v>0.09</v>
      </c>
      <c r="AV54" s="15"/>
      <c r="AW54" s="422">
        <f>+AW71</f>
        <v>0</v>
      </c>
      <c r="AX54" s="144">
        <f>+AX71</f>
        <v>0</v>
      </c>
      <c r="AY54" s="144">
        <f>+AY71</f>
        <v>0</v>
      </c>
      <c r="AZ54" s="144">
        <f>+AZ71</f>
        <v>0</v>
      </c>
      <c r="BA54" s="145">
        <f>+BA71</f>
        <v>0.14000000000000001</v>
      </c>
      <c r="BB54" s="15"/>
      <c r="BC54" s="422">
        <f>+BC71</f>
        <v>0</v>
      </c>
      <c r="BD54" s="144">
        <f>+BD71</f>
        <v>0</v>
      </c>
      <c r="BE54" s="144">
        <f>+BE71</f>
        <v>0</v>
      </c>
      <c r="BF54" s="144">
        <f>+BF71</f>
        <v>0</v>
      </c>
      <c r="BG54" s="145">
        <f>+BG71</f>
        <v>9.5000000000000001E-2</v>
      </c>
      <c r="BH54" s="15"/>
      <c r="BI54" s="422">
        <f>+BI71</f>
        <v>-2.545E-2</v>
      </c>
      <c r="BJ54" s="144">
        <f>+BJ71</f>
        <v>-2.545E-2</v>
      </c>
      <c r="BK54" s="144">
        <f>+BK71</f>
        <v>-2.545E-2</v>
      </c>
      <c r="BL54" s="144">
        <f>+BL71</f>
        <v>-2.545E-2</v>
      </c>
      <c r="BM54" s="145">
        <f>+BM71</f>
        <v>-2.545E-2</v>
      </c>
      <c r="BN54" s="15"/>
      <c r="BO54" s="422">
        <f>+BO71</f>
        <v>7.0000000000000007E-2</v>
      </c>
      <c r="BP54" s="144">
        <f>+BP71</f>
        <v>7.0000000000000007E-2</v>
      </c>
      <c r="BQ54" s="144">
        <f>+BQ71</f>
        <v>0.1</v>
      </c>
      <c r="BR54" s="144">
        <f>+BR71</f>
        <v>0.1</v>
      </c>
      <c r="BS54" s="145">
        <f>+BS71</f>
        <v>8.6244020899256743E-2</v>
      </c>
      <c r="BT54" s="15"/>
      <c r="BU54" s="422">
        <f>+BU71</f>
        <v>0.06</v>
      </c>
      <c r="BV54" s="144">
        <f>+BV71</f>
        <v>0.06</v>
      </c>
      <c r="BW54" s="144">
        <f>+BW71</f>
        <v>0.05</v>
      </c>
      <c r="BX54" s="144">
        <f>+BX71</f>
        <v>0.05</v>
      </c>
      <c r="BY54" s="145">
        <f>+BY71</f>
        <v>5.4540786153152547E-2</v>
      </c>
      <c r="BZ54" s="15"/>
      <c r="CA54" s="422">
        <f>+CA71</f>
        <v>0</v>
      </c>
      <c r="CB54" s="144">
        <f>+CB71</f>
        <v>0.03</v>
      </c>
      <c r="CC54" s="144">
        <f>+CC71</f>
        <v>-2.8275000000000002E-2</v>
      </c>
      <c r="CD54" s="144">
        <f>+CD71</f>
        <v>8.2290000000000002E-2</v>
      </c>
      <c r="CE54" s="145">
        <f>+CE71</f>
        <v>2.4595935051288528E-2</v>
      </c>
      <c r="CF54" s="15"/>
      <c r="CG54" s="422">
        <f>+CG71</f>
        <v>1.2239999999999999E-2</v>
      </c>
      <c r="CH54" s="144">
        <f>+CH71</f>
        <v>5.015E-2</v>
      </c>
      <c r="CI54" s="144">
        <f>+CI71</f>
        <v>7.0000000000000007E-2</v>
      </c>
      <c r="CJ54" s="144">
        <f>+CJ71</f>
        <v>2.8410000000000001E-2</v>
      </c>
      <c r="CK54" s="145">
        <f>+CK71</f>
        <v>3.9245640450670458E-2</v>
      </c>
      <c r="CL54" s="15"/>
      <c r="CM54" s="422">
        <f>+CM71</f>
        <v>5.45E-2</v>
      </c>
      <c r="CN54" s="144">
        <f>+CN71</f>
        <v>2.52E-2</v>
      </c>
      <c r="CO54" s="144">
        <f>+CO71</f>
        <v>0.02</v>
      </c>
      <c r="CP54" s="144">
        <f>+CP71</f>
        <v>3.6249999999999998E-2</v>
      </c>
      <c r="CQ54" s="145">
        <f>+CQ71</f>
        <v>3.3764548118207276E-2</v>
      </c>
      <c r="CR54" s="15"/>
      <c r="CS54" s="422">
        <f>+CS71</f>
        <v>2.4999999999999998E-2</v>
      </c>
      <c r="CT54" s="144">
        <f>+CT71</f>
        <v>2.5000000000000001E-2</v>
      </c>
      <c r="CU54" s="144">
        <f>+CU71</f>
        <v>4.4999999999999998E-2</v>
      </c>
      <c r="CV54" s="144">
        <f>+CV71</f>
        <v>3.5000000000000003E-2</v>
      </c>
      <c r="CW54" s="145">
        <f>+CW71</f>
        <v>0.03</v>
      </c>
      <c r="CX54" s="15"/>
      <c r="CY54" s="422">
        <f>+CY71</f>
        <v>3.4999999999999996E-2</v>
      </c>
      <c r="CZ54" s="144">
        <f>+CZ71</f>
        <v>0.04</v>
      </c>
      <c r="DA54" s="144">
        <f>+DA71</f>
        <v>3.4999999999999996E-2</v>
      </c>
      <c r="DB54" s="144">
        <f>+DB71</f>
        <v>3.5000000000000003E-2</v>
      </c>
      <c r="DC54" s="145">
        <f>+DC71</f>
        <v>3.5890427489667247E-2</v>
      </c>
      <c r="DD54" s="15"/>
      <c r="DE54" s="422">
        <f>+DE71</f>
        <v>3.4999999999999996E-2</v>
      </c>
      <c r="DF54" s="144">
        <f>+DF71</f>
        <v>3.7000000000000005E-2</v>
      </c>
      <c r="DG54" s="144">
        <f>+DG71</f>
        <v>0.04</v>
      </c>
      <c r="DH54" s="144">
        <f>+DH71</f>
        <v>6.5000000000000002E-2</v>
      </c>
      <c r="DI54" s="145">
        <f>+DI71</f>
        <v>4.485978121098045E-2</v>
      </c>
      <c r="DJ54" s="15"/>
      <c r="DK54" s="422">
        <f>+DK71</f>
        <v>5.5E-2</v>
      </c>
      <c r="DL54" s="144">
        <f>+DL71</f>
        <v>0.05</v>
      </c>
      <c r="DM54" s="144">
        <f>+DM71</f>
        <v>0.05</v>
      </c>
      <c r="DN54" s="144">
        <f>+DN71</f>
        <v>3.5000000000000003E-2</v>
      </c>
      <c r="DO54" s="145">
        <f>+DO71</f>
        <v>4.6876411971769325E-2</v>
      </c>
      <c r="DP54" s="15"/>
      <c r="DQ54" s="422">
        <f>+DQ71</f>
        <v>0.04</v>
      </c>
      <c r="DR54" s="144">
        <f>+DR71</f>
        <v>0.04</v>
      </c>
      <c r="DS54" s="144">
        <f>+DS71</f>
        <v>0.04</v>
      </c>
      <c r="DT54" s="144">
        <f>+DT71</f>
        <v>0.04</v>
      </c>
      <c r="DU54" s="145">
        <f>+DU71</f>
        <v>0.04</v>
      </c>
      <c r="DV54" s="15"/>
      <c r="DW54" s="422">
        <f>+DW71</f>
        <v>0.04</v>
      </c>
      <c r="DX54" s="144">
        <f>+DX71</f>
        <v>0.04</v>
      </c>
      <c r="DY54" s="144">
        <f>+DY71</f>
        <v>0.04</v>
      </c>
      <c r="DZ54" s="144">
        <f>+DZ71</f>
        <v>0.04</v>
      </c>
      <c r="EA54" s="145">
        <f>+EA71</f>
        <v>4.0000000000000008E-2</v>
      </c>
      <c r="EB54" s="15"/>
      <c r="EC54" s="422">
        <f t="shared" ref="EC54:EG54" si="96">+EC71</f>
        <v>0.04</v>
      </c>
      <c r="ED54" s="144">
        <f t="shared" si="96"/>
        <v>0.04</v>
      </c>
      <c r="EE54" s="144">
        <f t="shared" si="96"/>
        <v>0.04</v>
      </c>
      <c r="EF54" s="144">
        <f t="shared" si="96"/>
        <v>0.04</v>
      </c>
      <c r="EG54" s="145">
        <f t="shared" si="96"/>
        <v>0.04</v>
      </c>
    </row>
    <row r="55" spans="1:137" ht="11.25" customHeight="1" x14ac:dyDescent="0.2">
      <c r="A55" s="51" t="s">
        <v>115</v>
      </c>
      <c r="E55" s="47"/>
      <c r="F55" s="15"/>
      <c r="G55" s="47"/>
      <c r="H55" s="15"/>
      <c r="I55" s="47"/>
      <c r="J55" s="15"/>
      <c r="K55" s="47"/>
      <c r="L55" s="15"/>
      <c r="M55" s="111"/>
      <c r="N55" s="15"/>
      <c r="O55" s="15"/>
      <c r="P55" s="15"/>
      <c r="Q55" s="47"/>
      <c r="R55" s="15"/>
      <c r="S55" s="111">
        <f>+S147</f>
        <v>0</v>
      </c>
      <c r="T55" s="15">
        <f>+T147</f>
        <v>0</v>
      </c>
      <c r="U55" s="15">
        <f>+U147</f>
        <v>0</v>
      </c>
      <c r="V55" s="15">
        <f>+V147</f>
        <v>0</v>
      </c>
      <c r="W55" s="47">
        <f>+W147</f>
        <v>0</v>
      </c>
      <c r="X55" s="15"/>
      <c r="Y55" s="111">
        <f>+Y147</f>
        <v>0</v>
      </c>
      <c r="Z55" s="15">
        <f>+Z147</f>
        <v>0</v>
      </c>
      <c r="AA55" s="15">
        <f>+AA147</f>
        <v>0</v>
      </c>
      <c r="AB55" s="15">
        <f>+AB147</f>
        <v>0</v>
      </c>
      <c r="AC55" s="47">
        <f>+AC147</f>
        <v>0</v>
      </c>
      <c r="AD55" s="15"/>
      <c r="AE55" s="111">
        <f>+AE147</f>
        <v>0</v>
      </c>
      <c r="AF55" s="15">
        <f>+AF147</f>
        <v>0</v>
      </c>
      <c r="AG55" s="15">
        <f>+AG147</f>
        <v>0</v>
      </c>
      <c r="AH55" s="15">
        <f>+AH147</f>
        <v>0</v>
      </c>
      <c r="AI55" s="47">
        <f>+AI147</f>
        <v>0.09</v>
      </c>
      <c r="AJ55" s="15"/>
      <c r="AK55" s="111">
        <f>+AK150</f>
        <v>7.0000000000000007E-2</v>
      </c>
      <c r="AL55" s="15">
        <f>+AL150</f>
        <v>0.05</v>
      </c>
      <c r="AM55" s="15">
        <f>+AM150</f>
        <v>0.05</v>
      </c>
      <c r="AN55" s="15">
        <f>+AN150</f>
        <v>0.05</v>
      </c>
      <c r="AO55" s="47">
        <f>+AO147</f>
        <v>0.04</v>
      </c>
      <c r="AP55" s="15"/>
      <c r="AQ55" s="111">
        <f>+AQ147</f>
        <v>0.16</v>
      </c>
      <c r="AR55" s="15">
        <f>+AR147</f>
        <v>0.16</v>
      </c>
      <c r="AS55" s="15">
        <f>+AS147</f>
        <v>0.16</v>
      </c>
      <c r="AT55" s="15">
        <f>+AT147</f>
        <v>0.16</v>
      </c>
      <c r="AU55" s="47">
        <f>+AU147</f>
        <v>0.06</v>
      </c>
      <c r="AV55" s="15"/>
      <c r="AW55" s="111">
        <f>+AW147</f>
        <v>0</v>
      </c>
      <c r="AX55" s="15">
        <f>+AX147</f>
        <v>0</v>
      </c>
      <c r="AY55" s="15">
        <f>+AY147</f>
        <v>0</v>
      </c>
      <c r="AZ55" s="15">
        <f>+AZ147</f>
        <v>0</v>
      </c>
      <c r="BA55" s="47">
        <f>+BA147</f>
        <v>0.09</v>
      </c>
      <c r="BB55" s="15"/>
      <c r="BC55" s="111">
        <f>+BC147</f>
        <v>0</v>
      </c>
      <c r="BD55" s="15">
        <f>+BD147</f>
        <v>0</v>
      </c>
      <c r="BE55" s="15">
        <f>+BE147</f>
        <v>0</v>
      </c>
      <c r="BF55" s="15">
        <f>+BF147</f>
        <v>0</v>
      </c>
      <c r="BG55" s="47">
        <f>+BG147</f>
        <v>6.5000000000000002E-2</v>
      </c>
      <c r="BH55" s="15"/>
      <c r="BI55" s="111">
        <f>+BI147</f>
        <v>0.05</v>
      </c>
      <c r="BJ55" s="15">
        <f>+BJ147</f>
        <v>0.05</v>
      </c>
      <c r="BK55" s="15">
        <f>+BK147</f>
        <v>0.05</v>
      </c>
      <c r="BL55" s="15">
        <f>+BL147</f>
        <v>0.05</v>
      </c>
      <c r="BM55" s="47">
        <f>+BM147</f>
        <v>0.05</v>
      </c>
      <c r="BN55" s="15"/>
      <c r="BO55" s="111">
        <f>+BO147</f>
        <v>0.08</v>
      </c>
      <c r="BP55" s="15">
        <f>+BP147</f>
        <v>0.08</v>
      </c>
      <c r="BQ55" s="15">
        <f>+BQ147</f>
        <v>0.09</v>
      </c>
      <c r="BR55" s="15">
        <f>+BR147</f>
        <v>0.09</v>
      </c>
      <c r="BS55" s="47">
        <f>+BS147</f>
        <v>8.5286566209042236E-2</v>
      </c>
      <c r="BT55" s="15"/>
      <c r="BU55" s="111">
        <f>+BU147</f>
        <v>0.09</v>
      </c>
      <c r="BV55" s="15">
        <f>+BV147</f>
        <v>0.09</v>
      </c>
      <c r="BW55" s="15">
        <f>+BW147</f>
        <v>0.08</v>
      </c>
      <c r="BX55" s="15">
        <f>+BX147</f>
        <v>0.08</v>
      </c>
      <c r="BY55" s="47">
        <f>+BY147</f>
        <v>8.4709555247431484E-2</v>
      </c>
      <c r="BZ55" s="15"/>
      <c r="CA55" s="111">
        <f>+CA147</f>
        <v>0.05</v>
      </c>
      <c r="CB55" s="15">
        <f>+CB147</f>
        <v>0.05</v>
      </c>
      <c r="CC55" s="15">
        <f>+CC147</f>
        <v>0.05</v>
      </c>
      <c r="CD55" s="15">
        <f>+CD147</f>
        <v>0.06</v>
      </c>
      <c r="CE55" s="47">
        <f>+CE147</f>
        <v>5.4278885173983348E-2</v>
      </c>
      <c r="CF55" s="15"/>
      <c r="CG55" s="111">
        <f>+CG147</f>
        <v>0.03</v>
      </c>
      <c r="CH55" s="15">
        <f>+CH147</f>
        <v>5.382E-2</v>
      </c>
      <c r="CI55" s="15">
        <f>+CI147</f>
        <v>5.2900000000000003E-2</v>
      </c>
      <c r="CJ55" s="15">
        <f>+CJ147</f>
        <v>0.04</v>
      </c>
      <c r="CK55" s="47">
        <f>+CK147</f>
        <v>4.4077232581273197E-2</v>
      </c>
      <c r="CL55" s="15"/>
      <c r="CM55" s="111">
        <f>+CM147</f>
        <v>3.15E-2</v>
      </c>
      <c r="CN55" s="15">
        <f>+CN147</f>
        <v>5.4399999999999997E-2</v>
      </c>
      <c r="CO55" s="15">
        <f>+CO147</f>
        <v>3.5000000000000003E-2</v>
      </c>
      <c r="CP55" s="15">
        <f>+CP147</f>
        <v>5.1580000000000001E-2</v>
      </c>
      <c r="CQ55" s="47">
        <f>+CQ147</f>
        <v>4.3516142889724031E-2</v>
      </c>
      <c r="CR55" s="15"/>
      <c r="CS55" s="111">
        <f>+CS147</f>
        <v>3.9999999999999994E-2</v>
      </c>
      <c r="CT55" s="15">
        <f>+CT147</f>
        <v>5.5E-2</v>
      </c>
      <c r="CU55" s="15">
        <f>+CU147</f>
        <v>0.03</v>
      </c>
      <c r="CV55" s="15">
        <f>+CV147</f>
        <v>3.5000000000000003E-2</v>
      </c>
      <c r="CW55" s="47">
        <f>+CW147</f>
        <v>0.04</v>
      </c>
      <c r="CX55" s="15"/>
      <c r="CY55" s="111">
        <f>+CY147</f>
        <v>2.5000000000000001E-2</v>
      </c>
      <c r="CZ55" s="15">
        <f>+CZ147</f>
        <v>0.02</v>
      </c>
      <c r="DA55" s="15">
        <f>+DA147</f>
        <v>3.4999999999999996E-2</v>
      </c>
      <c r="DB55" s="15">
        <f>+DB147</f>
        <v>2.4999999999999998E-2</v>
      </c>
      <c r="DC55" s="47">
        <f>+DC147</f>
        <v>2.5097260160582731E-2</v>
      </c>
      <c r="DD55" s="15"/>
      <c r="DE55" s="111">
        <f>+DE147</f>
        <v>3.0000000000000002E-2</v>
      </c>
      <c r="DF55" s="15">
        <f>+DF147</f>
        <v>2.7000000000000003E-2</v>
      </c>
      <c r="DG55" s="15">
        <f>+DG147</f>
        <v>0.04</v>
      </c>
      <c r="DH55" s="15">
        <f>+DH147</f>
        <v>0.06</v>
      </c>
      <c r="DI55" s="47">
        <f>+DI147</f>
        <v>4.0183633368398072E-2</v>
      </c>
      <c r="DJ55" s="15"/>
      <c r="DK55" s="111">
        <f>+DK147</f>
        <v>9.5000000000000001E-2</v>
      </c>
      <c r="DL55" s="15">
        <f>+DL147</f>
        <v>5.5E-2</v>
      </c>
      <c r="DM55" s="15">
        <f>+DM147</f>
        <v>0.04</v>
      </c>
      <c r="DN55" s="15">
        <f>+DN147</f>
        <v>0.03</v>
      </c>
      <c r="DO55" s="47">
        <f>+DO147</f>
        <v>5.3418466069624478E-2</v>
      </c>
      <c r="DP55" s="15"/>
      <c r="DQ55" s="111">
        <f>+DQ147</f>
        <v>0</v>
      </c>
      <c r="DR55" s="15">
        <f>+DR147</f>
        <v>0.03</v>
      </c>
      <c r="DS55" s="15">
        <f>+DS147</f>
        <v>0.03</v>
      </c>
      <c r="DT55" s="15">
        <f>+DT147</f>
        <v>0.03</v>
      </c>
      <c r="DU55" s="47">
        <f>+DU147</f>
        <v>2.2781128424692779E-2</v>
      </c>
      <c r="DV55" s="15"/>
      <c r="DW55" s="111">
        <f>+DW147</f>
        <v>0.05</v>
      </c>
      <c r="DX55" s="15">
        <f>+DX147</f>
        <v>0.05</v>
      </c>
      <c r="DY55" s="15">
        <f>+DY147</f>
        <v>0.05</v>
      </c>
      <c r="DZ55" s="15">
        <f>+DZ147</f>
        <v>0.05</v>
      </c>
      <c r="EA55" s="47">
        <f>+EA147</f>
        <v>5.0000000000000017E-2</v>
      </c>
      <c r="EB55" s="15"/>
      <c r="EC55" s="111">
        <f t="shared" ref="EC55:EG55" si="97">+EC147</f>
        <v>0.05</v>
      </c>
      <c r="ED55" s="15">
        <f t="shared" si="97"/>
        <v>0.05</v>
      </c>
      <c r="EE55" s="15">
        <f t="shared" si="97"/>
        <v>0.05</v>
      </c>
      <c r="EF55" s="15">
        <f t="shared" si="97"/>
        <v>0.05</v>
      </c>
      <c r="EG55" s="47">
        <f t="shared" si="97"/>
        <v>5.000000000000001E-2</v>
      </c>
    </row>
    <row r="56" spans="1:137" ht="11.25" customHeight="1" x14ac:dyDescent="0.2">
      <c r="A56" s="51" t="s">
        <v>163</v>
      </c>
      <c r="E56" s="47"/>
      <c r="F56" s="15"/>
      <c r="G56" s="47"/>
      <c r="H56" s="15"/>
      <c r="I56" s="47"/>
      <c r="J56" s="15"/>
      <c r="K56" s="47"/>
      <c r="L56" s="15"/>
      <c r="M56" s="111"/>
      <c r="N56" s="15"/>
      <c r="O56" s="15"/>
      <c r="P56" s="15"/>
      <c r="Q56" s="47"/>
      <c r="R56" s="15"/>
      <c r="S56" s="111">
        <f>+S214</f>
        <v>0</v>
      </c>
      <c r="T56" s="15">
        <f>+T214</f>
        <v>0</v>
      </c>
      <c r="U56" s="15">
        <f>+U214</f>
        <v>0</v>
      </c>
      <c r="V56" s="15">
        <f>+V214</f>
        <v>0</v>
      </c>
      <c r="W56" s="47">
        <f>+W214</f>
        <v>0</v>
      </c>
      <c r="X56" s="15"/>
      <c r="Y56" s="111">
        <f>+Y214</f>
        <v>0</v>
      </c>
      <c r="Z56" s="15">
        <f>+Z214</f>
        <v>0</v>
      </c>
      <c r="AA56" s="15">
        <f>+AA214</f>
        <v>0</v>
      </c>
      <c r="AB56" s="15">
        <f>+AB214</f>
        <v>0</v>
      </c>
      <c r="AC56" s="47">
        <f>+AC214</f>
        <v>0</v>
      </c>
      <c r="AD56" s="15"/>
      <c r="AE56" s="111">
        <f>+AE214</f>
        <v>0</v>
      </c>
      <c r="AF56" s="15">
        <f>+AF214</f>
        <v>0</v>
      </c>
      <c r="AG56" s="15">
        <f>+AG214</f>
        <v>0</v>
      </c>
      <c r="AH56" s="15">
        <f>+AH214</f>
        <v>0</v>
      </c>
      <c r="AI56" s="47">
        <f>+AI214</f>
        <v>0</v>
      </c>
      <c r="AJ56" s="15"/>
      <c r="AK56" s="111">
        <f>+AK214</f>
        <v>0.04</v>
      </c>
      <c r="AL56" s="15">
        <f>+AL214</f>
        <v>0.04</v>
      </c>
      <c r="AM56" s="15">
        <f>+AM214</f>
        <v>-0.01</v>
      </c>
      <c r="AN56" s="15">
        <f>+AN214</f>
        <v>0.02</v>
      </c>
      <c r="AO56" s="47">
        <f>+AO214</f>
        <v>0.04</v>
      </c>
      <c r="AP56" s="15"/>
      <c r="AQ56" s="111">
        <f>+AQ214</f>
        <v>0.05</v>
      </c>
      <c r="AR56" s="15">
        <f>+AR214</f>
        <v>0.05</v>
      </c>
      <c r="AS56" s="15">
        <f>+AS214</f>
        <v>0.1</v>
      </c>
      <c r="AT56" s="15">
        <f>+AT214</f>
        <v>9.5000000000000001E-2</v>
      </c>
      <c r="AU56" s="47">
        <f>+AU214</f>
        <v>0.09</v>
      </c>
      <c r="AV56" s="15"/>
      <c r="AW56" s="111">
        <f>+AW214</f>
        <v>0.05</v>
      </c>
      <c r="AX56" s="15">
        <f>+AX214</f>
        <v>0.05</v>
      </c>
      <c r="AY56" s="15">
        <f>+AY214</f>
        <v>0.05</v>
      </c>
      <c r="AZ56" s="15">
        <f>+AZ214</f>
        <v>0.05</v>
      </c>
      <c r="BA56" s="47">
        <f>+BA214</f>
        <v>0.05</v>
      </c>
      <c r="BB56" s="15"/>
      <c r="BC56" s="111">
        <f>+BC214</f>
        <v>5.0000000000000001E-3</v>
      </c>
      <c r="BD56" s="15">
        <f>+BD214</f>
        <v>5.0000000000000001E-3</v>
      </c>
      <c r="BE56" s="15">
        <f>+BE214</f>
        <v>5.0000000000000001E-3</v>
      </c>
      <c r="BF56" s="15">
        <f>+BF214</f>
        <v>5.0000000000000001E-3</v>
      </c>
      <c r="BG56" s="47">
        <f>+BG214</f>
        <v>5.0000000000000001E-3</v>
      </c>
      <c r="BH56" s="15"/>
      <c r="BI56" s="111">
        <f>+BI214</f>
        <v>-0.05</v>
      </c>
      <c r="BJ56" s="15">
        <f>+BJ214</f>
        <v>-0.11</v>
      </c>
      <c r="BK56" s="15">
        <f>+BK214</f>
        <v>-0.13</v>
      </c>
      <c r="BL56" s="15">
        <f>+BL214</f>
        <v>-0.04</v>
      </c>
      <c r="BM56" s="47">
        <f>+BM214</f>
        <v>-8.5000000000000006E-2</v>
      </c>
      <c r="BN56" s="15"/>
      <c r="BO56" s="111">
        <f>+BO214</f>
        <v>0.02</v>
      </c>
      <c r="BP56" s="15">
        <f>+BP214</f>
        <v>0.02</v>
      </c>
      <c r="BQ56" s="15">
        <f>+BQ214</f>
        <v>0.06</v>
      </c>
      <c r="BR56" s="15">
        <f>+BR214</f>
        <v>7.4999999999999997E-2</v>
      </c>
      <c r="BS56" s="47">
        <f>+BS214</f>
        <v>4.4999999999999998E-2</v>
      </c>
      <c r="BT56" s="15"/>
      <c r="BU56" s="111">
        <f>+BU214</f>
        <v>5.5E-2</v>
      </c>
      <c r="BV56" s="15">
        <f>+BV214</f>
        <v>6.5000000000000002E-2</v>
      </c>
      <c r="BW56" s="15">
        <f>+BW214</f>
        <v>4.4999999999999998E-2</v>
      </c>
      <c r="BX56" s="15">
        <f>+BX214</f>
        <v>2.5000000000000001E-2</v>
      </c>
      <c r="BY56" s="47">
        <f>+BY214</f>
        <v>4.4999999999999998E-2</v>
      </c>
      <c r="BZ56" s="15"/>
      <c r="CA56" s="111">
        <f>+CA214</f>
        <v>5.0000000000000001E-3</v>
      </c>
      <c r="CB56" s="15">
        <f>+CB214</f>
        <v>0.05</v>
      </c>
      <c r="CC56" s="15">
        <f>+CC214</f>
        <v>0.03</v>
      </c>
      <c r="CD56" s="15">
        <f>+CD214</f>
        <v>0.04</v>
      </c>
      <c r="CE56" s="47">
        <f>+CE214</f>
        <v>3.5000000000000003E-2</v>
      </c>
      <c r="CF56" s="15"/>
      <c r="CG56" s="111">
        <f>+CG214</f>
        <v>2.5000000000000001E-2</v>
      </c>
      <c r="CH56" s="15">
        <f>+CH214</f>
        <v>2.5000000000000001E-2</v>
      </c>
      <c r="CI56" s="15">
        <f>+CI214</f>
        <v>3.5000000000000003E-2</v>
      </c>
      <c r="CJ56" s="15">
        <f>+CJ214</f>
        <v>0.03</v>
      </c>
      <c r="CK56" s="47">
        <f>+CK214</f>
        <v>0.03</v>
      </c>
      <c r="CL56" s="15"/>
      <c r="CM56" s="111">
        <f>+CM214</f>
        <v>0.06</v>
      </c>
      <c r="CN56" s="15">
        <f>+CN214</f>
        <v>0.02</v>
      </c>
      <c r="CO56" s="15">
        <f>+CO214</f>
        <v>0.02</v>
      </c>
      <c r="CP56" s="15">
        <f>+CP214</f>
        <v>2.5000000000000001E-2</v>
      </c>
      <c r="CQ56" s="47">
        <f>+CQ214</f>
        <v>3.0569955606472861E-2</v>
      </c>
      <c r="CR56" s="15"/>
      <c r="CS56" s="111">
        <f>+CS214</f>
        <v>-2.5000000000000001E-2</v>
      </c>
      <c r="CT56" s="15">
        <f>+CT214</f>
        <v>0.01</v>
      </c>
      <c r="CU56" s="15">
        <f>+CU214</f>
        <v>-5.0000000000000001E-3</v>
      </c>
      <c r="CV56" s="15">
        <f>+CV214</f>
        <v>2.5000000000000001E-2</v>
      </c>
      <c r="CW56" s="47">
        <f>+CW214</f>
        <v>2.5393278920249895E-3</v>
      </c>
      <c r="CX56" s="15"/>
      <c r="CY56" s="111">
        <f>+CY214</f>
        <v>0.01</v>
      </c>
      <c r="CZ56" s="15">
        <f>+CZ214</f>
        <v>0.04</v>
      </c>
      <c r="DA56" s="15">
        <f>+DA214</f>
        <v>3.4999999999999996E-2</v>
      </c>
      <c r="DB56" s="15">
        <f>+DB214</f>
        <v>0</v>
      </c>
      <c r="DC56" s="47">
        <f>+DC214</f>
        <v>2.0810800935399006E-2</v>
      </c>
      <c r="DD56" s="15"/>
      <c r="DE56" s="111">
        <f>+DE214</f>
        <v>5.0000000000000001E-3</v>
      </c>
      <c r="DF56" s="15">
        <f>+DF214</f>
        <v>-8.0000000000000002E-3</v>
      </c>
      <c r="DG56" s="15">
        <f>+DG214</f>
        <v>0.01</v>
      </c>
      <c r="DH56" s="15">
        <f>+DH214</f>
        <v>-5.0000000000000001E-3</v>
      </c>
      <c r="DI56" s="47">
        <f>+DI214</f>
        <v>2.2337904789258273E-4</v>
      </c>
      <c r="DJ56" s="15"/>
      <c r="DK56" s="111">
        <f>+DK214</f>
        <v>-0.03</v>
      </c>
      <c r="DL56" s="15">
        <f>+DL214</f>
        <v>0</v>
      </c>
      <c r="DM56" s="15">
        <f>+DM214</f>
        <v>0</v>
      </c>
      <c r="DN56" s="15">
        <f>+DN214</f>
        <v>0.02</v>
      </c>
      <c r="DO56" s="47">
        <f>+DO214</f>
        <v>-1.596997402967021E-3</v>
      </c>
      <c r="DP56" s="15"/>
      <c r="DQ56" s="111">
        <f>+DQ214</f>
        <v>0.03</v>
      </c>
      <c r="DR56" s="15">
        <f>+DR214</f>
        <v>0.03</v>
      </c>
      <c r="DS56" s="15">
        <f>+DS214</f>
        <v>0.03</v>
      </c>
      <c r="DT56" s="15">
        <f>+DT214</f>
        <v>0.03</v>
      </c>
      <c r="DU56" s="47">
        <f>+DU214</f>
        <v>3.0000000000000002E-2</v>
      </c>
      <c r="DV56" s="15"/>
      <c r="DW56" s="111">
        <f>+DW214</f>
        <v>0.03</v>
      </c>
      <c r="DX56" s="15">
        <f>+DX214</f>
        <v>0.03</v>
      </c>
      <c r="DY56" s="15">
        <f>+DY214</f>
        <v>0.03</v>
      </c>
      <c r="DZ56" s="15">
        <f>+DZ214</f>
        <v>0.03</v>
      </c>
      <c r="EA56" s="47">
        <f>+EA214</f>
        <v>3.0000000000000006E-2</v>
      </c>
      <c r="EB56" s="15"/>
      <c r="EC56" s="111">
        <f t="shared" ref="EC56:EG56" si="98">+EC214</f>
        <v>0.03</v>
      </c>
      <c r="ED56" s="15">
        <f t="shared" si="98"/>
        <v>0.03</v>
      </c>
      <c r="EE56" s="15">
        <f t="shared" si="98"/>
        <v>0.03</v>
      </c>
      <c r="EF56" s="15">
        <f t="shared" si="98"/>
        <v>0.03</v>
      </c>
      <c r="EG56" s="47">
        <f t="shared" si="98"/>
        <v>0.03</v>
      </c>
    </row>
    <row r="57" spans="1:137" ht="11.25" customHeight="1" x14ac:dyDescent="0.2">
      <c r="A57" s="51" t="s">
        <v>231</v>
      </c>
      <c r="E57" s="47"/>
      <c r="F57" s="15"/>
      <c r="G57" s="47"/>
      <c r="H57" s="15"/>
      <c r="I57" s="47"/>
      <c r="J57" s="15"/>
      <c r="K57" s="47"/>
      <c r="L57" s="15"/>
      <c r="M57" s="111"/>
      <c r="N57" s="15"/>
      <c r="O57" s="15"/>
      <c r="P57" s="15"/>
      <c r="Q57" s="47"/>
      <c r="R57" s="15"/>
      <c r="S57" s="111">
        <f>+S312</f>
        <v>0</v>
      </c>
      <c r="T57" s="15">
        <f>+T312</f>
        <v>0.01</v>
      </c>
      <c r="U57" s="15">
        <f>+U312</f>
        <v>0.01</v>
      </c>
      <c r="V57" s="15">
        <f>+V312</f>
        <v>1.9999999999999997E-2</v>
      </c>
      <c r="W57" s="47">
        <f>+W312</f>
        <v>0.01</v>
      </c>
      <c r="X57" s="15"/>
      <c r="Y57" s="111">
        <f>+Y312</f>
        <v>5.2507314148888096E-2</v>
      </c>
      <c r="Z57" s="15">
        <f>+Z312</f>
        <v>4.9516091127553841E-2</v>
      </c>
      <c r="AA57" s="15">
        <f>+AA312</f>
        <v>2.2250731414888834E-2</v>
      </c>
      <c r="AB57" s="15">
        <f>+AB312</f>
        <v>9.7434172660007135E-3</v>
      </c>
      <c r="AC57" s="47">
        <f>+AC312</f>
        <v>3.3504388489332876E-2</v>
      </c>
      <c r="AD57" s="15"/>
      <c r="AE57" s="111">
        <f>+AE312</f>
        <v>7.7846707437989965E-2</v>
      </c>
      <c r="AF57" s="15">
        <f>+AF312</f>
        <v>5.9999999999999984E-2</v>
      </c>
      <c r="AG57" s="15">
        <f>+AG312</f>
        <v>7.0000000000000007E-2</v>
      </c>
      <c r="AH57" s="15">
        <f>+AH312</f>
        <v>8.2500000000000018E-2</v>
      </c>
      <c r="AI57" s="47">
        <f>+AI312</f>
        <v>7.2460601427501145E-2</v>
      </c>
      <c r="AJ57" s="15"/>
      <c r="AK57" s="111">
        <f>+AK312</f>
        <v>6.4580697569584913E-2</v>
      </c>
      <c r="AL57" s="15">
        <f>+AL312</f>
        <v>9.7500000000000003E-2</v>
      </c>
      <c r="AM57" s="15">
        <f>+AM312</f>
        <v>0.10750000000000001</v>
      </c>
      <c r="AN57" s="15">
        <f>+AN312</f>
        <v>0.09</v>
      </c>
      <c r="AO57" s="47">
        <f>+AO312</f>
        <v>9.0020965121520774E-2</v>
      </c>
      <c r="AP57" s="15"/>
      <c r="AQ57" s="111">
        <f>+AQ312</f>
        <v>8.4497252271346815E-2</v>
      </c>
      <c r="AR57" s="15">
        <f>+AR312</f>
        <v>5.9856357791813378E-2</v>
      </c>
      <c r="AS57" s="15">
        <f>+AS312</f>
        <v>3.3325942697073091E-2</v>
      </c>
      <c r="AT57" s="15">
        <f>+AT312</f>
        <v>-6.6740573029269029E-3</v>
      </c>
      <c r="AU57" s="47">
        <f>+AU312</f>
        <v>4.2751373864326592E-2</v>
      </c>
      <c r="AV57" s="15"/>
      <c r="AW57" s="111">
        <f>+AW312</f>
        <v>2.7000000000000003E-2</v>
      </c>
      <c r="AX57" s="15">
        <f>+AX312</f>
        <v>4.2000000000000003E-2</v>
      </c>
      <c r="AY57" s="15">
        <f>+AY312</f>
        <v>6.1750000000000006E-2</v>
      </c>
      <c r="AZ57" s="15">
        <f>+AZ312</f>
        <v>7.400000000000001E-2</v>
      </c>
      <c r="BA57" s="47">
        <f>+BA312</f>
        <v>5.1187500000000011E-2</v>
      </c>
      <c r="BB57" s="15"/>
      <c r="BC57" s="111">
        <f>+BC312</f>
        <v>5.0932549137391439E-2</v>
      </c>
      <c r="BD57" s="15">
        <f>+BD312</f>
        <v>6.4671435378921838E-2</v>
      </c>
      <c r="BE57" s="15">
        <f>+BE312</f>
        <v>1.859683144793052E-2</v>
      </c>
      <c r="BF57" s="15">
        <f>+BF312</f>
        <v>2.3268266826852346E-2</v>
      </c>
      <c r="BG57" s="47">
        <f>+BG312</f>
        <v>3.9367270697774029E-2</v>
      </c>
      <c r="BH57" s="15"/>
      <c r="BI57" s="111">
        <f>+BI312</f>
        <v>-1.6756852255581985E-2</v>
      </c>
      <c r="BJ57" s="15">
        <f>+BJ312</f>
        <v>-5.859469486836108E-2</v>
      </c>
      <c r="BK57" s="15">
        <f>+BK312</f>
        <v>-1.8594694868361086E-2</v>
      </c>
      <c r="BL57" s="15">
        <f>+BL312</f>
        <v>-2.3675685225558192E-2</v>
      </c>
      <c r="BM57" s="47">
        <f>+BM312</f>
        <v>-2.9405481804465589E-2</v>
      </c>
      <c r="BN57" s="15"/>
      <c r="BO57" s="111">
        <f>+BO312</f>
        <v>9.6960130630017682E-2</v>
      </c>
      <c r="BP57" s="15">
        <f>+BP312</f>
        <v>0.1256602939175398</v>
      </c>
      <c r="BQ57" s="15">
        <f>+BQ312</f>
        <v>0.12740032657504424</v>
      </c>
      <c r="BR57" s="15">
        <f>+BR312</f>
        <v>0.12740032657504424</v>
      </c>
      <c r="BS57" s="47">
        <f>+BS312</f>
        <v>0.11935526942441149</v>
      </c>
      <c r="BT57" s="15"/>
      <c r="BU57" s="111">
        <f>+BU312</f>
        <v>0.11837288826075978</v>
      </c>
      <c r="BV57" s="15">
        <f>+BV312</f>
        <v>9.8106539503074214E-2</v>
      </c>
      <c r="BW57" s="15">
        <f>+BW312</f>
        <v>8.405326975153711E-2</v>
      </c>
      <c r="BX57" s="15">
        <f>+BX312</f>
        <v>5.9733651242314445E-2</v>
      </c>
      <c r="BY57" s="47">
        <f>+BY312</f>
        <v>9.0066587189421399E-2</v>
      </c>
      <c r="BZ57" s="15"/>
      <c r="CA57" s="111">
        <f>+CA312</f>
        <v>2.1337216882612576E-2</v>
      </c>
      <c r="CB57" s="15">
        <f>+CB312</f>
        <v>0.05</v>
      </c>
      <c r="CC57" s="15">
        <f>+CC312</f>
        <v>5.6000000000000001E-2</v>
      </c>
      <c r="CD57" s="15">
        <f>+CD312</f>
        <v>4.9749999999999989E-2</v>
      </c>
      <c r="CE57" s="47">
        <f>+CE312</f>
        <v>4.406631268281111E-2</v>
      </c>
      <c r="CF57" s="15"/>
      <c r="CG57" s="111">
        <f>+CG312</f>
        <v>4.6227998367034076E-2</v>
      </c>
      <c r="CH57" s="15">
        <f>+CH312</f>
        <v>4.3473598040440889E-2</v>
      </c>
      <c r="CI57" s="15">
        <f>+CI312</f>
        <v>3.2544003265931848E-2</v>
      </c>
      <c r="CJ57" s="15">
        <f>+CJ312</f>
        <v>5.4999999999999993E-2</v>
      </c>
      <c r="CK57" s="47">
        <f>+CK312</f>
        <v>4.4311399918351702E-2</v>
      </c>
      <c r="CL57" s="15"/>
      <c r="CM57" s="111">
        <f>+CM312</f>
        <v>3.9E-2</v>
      </c>
      <c r="CN57" s="15">
        <f>+CN312</f>
        <v>4.2000000000000003E-2</v>
      </c>
      <c r="CO57" s="15">
        <f>+CO312</f>
        <v>5.45E-2</v>
      </c>
      <c r="CP57" s="15">
        <f>+CP312</f>
        <v>5.5499999999999994E-2</v>
      </c>
      <c r="CQ57" s="47">
        <f>+CQ312</f>
        <v>4.8117610819210191E-2</v>
      </c>
      <c r="CR57" s="15"/>
      <c r="CS57" s="111">
        <f>+CS312</f>
        <v>6.9999999999999993E-2</v>
      </c>
      <c r="CT57" s="15">
        <f>+CT312</f>
        <v>5.5E-2</v>
      </c>
      <c r="CU57" s="15">
        <f>+CU312</f>
        <v>3.5000000000000003E-2</v>
      </c>
      <c r="CV57" s="15">
        <f>+CV312</f>
        <v>0.03</v>
      </c>
      <c r="CW57" s="47">
        <f>+CW312</f>
        <v>4.6602322018567212E-2</v>
      </c>
      <c r="CX57" s="15"/>
      <c r="CY57" s="111">
        <f>+CY312</f>
        <v>0.02</v>
      </c>
      <c r="CZ57" s="15">
        <f>+CZ312</f>
        <v>2.5000000000000001E-2</v>
      </c>
      <c r="DA57" s="15">
        <f>+DA312</f>
        <v>0.04</v>
      </c>
      <c r="DB57" s="15">
        <f>+DB312</f>
        <v>3.5000000000000003E-2</v>
      </c>
      <c r="DC57" s="47">
        <f>+DC312</f>
        <v>3.0133810355512988E-2</v>
      </c>
      <c r="DD57" s="15"/>
      <c r="DE57" s="111">
        <f>+DE312</f>
        <v>4.9999999999999996E-2</v>
      </c>
      <c r="DF57" s="15">
        <f>+DF312</f>
        <v>3.2000000000000001E-2</v>
      </c>
      <c r="DG57" s="15">
        <f>+DG312</f>
        <v>0.03</v>
      </c>
      <c r="DH57" s="15">
        <f>+DH312</f>
        <v>0.06</v>
      </c>
      <c r="DI57" s="47">
        <f>+DI312</f>
        <v>4.3034499566724435E-2</v>
      </c>
      <c r="DJ57" s="15"/>
      <c r="DK57" s="111">
        <f>+DK312</f>
        <v>4.4999999999999998E-2</v>
      </c>
      <c r="DL57" s="15">
        <f>+DL312</f>
        <v>7.0000000000000007E-2</v>
      </c>
      <c r="DM57" s="15">
        <f>+DM312</f>
        <v>7.0000000000000007E-2</v>
      </c>
      <c r="DN57" s="15">
        <f>+DN312</f>
        <v>0.04</v>
      </c>
      <c r="DO57" s="47">
        <f>+DO312</f>
        <v>5.6089750050393065E-2</v>
      </c>
      <c r="DP57" s="15"/>
      <c r="DQ57" s="111">
        <f>+DQ312</f>
        <v>5.7500000000000002E-2</v>
      </c>
      <c r="DR57" s="15">
        <f>+DR312</f>
        <v>5.7500000000000002E-2</v>
      </c>
      <c r="DS57" s="15">
        <f>+DS312</f>
        <v>5.7500000000000002E-2</v>
      </c>
      <c r="DT57" s="15">
        <f>+DT312</f>
        <v>5.7500000000000002E-2</v>
      </c>
      <c r="DU57" s="47">
        <f>+DU312</f>
        <v>5.7499999999999996E-2</v>
      </c>
      <c r="DV57" s="15"/>
      <c r="DW57" s="111">
        <f>+DW312</f>
        <v>4.4999999999999998E-2</v>
      </c>
      <c r="DX57" s="15">
        <f>+DX312</f>
        <v>4.4999999999999998E-2</v>
      </c>
      <c r="DY57" s="15">
        <f>+DY312</f>
        <v>4.4999999999999998E-2</v>
      </c>
      <c r="DZ57" s="15">
        <f>+DZ312</f>
        <v>4.4999999999999998E-2</v>
      </c>
      <c r="EA57" s="47">
        <f>+EA312</f>
        <v>4.5000000000000005E-2</v>
      </c>
      <c r="EB57" s="15"/>
      <c r="EC57" s="111">
        <f t="shared" ref="EC57:EG57" si="99">+EC312</f>
        <v>4.4999999999999998E-2</v>
      </c>
      <c r="ED57" s="15">
        <f t="shared" si="99"/>
        <v>4.4999999999999998E-2</v>
      </c>
      <c r="EE57" s="15">
        <f t="shared" si="99"/>
        <v>4.4999999999999998E-2</v>
      </c>
      <c r="EF57" s="15">
        <f t="shared" si="99"/>
        <v>4.4999999999999998E-2</v>
      </c>
      <c r="EG57" s="47">
        <f t="shared" si="99"/>
        <v>4.4999999999999991E-2</v>
      </c>
    </row>
    <row r="58" spans="1:137" ht="11.25" customHeight="1" x14ac:dyDescent="0.2">
      <c r="A58" s="409" t="s">
        <v>239</v>
      </c>
      <c r="E58" s="427"/>
      <c r="F58" s="15"/>
      <c r="G58" s="427"/>
      <c r="H58" s="15"/>
      <c r="I58" s="427"/>
      <c r="J58" s="15"/>
      <c r="K58" s="427"/>
      <c r="L58" s="15"/>
      <c r="M58" s="426"/>
      <c r="N58" s="113"/>
      <c r="O58" s="113"/>
      <c r="P58" s="113"/>
      <c r="Q58" s="427"/>
      <c r="R58" s="15"/>
      <c r="S58" s="423">
        <f>+S19</f>
        <v>0</v>
      </c>
      <c r="T58" s="424">
        <f>+T19</f>
        <v>0.01</v>
      </c>
      <c r="U58" s="424">
        <f>+U19</f>
        <v>0.01</v>
      </c>
      <c r="V58" s="424">
        <f>+V19</f>
        <v>1.9999999999999997E-2</v>
      </c>
      <c r="W58" s="425">
        <f>+W19</f>
        <v>0.01</v>
      </c>
      <c r="X58" s="15"/>
      <c r="Y58" s="423">
        <f>+Y19</f>
        <v>5.2507314148888096E-2</v>
      </c>
      <c r="Z58" s="424">
        <f>+Z19</f>
        <v>4.9516091127553841E-2</v>
      </c>
      <c r="AA58" s="424">
        <f>+AA19</f>
        <v>2.2250731414888834E-2</v>
      </c>
      <c r="AB58" s="424">
        <f>+AB19</f>
        <v>9.7434172660007135E-3</v>
      </c>
      <c r="AC58" s="425">
        <f>+AC19</f>
        <v>3.3504388489332876E-2</v>
      </c>
      <c r="AD58" s="345"/>
      <c r="AE58" s="423">
        <f>+AE19</f>
        <v>7.7846707437989965E-2</v>
      </c>
      <c r="AF58" s="424">
        <f>+AF19</f>
        <v>5.9999999999999984E-2</v>
      </c>
      <c r="AG58" s="424">
        <f>+AG19</f>
        <v>7.0000000000000007E-2</v>
      </c>
      <c r="AH58" s="424">
        <f>+AH19</f>
        <v>8.2500000000000018E-2</v>
      </c>
      <c r="AI58" s="425">
        <f>+AI19</f>
        <v>7.2460601427501145E-2</v>
      </c>
      <c r="AJ58" s="345"/>
      <c r="AK58" s="423">
        <f>+AK19</f>
        <v>6.7820591930926058E-2</v>
      </c>
      <c r="AL58" s="424">
        <f>+AL19</f>
        <v>8.2920755692761763E-2</v>
      </c>
      <c r="AM58" s="424">
        <f>+AM19</f>
        <v>5.5670437749656999E-2</v>
      </c>
      <c r="AN58" s="424">
        <f>+AN19</f>
        <v>5.2566721750663535E-2</v>
      </c>
      <c r="AO58" s="425">
        <f>+AO19</f>
        <v>6.7777958715877232E-2</v>
      </c>
      <c r="AP58" s="345"/>
      <c r="AQ58" s="423">
        <f>+AQ19</f>
        <v>7.193601572561388E-2</v>
      </c>
      <c r="AR58" s="424">
        <f>+AR19</f>
        <v>5.8059181724534406E-2</v>
      </c>
      <c r="AS58" s="424">
        <f>+AS19</f>
        <v>7.1606501378582918E-2</v>
      </c>
      <c r="AT58" s="424">
        <f>+AT19</f>
        <v>5.0944672789118191E-2</v>
      </c>
      <c r="AU58" s="425">
        <f>+AU19</f>
        <v>6.0538993266304644E-2</v>
      </c>
      <c r="AV58" s="345"/>
      <c r="AW58" s="423">
        <f>+AW19</f>
        <v>5.5523756221036655E-2</v>
      </c>
      <c r="AX58" s="424">
        <f>+AX19</f>
        <v>5.7515247885375931E-2</v>
      </c>
      <c r="AY58" s="424">
        <f>+AY19</f>
        <v>6.952957108348766E-2</v>
      </c>
      <c r="AZ58" s="424">
        <f>+AZ19</f>
        <v>8.6419938700768445E-2</v>
      </c>
      <c r="BA58" s="425">
        <f>+BA19</f>
        <v>6.7368657790973827E-2</v>
      </c>
      <c r="BB58" s="345"/>
      <c r="BC58" s="423">
        <f>+BC19</f>
        <v>3.8466103825769121E-2</v>
      </c>
      <c r="BD58" s="424">
        <f>+BD19</f>
        <v>8.5739577419187182E-2</v>
      </c>
      <c r="BE58" s="424">
        <f>+BE19</f>
        <v>3.9431856036204395E-2</v>
      </c>
      <c r="BF58" s="424">
        <f>+BF19</f>
        <v>6.6067308457547404E-3</v>
      </c>
      <c r="BG58" s="425">
        <f>+BG19</f>
        <v>4.2679701339111885E-2</v>
      </c>
      <c r="BH58" s="345"/>
      <c r="BI58" s="423">
        <f>+BI19</f>
        <v>-1.572145454766562E-2</v>
      </c>
      <c r="BJ58" s="424">
        <f>+BJ19</f>
        <v>-6.8503599485554248E-2</v>
      </c>
      <c r="BK58" s="424">
        <f>+BK19</f>
        <v>-5.7832997611371187E-2</v>
      </c>
      <c r="BL58" s="424">
        <f>+BL19</f>
        <v>-2.1515583152833737E-2</v>
      </c>
      <c r="BM58" s="425">
        <f>+BM19</f>
        <v>-4.1617979654916253E-2</v>
      </c>
      <c r="BN58" s="345"/>
      <c r="BO58" s="423">
        <f>+BO19</f>
        <v>6.6029313382879318E-2</v>
      </c>
      <c r="BP58" s="424">
        <f>+BP19</f>
        <v>7.7628482655535791E-2</v>
      </c>
      <c r="BQ58" s="424">
        <f>+BQ19</f>
        <v>9.7744593884907527E-2</v>
      </c>
      <c r="BR58" s="424">
        <f>+BR19</f>
        <v>0.10210044279101593</v>
      </c>
      <c r="BS58" s="425">
        <f>+BS19</f>
        <v>8.7152625269798153E-2</v>
      </c>
      <c r="BT58" s="345"/>
      <c r="BU58" s="423">
        <f>+BU19</f>
        <v>8.299748893621528E-2</v>
      </c>
      <c r="BV58" s="424">
        <f>+BV19</f>
        <v>7.9113803793383397E-2</v>
      </c>
      <c r="BW58" s="424">
        <f>+BW19</f>
        <v>6.4512189411868093E-2</v>
      </c>
      <c r="BX58" s="424">
        <f>+BX19</f>
        <v>4.964871698369544E-2</v>
      </c>
      <c r="BY58" s="425">
        <f>+BY19</f>
        <v>6.8009561808239347E-2</v>
      </c>
      <c r="BZ58" s="345"/>
      <c r="CA58" s="423">
        <f>+CA19</f>
        <v>1.5565430109347966E-2</v>
      </c>
      <c r="CB58" s="424">
        <f>+CB19</f>
        <v>4.5109821456820853E-2</v>
      </c>
      <c r="CC58" s="424">
        <f>+CC19</f>
        <v>3.1876163034763927E-2</v>
      </c>
      <c r="CD58" s="424">
        <f>+CD19</f>
        <v>5.855969533352634E-2</v>
      </c>
      <c r="CE58" s="425">
        <f>+CE19</f>
        <v>4.0114430538801552E-2</v>
      </c>
      <c r="CF58" s="345"/>
      <c r="CG58" s="423">
        <f>+CG19</f>
        <v>3.0016309053847667E-2</v>
      </c>
      <c r="CH58" s="424">
        <f>+CH19</f>
        <v>4.5217557539055653E-2</v>
      </c>
      <c r="CI58" s="424">
        <f>+CI19</f>
        <v>4.7041072026672293E-2</v>
      </c>
      <c r="CJ58" s="424">
        <f>+CJ19</f>
        <v>3.9828304727510977E-2</v>
      </c>
      <c r="CK58" s="425">
        <f>+CK19</f>
        <v>4.059462181576446E-2</v>
      </c>
      <c r="CL58" s="345"/>
      <c r="CM58" s="423">
        <f>+CM19</f>
        <v>4.2859131782993165E-2</v>
      </c>
      <c r="CN58" s="424">
        <f>+CN19</f>
        <v>3.9440873414967825E-2</v>
      </c>
      <c r="CO58" s="424">
        <f>+CO19</f>
        <v>3.5117396163564685E-2</v>
      </c>
      <c r="CP58" s="424">
        <f>+CP19</f>
        <v>4.485348145094914E-2</v>
      </c>
      <c r="CQ58" s="425">
        <f>+CQ19</f>
        <v>4.0674501450694033E-2</v>
      </c>
      <c r="CR58" s="345"/>
      <c r="CS58" s="423">
        <f>+CS19</f>
        <v>3.5000000000000003E-2</v>
      </c>
      <c r="CT58" s="424">
        <f>+CT19</f>
        <v>4.4999999999999998E-2</v>
      </c>
      <c r="CU58" s="424">
        <f>+CU19</f>
        <v>0.03</v>
      </c>
      <c r="CV58" s="424">
        <f>+CV19</f>
        <v>3.3894627844330477E-2</v>
      </c>
      <c r="CW58" s="425">
        <f>+CW19</f>
        <v>3.5938643642546682E-2</v>
      </c>
      <c r="CX58" s="345"/>
      <c r="CY58" s="423">
        <f>+CY19</f>
        <v>2.5000000000000001E-2</v>
      </c>
      <c r="CZ58" s="424">
        <f>+CZ19</f>
        <v>0.03</v>
      </c>
      <c r="DA58" s="424">
        <f>+DA19</f>
        <v>3.4999999999999996E-2</v>
      </c>
      <c r="DB58" s="424">
        <f>+DB19</f>
        <v>3.0000000000000002E-2</v>
      </c>
      <c r="DC58" s="425">
        <f>+DC19</f>
        <v>3.0110851687370526E-2</v>
      </c>
      <c r="DD58" s="345"/>
      <c r="DE58" s="423">
        <f>+DE19</f>
        <v>3.0000000000000002E-2</v>
      </c>
      <c r="DF58" s="424">
        <f>+DF19</f>
        <v>2.1999999999999999E-2</v>
      </c>
      <c r="DG58" s="424">
        <f>+DG19</f>
        <v>0.03</v>
      </c>
      <c r="DH58" s="424">
        <f>+DH19</f>
        <v>5.5E-2</v>
      </c>
      <c r="DI58" s="425">
        <f>+DI19</f>
        <v>3.4778485286452165E-2</v>
      </c>
      <c r="DJ58" s="345"/>
      <c r="DK58" s="423">
        <f>+DK19</f>
        <v>5.5E-2</v>
      </c>
      <c r="DL58" s="424">
        <f>+DL19</f>
        <v>4.8167224673510534E-2</v>
      </c>
      <c r="DM58" s="424">
        <f>+DM19</f>
        <v>4.3523033434919034E-2</v>
      </c>
      <c r="DN58" s="424">
        <f>+DN19</f>
        <v>3.2225160744833392E-2</v>
      </c>
      <c r="DO58" s="425">
        <f>+DO19</f>
        <v>4.4164443498802462E-2</v>
      </c>
      <c r="DP58" s="345"/>
      <c r="DQ58" s="423">
        <f>+DQ19</f>
        <v>2.9449301443966514E-2</v>
      </c>
      <c r="DR58" s="424">
        <f>+DR19</f>
        <v>3.9197743292984866E-2</v>
      </c>
      <c r="DS58" s="424">
        <f>+DS19</f>
        <v>3.9287723919883222E-2</v>
      </c>
      <c r="DT58" s="424">
        <f>+DT19</f>
        <v>3.9090262832982114E-2</v>
      </c>
      <c r="DU58" s="425">
        <f>+DU19</f>
        <v>3.6891836167061993E-2</v>
      </c>
      <c r="DV58" s="345"/>
      <c r="DW58" s="423">
        <f>+DW19</f>
        <v>4.2788138768808714E-2</v>
      </c>
      <c r="DX58" s="424">
        <f>+DX19</f>
        <v>4.2790267338284949E-2</v>
      </c>
      <c r="DY58" s="424">
        <f>+DY19</f>
        <v>4.2800555098892135E-2</v>
      </c>
      <c r="DZ58" s="424">
        <f>+DZ19</f>
        <v>4.2738609937501559E-2</v>
      </c>
      <c r="EA58" s="425">
        <f>+EA19</f>
        <v>4.2778208727336633E-2</v>
      </c>
      <c r="EB58" s="345"/>
      <c r="EC58" s="423">
        <f t="shared" ref="EC58:EG58" si="100">+EC19</f>
        <v>4.2829162845669844E-2</v>
      </c>
      <c r="ED58" s="424">
        <f t="shared" si="100"/>
        <v>4.2832024157480442E-2</v>
      </c>
      <c r="EE58" s="424">
        <f t="shared" si="100"/>
        <v>4.2841964603433258E-2</v>
      </c>
      <c r="EF58" s="424">
        <f t="shared" si="100"/>
        <v>4.2780143574314256E-2</v>
      </c>
      <c r="EG58" s="425">
        <f t="shared" si="100"/>
        <v>4.2819647823484214E-2</v>
      </c>
    </row>
    <row r="59" spans="1:137" ht="11.25" customHeight="1" x14ac:dyDescent="0.2"/>
    <row r="60" spans="1:137" ht="11.25" customHeight="1" x14ac:dyDescent="0.2">
      <c r="A60" s="106" t="s">
        <v>402</v>
      </c>
      <c r="B60" s="74"/>
      <c r="C60" s="74"/>
      <c r="D60" s="74"/>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c r="BS60" s="107"/>
      <c r="BT60" s="107"/>
      <c r="BU60" s="107"/>
      <c r="BV60" s="107"/>
      <c r="BW60" s="107"/>
      <c r="BX60" s="107"/>
      <c r="BY60" s="107"/>
      <c r="BZ60" s="107"/>
      <c r="CA60" s="107"/>
      <c r="CB60" s="107"/>
      <c r="CC60" s="107"/>
      <c r="CD60" s="107"/>
      <c r="CE60" s="107"/>
      <c r="CF60" s="107"/>
      <c r="CG60" s="107"/>
      <c r="CH60" s="107"/>
      <c r="CI60" s="107"/>
      <c r="CJ60" s="107"/>
      <c r="CK60" s="107"/>
      <c r="CL60" s="107"/>
      <c r="CM60" s="107"/>
      <c r="CN60" s="107"/>
      <c r="CO60" s="107"/>
      <c r="CP60" s="107"/>
      <c r="CQ60" s="107"/>
      <c r="CR60" s="107"/>
      <c r="CS60" s="107"/>
      <c r="CT60" s="107"/>
      <c r="CU60" s="107"/>
      <c r="CV60" s="107"/>
      <c r="CW60" s="107"/>
      <c r="CX60" s="107"/>
      <c r="CY60" s="107"/>
      <c r="CZ60" s="107"/>
      <c r="DA60" s="107"/>
      <c r="DB60" s="107"/>
      <c r="DC60" s="107"/>
      <c r="DD60" s="107"/>
      <c r="DE60" s="107"/>
      <c r="DF60" s="107"/>
      <c r="DG60" s="107"/>
      <c r="DH60" s="107"/>
      <c r="DI60" s="107"/>
      <c r="DJ60" s="107"/>
      <c r="DK60" s="107"/>
      <c r="DL60" s="107"/>
      <c r="DM60" s="107"/>
      <c r="DN60" s="107"/>
      <c r="DO60" s="107"/>
      <c r="DP60" s="107"/>
      <c r="DQ60" s="107"/>
      <c r="DR60" s="107"/>
      <c r="DS60" s="107"/>
      <c r="DT60" s="107"/>
      <c r="DU60" s="107"/>
      <c r="DV60" s="107"/>
      <c r="DW60" s="107"/>
      <c r="DX60" s="107"/>
      <c r="DY60" s="107"/>
      <c r="DZ60" s="107"/>
      <c r="EA60" s="107"/>
      <c r="EB60" s="107"/>
      <c r="EC60" s="107"/>
      <c r="ED60" s="107"/>
      <c r="EE60" s="107"/>
      <c r="EF60" s="107"/>
      <c r="EG60" s="107"/>
    </row>
    <row r="61" spans="1:137" ht="11.25" customHeight="1" x14ac:dyDescent="0.2">
      <c r="A61" s="128" t="s">
        <v>377</v>
      </c>
      <c r="E61" s="145"/>
      <c r="F61" s="15"/>
      <c r="G61" s="145"/>
      <c r="H61" s="15"/>
      <c r="I61" s="145"/>
      <c r="J61" s="15"/>
      <c r="K61" s="145"/>
      <c r="L61" s="15"/>
      <c r="M61" s="422"/>
      <c r="N61" s="144"/>
      <c r="O61" s="144"/>
      <c r="P61" s="144"/>
      <c r="Q61" s="145"/>
      <c r="R61" s="15"/>
      <c r="S61" s="422"/>
      <c r="T61" s="144"/>
      <c r="U61" s="144"/>
      <c r="V61" s="144"/>
      <c r="W61" s="145"/>
      <c r="X61" s="15"/>
      <c r="Y61" s="422">
        <f t="shared" ref="Y61:AC65" si="101">+S54+Y54</f>
        <v>0</v>
      </c>
      <c r="Z61" s="144">
        <f t="shared" si="101"/>
        <v>0</v>
      </c>
      <c r="AA61" s="144">
        <f t="shared" si="101"/>
        <v>0</v>
      </c>
      <c r="AB61" s="144">
        <f t="shared" si="101"/>
        <v>0</v>
      </c>
      <c r="AC61" s="145">
        <f t="shared" si="101"/>
        <v>0</v>
      </c>
      <c r="AD61" s="15"/>
      <c r="AE61" s="422">
        <f t="shared" ref="AE61:AI65" si="102">+Y54+AE54</f>
        <v>0</v>
      </c>
      <c r="AF61" s="144">
        <f t="shared" si="102"/>
        <v>0</v>
      </c>
      <c r="AG61" s="144">
        <f t="shared" si="102"/>
        <v>0</v>
      </c>
      <c r="AH61" s="144">
        <f t="shared" si="102"/>
        <v>0</v>
      </c>
      <c r="AI61" s="145">
        <f t="shared" si="102"/>
        <v>0</v>
      </c>
      <c r="AJ61" s="15"/>
      <c r="AK61" s="422">
        <f t="shared" ref="AK61:AO65" si="103">+AE54+AK54</f>
        <v>0</v>
      </c>
      <c r="AL61" s="144">
        <f t="shared" si="103"/>
        <v>0</v>
      </c>
      <c r="AM61" s="144">
        <f t="shared" si="103"/>
        <v>0</v>
      </c>
      <c r="AN61" s="144">
        <f t="shared" si="103"/>
        <v>0</v>
      </c>
      <c r="AO61" s="145">
        <f t="shared" si="103"/>
        <v>0</v>
      </c>
      <c r="AP61" s="15"/>
      <c r="AQ61" s="422">
        <f t="shared" ref="AQ61:AU65" si="104">+AK54+AQ54</f>
        <v>0</v>
      </c>
      <c r="AR61" s="144">
        <f t="shared" si="104"/>
        <v>0</v>
      </c>
      <c r="AS61" s="144">
        <f t="shared" si="104"/>
        <v>0</v>
      </c>
      <c r="AT61" s="144">
        <f t="shared" si="104"/>
        <v>0</v>
      </c>
      <c r="AU61" s="145">
        <f t="shared" si="104"/>
        <v>0.09</v>
      </c>
      <c r="AV61" s="15"/>
      <c r="AW61" s="422">
        <f t="shared" ref="AW61:BA65" si="105">+AQ54+AW54</f>
        <v>0</v>
      </c>
      <c r="AX61" s="144">
        <f t="shared" si="105"/>
        <v>0</v>
      </c>
      <c r="AY61" s="144">
        <f t="shared" si="105"/>
        <v>0</v>
      </c>
      <c r="AZ61" s="144">
        <f t="shared" si="105"/>
        <v>0</v>
      </c>
      <c r="BA61" s="145">
        <f t="shared" si="105"/>
        <v>0.23</v>
      </c>
      <c r="BB61" s="15"/>
      <c r="BC61" s="422">
        <f t="shared" ref="BC61:BG65" si="106">+AW54+BC54</f>
        <v>0</v>
      </c>
      <c r="BD61" s="144">
        <f t="shared" si="106"/>
        <v>0</v>
      </c>
      <c r="BE61" s="144">
        <f t="shared" si="106"/>
        <v>0</v>
      </c>
      <c r="BF61" s="144">
        <f t="shared" si="106"/>
        <v>0</v>
      </c>
      <c r="BG61" s="145">
        <f t="shared" si="106"/>
        <v>0.23500000000000001</v>
      </c>
      <c r="BH61" s="15"/>
      <c r="BI61" s="422">
        <f t="shared" ref="BI61:BM65" si="107">+BC54+BI54</f>
        <v>-2.545E-2</v>
      </c>
      <c r="BJ61" s="144">
        <f t="shared" si="107"/>
        <v>-2.545E-2</v>
      </c>
      <c r="BK61" s="144">
        <f t="shared" si="107"/>
        <v>-2.545E-2</v>
      </c>
      <c r="BL61" s="144">
        <f t="shared" si="107"/>
        <v>-2.545E-2</v>
      </c>
      <c r="BM61" s="145">
        <f t="shared" si="107"/>
        <v>6.9550000000000001E-2</v>
      </c>
      <c r="BN61" s="15"/>
      <c r="BO61" s="422">
        <f t="shared" ref="BO61:BS65" si="108">+BI54+BO54</f>
        <v>4.4550000000000006E-2</v>
      </c>
      <c r="BP61" s="144">
        <f t="shared" si="108"/>
        <v>4.4550000000000006E-2</v>
      </c>
      <c r="BQ61" s="144">
        <f t="shared" si="108"/>
        <v>7.4550000000000005E-2</v>
      </c>
      <c r="BR61" s="144">
        <f t="shared" si="108"/>
        <v>7.4550000000000005E-2</v>
      </c>
      <c r="BS61" s="145">
        <f t="shared" si="108"/>
        <v>6.0794020899256743E-2</v>
      </c>
      <c r="BT61" s="15"/>
      <c r="BU61" s="422">
        <f t="shared" ref="BU61:BY65" si="109">+BO54+BU54</f>
        <v>0.13</v>
      </c>
      <c r="BV61" s="144">
        <f t="shared" si="109"/>
        <v>0.13</v>
      </c>
      <c r="BW61" s="144">
        <f t="shared" si="109"/>
        <v>0.15000000000000002</v>
      </c>
      <c r="BX61" s="144">
        <f t="shared" si="109"/>
        <v>0.15000000000000002</v>
      </c>
      <c r="BY61" s="145">
        <f t="shared" si="109"/>
        <v>0.14078480705240928</v>
      </c>
      <c r="BZ61" s="15"/>
      <c r="CA61" s="422">
        <f t="shared" ref="CA61:CE65" si="110">+BU54+CA54</f>
        <v>0.06</v>
      </c>
      <c r="CB61" s="144">
        <f t="shared" si="110"/>
        <v>0.09</v>
      </c>
      <c r="CC61" s="144">
        <f t="shared" si="110"/>
        <v>2.1725000000000001E-2</v>
      </c>
      <c r="CD61" s="144">
        <f t="shared" si="110"/>
        <v>0.13229000000000002</v>
      </c>
      <c r="CE61" s="145">
        <f t="shared" si="110"/>
        <v>7.9136721204441068E-2</v>
      </c>
      <c r="CF61" s="15"/>
      <c r="CG61" s="422">
        <f t="shared" ref="CG61:CK65" si="111">+CA54+CG54</f>
        <v>1.2239999999999999E-2</v>
      </c>
      <c r="CH61" s="144">
        <f t="shared" si="111"/>
        <v>8.0149999999999999E-2</v>
      </c>
      <c r="CI61" s="144">
        <f t="shared" si="111"/>
        <v>4.1725000000000005E-2</v>
      </c>
      <c r="CJ61" s="144">
        <f t="shared" si="111"/>
        <v>0.11070000000000001</v>
      </c>
      <c r="CK61" s="145">
        <f t="shared" si="111"/>
        <v>6.3841575501958986E-2</v>
      </c>
      <c r="CL61" s="15"/>
      <c r="CM61" s="422">
        <f t="shared" ref="CM61:CQ65" si="112">+CG54+CM54</f>
        <v>6.6739999999999994E-2</v>
      </c>
      <c r="CN61" s="144">
        <f t="shared" si="112"/>
        <v>7.535E-2</v>
      </c>
      <c r="CO61" s="144">
        <f t="shared" si="112"/>
        <v>9.0000000000000011E-2</v>
      </c>
      <c r="CP61" s="144">
        <f t="shared" si="112"/>
        <v>6.4659999999999995E-2</v>
      </c>
      <c r="CQ61" s="145">
        <f t="shared" si="112"/>
        <v>7.3010188568877726E-2</v>
      </c>
      <c r="CR61" s="15"/>
      <c r="CS61" s="422">
        <f t="shared" ref="CS61:CW65" si="113">+CM54+CS54</f>
        <v>7.9500000000000001E-2</v>
      </c>
      <c r="CT61" s="144">
        <f t="shared" si="113"/>
        <v>5.0200000000000002E-2</v>
      </c>
      <c r="CU61" s="144">
        <f t="shared" si="113"/>
        <v>6.5000000000000002E-2</v>
      </c>
      <c r="CV61" s="144">
        <f t="shared" si="113"/>
        <v>7.1250000000000008E-2</v>
      </c>
      <c r="CW61" s="145">
        <f t="shared" si="113"/>
        <v>6.3764548118207282E-2</v>
      </c>
      <c r="CX61" s="15"/>
      <c r="CY61" s="422">
        <f t="shared" ref="CY61:DC65" si="114">+CS54+CY54</f>
        <v>0.06</v>
      </c>
      <c r="CZ61" s="144">
        <f t="shared" si="114"/>
        <v>6.5000000000000002E-2</v>
      </c>
      <c r="DA61" s="144">
        <f t="shared" si="114"/>
        <v>7.9999999999999988E-2</v>
      </c>
      <c r="DB61" s="144">
        <f t="shared" si="114"/>
        <v>7.0000000000000007E-2</v>
      </c>
      <c r="DC61" s="145">
        <f t="shared" si="114"/>
        <v>6.5890427489667253E-2</v>
      </c>
      <c r="DD61" s="15"/>
      <c r="DE61" s="422">
        <f t="shared" ref="DE61:DI65" si="115">+CY54+DE54</f>
        <v>6.9999999999999993E-2</v>
      </c>
      <c r="DF61" s="144">
        <f t="shared" si="115"/>
        <v>7.7000000000000013E-2</v>
      </c>
      <c r="DG61" s="144">
        <f t="shared" si="115"/>
        <v>7.4999999999999997E-2</v>
      </c>
      <c r="DH61" s="144">
        <f t="shared" si="115"/>
        <v>0.1</v>
      </c>
      <c r="DI61" s="145">
        <f t="shared" si="115"/>
        <v>8.0750208700647697E-2</v>
      </c>
      <c r="DJ61" s="15"/>
      <c r="DK61" s="422">
        <f t="shared" ref="DK61:DO65" si="116">+DE54+DK54</f>
        <v>0.09</v>
      </c>
      <c r="DL61" s="144">
        <f t="shared" si="116"/>
        <v>8.7000000000000008E-2</v>
      </c>
      <c r="DM61" s="144">
        <f t="shared" si="116"/>
        <v>0.09</v>
      </c>
      <c r="DN61" s="144">
        <f t="shared" si="116"/>
        <v>0.1</v>
      </c>
      <c r="DO61" s="145">
        <f t="shared" si="116"/>
        <v>9.1736193182749781E-2</v>
      </c>
      <c r="DP61" s="15"/>
      <c r="DQ61" s="422">
        <f t="shared" ref="DQ61:DU65" si="117">+DK54+DQ54</f>
        <v>9.5000000000000001E-2</v>
      </c>
      <c r="DR61" s="144">
        <f t="shared" si="117"/>
        <v>0.09</v>
      </c>
      <c r="DS61" s="144">
        <f t="shared" si="117"/>
        <v>0.09</v>
      </c>
      <c r="DT61" s="144">
        <f t="shared" si="117"/>
        <v>7.5000000000000011E-2</v>
      </c>
      <c r="DU61" s="145">
        <f t="shared" si="117"/>
        <v>8.6876411971769318E-2</v>
      </c>
      <c r="DV61" s="15"/>
      <c r="DW61" s="422">
        <f t="shared" ref="DW61:DW65" si="118">+DQ54+DW54</f>
        <v>0.08</v>
      </c>
      <c r="DX61" s="144">
        <f t="shared" ref="DX61:DX65" si="119">+DR54+DX54</f>
        <v>0.08</v>
      </c>
      <c r="DY61" s="144">
        <f t="shared" ref="DY61:DY65" si="120">+DS54+DY54</f>
        <v>0.08</v>
      </c>
      <c r="DZ61" s="144">
        <f t="shared" ref="DZ61:DZ65" si="121">+DT54+DZ54</f>
        <v>0.08</v>
      </c>
      <c r="EA61" s="145">
        <f t="shared" ref="EA61:EA65" si="122">+DU54+EA54</f>
        <v>8.0000000000000016E-2</v>
      </c>
      <c r="EB61" s="15"/>
      <c r="EC61" s="422">
        <f t="shared" ref="EC61:EC65" si="123">+DW54+EC54</f>
        <v>0.08</v>
      </c>
      <c r="ED61" s="144">
        <f t="shared" ref="ED61:ED65" si="124">+DX54+ED54</f>
        <v>0.08</v>
      </c>
      <c r="EE61" s="144">
        <f t="shared" ref="EE61:EE65" si="125">+DY54+EE54</f>
        <v>0.08</v>
      </c>
      <c r="EF61" s="144">
        <f t="shared" ref="EF61:EF65" si="126">+DZ54+EF54</f>
        <v>0.08</v>
      </c>
      <c r="EG61" s="145">
        <f t="shared" ref="EG61:EG65" si="127">+EA54+EG54</f>
        <v>8.0000000000000016E-2</v>
      </c>
    </row>
    <row r="62" spans="1:137" ht="11.25" customHeight="1" x14ac:dyDescent="0.2">
      <c r="A62" s="51" t="s">
        <v>115</v>
      </c>
      <c r="E62" s="47"/>
      <c r="F62" s="15"/>
      <c r="G62" s="47"/>
      <c r="H62" s="15"/>
      <c r="I62" s="47"/>
      <c r="J62" s="15"/>
      <c r="K62" s="47"/>
      <c r="L62" s="15"/>
      <c r="M62" s="111"/>
      <c r="N62" s="15"/>
      <c r="O62" s="15"/>
      <c r="P62" s="15"/>
      <c r="Q62" s="47"/>
      <c r="R62" s="15"/>
      <c r="S62" s="111"/>
      <c r="T62" s="15"/>
      <c r="U62" s="15"/>
      <c r="V62" s="15"/>
      <c r="W62" s="47"/>
      <c r="X62" s="15"/>
      <c r="Y62" s="111">
        <f t="shared" si="101"/>
        <v>0</v>
      </c>
      <c r="Z62" s="15">
        <f t="shared" si="101"/>
        <v>0</v>
      </c>
      <c r="AA62" s="15">
        <f t="shared" si="101"/>
        <v>0</v>
      </c>
      <c r="AB62" s="15">
        <f t="shared" si="101"/>
        <v>0</v>
      </c>
      <c r="AC62" s="47">
        <f t="shared" si="101"/>
        <v>0</v>
      </c>
      <c r="AD62" s="15"/>
      <c r="AE62" s="111">
        <f t="shared" si="102"/>
        <v>0</v>
      </c>
      <c r="AF62" s="15">
        <f t="shared" si="102"/>
        <v>0</v>
      </c>
      <c r="AG62" s="15">
        <f t="shared" si="102"/>
        <v>0</v>
      </c>
      <c r="AH62" s="15">
        <f t="shared" si="102"/>
        <v>0</v>
      </c>
      <c r="AI62" s="47">
        <f t="shared" si="102"/>
        <v>0.09</v>
      </c>
      <c r="AJ62" s="15"/>
      <c r="AK62" s="111">
        <f t="shared" si="103"/>
        <v>7.0000000000000007E-2</v>
      </c>
      <c r="AL62" s="15">
        <f t="shared" si="103"/>
        <v>0.05</v>
      </c>
      <c r="AM62" s="15">
        <f t="shared" si="103"/>
        <v>0.05</v>
      </c>
      <c r="AN62" s="15">
        <f t="shared" si="103"/>
        <v>0.05</v>
      </c>
      <c r="AO62" s="47">
        <f t="shared" si="103"/>
        <v>0.13</v>
      </c>
      <c r="AP62" s="15"/>
      <c r="AQ62" s="111">
        <f t="shared" si="104"/>
        <v>0.23</v>
      </c>
      <c r="AR62" s="15">
        <f t="shared" si="104"/>
        <v>0.21000000000000002</v>
      </c>
      <c r="AS62" s="15">
        <f t="shared" si="104"/>
        <v>0.21000000000000002</v>
      </c>
      <c r="AT62" s="15">
        <f t="shared" si="104"/>
        <v>0.21000000000000002</v>
      </c>
      <c r="AU62" s="47">
        <f t="shared" si="104"/>
        <v>0.1</v>
      </c>
      <c r="AV62" s="15"/>
      <c r="AW62" s="111">
        <f t="shared" si="105"/>
        <v>0.16</v>
      </c>
      <c r="AX62" s="15">
        <f t="shared" si="105"/>
        <v>0.16</v>
      </c>
      <c r="AY62" s="15">
        <f t="shared" si="105"/>
        <v>0.16</v>
      </c>
      <c r="AZ62" s="15">
        <f t="shared" si="105"/>
        <v>0.16</v>
      </c>
      <c r="BA62" s="47">
        <f t="shared" si="105"/>
        <v>0.15</v>
      </c>
      <c r="BB62" s="15"/>
      <c r="BC62" s="111">
        <f t="shared" si="106"/>
        <v>0</v>
      </c>
      <c r="BD62" s="15">
        <f t="shared" si="106"/>
        <v>0</v>
      </c>
      <c r="BE62" s="15">
        <f t="shared" si="106"/>
        <v>0</v>
      </c>
      <c r="BF62" s="15">
        <f t="shared" si="106"/>
        <v>0</v>
      </c>
      <c r="BG62" s="47">
        <f t="shared" si="106"/>
        <v>0.155</v>
      </c>
      <c r="BH62" s="15"/>
      <c r="BI62" s="111">
        <f t="shared" si="107"/>
        <v>0.05</v>
      </c>
      <c r="BJ62" s="15">
        <f t="shared" si="107"/>
        <v>0.05</v>
      </c>
      <c r="BK62" s="15">
        <f t="shared" si="107"/>
        <v>0.05</v>
      </c>
      <c r="BL62" s="15">
        <f t="shared" si="107"/>
        <v>0.05</v>
      </c>
      <c r="BM62" s="47">
        <f t="shared" si="107"/>
        <v>0.115</v>
      </c>
      <c r="BN62" s="15"/>
      <c r="BO62" s="111">
        <f t="shared" si="108"/>
        <v>0.13</v>
      </c>
      <c r="BP62" s="15">
        <f t="shared" si="108"/>
        <v>0.13</v>
      </c>
      <c r="BQ62" s="15">
        <f t="shared" si="108"/>
        <v>0.14000000000000001</v>
      </c>
      <c r="BR62" s="15">
        <f t="shared" si="108"/>
        <v>0.14000000000000001</v>
      </c>
      <c r="BS62" s="47">
        <f t="shared" si="108"/>
        <v>0.13528656620904222</v>
      </c>
      <c r="BT62" s="15"/>
      <c r="BU62" s="111">
        <f t="shared" si="109"/>
        <v>0.16999999999999998</v>
      </c>
      <c r="BV62" s="15">
        <f t="shared" si="109"/>
        <v>0.16999999999999998</v>
      </c>
      <c r="BW62" s="15">
        <f t="shared" si="109"/>
        <v>0.16999999999999998</v>
      </c>
      <c r="BX62" s="15">
        <f t="shared" si="109"/>
        <v>0.16999999999999998</v>
      </c>
      <c r="BY62" s="47">
        <f t="shared" si="109"/>
        <v>0.16999612145647372</v>
      </c>
      <c r="BZ62" s="15"/>
      <c r="CA62" s="111">
        <f t="shared" si="110"/>
        <v>0.14000000000000001</v>
      </c>
      <c r="CB62" s="15">
        <f t="shared" si="110"/>
        <v>0.14000000000000001</v>
      </c>
      <c r="CC62" s="15">
        <f t="shared" si="110"/>
        <v>0.13</v>
      </c>
      <c r="CD62" s="15">
        <f t="shared" si="110"/>
        <v>0.14000000000000001</v>
      </c>
      <c r="CE62" s="47">
        <f t="shared" si="110"/>
        <v>0.13898844042141484</v>
      </c>
      <c r="CF62" s="15"/>
      <c r="CG62" s="111">
        <f t="shared" si="111"/>
        <v>0.08</v>
      </c>
      <c r="CH62" s="15">
        <f t="shared" si="111"/>
        <v>0.10382</v>
      </c>
      <c r="CI62" s="15">
        <f t="shared" si="111"/>
        <v>0.10290000000000001</v>
      </c>
      <c r="CJ62" s="15">
        <f t="shared" si="111"/>
        <v>0.1</v>
      </c>
      <c r="CK62" s="47">
        <f t="shared" si="111"/>
        <v>9.8356117755256545E-2</v>
      </c>
      <c r="CL62" s="15"/>
      <c r="CM62" s="111">
        <f t="shared" si="112"/>
        <v>6.1499999999999999E-2</v>
      </c>
      <c r="CN62" s="15">
        <f t="shared" si="112"/>
        <v>0.10822</v>
      </c>
      <c r="CO62" s="15">
        <f t="shared" si="112"/>
        <v>8.7900000000000006E-2</v>
      </c>
      <c r="CP62" s="15">
        <f t="shared" si="112"/>
        <v>9.1579999999999995E-2</v>
      </c>
      <c r="CQ62" s="47">
        <f t="shared" si="112"/>
        <v>8.7593375470997228E-2</v>
      </c>
      <c r="CR62" s="15"/>
      <c r="CS62" s="111">
        <f t="shared" si="113"/>
        <v>7.1499999999999994E-2</v>
      </c>
      <c r="CT62" s="15">
        <f t="shared" si="113"/>
        <v>0.1094</v>
      </c>
      <c r="CU62" s="15">
        <f t="shared" si="113"/>
        <v>6.5000000000000002E-2</v>
      </c>
      <c r="CV62" s="15">
        <f t="shared" si="113"/>
        <v>8.6580000000000004E-2</v>
      </c>
      <c r="CW62" s="47">
        <f t="shared" si="113"/>
        <v>8.3516142889724032E-2</v>
      </c>
      <c r="CX62" s="15"/>
      <c r="CY62" s="111">
        <f t="shared" si="114"/>
        <v>6.5000000000000002E-2</v>
      </c>
      <c r="CZ62" s="15">
        <f t="shared" si="114"/>
        <v>7.4999999999999997E-2</v>
      </c>
      <c r="DA62" s="15">
        <f t="shared" si="114"/>
        <v>6.5000000000000002E-2</v>
      </c>
      <c r="DB62" s="15">
        <f t="shared" si="114"/>
        <v>0.06</v>
      </c>
      <c r="DC62" s="47">
        <f t="shared" si="114"/>
        <v>6.5097260160582732E-2</v>
      </c>
      <c r="DD62" s="15"/>
      <c r="DE62" s="111">
        <f t="shared" si="115"/>
        <v>5.5000000000000007E-2</v>
      </c>
      <c r="DF62" s="15">
        <f t="shared" si="115"/>
        <v>4.7E-2</v>
      </c>
      <c r="DG62" s="15">
        <f t="shared" si="115"/>
        <v>7.4999999999999997E-2</v>
      </c>
      <c r="DH62" s="15">
        <f t="shared" si="115"/>
        <v>8.4999999999999992E-2</v>
      </c>
      <c r="DI62" s="47">
        <f t="shared" si="115"/>
        <v>6.528089352898081E-2</v>
      </c>
      <c r="DJ62" s="15"/>
      <c r="DK62" s="111">
        <f t="shared" si="116"/>
        <v>0.125</v>
      </c>
      <c r="DL62" s="15">
        <f t="shared" si="116"/>
        <v>8.2000000000000003E-2</v>
      </c>
      <c r="DM62" s="15">
        <f t="shared" si="116"/>
        <v>0.08</v>
      </c>
      <c r="DN62" s="15">
        <f t="shared" si="116"/>
        <v>0.09</v>
      </c>
      <c r="DO62" s="47">
        <f t="shared" si="116"/>
        <v>9.3602099438022557E-2</v>
      </c>
      <c r="DP62" s="15"/>
      <c r="DQ62" s="111">
        <f t="shared" si="117"/>
        <v>9.5000000000000001E-2</v>
      </c>
      <c r="DR62" s="15">
        <f t="shared" si="117"/>
        <v>8.4999999999999992E-2</v>
      </c>
      <c r="DS62" s="15">
        <f t="shared" si="117"/>
        <v>7.0000000000000007E-2</v>
      </c>
      <c r="DT62" s="15">
        <f t="shared" si="117"/>
        <v>0.06</v>
      </c>
      <c r="DU62" s="47">
        <f t="shared" si="117"/>
        <v>7.6199594494317263E-2</v>
      </c>
      <c r="DV62" s="15"/>
      <c r="DW62" s="111">
        <f t="shared" si="118"/>
        <v>0.05</v>
      </c>
      <c r="DX62" s="15">
        <f t="shared" si="119"/>
        <v>0.08</v>
      </c>
      <c r="DY62" s="15">
        <f t="shared" si="120"/>
        <v>0.08</v>
      </c>
      <c r="DZ62" s="15">
        <f t="shared" si="121"/>
        <v>0.08</v>
      </c>
      <c r="EA62" s="47">
        <f t="shared" si="122"/>
        <v>7.2781128424692795E-2</v>
      </c>
      <c r="EB62" s="15"/>
      <c r="EC62" s="111">
        <f t="shared" si="123"/>
        <v>0.1</v>
      </c>
      <c r="ED62" s="15">
        <f t="shared" si="124"/>
        <v>0.1</v>
      </c>
      <c r="EE62" s="15">
        <f t="shared" si="125"/>
        <v>0.1</v>
      </c>
      <c r="EF62" s="15">
        <f t="shared" si="126"/>
        <v>0.1</v>
      </c>
      <c r="EG62" s="47">
        <f t="shared" si="127"/>
        <v>0.10000000000000003</v>
      </c>
    </row>
    <row r="63" spans="1:137" ht="11.25" customHeight="1" x14ac:dyDescent="0.2">
      <c r="A63" s="51" t="s">
        <v>163</v>
      </c>
      <c r="E63" s="47"/>
      <c r="F63" s="15"/>
      <c r="G63" s="47"/>
      <c r="H63" s="15"/>
      <c r="I63" s="47"/>
      <c r="J63" s="15"/>
      <c r="K63" s="47"/>
      <c r="L63" s="15"/>
      <c r="M63" s="111"/>
      <c r="N63" s="15"/>
      <c r="O63" s="15"/>
      <c r="P63" s="15"/>
      <c r="Q63" s="47"/>
      <c r="R63" s="15"/>
      <c r="S63" s="111"/>
      <c r="T63" s="15"/>
      <c r="U63" s="15"/>
      <c r="V63" s="15"/>
      <c r="W63" s="47"/>
      <c r="X63" s="15"/>
      <c r="Y63" s="111">
        <f t="shared" si="101"/>
        <v>0</v>
      </c>
      <c r="Z63" s="15">
        <f t="shared" si="101"/>
        <v>0</v>
      </c>
      <c r="AA63" s="15">
        <f t="shared" si="101"/>
        <v>0</v>
      </c>
      <c r="AB63" s="15">
        <f t="shared" si="101"/>
        <v>0</v>
      </c>
      <c r="AC63" s="47">
        <f t="shared" si="101"/>
        <v>0</v>
      </c>
      <c r="AD63" s="15"/>
      <c r="AE63" s="111">
        <f t="shared" si="102"/>
        <v>0</v>
      </c>
      <c r="AF63" s="15">
        <f t="shared" si="102"/>
        <v>0</v>
      </c>
      <c r="AG63" s="15">
        <f t="shared" si="102"/>
        <v>0</v>
      </c>
      <c r="AH63" s="15">
        <f t="shared" si="102"/>
        <v>0</v>
      </c>
      <c r="AI63" s="47">
        <f t="shared" si="102"/>
        <v>0</v>
      </c>
      <c r="AJ63" s="15"/>
      <c r="AK63" s="111">
        <f t="shared" si="103"/>
        <v>0.04</v>
      </c>
      <c r="AL63" s="15">
        <f t="shared" si="103"/>
        <v>0.04</v>
      </c>
      <c r="AM63" s="15">
        <f t="shared" si="103"/>
        <v>-0.01</v>
      </c>
      <c r="AN63" s="15">
        <f t="shared" si="103"/>
        <v>0.02</v>
      </c>
      <c r="AO63" s="47">
        <f t="shared" si="103"/>
        <v>0.04</v>
      </c>
      <c r="AP63" s="15"/>
      <c r="AQ63" s="111">
        <f t="shared" si="104"/>
        <v>0.09</v>
      </c>
      <c r="AR63" s="15">
        <f t="shared" si="104"/>
        <v>0.09</v>
      </c>
      <c r="AS63" s="15">
        <f t="shared" si="104"/>
        <v>9.0000000000000011E-2</v>
      </c>
      <c r="AT63" s="15">
        <f t="shared" si="104"/>
        <v>0.115</v>
      </c>
      <c r="AU63" s="47">
        <f t="shared" si="104"/>
        <v>0.13</v>
      </c>
      <c r="AV63" s="15"/>
      <c r="AW63" s="111">
        <f t="shared" si="105"/>
        <v>0.1</v>
      </c>
      <c r="AX63" s="15">
        <f t="shared" si="105"/>
        <v>0.1</v>
      </c>
      <c r="AY63" s="15">
        <f t="shared" si="105"/>
        <v>0.15000000000000002</v>
      </c>
      <c r="AZ63" s="15">
        <f t="shared" si="105"/>
        <v>0.14500000000000002</v>
      </c>
      <c r="BA63" s="47">
        <f t="shared" si="105"/>
        <v>0.14000000000000001</v>
      </c>
      <c r="BB63" s="15"/>
      <c r="BC63" s="111">
        <f t="shared" si="106"/>
        <v>5.5E-2</v>
      </c>
      <c r="BD63" s="15">
        <f t="shared" si="106"/>
        <v>5.5E-2</v>
      </c>
      <c r="BE63" s="15">
        <f t="shared" si="106"/>
        <v>5.5E-2</v>
      </c>
      <c r="BF63" s="15">
        <f t="shared" si="106"/>
        <v>5.5E-2</v>
      </c>
      <c r="BG63" s="47">
        <f t="shared" si="106"/>
        <v>5.5E-2</v>
      </c>
      <c r="BH63" s="15"/>
      <c r="BI63" s="111">
        <f t="shared" si="107"/>
        <v>-4.5000000000000005E-2</v>
      </c>
      <c r="BJ63" s="15">
        <f t="shared" si="107"/>
        <v>-0.105</v>
      </c>
      <c r="BK63" s="15">
        <f t="shared" si="107"/>
        <v>-0.125</v>
      </c>
      <c r="BL63" s="15">
        <f t="shared" si="107"/>
        <v>-3.5000000000000003E-2</v>
      </c>
      <c r="BM63" s="47">
        <f t="shared" si="107"/>
        <v>-0.08</v>
      </c>
      <c r="BN63" s="15"/>
      <c r="BO63" s="111">
        <f t="shared" si="108"/>
        <v>-3.0000000000000002E-2</v>
      </c>
      <c r="BP63" s="15">
        <f t="shared" si="108"/>
        <v>-0.09</v>
      </c>
      <c r="BQ63" s="15">
        <f t="shared" si="108"/>
        <v>-7.0000000000000007E-2</v>
      </c>
      <c r="BR63" s="15">
        <f t="shared" si="108"/>
        <v>3.4999999999999996E-2</v>
      </c>
      <c r="BS63" s="47">
        <f t="shared" si="108"/>
        <v>-4.0000000000000008E-2</v>
      </c>
      <c r="BT63" s="15"/>
      <c r="BU63" s="111">
        <f t="shared" si="109"/>
        <v>7.4999999999999997E-2</v>
      </c>
      <c r="BV63" s="15">
        <f t="shared" si="109"/>
        <v>8.5000000000000006E-2</v>
      </c>
      <c r="BW63" s="15">
        <f t="shared" si="109"/>
        <v>0.105</v>
      </c>
      <c r="BX63" s="15">
        <f t="shared" si="109"/>
        <v>0.1</v>
      </c>
      <c r="BY63" s="47">
        <f t="shared" si="109"/>
        <v>0.09</v>
      </c>
      <c r="BZ63" s="15"/>
      <c r="CA63" s="111">
        <f t="shared" si="110"/>
        <v>0.06</v>
      </c>
      <c r="CB63" s="15">
        <f t="shared" si="110"/>
        <v>0.115</v>
      </c>
      <c r="CC63" s="15">
        <f t="shared" si="110"/>
        <v>7.4999999999999997E-2</v>
      </c>
      <c r="CD63" s="15">
        <f t="shared" si="110"/>
        <v>6.5000000000000002E-2</v>
      </c>
      <c r="CE63" s="47">
        <f t="shared" si="110"/>
        <v>0.08</v>
      </c>
      <c r="CF63" s="15"/>
      <c r="CG63" s="111">
        <f t="shared" si="111"/>
        <v>3.0000000000000002E-2</v>
      </c>
      <c r="CH63" s="15">
        <f t="shared" si="111"/>
        <v>7.5000000000000011E-2</v>
      </c>
      <c r="CI63" s="15">
        <f t="shared" si="111"/>
        <v>6.5000000000000002E-2</v>
      </c>
      <c r="CJ63" s="15">
        <f t="shared" si="111"/>
        <v>7.0000000000000007E-2</v>
      </c>
      <c r="CK63" s="47">
        <f t="shared" si="111"/>
        <v>6.5000000000000002E-2</v>
      </c>
      <c r="CL63" s="15"/>
      <c r="CM63" s="111">
        <f t="shared" si="112"/>
        <v>8.4999999999999992E-2</v>
      </c>
      <c r="CN63" s="15">
        <f t="shared" si="112"/>
        <v>4.4999999999999998E-2</v>
      </c>
      <c r="CO63" s="15">
        <f t="shared" si="112"/>
        <v>5.5000000000000007E-2</v>
      </c>
      <c r="CP63" s="15">
        <f t="shared" si="112"/>
        <v>5.5E-2</v>
      </c>
      <c r="CQ63" s="47">
        <f t="shared" si="112"/>
        <v>6.056995560647286E-2</v>
      </c>
      <c r="CR63" s="15"/>
      <c r="CS63" s="111">
        <f t="shared" si="113"/>
        <v>3.4999999999999996E-2</v>
      </c>
      <c r="CT63" s="15">
        <f t="shared" si="113"/>
        <v>0.03</v>
      </c>
      <c r="CU63" s="15">
        <f t="shared" si="113"/>
        <v>1.4999999999999999E-2</v>
      </c>
      <c r="CV63" s="15">
        <f t="shared" si="113"/>
        <v>0.05</v>
      </c>
      <c r="CW63" s="47">
        <f t="shared" si="113"/>
        <v>3.310928349849785E-2</v>
      </c>
      <c r="CX63" s="15"/>
      <c r="CY63" s="111">
        <f t="shared" si="114"/>
        <v>-1.5000000000000001E-2</v>
      </c>
      <c r="CZ63" s="15">
        <f t="shared" si="114"/>
        <v>0.05</v>
      </c>
      <c r="DA63" s="15">
        <f t="shared" si="114"/>
        <v>2.9999999999999995E-2</v>
      </c>
      <c r="DB63" s="15">
        <f t="shared" si="114"/>
        <v>2.5000000000000001E-2</v>
      </c>
      <c r="DC63" s="47">
        <f t="shared" si="114"/>
        <v>2.3350128827423995E-2</v>
      </c>
      <c r="DD63" s="15"/>
      <c r="DE63" s="111">
        <f t="shared" si="115"/>
        <v>1.4999999999999999E-2</v>
      </c>
      <c r="DF63" s="15">
        <f t="shared" si="115"/>
        <v>3.2000000000000001E-2</v>
      </c>
      <c r="DG63" s="15">
        <f t="shared" si="115"/>
        <v>4.4999999999999998E-2</v>
      </c>
      <c r="DH63" s="15">
        <f t="shared" si="115"/>
        <v>-5.0000000000000001E-3</v>
      </c>
      <c r="DI63" s="47">
        <f t="shared" si="115"/>
        <v>2.1034179983291587E-2</v>
      </c>
      <c r="DJ63" s="15"/>
      <c r="DK63" s="111">
        <f t="shared" si="116"/>
        <v>-2.4999999999999998E-2</v>
      </c>
      <c r="DL63" s="15">
        <f t="shared" si="116"/>
        <v>-8.0000000000000002E-3</v>
      </c>
      <c r="DM63" s="15">
        <f t="shared" si="116"/>
        <v>0.01</v>
      </c>
      <c r="DN63" s="15">
        <f t="shared" si="116"/>
        <v>1.4999999999999999E-2</v>
      </c>
      <c r="DO63" s="47">
        <f t="shared" si="116"/>
        <v>-1.3736183550744382E-3</v>
      </c>
      <c r="DP63" s="15"/>
      <c r="DQ63" s="111">
        <f t="shared" si="117"/>
        <v>0</v>
      </c>
      <c r="DR63" s="15">
        <f t="shared" si="117"/>
        <v>0.03</v>
      </c>
      <c r="DS63" s="15">
        <f t="shared" si="117"/>
        <v>0.03</v>
      </c>
      <c r="DT63" s="15">
        <f t="shared" si="117"/>
        <v>0.05</v>
      </c>
      <c r="DU63" s="47">
        <f t="shared" si="117"/>
        <v>2.8403002597032982E-2</v>
      </c>
      <c r="DV63" s="15"/>
      <c r="DW63" s="111">
        <f t="shared" si="118"/>
        <v>0.06</v>
      </c>
      <c r="DX63" s="15">
        <f t="shared" si="119"/>
        <v>0.06</v>
      </c>
      <c r="DY63" s="15">
        <f t="shared" si="120"/>
        <v>0.06</v>
      </c>
      <c r="DZ63" s="15">
        <f t="shared" si="121"/>
        <v>0.06</v>
      </c>
      <c r="EA63" s="47">
        <f t="shared" si="122"/>
        <v>6.0000000000000012E-2</v>
      </c>
      <c r="EB63" s="15"/>
      <c r="EC63" s="111">
        <f t="shared" si="123"/>
        <v>0.06</v>
      </c>
      <c r="ED63" s="15">
        <f t="shared" si="124"/>
        <v>0.06</v>
      </c>
      <c r="EE63" s="15">
        <f t="shared" si="125"/>
        <v>0.06</v>
      </c>
      <c r="EF63" s="15">
        <f t="shared" si="126"/>
        <v>0.06</v>
      </c>
      <c r="EG63" s="47">
        <f t="shared" si="127"/>
        <v>6.0000000000000005E-2</v>
      </c>
    </row>
    <row r="64" spans="1:137" ht="11.25" customHeight="1" x14ac:dyDescent="0.2">
      <c r="A64" s="51" t="s">
        <v>231</v>
      </c>
      <c r="E64" s="47"/>
      <c r="F64" s="15"/>
      <c r="G64" s="47"/>
      <c r="H64" s="15"/>
      <c r="I64" s="47"/>
      <c r="J64" s="15"/>
      <c r="K64" s="47"/>
      <c r="L64" s="15"/>
      <c r="M64" s="111"/>
      <c r="N64" s="15"/>
      <c r="O64" s="15"/>
      <c r="P64" s="15"/>
      <c r="Q64" s="47"/>
      <c r="R64" s="15"/>
      <c r="S64" s="111"/>
      <c r="T64" s="15"/>
      <c r="U64" s="15"/>
      <c r="V64" s="15"/>
      <c r="W64" s="47"/>
      <c r="X64" s="15"/>
      <c r="Y64" s="111">
        <f t="shared" si="101"/>
        <v>5.2507314148888096E-2</v>
      </c>
      <c r="Z64" s="15">
        <f t="shared" si="101"/>
        <v>5.9516091127553843E-2</v>
      </c>
      <c r="AA64" s="15">
        <f t="shared" si="101"/>
        <v>3.2250731414888836E-2</v>
      </c>
      <c r="AB64" s="15">
        <f t="shared" si="101"/>
        <v>2.9743417266000709E-2</v>
      </c>
      <c r="AC64" s="47">
        <f t="shared" si="101"/>
        <v>4.3504388489332878E-2</v>
      </c>
      <c r="AD64" s="15"/>
      <c r="AE64" s="111">
        <f t="shared" si="102"/>
        <v>0.13035402158687806</v>
      </c>
      <c r="AF64" s="15">
        <f t="shared" si="102"/>
        <v>0.10951609112755382</v>
      </c>
      <c r="AG64" s="15">
        <f t="shared" si="102"/>
        <v>9.2250731414888848E-2</v>
      </c>
      <c r="AH64" s="15">
        <f t="shared" si="102"/>
        <v>9.224341726600073E-2</v>
      </c>
      <c r="AI64" s="47">
        <f t="shared" si="102"/>
        <v>0.10596498991683402</v>
      </c>
      <c r="AJ64" s="15"/>
      <c r="AK64" s="111">
        <f t="shared" si="103"/>
        <v>0.14242740500757489</v>
      </c>
      <c r="AL64" s="15">
        <f t="shared" si="103"/>
        <v>0.15749999999999997</v>
      </c>
      <c r="AM64" s="15">
        <f t="shared" si="103"/>
        <v>0.17750000000000002</v>
      </c>
      <c r="AN64" s="15">
        <f t="shared" si="103"/>
        <v>0.17250000000000001</v>
      </c>
      <c r="AO64" s="47">
        <f t="shared" si="103"/>
        <v>0.16248156654902191</v>
      </c>
      <c r="AP64" s="15"/>
      <c r="AQ64" s="111">
        <f t="shared" si="104"/>
        <v>0.14907794984093173</v>
      </c>
      <c r="AR64" s="15">
        <f t="shared" si="104"/>
        <v>0.15735635779181339</v>
      </c>
      <c r="AS64" s="15">
        <f t="shared" si="104"/>
        <v>0.1408259426970731</v>
      </c>
      <c r="AT64" s="15">
        <f t="shared" si="104"/>
        <v>8.3325942697073094E-2</v>
      </c>
      <c r="AU64" s="47">
        <f t="shared" si="104"/>
        <v>0.13277233898584737</v>
      </c>
      <c r="AV64" s="15"/>
      <c r="AW64" s="111">
        <f t="shared" si="105"/>
        <v>0.11149725227134683</v>
      </c>
      <c r="AX64" s="15">
        <f t="shared" si="105"/>
        <v>0.10185635779181337</v>
      </c>
      <c r="AY64" s="15">
        <f t="shared" si="105"/>
        <v>9.507594269707309E-2</v>
      </c>
      <c r="AZ64" s="15">
        <f t="shared" si="105"/>
        <v>6.7325942697073107E-2</v>
      </c>
      <c r="BA64" s="47">
        <f t="shared" si="105"/>
        <v>9.3938873864326602E-2</v>
      </c>
      <c r="BB64" s="15"/>
      <c r="BC64" s="111">
        <f t="shared" si="106"/>
        <v>7.7932549137391449E-2</v>
      </c>
      <c r="BD64" s="15">
        <f t="shared" si="106"/>
        <v>0.10667143537892185</v>
      </c>
      <c r="BE64" s="15">
        <f t="shared" si="106"/>
        <v>8.0346831447930533E-2</v>
      </c>
      <c r="BF64" s="15">
        <f t="shared" si="106"/>
        <v>9.7268266826852356E-2</v>
      </c>
      <c r="BG64" s="47">
        <f t="shared" si="106"/>
        <v>9.055477069777404E-2</v>
      </c>
      <c r="BH64" s="15"/>
      <c r="BI64" s="111">
        <f t="shared" si="107"/>
        <v>3.417569688180945E-2</v>
      </c>
      <c r="BJ64" s="15">
        <f t="shared" si="107"/>
        <v>6.0767405105607575E-3</v>
      </c>
      <c r="BK64" s="15">
        <f t="shared" si="107"/>
        <v>2.1365795694339162E-6</v>
      </c>
      <c r="BL64" s="15">
        <f t="shared" si="107"/>
        <v>-4.0741839870584579E-4</v>
      </c>
      <c r="BM64" s="47">
        <f t="shared" si="107"/>
        <v>9.9617888933084403E-3</v>
      </c>
      <c r="BN64" s="15"/>
      <c r="BO64" s="111">
        <f t="shared" si="108"/>
        <v>8.0203278374435694E-2</v>
      </c>
      <c r="BP64" s="15">
        <f t="shared" si="108"/>
        <v>6.706559904917872E-2</v>
      </c>
      <c r="BQ64" s="15">
        <f t="shared" si="108"/>
        <v>0.10880563170668316</v>
      </c>
      <c r="BR64" s="15">
        <f t="shared" si="108"/>
        <v>0.10372464134948606</v>
      </c>
      <c r="BS64" s="47">
        <f t="shared" si="108"/>
        <v>8.9949787619945903E-2</v>
      </c>
      <c r="BT64" s="15"/>
      <c r="BU64" s="111">
        <f t="shared" si="109"/>
        <v>0.21533301889077747</v>
      </c>
      <c r="BV64" s="15">
        <f t="shared" si="109"/>
        <v>0.22376683342061401</v>
      </c>
      <c r="BW64" s="15">
        <f t="shared" si="109"/>
        <v>0.21145359632658134</v>
      </c>
      <c r="BX64" s="15">
        <f t="shared" si="109"/>
        <v>0.18713397781735869</v>
      </c>
      <c r="BY64" s="47">
        <f t="shared" si="109"/>
        <v>0.20942185661383289</v>
      </c>
      <c r="BZ64" s="15"/>
      <c r="CA64" s="111">
        <f t="shared" si="110"/>
        <v>0.13971010514337237</v>
      </c>
      <c r="CB64" s="15">
        <f t="shared" si="110"/>
        <v>0.14810653950307423</v>
      </c>
      <c r="CC64" s="15">
        <f t="shared" si="110"/>
        <v>0.14005326975153712</v>
      </c>
      <c r="CD64" s="15">
        <f t="shared" si="110"/>
        <v>0.10948365124231443</v>
      </c>
      <c r="CE64" s="47">
        <f t="shared" si="110"/>
        <v>0.13413289987223251</v>
      </c>
      <c r="CF64" s="15"/>
      <c r="CG64" s="111">
        <f t="shared" si="111"/>
        <v>6.7565215249646648E-2</v>
      </c>
      <c r="CH64" s="15">
        <f t="shared" si="111"/>
        <v>9.3473598040440892E-2</v>
      </c>
      <c r="CI64" s="15">
        <f t="shared" si="111"/>
        <v>8.8544003265931842E-2</v>
      </c>
      <c r="CJ64" s="15">
        <f t="shared" si="111"/>
        <v>0.10474999999999998</v>
      </c>
      <c r="CK64" s="47">
        <f t="shared" si="111"/>
        <v>8.8377712601162811E-2</v>
      </c>
      <c r="CL64" s="15"/>
      <c r="CM64" s="111">
        <f t="shared" si="112"/>
        <v>8.5227998367034069E-2</v>
      </c>
      <c r="CN64" s="15">
        <f t="shared" si="112"/>
        <v>8.5473598040440885E-2</v>
      </c>
      <c r="CO64" s="15">
        <f t="shared" si="112"/>
        <v>8.7044003265931841E-2</v>
      </c>
      <c r="CP64" s="15">
        <f t="shared" si="112"/>
        <v>0.11049999999999999</v>
      </c>
      <c r="CQ64" s="47">
        <f t="shared" si="112"/>
        <v>9.2429010737561892E-2</v>
      </c>
      <c r="CR64" s="15"/>
      <c r="CS64" s="111">
        <f t="shared" si="113"/>
        <v>0.10899999999999999</v>
      </c>
      <c r="CT64" s="15">
        <f t="shared" si="113"/>
        <v>9.7000000000000003E-2</v>
      </c>
      <c r="CU64" s="15">
        <f t="shared" si="113"/>
        <v>8.9499999999999996E-2</v>
      </c>
      <c r="CV64" s="15">
        <f t="shared" si="113"/>
        <v>8.5499999999999993E-2</v>
      </c>
      <c r="CW64" s="47">
        <f t="shared" si="113"/>
        <v>9.471993283777741E-2</v>
      </c>
      <c r="CX64" s="15"/>
      <c r="CY64" s="111">
        <f t="shared" si="114"/>
        <v>0.09</v>
      </c>
      <c r="CZ64" s="15">
        <f t="shared" si="114"/>
        <v>0.08</v>
      </c>
      <c r="DA64" s="15">
        <f t="shared" si="114"/>
        <v>7.5000000000000011E-2</v>
      </c>
      <c r="DB64" s="15">
        <f t="shared" si="114"/>
        <v>6.5000000000000002E-2</v>
      </c>
      <c r="DC64" s="47">
        <f t="shared" si="114"/>
        <v>7.6736132374080196E-2</v>
      </c>
      <c r="DD64" s="15"/>
      <c r="DE64" s="111">
        <f t="shared" si="115"/>
        <v>6.9999999999999993E-2</v>
      </c>
      <c r="DF64" s="15">
        <f t="shared" si="115"/>
        <v>5.7000000000000002E-2</v>
      </c>
      <c r="DG64" s="15">
        <f t="shared" si="115"/>
        <v>7.0000000000000007E-2</v>
      </c>
      <c r="DH64" s="15">
        <f t="shared" si="115"/>
        <v>9.5000000000000001E-2</v>
      </c>
      <c r="DI64" s="47">
        <f t="shared" si="115"/>
        <v>7.3168309922237426E-2</v>
      </c>
      <c r="DJ64" s="15"/>
      <c r="DK64" s="111">
        <f t="shared" si="116"/>
        <v>9.5000000000000001E-2</v>
      </c>
      <c r="DL64" s="15">
        <f t="shared" si="116"/>
        <v>0.10200000000000001</v>
      </c>
      <c r="DM64" s="15">
        <f t="shared" si="116"/>
        <v>0.1</v>
      </c>
      <c r="DN64" s="15">
        <f t="shared" si="116"/>
        <v>0.1</v>
      </c>
      <c r="DO64" s="47">
        <f t="shared" si="116"/>
        <v>9.9124249617117494E-2</v>
      </c>
      <c r="DP64" s="15"/>
      <c r="DQ64" s="111">
        <f t="shared" si="117"/>
        <v>0.10250000000000001</v>
      </c>
      <c r="DR64" s="15">
        <f t="shared" si="117"/>
        <v>0.1275</v>
      </c>
      <c r="DS64" s="15">
        <f t="shared" si="117"/>
        <v>0.1275</v>
      </c>
      <c r="DT64" s="15">
        <f t="shared" si="117"/>
        <v>9.7500000000000003E-2</v>
      </c>
      <c r="DU64" s="47">
        <f t="shared" si="117"/>
        <v>0.11358975005039307</v>
      </c>
      <c r="DV64" s="15"/>
      <c r="DW64" s="111">
        <f t="shared" si="118"/>
        <v>0.10250000000000001</v>
      </c>
      <c r="DX64" s="15">
        <f t="shared" si="119"/>
        <v>0.10250000000000001</v>
      </c>
      <c r="DY64" s="15">
        <f t="shared" si="120"/>
        <v>0.10250000000000001</v>
      </c>
      <c r="DZ64" s="15">
        <f t="shared" si="121"/>
        <v>0.10250000000000001</v>
      </c>
      <c r="EA64" s="47">
        <f t="shared" si="122"/>
        <v>0.10250000000000001</v>
      </c>
      <c r="EB64" s="15"/>
      <c r="EC64" s="111">
        <f t="shared" si="123"/>
        <v>0.09</v>
      </c>
      <c r="ED64" s="15">
        <f t="shared" si="124"/>
        <v>0.09</v>
      </c>
      <c r="EE64" s="15">
        <f t="shared" si="125"/>
        <v>0.09</v>
      </c>
      <c r="EF64" s="15">
        <f t="shared" si="126"/>
        <v>0.09</v>
      </c>
      <c r="EG64" s="47">
        <f t="shared" si="127"/>
        <v>0.09</v>
      </c>
    </row>
    <row r="65" spans="1:137" ht="11.25" customHeight="1" x14ac:dyDescent="0.2">
      <c r="A65" s="409" t="s">
        <v>239</v>
      </c>
      <c r="E65" s="427"/>
      <c r="F65" s="15"/>
      <c r="G65" s="427"/>
      <c r="H65" s="15"/>
      <c r="I65" s="427"/>
      <c r="J65" s="15"/>
      <c r="K65" s="427"/>
      <c r="L65" s="15"/>
      <c r="M65" s="426"/>
      <c r="N65" s="113"/>
      <c r="O65" s="113"/>
      <c r="P65" s="113"/>
      <c r="Q65" s="427"/>
      <c r="R65" s="15"/>
      <c r="S65" s="426"/>
      <c r="T65" s="113"/>
      <c r="U65" s="113"/>
      <c r="V65" s="113"/>
      <c r="W65" s="427"/>
      <c r="X65" s="15"/>
      <c r="Y65" s="423">
        <f t="shared" si="101"/>
        <v>5.2507314148888096E-2</v>
      </c>
      <c r="Z65" s="424">
        <f t="shared" si="101"/>
        <v>5.9516091127553843E-2</v>
      </c>
      <c r="AA65" s="424">
        <f t="shared" si="101"/>
        <v>3.2250731414888836E-2</v>
      </c>
      <c r="AB65" s="424">
        <f t="shared" si="101"/>
        <v>2.9743417266000709E-2</v>
      </c>
      <c r="AC65" s="425">
        <f t="shared" si="101"/>
        <v>4.3504388489332878E-2</v>
      </c>
      <c r="AD65" s="345"/>
      <c r="AE65" s="423">
        <f t="shared" si="102"/>
        <v>0.13035402158687806</v>
      </c>
      <c r="AF65" s="424">
        <f t="shared" si="102"/>
        <v>0.10951609112755382</v>
      </c>
      <c r="AG65" s="424">
        <f t="shared" si="102"/>
        <v>9.2250731414888848E-2</v>
      </c>
      <c r="AH65" s="424">
        <f t="shared" si="102"/>
        <v>9.224341726600073E-2</v>
      </c>
      <c r="AI65" s="425">
        <f t="shared" si="102"/>
        <v>0.10596498991683402</v>
      </c>
      <c r="AJ65" s="345"/>
      <c r="AK65" s="423">
        <f t="shared" si="103"/>
        <v>0.14566729936891604</v>
      </c>
      <c r="AL65" s="424">
        <f t="shared" si="103"/>
        <v>0.14292075569276175</v>
      </c>
      <c r="AM65" s="424">
        <f t="shared" si="103"/>
        <v>0.125670437749657</v>
      </c>
      <c r="AN65" s="424">
        <f t="shared" si="103"/>
        <v>0.13506672175066356</v>
      </c>
      <c r="AO65" s="425">
        <f t="shared" si="103"/>
        <v>0.14023856014337838</v>
      </c>
      <c r="AP65" s="345"/>
      <c r="AQ65" s="423">
        <f t="shared" si="104"/>
        <v>0.13975660765653994</v>
      </c>
      <c r="AR65" s="424">
        <f t="shared" si="104"/>
        <v>0.14097993741729617</v>
      </c>
      <c r="AS65" s="424">
        <f t="shared" si="104"/>
        <v>0.12727693912823992</v>
      </c>
      <c r="AT65" s="424">
        <f t="shared" si="104"/>
        <v>0.10351139453978173</v>
      </c>
      <c r="AU65" s="425">
        <f t="shared" si="104"/>
        <v>0.12831695198218188</v>
      </c>
      <c r="AV65" s="345"/>
      <c r="AW65" s="423">
        <f t="shared" si="105"/>
        <v>0.12745977194665054</v>
      </c>
      <c r="AX65" s="424">
        <f t="shared" si="105"/>
        <v>0.11557442960991034</v>
      </c>
      <c r="AY65" s="424">
        <f t="shared" si="105"/>
        <v>0.14113607246207058</v>
      </c>
      <c r="AZ65" s="424">
        <f t="shared" si="105"/>
        <v>0.13736461148988663</v>
      </c>
      <c r="BA65" s="425">
        <f t="shared" si="105"/>
        <v>0.12790765105727847</v>
      </c>
      <c r="BB65" s="345"/>
      <c r="BC65" s="423">
        <f t="shared" si="106"/>
        <v>9.3989860046805776E-2</v>
      </c>
      <c r="BD65" s="424">
        <f t="shared" si="106"/>
        <v>0.14325482530456313</v>
      </c>
      <c r="BE65" s="424">
        <f t="shared" si="106"/>
        <v>0.10896142711969206</v>
      </c>
      <c r="BF65" s="424">
        <f t="shared" si="106"/>
        <v>9.302666954652318E-2</v>
      </c>
      <c r="BG65" s="425">
        <f t="shared" si="106"/>
        <v>0.1100483591300857</v>
      </c>
      <c r="BH65" s="345"/>
      <c r="BI65" s="423">
        <f t="shared" si="107"/>
        <v>2.2744649278103501E-2</v>
      </c>
      <c r="BJ65" s="424">
        <f t="shared" si="107"/>
        <v>1.7235977933632934E-2</v>
      </c>
      <c r="BK65" s="424">
        <f t="shared" si="107"/>
        <v>-1.8401141575166792E-2</v>
      </c>
      <c r="BL65" s="424">
        <f t="shared" si="107"/>
        <v>-1.4908852307078996E-2</v>
      </c>
      <c r="BM65" s="425">
        <f t="shared" si="107"/>
        <v>1.0617216841956323E-3</v>
      </c>
      <c r="BN65" s="345"/>
      <c r="BO65" s="423">
        <f t="shared" si="108"/>
        <v>5.0307858835213701E-2</v>
      </c>
      <c r="BP65" s="424">
        <f t="shared" si="108"/>
        <v>9.124883169981543E-3</v>
      </c>
      <c r="BQ65" s="424">
        <f t="shared" si="108"/>
        <v>3.991159627353634E-2</v>
      </c>
      <c r="BR65" s="424">
        <f t="shared" si="108"/>
        <v>8.0584859638182196E-2</v>
      </c>
      <c r="BS65" s="425">
        <f t="shared" si="108"/>
        <v>4.5534645614881901E-2</v>
      </c>
      <c r="BT65" s="345"/>
      <c r="BU65" s="423">
        <f t="shared" si="109"/>
        <v>0.1490268023190946</v>
      </c>
      <c r="BV65" s="424">
        <f t="shared" si="109"/>
        <v>0.15674228644891919</v>
      </c>
      <c r="BW65" s="424">
        <f t="shared" si="109"/>
        <v>0.16225678329677562</v>
      </c>
      <c r="BX65" s="424">
        <f t="shared" si="109"/>
        <v>0.15174915977471137</v>
      </c>
      <c r="BY65" s="425">
        <f t="shared" si="109"/>
        <v>0.1551621870780375</v>
      </c>
      <c r="BZ65" s="345"/>
      <c r="CA65" s="423">
        <f t="shared" si="110"/>
        <v>9.8562919045563246E-2</v>
      </c>
      <c r="CB65" s="424">
        <f t="shared" si="110"/>
        <v>0.12422362525020425</v>
      </c>
      <c r="CC65" s="424">
        <f t="shared" si="110"/>
        <v>9.638835244663202E-2</v>
      </c>
      <c r="CD65" s="424">
        <f t="shared" si="110"/>
        <v>0.10820841231722178</v>
      </c>
      <c r="CE65" s="425">
        <f t="shared" si="110"/>
        <v>0.1081239923470409</v>
      </c>
      <c r="CF65" s="345"/>
      <c r="CG65" s="423">
        <f t="shared" si="111"/>
        <v>4.5581739163195634E-2</v>
      </c>
      <c r="CH65" s="424">
        <f t="shared" si="111"/>
        <v>9.0327378995876506E-2</v>
      </c>
      <c r="CI65" s="424">
        <f t="shared" si="111"/>
        <v>7.8917235061436219E-2</v>
      </c>
      <c r="CJ65" s="424">
        <f t="shared" si="111"/>
        <v>9.8388000061037317E-2</v>
      </c>
      <c r="CK65" s="425">
        <f t="shared" si="111"/>
        <v>8.0709052354566019E-2</v>
      </c>
      <c r="CL65" s="345"/>
      <c r="CM65" s="423">
        <f t="shared" si="112"/>
        <v>7.2875440836840832E-2</v>
      </c>
      <c r="CN65" s="424">
        <f t="shared" si="112"/>
        <v>8.4658430954023478E-2</v>
      </c>
      <c r="CO65" s="424">
        <f t="shared" si="112"/>
        <v>8.2158468190236977E-2</v>
      </c>
      <c r="CP65" s="424">
        <f t="shared" si="112"/>
        <v>8.4681786178460117E-2</v>
      </c>
      <c r="CQ65" s="425">
        <f t="shared" si="112"/>
        <v>8.1269123266458493E-2</v>
      </c>
      <c r="CR65" s="345"/>
      <c r="CS65" s="423">
        <f t="shared" si="113"/>
        <v>7.7859131782993168E-2</v>
      </c>
      <c r="CT65" s="424">
        <f t="shared" si="113"/>
        <v>8.4440873414967824E-2</v>
      </c>
      <c r="CU65" s="424">
        <f t="shared" si="113"/>
        <v>6.5117396163564684E-2</v>
      </c>
      <c r="CV65" s="424">
        <f t="shared" si="113"/>
        <v>7.8748109295279617E-2</v>
      </c>
      <c r="CW65" s="425">
        <f t="shared" si="113"/>
        <v>7.6613145093240714E-2</v>
      </c>
      <c r="CX65" s="345"/>
      <c r="CY65" s="423">
        <f t="shared" si="114"/>
        <v>6.0000000000000005E-2</v>
      </c>
      <c r="CZ65" s="424">
        <f t="shared" si="114"/>
        <v>7.4999999999999997E-2</v>
      </c>
      <c r="DA65" s="424">
        <f t="shared" si="114"/>
        <v>6.5000000000000002E-2</v>
      </c>
      <c r="DB65" s="424">
        <f t="shared" si="114"/>
        <v>6.3894627844330476E-2</v>
      </c>
      <c r="DC65" s="425">
        <f t="shared" si="114"/>
        <v>6.6049495329917204E-2</v>
      </c>
      <c r="DD65" s="345"/>
      <c r="DE65" s="423">
        <f t="shared" si="115"/>
        <v>5.5000000000000007E-2</v>
      </c>
      <c r="DF65" s="424">
        <f t="shared" si="115"/>
        <v>5.1999999999999998E-2</v>
      </c>
      <c r="DG65" s="424">
        <f t="shared" si="115"/>
        <v>6.5000000000000002E-2</v>
      </c>
      <c r="DH65" s="424">
        <f t="shared" si="115"/>
        <v>8.5000000000000006E-2</v>
      </c>
      <c r="DI65" s="425">
        <f t="shared" si="115"/>
        <v>6.4889336973822695E-2</v>
      </c>
      <c r="DJ65" s="345"/>
      <c r="DK65" s="423">
        <f t="shared" si="116"/>
        <v>8.5000000000000006E-2</v>
      </c>
      <c r="DL65" s="424">
        <f t="shared" si="116"/>
        <v>7.0167224673510525E-2</v>
      </c>
      <c r="DM65" s="424">
        <f t="shared" si="116"/>
        <v>7.3523033434919033E-2</v>
      </c>
      <c r="DN65" s="424">
        <f t="shared" si="116"/>
        <v>8.7225160744833385E-2</v>
      </c>
      <c r="DO65" s="425">
        <f t="shared" si="116"/>
        <v>7.8942928785254635E-2</v>
      </c>
      <c r="DP65" s="345"/>
      <c r="DQ65" s="423">
        <f t="shared" si="117"/>
        <v>8.4449301443966507E-2</v>
      </c>
      <c r="DR65" s="424">
        <f t="shared" si="117"/>
        <v>8.7364967966495399E-2</v>
      </c>
      <c r="DS65" s="424">
        <f t="shared" si="117"/>
        <v>8.2810757354802256E-2</v>
      </c>
      <c r="DT65" s="424">
        <f t="shared" si="117"/>
        <v>7.1315423577815507E-2</v>
      </c>
      <c r="DU65" s="425">
        <f t="shared" si="117"/>
        <v>8.1056279665864456E-2</v>
      </c>
      <c r="DV65" s="345"/>
      <c r="DW65" s="423">
        <f t="shared" si="118"/>
        <v>7.2237440212775228E-2</v>
      </c>
      <c r="DX65" s="424">
        <f t="shared" si="119"/>
        <v>8.1988010631269814E-2</v>
      </c>
      <c r="DY65" s="424">
        <f t="shared" si="120"/>
        <v>8.2088279018775356E-2</v>
      </c>
      <c r="DZ65" s="424">
        <f t="shared" si="121"/>
        <v>8.1828872770483674E-2</v>
      </c>
      <c r="EA65" s="425">
        <f t="shared" si="122"/>
        <v>7.9670044894398634E-2</v>
      </c>
      <c r="EB65" s="345"/>
      <c r="EC65" s="423">
        <f t="shared" si="123"/>
        <v>8.5617301614478558E-2</v>
      </c>
      <c r="ED65" s="424">
        <f t="shared" si="124"/>
        <v>8.562229149576539E-2</v>
      </c>
      <c r="EE65" s="424">
        <f t="shared" si="125"/>
        <v>8.5642519702325393E-2</v>
      </c>
      <c r="EF65" s="424">
        <f t="shared" si="126"/>
        <v>8.5518753511815815E-2</v>
      </c>
      <c r="EG65" s="425">
        <f t="shared" si="127"/>
        <v>8.5597856550820847E-2</v>
      </c>
    </row>
    <row r="66" spans="1:137" ht="11.25" customHeight="1" x14ac:dyDescent="0.2">
      <c r="A66" s="50"/>
      <c r="E66" s="47"/>
      <c r="F66" s="15"/>
      <c r="G66" s="47"/>
      <c r="H66" s="15"/>
      <c r="I66" s="47"/>
      <c r="J66" s="15"/>
      <c r="K66" s="47"/>
      <c r="L66" s="15"/>
      <c r="M66" s="111"/>
      <c r="N66" s="15"/>
      <c r="O66" s="15"/>
      <c r="P66" s="15"/>
      <c r="Q66" s="47"/>
      <c r="R66" s="15"/>
      <c r="S66" s="111"/>
      <c r="T66" s="15"/>
      <c r="U66" s="15"/>
      <c r="V66" s="15"/>
      <c r="W66" s="47"/>
      <c r="X66" s="15"/>
      <c r="Y66" s="456"/>
      <c r="Z66" s="345"/>
      <c r="AA66" s="345"/>
      <c r="AB66" s="345"/>
      <c r="AC66" s="458"/>
      <c r="AD66" s="345"/>
      <c r="AE66" s="456"/>
      <c r="AF66" s="345"/>
      <c r="AG66" s="345"/>
      <c r="AH66" s="345"/>
      <c r="AI66" s="458"/>
      <c r="AJ66" s="345"/>
      <c r="AK66" s="456"/>
      <c r="AL66" s="345"/>
      <c r="AM66" s="345"/>
      <c r="AN66" s="345"/>
      <c r="AO66" s="458"/>
      <c r="AP66" s="345"/>
      <c r="AQ66" s="456"/>
      <c r="AR66" s="345"/>
      <c r="AS66" s="345"/>
      <c r="AT66" s="345"/>
      <c r="AU66" s="458"/>
      <c r="AV66" s="345"/>
      <c r="AW66" s="456"/>
      <c r="AX66" s="345"/>
      <c r="AY66" s="345"/>
      <c r="AZ66" s="345"/>
      <c r="BA66" s="458"/>
      <c r="BB66" s="345"/>
      <c r="BC66" s="456"/>
      <c r="BD66" s="345"/>
      <c r="BE66" s="345"/>
      <c r="BF66" s="345"/>
      <c r="BG66" s="458"/>
      <c r="BH66" s="345"/>
      <c r="BI66" s="456"/>
      <c r="BJ66" s="345"/>
      <c r="BK66" s="345"/>
      <c r="BL66" s="345"/>
      <c r="BM66" s="458"/>
      <c r="BN66" s="345"/>
      <c r="BO66" s="456"/>
      <c r="BP66" s="345"/>
      <c r="BQ66" s="345"/>
      <c r="BR66" s="345"/>
      <c r="BS66" s="895"/>
      <c r="BT66" s="345"/>
      <c r="BU66" s="895"/>
      <c r="BV66" s="345"/>
      <c r="BW66" s="345"/>
      <c r="BX66" s="345"/>
      <c r="BY66" s="895"/>
      <c r="BZ66" s="345"/>
      <c r="CA66" s="895"/>
      <c r="CB66" s="345"/>
      <c r="CC66" s="345"/>
      <c r="CD66" s="345"/>
      <c r="CE66" s="895"/>
      <c r="CF66" s="345"/>
      <c r="CG66" s="895"/>
      <c r="CH66" s="345"/>
      <c r="CI66" s="345"/>
      <c r="CJ66" s="345"/>
      <c r="CK66" s="895"/>
      <c r="CL66" s="345"/>
      <c r="CM66" s="895"/>
      <c r="CN66" s="345"/>
      <c r="CO66" s="345"/>
      <c r="CP66" s="345"/>
      <c r="CQ66" s="895"/>
      <c r="CR66" s="345"/>
      <c r="CS66" s="895"/>
      <c r="CT66" s="345"/>
      <c r="CU66" s="345"/>
      <c r="CV66" s="345"/>
      <c r="CW66" s="895"/>
      <c r="CX66" s="345"/>
      <c r="CY66" s="895"/>
      <c r="CZ66" s="345"/>
      <c r="DA66" s="345"/>
      <c r="DB66" s="345"/>
      <c r="DC66" s="345"/>
      <c r="DD66" s="345"/>
      <c r="DE66" s="345"/>
      <c r="DF66" s="345"/>
      <c r="DG66" s="345"/>
      <c r="DH66" s="345"/>
      <c r="DI66" s="895"/>
      <c r="DJ66" s="345"/>
      <c r="DK66" s="345"/>
      <c r="DL66" s="345"/>
      <c r="DM66" s="345"/>
      <c r="DN66" s="345"/>
      <c r="DO66" s="1308"/>
      <c r="DP66" s="345"/>
      <c r="DQ66" s="895"/>
      <c r="DR66" s="895"/>
      <c r="DS66" s="895"/>
      <c r="DT66" s="895"/>
      <c r="DU66" s="345"/>
      <c r="DV66" s="345"/>
      <c r="DW66" s="895"/>
      <c r="DX66" s="895"/>
      <c r="DY66" s="895"/>
      <c r="DZ66" s="895"/>
      <c r="EA66" s="345"/>
      <c r="EB66" s="345"/>
      <c r="EC66" s="895"/>
      <c r="ED66" s="895"/>
      <c r="EE66" s="895"/>
      <c r="EF66" s="895"/>
      <c r="EG66" s="345"/>
    </row>
    <row r="67" spans="1:137" ht="11.25" customHeight="1" x14ac:dyDescent="0.2">
      <c r="A67" s="106" t="s">
        <v>584</v>
      </c>
      <c r="B67" s="74"/>
      <c r="C67" s="74"/>
      <c r="D67" s="74"/>
      <c r="E67" s="107"/>
      <c r="F67" s="75"/>
      <c r="G67" s="107"/>
      <c r="H67" s="75"/>
      <c r="I67" s="107"/>
      <c r="J67" s="75"/>
      <c r="K67" s="107"/>
      <c r="L67" s="75"/>
      <c r="M67" s="109"/>
      <c r="N67" s="110"/>
      <c r="O67" s="110"/>
      <c r="P67" s="110"/>
      <c r="Q67" s="107"/>
      <c r="R67" s="75"/>
      <c r="S67" s="109"/>
      <c r="T67" s="110"/>
      <c r="U67" s="110"/>
      <c r="V67" s="110"/>
      <c r="W67" s="107"/>
      <c r="X67" s="75"/>
      <c r="Y67" s="109"/>
      <c r="Z67" s="110"/>
      <c r="AA67" s="110"/>
      <c r="AB67" s="110"/>
      <c r="AC67" s="107"/>
      <c r="AD67" s="75"/>
      <c r="AE67" s="109"/>
      <c r="AF67" s="110"/>
      <c r="AG67" s="110"/>
      <c r="AH67" s="110"/>
      <c r="AI67" s="107"/>
      <c r="AJ67" s="75"/>
      <c r="AK67" s="109"/>
      <c r="AL67" s="110"/>
      <c r="AM67" s="110"/>
      <c r="AN67" s="110"/>
      <c r="AO67" s="107"/>
      <c r="AP67" s="75"/>
      <c r="AQ67" s="109"/>
      <c r="AR67" s="110"/>
      <c r="AS67" s="110"/>
      <c r="AT67" s="110"/>
      <c r="AU67" s="107"/>
      <c r="AV67" s="75"/>
      <c r="AW67" s="109"/>
      <c r="AX67" s="110"/>
      <c r="AY67" s="110"/>
      <c r="AZ67" s="110"/>
      <c r="BA67" s="107"/>
      <c r="BB67" s="75"/>
      <c r="BC67" s="109"/>
      <c r="BD67" s="110"/>
      <c r="BE67" s="110"/>
      <c r="BF67" s="110"/>
      <c r="BG67" s="107"/>
      <c r="BH67" s="75"/>
      <c r="BI67" s="109"/>
      <c r="BJ67" s="110"/>
      <c r="BK67" s="110"/>
      <c r="BL67" s="110"/>
      <c r="BM67" s="107"/>
      <c r="BN67" s="75"/>
      <c r="BO67" s="109"/>
      <c r="BP67" s="110"/>
      <c r="BQ67" s="110"/>
      <c r="BR67" s="110"/>
      <c r="BS67" s="107"/>
      <c r="BT67" s="75"/>
      <c r="BU67" s="109"/>
      <c r="BV67" s="110"/>
      <c r="BW67" s="110"/>
      <c r="BX67" s="110"/>
      <c r="BY67" s="107"/>
      <c r="BZ67" s="75"/>
      <c r="CA67" s="109"/>
      <c r="CB67" s="110"/>
      <c r="CC67" s="110"/>
      <c r="CD67" s="110"/>
      <c r="CE67" s="107"/>
      <c r="CF67" s="75"/>
      <c r="CG67" s="109"/>
      <c r="CH67" s="110"/>
      <c r="CI67" s="110"/>
      <c r="CJ67" s="110"/>
      <c r="CK67" s="107"/>
      <c r="CL67" s="75"/>
      <c r="CM67" s="109"/>
      <c r="CN67" s="110"/>
      <c r="CO67" s="110"/>
      <c r="CP67" s="110"/>
      <c r="CQ67" s="107"/>
      <c r="CR67" s="75"/>
      <c r="CS67" s="109"/>
      <c r="CT67" s="110"/>
      <c r="CU67" s="110"/>
      <c r="CV67" s="110"/>
      <c r="CW67" s="107"/>
      <c r="CX67" s="75"/>
      <c r="CY67" s="109"/>
      <c r="CZ67" s="110"/>
      <c r="DA67" s="110"/>
      <c r="DB67" s="110"/>
      <c r="DC67" s="107"/>
      <c r="DD67" s="75"/>
      <c r="DE67" s="109"/>
      <c r="DF67" s="110"/>
      <c r="DG67" s="110"/>
      <c r="DH67" s="110"/>
      <c r="DI67" s="107"/>
      <c r="DJ67" s="75"/>
      <c r="DK67" s="109"/>
      <c r="DL67" s="110"/>
      <c r="DM67" s="110"/>
      <c r="DN67" s="110"/>
      <c r="DO67" s="107"/>
      <c r="DP67" s="75"/>
      <c r="DQ67" s="109"/>
      <c r="DR67" s="110"/>
      <c r="DS67" s="110"/>
      <c r="DT67" s="110"/>
      <c r="DU67" s="107"/>
      <c r="DV67" s="75"/>
      <c r="DW67" s="109"/>
      <c r="DX67" s="110"/>
      <c r="DY67" s="110"/>
      <c r="DZ67" s="110"/>
      <c r="EA67" s="107"/>
      <c r="EB67" s="75"/>
      <c r="EC67" s="109"/>
      <c r="ED67" s="110"/>
      <c r="EE67" s="110"/>
      <c r="EF67" s="110"/>
      <c r="EG67" s="107"/>
    </row>
    <row r="68" spans="1:137" ht="11.25" customHeight="1" x14ac:dyDescent="0.2">
      <c r="A68" s="1017"/>
      <c r="B68" s="1013"/>
      <c r="C68" s="1013"/>
      <c r="D68" s="1013"/>
      <c r="E68" s="1014"/>
      <c r="F68" s="1014"/>
      <c r="G68" s="1014"/>
      <c r="H68" s="1014"/>
      <c r="I68" s="1014"/>
      <c r="J68" s="1014"/>
      <c r="K68" s="1014"/>
      <c r="L68" s="1014"/>
      <c r="M68" s="1014"/>
      <c r="N68" s="1014"/>
      <c r="O68" s="1014"/>
      <c r="P68" s="1014"/>
      <c r="Q68" s="1014"/>
      <c r="R68" s="1014"/>
      <c r="S68" s="1014"/>
      <c r="T68" s="1014"/>
      <c r="U68" s="1014"/>
      <c r="V68" s="1014"/>
      <c r="W68" s="1014"/>
      <c r="X68" s="1014"/>
      <c r="Y68" s="1014"/>
      <c r="Z68" s="1014"/>
      <c r="AA68" s="1014"/>
      <c r="AB68" s="1014"/>
      <c r="AC68" s="1014"/>
      <c r="AD68" s="1014"/>
      <c r="AE68" s="1014"/>
      <c r="AF68" s="1014"/>
      <c r="AG68" s="1014"/>
      <c r="AH68" s="1014"/>
      <c r="AI68" s="1014"/>
      <c r="AJ68" s="1014"/>
      <c r="AK68" s="1014"/>
      <c r="AL68" s="1014"/>
      <c r="AM68" s="1014"/>
      <c r="AN68" s="1014"/>
      <c r="AO68" s="1014"/>
      <c r="AP68" s="1014"/>
      <c r="AQ68" s="1014"/>
      <c r="AR68" s="1014"/>
      <c r="AS68" s="1014"/>
      <c r="AT68" s="1014"/>
      <c r="AU68" s="1014"/>
      <c r="AV68" s="1014"/>
      <c r="AW68" s="1014"/>
      <c r="AX68" s="1014"/>
      <c r="AY68" s="1014"/>
      <c r="AZ68" s="1014"/>
      <c r="BA68" s="1014"/>
      <c r="BB68" s="1014"/>
      <c r="BC68" s="1014"/>
      <c r="BD68" s="1014"/>
      <c r="BE68" s="1014"/>
      <c r="BF68" s="1014"/>
      <c r="BG68" s="1014"/>
      <c r="BH68" s="1014"/>
      <c r="BI68" s="1014"/>
      <c r="BJ68" s="1014"/>
      <c r="BK68" s="1014"/>
      <c r="BL68" s="1014"/>
      <c r="BM68" s="1014"/>
      <c r="BN68" s="1014"/>
      <c r="BO68" s="1014"/>
      <c r="BP68" s="1014"/>
      <c r="BQ68" s="1014"/>
      <c r="BR68" s="1014"/>
      <c r="BS68" s="1014"/>
      <c r="BT68" s="1014"/>
      <c r="BU68" s="1014"/>
      <c r="BV68" s="1014"/>
      <c r="BW68" s="1014"/>
      <c r="BX68" s="1014"/>
      <c r="BY68" s="1014"/>
      <c r="BZ68" s="1014"/>
      <c r="CA68" s="1014"/>
      <c r="CB68" s="1014"/>
      <c r="CC68" s="1014"/>
      <c r="CD68" s="1014"/>
      <c r="CE68" s="1014"/>
      <c r="CF68" s="1014"/>
      <c r="CG68" s="1014"/>
      <c r="CH68" s="1014"/>
      <c r="CI68" s="1014"/>
      <c r="CJ68" s="1014"/>
      <c r="CK68" s="1014"/>
      <c r="CL68" s="1014"/>
      <c r="CM68" s="1014"/>
      <c r="CN68" s="1014"/>
      <c r="CO68" s="1014"/>
      <c r="CP68" s="1014"/>
      <c r="CQ68" s="1014"/>
      <c r="CR68" s="1014"/>
      <c r="CS68" s="1014"/>
      <c r="CT68" s="1014"/>
      <c r="CU68" s="1014"/>
      <c r="CV68" s="1014"/>
      <c r="CW68" s="1014"/>
      <c r="CX68" s="1014"/>
      <c r="CY68" s="1014"/>
      <c r="CZ68" s="1014"/>
      <c r="DA68" s="1014"/>
      <c r="DB68" s="1014"/>
      <c r="DC68" s="1014"/>
      <c r="DD68" s="1014"/>
      <c r="DE68" s="1014"/>
      <c r="DF68" s="1014"/>
      <c r="DG68" s="1014"/>
      <c r="DH68" s="345"/>
      <c r="DI68" s="1014"/>
      <c r="DJ68" s="1014"/>
      <c r="DK68" s="1014"/>
      <c r="DL68" s="1014"/>
      <c r="DM68" s="1014"/>
      <c r="DN68" s="164"/>
      <c r="DO68" s="1014"/>
      <c r="DP68" s="1014"/>
      <c r="DQ68" s="1014"/>
      <c r="DR68" s="1014"/>
      <c r="DS68" s="1014"/>
      <c r="DT68" s="1014"/>
      <c r="DU68" s="1014"/>
      <c r="DV68" s="1014"/>
      <c r="DW68" s="1014"/>
      <c r="DX68" s="1014"/>
      <c r="DY68" s="1014"/>
      <c r="DZ68" s="1014"/>
      <c r="EA68" s="1014"/>
      <c r="EB68" s="1014"/>
      <c r="EC68" s="1014"/>
      <c r="ED68" s="1014"/>
      <c r="EE68" s="1014"/>
      <c r="EF68" s="1014"/>
      <c r="EG68" s="1014"/>
    </row>
    <row r="69" spans="1:137" ht="11.25" customHeight="1" x14ac:dyDescent="0.2">
      <c r="A69" s="1015" t="s">
        <v>377</v>
      </c>
      <c r="B69" s="74"/>
      <c r="C69" s="74"/>
      <c r="D69" s="74"/>
      <c r="E69" s="466"/>
      <c r="F69" s="75"/>
      <c r="G69" s="466"/>
      <c r="H69" s="75"/>
      <c r="I69" s="466"/>
      <c r="J69" s="75"/>
      <c r="K69" s="466"/>
      <c r="L69" s="75"/>
      <c r="M69" s="1016"/>
      <c r="N69" s="75"/>
      <c r="O69" s="75"/>
      <c r="P69" s="75"/>
      <c r="Q69" s="466"/>
      <c r="R69" s="75"/>
      <c r="S69" s="1016"/>
      <c r="T69" s="75"/>
      <c r="U69" s="75"/>
      <c r="V69" s="75"/>
      <c r="W69" s="466"/>
      <c r="X69" s="75"/>
      <c r="Y69" s="1016"/>
      <c r="Z69" s="75"/>
      <c r="AA69" s="75"/>
      <c r="AB69" s="75"/>
      <c r="AC69" s="466"/>
      <c r="AD69" s="75"/>
      <c r="AE69" s="1016"/>
      <c r="AF69" s="75"/>
      <c r="AG69" s="75"/>
      <c r="AH69" s="75"/>
      <c r="AI69" s="466"/>
      <c r="AJ69" s="75"/>
      <c r="AK69" s="1016"/>
      <c r="AL69" s="75"/>
      <c r="AM69" s="75"/>
      <c r="AN69" s="75"/>
      <c r="AO69" s="466"/>
      <c r="AP69" s="75"/>
      <c r="AQ69" s="1016"/>
      <c r="AR69" s="75"/>
      <c r="AS69" s="75"/>
      <c r="AT69" s="75"/>
      <c r="AU69" s="466"/>
      <c r="AV69" s="75"/>
      <c r="AW69" s="1016"/>
      <c r="AX69" s="75"/>
      <c r="AY69" s="75"/>
      <c r="AZ69" s="75"/>
      <c r="BA69" s="466"/>
      <c r="BB69" s="75"/>
      <c r="BC69" s="1016"/>
      <c r="BD69" s="75"/>
      <c r="BE69" s="75"/>
      <c r="BF69" s="75"/>
      <c r="BG69" s="466"/>
      <c r="BH69" s="75"/>
      <c r="BI69" s="1016"/>
      <c r="BJ69" s="75"/>
      <c r="BK69" s="75"/>
      <c r="BL69" s="75"/>
      <c r="BM69" s="466"/>
      <c r="BN69" s="75"/>
      <c r="BO69" s="1016"/>
      <c r="BP69" s="75"/>
      <c r="BQ69" s="75"/>
      <c r="BR69" s="75"/>
      <c r="BS69" s="466"/>
      <c r="BT69" s="75"/>
      <c r="BU69" s="1016"/>
      <c r="BV69" s="75"/>
      <c r="BW69" s="75"/>
      <c r="BX69" s="75"/>
      <c r="BY69" s="466"/>
      <c r="BZ69" s="75"/>
      <c r="CA69" s="1016"/>
      <c r="CB69" s="75"/>
      <c r="CC69" s="75"/>
      <c r="CD69" s="75"/>
      <c r="CE69" s="466"/>
      <c r="CF69" s="75"/>
      <c r="CG69" s="1016"/>
      <c r="CH69" s="75"/>
      <c r="CI69" s="75"/>
      <c r="CJ69" s="75"/>
      <c r="CK69" s="466"/>
      <c r="CL69" s="75"/>
      <c r="CM69" s="1016"/>
      <c r="CN69" s="75"/>
      <c r="CO69" s="75"/>
      <c r="CP69" s="75"/>
      <c r="CQ69" s="466"/>
      <c r="CR69" s="75"/>
      <c r="CS69" s="1016"/>
      <c r="CT69" s="75"/>
      <c r="CU69" s="75"/>
      <c r="CV69" s="75"/>
      <c r="CW69" s="466"/>
      <c r="CX69" s="75"/>
      <c r="CY69" s="1016"/>
      <c r="CZ69" s="75"/>
      <c r="DA69" s="75"/>
      <c r="DB69" s="75"/>
      <c r="DC69" s="466"/>
      <c r="DD69" s="75"/>
      <c r="DE69" s="1016"/>
      <c r="DF69" s="75"/>
      <c r="DG69" s="75"/>
      <c r="DH69" s="75"/>
      <c r="DI69" s="466"/>
      <c r="DJ69" s="75"/>
      <c r="DK69" s="1016"/>
      <c r="DL69" s="75"/>
      <c r="DM69" s="75"/>
      <c r="DN69" s="75"/>
      <c r="DO69" s="466"/>
      <c r="DP69" s="75"/>
      <c r="DQ69" s="1016"/>
      <c r="DR69" s="75"/>
      <c r="DS69" s="75"/>
      <c r="DT69" s="75"/>
      <c r="DU69" s="466"/>
      <c r="DV69" s="75"/>
      <c r="DW69" s="1016"/>
      <c r="DX69" s="75"/>
      <c r="DY69" s="75"/>
      <c r="DZ69" s="75"/>
      <c r="EA69" s="466"/>
      <c r="EB69" s="75"/>
      <c r="EC69" s="1016"/>
      <c r="ED69" s="75"/>
      <c r="EE69" s="75"/>
      <c r="EF69" s="75"/>
      <c r="EG69" s="466"/>
    </row>
    <row r="70" spans="1:137" ht="11.25" customHeight="1" outlineLevel="1" x14ac:dyDescent="0.2">
      <c r="A70" s="129" t="s">
        <v>380</v>
      </c>
      <c r="B70" s="14"/>
      <c r="C70" s="14"/>
      <c r="D70" s="14"/>
      <c r="E70" s="224"/>
      <c r="F70" s="71"/>
      <c r="G70" s="224"/>
      <c r="H70" s="71"/>
      <c r="I70" s="224"/>
      <c r="J70" s="71"/>
      <c r="K70" s="224"/>
      <c r="L70" s="71"/>
      <c r="M70" s="415"/>
      <c r="N70" s="416"/>
      <c r="O70" s="416"/>
      <c r="P70" s="416"/>
      <c r="Q70" s="224"/>
      <c r="R70" s="71"/>
      <c r="S70" s="415"/>
      <c r="T70" s="416"/>
      <c r="U70" s="416"/>
      <c r="V70" s="416"/>
      <c r="W70" s="224"/>
      <c r="X70" s="71"/>
      <c r="Y70" s="415"/>
      <c r="Z70" s="416"/>
      <c r="AA70" s="416"/>
      <c r="AB70" s="416"/>
      <c r="AC70" s="224"/>
      <c r="AD70" s="71"/>
      <c r="AE70" s="766">
        <v>0</v>
      </c>
      <c r="AF70" s="767">
        <v>0</v>
      </c>
      <c r="AG70" s="767">
        <v>0</v>
      </c>
      <c r="AH70" s="767">
        <v>0</v>
      </c>
      <c r="AI70" s="769">
        <v>0</v>
      </c>
      <c r="AJ70" s="768"/>
      <c r="AK70" s="766">
        <v>0</v>
      </c>
      <c r="AL70" s="767">
        <v>0</v>
      </c>
      <c r="AM70" s="767">
        <v>54</v>
      </c>
      <c r="AN70" s="767">
        <v>135</v>
      </c>
      <c r="AO70" s="844">
        <f>SUM(AK70:AN70)</f>
        <v>189</v>
      </c>
      <c r="AP70" s="845"/>
      <c r="AQ70" s="850">
        <v>165</v>
      </c>
      <c r="AR70" s="770">
        <v>170</v>
      </c>
      <c r="AS70" s="770">
        <v>175</v>
      </c>
      <c r="AT70" s="770">
        <v>185</v>
      </c>
      <c r="AU70" s="844">
        <f>SUM(AQ70:AT70)</f>
        <v>695</v>
      </c>
      <c r="AV70" s="845"/>
      <c r="AW70" s="850">
        <v>188.10000000000002</v>
      </c>
      <c r="AX70" s="770">
        <v>193.8</v>
      </c>
      <c r="AY70" s="770">
        <v>199.50000000000003</v>
      </c>
      <c r="AZ70" s="770">
        <v>210.90000000000003</v>
      </c>
      <c r="BA70" s="844">
        <f>SUM(AW70:AZ70)</f>
        <v>792.30000000000018</v>
      </c>
      <c r="BB70" s="845"/>
      <c r="BC70" s="842">
        <v>212.553</v>
      </c>
      <c r="BD70" s="843">
        <v>218.994</v>
      </c>
      <c r="BE70" s="843">
        <v>225.435</v>
      </c>
      <c r="BF70" s="843">
        <v>238.31700000000001</v>
      </c>
      <c r="BG70" s="844">
        <f>SUM(BC70:BF70)</f>
        <v>895.29899999999998</v>
      </c>
      <c r="BH70" s="845"/>
      <c r="BI70" s="842">
        <f>+BC70*(1+BI75)</f>
        <v>197.67428999999998</v>
      </c>
      <c r="BJ70" s="843">
        <f>+BD70*(1+BJ75)</f>
        <v>203.66441999999998</v>
      </c>
      <c r="BK70" s="843">
        <f>+BE70*(1+BK75)</f>
        <v>214.16325000000001</v>
      </c>
      <c r="BL70" s="843">
        <f>+BF70*(1+BL75)</f>
        <v>259.76553000000001</v>
      </c>
      <c r="BM70" s="844">
        <f>SUM(BI70:BL70)</f>
        <v>875.26749000000007</v>
      </c>
      <c r="BN70" s="768"/>
      <c r="BO70" s="842">
        <f>+BI70*(1+BO75)</f>
        <v>340.03733691510001</v>
      </c>
      <c r="BP70" s="843">
        <f>+BJ70*(1+BP75)</f>
        <v>364.11125007599998</v>
      </c>
      <c r="BQ70" s="843">
        <f>+BK70*(1+BQ75)</f>
        <v>380.85293237249999</v>
      </c>
      <c r="BR70" s="843">
        <f>+BL70*(1+BR75)</f>
        <v>465.71803280520004</v>
      </c>
      <c r="BS70" s="844">
        <f>SUM(BO70:BR70)</f>
        <v>1550.7195521688</v>
      </c>
      <c r="BT70" s="845"/>
      <c r="BU70" s="842">
        <f>+BO70*(1+BU75)</f>
        <v>402.94424424439353</v>
      </c>
      <c r="BV70" s="843">
        <f>+BP70*(1+BV75)</f>
        <v>467.88295634765996</v>
      </c>
      <c r="BW70" s="843">
        <f>+BQ70*(1+BW75)</f>
        <v>571.10801473918229</v>
      </c>
      <c r="BX70" s="843">
        <f>+BR70*(1+BX75)</f>
        <v>651.32064041905642</v>
      </c>
      <c r="BY70" s="844">
        <f>SUM(BU70:BX70)</f>
        <v>2093.2558557502921</v>
      </c>
      <c r="BZ70" s="845"/>
      <c r="CA70" s="842">
        <f>+BU70*(1+CA75)</f>
        <v>541.96000850870928</v>
      </c>
      <c r="CB70" s="843">
        <f>+BV70*(1+CB75)</f>
        <v>554.44130327197706</v>
      </c>
      <c r="CC70" s="843">
        <f>+BW70*(1+CC75)</f>
        <v>526.53017864871538</v>
      </c>
      <c r="CD70" s="843">
        <f>+BX70*(1+CD75)</f>
        <v>701.66121271704537</v>
      </c>
      <c r="CE70" s="844">
        <f>SUM(CA70:CD70)</f>
        <v>2324.5927031464471</v>
      </c>
      <c r="CF70" s="845"/>
      <c r="CG70" s="842">
        <f>+CA70*(1+CG75)</f>
        <v>543.17399892776882</v>
      </c>
      <c r="CH70" s="843">
        <f>+CB70*(1+CH75)</f>
        <v>585.01874114742657</v>
      </c>
      <c r="CI70" s="843">
        <f>+CC70*(1+CI75)</f>
        <v>587.08114919331763</v>
      </c>
      <c r="CJ70" s="843">
        <f>+CD70*(1+CJ75)</f>
        <v>735.62863202467759</v>
      </c>
      <c r="CK70" s="844">
        <f>SUM(CG70:CJ70)</f>
        <v>2450.9025212931906</v>
      </c>
      <c r="CL70" s="845"/>
      <c r="CM70" s="842">
        <f>+CG70*(1+CM75)</f>
        <v>574.89536046515047</v>
      </c>
      <c r="CN70" s="843">
        <f>+CH70*(1+CN75)</f>
        <v>605.61140083581597</v>
      </c>
      <c r="CO70" s="843">
        <f>+CI70*(1+CO75)</f>
        <v>598.1182747981519</v>
      </c>
      <c r="CP70" s="843">
        <f>+CJ70*(1+CP75)</f>
        <v>732.870024654585</v>
      </c>
      <c r="CQ70" s="844">
        <f>SUM(CM70:CP70)</f>
        <v>2511.4950607537035</v>
      </c>
      <c r="CR70" s="846"/>
      <c r="CS70" s="847">
        <v>557.70000000000005</v>
      </c>
      <c r="CT70" s="848">
        <v>578.29999999999995</v>
      </c>
      <c r="CU70" s="848">
        <v>804.5</v>
      </c>
      <c r="CV70" s="848">
        <v>1374.2</v>
      </c>
      <c r="CW70" s="849">
        <f>SUM(CS70:CV70)</f>
        <v>3314.7</v>
      </c>
      <c r="CX70" s="344"/>
      <c r="CY70" s="406">
        <v>1258.0999999999999</v>
      </c>
      <c r="CZ70" s="407">
        <v>1328.3</v>
      </c>
      <c r="DA70" s="407">
        <v>1325.4</v>
      </c>
      <c r="DB70" s="407">
        <v>1454.1</v>
      </c>
      <c r="DC70" s="404">
        <f>SUM(CY70:DB70)</f>
        <v>5365.9</v>
      </c>
      <c r="DD70" s="344"/>
      <c r="DE70" s="406">
        <v>1308.0999999999999</v>
      </c>
      <c r="DF70" s="407">
        <v>1384.3</v>
      </c>
      <c r="DG70" s="407">
        <v>1392.6</v>
      </c>
      <c r="DH70" s="407">
        <v>1625.1</v>
      </c>
      <c r="DI70" s="404">
        <f>SUM(DE70:DH70)</f>
        <v>5710.0999999999995</v>
      </c>
      <c r="DJ70" s="344"/>
      <c r="DK70" s="1329">
        <v>1476</v>
      </c>
      <c r="DL70" s="401">
        <f>DF70*(1+DL75)</f>
        <v>1546.9655</v>
      </c>
      <c r="DM70" s="401">
        <f>DG70*(1+DM75)</f>
        <v>1556.1559999999997</v>
      </c>
      <c r="DN70" s="401">
        <f>DH70*(1+DN75)</f>
        <v>1801.4805000000001</v>
      </c>
      <c r="DO70" s="404">
        <f>SUM(DK70:DN70)</f>
        <v>6380.6020000000008</v>
      </c>
      <c r="DP70" s="344"/>
      <c r="DQ70" s="400">
        <f>DK70*(1+DQ75)</f>
        <v>1615.0399999999997</v>
      </c>
      <c r="DR70" s="401">
        <f>DL70*(1+DR75)</f>
        <v>1653.8441200000002</v>
      </c>
      <c r="DS70" s="401">
        <f>DM70*(1+DS75)</f>
        <v>1618.4022399999997</v>
      </c>
      <c r="DT70" s="401">
        <f>DN70*(1+DT75)</f>
        <v>1873.5397200000002</v>
      </c>
      <c r="DU70" s="404">
        <f>SUM(DQ70:DT70)</f>
        <v>6760.8260799999989</v>
      </c>
      <c r="DV70" s="344"/>
      <c r="DW70" s="400">
        <f>DQ70*(1+DW75)</f>
        <v>1679.6415999999997</v>
      </c>
      <c r="DX70" s="401">
        <f>DR70*(1+DX75)</f>
        <v>1719.9978848000003</v>
      </c>
      <c r="DY70" s="401">
        <f>DS70*(1+DY75)</f>
        <v>1683.1383295999997</v>
      </c>
      <c r="DZ70" s="401">
        <f>DT70*(1+DZ75)</f>
        <v>1948.4813088000003</v>
      </c>
      <c r="EA70" s="404">
        <f>SUM(DW70:DZ70)</f>
        <v>7031.2591231999995</v>
      </c>
      <c r="EB70" s="344"/>
      <c r="EC70" s="400">
        <f t="shared" ref="EC70:EF70" si="128">DW70*(1+EC75)</f>
        <v>1746.8272639999998</v>
      </c>
      <c r="ED70" s="401">
        <f t="shared" si="128"/>
        <v>1788.7978001920003</v>
      </c>
      <c r="EE70" s="401">
        <f t="shared" si="128"/>
        <v>1750.4638627839997</v>
      </c>
      <c r="EF70" s="401">
        <f t="shared" si="128"/>
        <v>2026.4205611520003</v>
      </c>
      <c r="EG70" s="404">
        <f t="shared" ref="EG70" si="129">SUM(EC70:EF70)</f>
        <v>7312.5094881280002</v>
      </c>
    </row>
    <row r="71" spans="1:137" s="783" customFormat="1" ht="11.25" customHeight="1" outlineLevel="1" x14ac:dyDescent="0.2">
      <c r="A71" s="538" t="s">
        <v>619</v>
      </c>
      <c r="B71" s="539"/>
      <c r="C71" s="539"/>
      <c r="D71" s="539"/>
      <c r="E71" s="781"/>
      <c r="F71" s="541"/>
      <c r="G71" s="781"/>
      <c r="H71" s="541"/>
      <c r="I71" s="781"/>
      <c r="J71" s="541"/>
      <c r="K71" s="781"/>
      <c r="L71" s="541"/>
      <c r="M71" s="782"/>
      <c r="N71" s="541"/>
      <c r="O71" s="541"/>
      <c r="P71" s="541"/>
      <c r="Q71" s="781"/>
      <c r="R71" s="541"/>
      <c r="S71" s="782"/>
      <c r="T71" s="541"/>
      <c r="U71" s="541"/>
      <c r="V71" s="541"/>
      <c r="W71" s="781"/>
      <c r="X71" s="541"/>
      <c r="Y71" s="782"/>
      <c r="Z71" s="541"/>
      <c r="AA71" s="541"/>
      <c r="AB71" s="541"/>
      <c r="AC71" s="781"/>
      <c r="AD71" s="541"/>
      <c r="AE71" s="706"/>
      <c r="AF71" s="580"/>
      <c r="AG71" s="580"/>
      <c r="AH71" s="580"/>
      <c r="AI71" s="820"/>
      <c r="AJ71" s="588"/>
      <c r="AK71" s="706"/>
      <c r="AL71" s="580"/>
      <c r="AM71" s="580"/>
      <c r="AN71" s="580"/>
      <c r="AO71" s="820"/>
      <c r="AP71" s="588"/>
      <c r="AQ71" s="706"/>
      <c r="AR71" s="580"/>
      <c r="AS71" s="580"/>
      <c r="AT71" s="580"/>
      <c r="AU71" s="812">
        <v>0.09</v>
      </c>
      <c r="AV71" s="588"/>
      <c r="AW71" s="816"/>
      <c r="AX71" s="817"/>
      <c r="AY71" s="817"/>
      <c r="AZ71" s="817"/>
      <c r="BA71" s="812">
        <v>0.14000000000000001</v>
      </c>
      <c r="BB71" s="588"/>
      <c r="BC71" s="816"/>
      <c r="BD71" s="817"/>
      <c r="BE71" s="817"/>
      <c r="BF71" s="817"/>
      <c r="BG71" s="812">
        <v>9.5000000000000001E-2</v>
      </c>
      <c r="BH71" s="588"/>
      <c r="BI71" s="505">
        <f>+BM71</f>
        <v>-2.545E-2</v>
      </c>
      <c r="BJ71" s="614">
        <f>+BM71</f>
        <v>-2.545E-2</v>
      </c>
      <c r="BK71" s="614">
        <f>+BM71</f>
        <v>-2.545E-2</v>
      </c>
      <c r="BL71" s="614">
        <f>+BM71</f>
        <v>-2.545E-2</v>
      </c>
      <c r="BM71" s="812">
        <v>-2.545E-2</v>
      </c>
      <c r="BN71" s="588"/>
      <c r="BO71" s="756">
        <v>7.0000000000000007E-2</v>
      </c>
      <c r="BP71" s="775">
        <v>7.0000000000000007E-2</v>
      </c>
      <c r="BQ71" s="775">
        <v>0.1</v>
      </c>
      <c r="BR71" s="775">
        <v>0.1</v>
      </c>
      <c r="BS71" s="665">
        <f>SUMPRODUCT(BO71:BR71,BI$70:BL$70)/BM$70</f>
        <v>8.6244020899256743E-2</v>
      </c>
      <c r="BT71" s="588"/>
      <c r="BU71" s="756">
        <v>0.06</v>
      </c>
      <c r="BV71" s="775">
        <v>0.06</v>
      </c>
      <c r="BW71" s="775">
        <v>0.05</v>
      </c>
      <c r="BX71" s="775">
        <v>0.05</v>
      </c>
      <c r="BY71" s="713">
        <f>SUMPRODUCT(BU71:BX71,BO$70:BR$70)/BS$70</f>
        <v>5.4540786153152547E-2</v>
      </c>
      <c r="BZ71" s="588"/>
      <c r="CA71" s="634">
        <v>0</v>
      </c>
      <c r="CB71" s="588">
        <v>0.03</v>
      </c>
      <c r="CC71" s="588">
        <v>-2.8275000000000002E-2</v>
      </c>
      <c r="CD71" s="588">
        <v>8.2290000000000002E-2</v>
      </c>
      <c r="CE71" s="665">
        <f>SUMPRODUCT(CA71:CD71,BU$70:BX$70)/BY$70</f>
        <v>2.4595935051288528E-2</v>
      </c>
      <c r="CF71" s="588"/>
      <c r="CG71" s="634">
        <v>1.2239999999999999E-2</v>
      </c>
      <c r="CH71" s="588">
        <v>5.015E-2</v>
      </c>
      <c r="CI71" s="588">
        <v>7.0000000000000007E-2</v>
      </c>
      <c r="CJ71" s="588">
        <v>2.8410000000000001E-2</v>
      </c>
      <c r="CK71" s="665">
        <f>SUMPRODUCT(CG71:CJ71,CA$70:CD$70)/CE$70</f>
        <v>3.9245640450670458E-2</v>
      </c>
      <c r="CL71" s="588"/>
      <c r="CM71" s="1066">
        <f>+CM72-CM24</f>
        <v>5.45E-2</v>
      </c>
      <c r="CN71" s="645">
        <f t="shared" ref="CN71:CP71" si="130">+CN72-CN24</f>
        <v>2.52E-2</v>
      </c>
      <c r="CO71" s="645">
        <f t="shared" si="130"/>
        <v>0.02</v>
      </c>
      <c r="CP71" s="645">
        <f t="shared" si="130"/>
        <v>3.6249999999999998E-2</v>
      </c>
      <c r="CQ71" s="713">
        <f>SUMPRODUCT(CM71:CP71,CG$70:CJ$70)/CK$70</f>
        <v>3.3764548118207276E-2</v>
      </c>
      <c r="CR71" s="541"/>
      <c r="CS71" s="1066">
        <f>+CS72-CS24</f>
        <v>2.4999999999999998E-2</v>
      </c>
      <c r="CT71" s="645">
        <f t="shared" ref="CT71" si="131">+CT72-CT24</f>
        <v>2.5000000000000001E-2</v>
      </c>
      <c r="CU71" s="645">
        <f t="shared" ref="CU71" si="132">+CU72-CU24</f>
        <v>4.4999999999999998E-2</v>
      </c>
      <c r="CV71" s="645">
        <f t="shared" ref="CV71" si="133">+CV72-CV24</f>
        <v>3.5000000000000003E-2</v>
      </c>
      <c r="CW71" s="777">
        <v>0.03</v>
      </c>
      <c r="CX71" s="541"/>
      <c r="CY71" s="1066">
        <f>+CY72-CY24</f>
        <v>3.4999999999999996E-2</v>
      </c>
      <c r="CZ71" s="645">
        <f t="shared" ref="CZ71" si="134">+CZ72-CZ24</f>
        <v>0.04</v>
      </c>
      <c r="DA71" s="645">
        <f t="shared" ref="DA71" si="135">+DA72-DA24</f>
        <v>3.4999999999999996E-2</v>
      </c>
      <c r="DB71" s="645">
        <f t="shared" ref="DB71" si="136">+DB72-DB24</f>
        <v>3.5000000000000003E-2</v>
      </c>
      <c r="DC71" s="777">
        <v>3.5890427489667247E-2</v>
      </c>
      <c r="DD71" s="541"/>
      <c r="DE71" s="1066">
        <f>+DE72-DE24</f>
        <v>3.4999999999999996E-2</v>
      </c>
      <c r="DF71" s="645">
        <f t="shared" ref="DF71" si="137">+DF72-DF24</f>
        <v>3.7000000000000005E-2</v>
      </c>
      <c r="DG71" s="645">
        <f>+DG72-DG24+1%</f>
        <v>0.04</v>
      </c>
      <c r="DH71" s="645">
        <f>+DH72-DH24-1%</f>
        <v>6.5000000000000002E-2</v>
      </c>
      <c r="DI71" s="540">
        <f>SUMPRODUCT(DE71:DH71,CY$70:DB$70)/DC$70</f>
        <v>4.485978121098045E-2</v>
      </c>
      <c r="DJ71" s="541"/>
      <c r="DK71" s="1066">
        <f>+DK72-DK24</f>
        <v>5.5E-2</v>
      </c>
      <c r="DL71" s="645">
        <f t="shared" ref="DL71" si="138">+DL72-DL24</f>
        <v>0.05</v>
      </c>
      <c r="DM71" s="645">
        <f t="shared" ref="DM71" si="139">+DM72-DM24</f>
        <v>0.05</v>
      </c>
      <c r="DN71" s="645">
        <f t="shared" ref="DN71" si="140">+DN72-DN24</f>
        <v>3.5000000000000003E-2</v>
      </c>
      <c r="DO71" s="540">
        <f>SUMPRODUCT(DK71:DN71,DE$70:DH$70)/DI$70</f>
        <v>4.6876411971769325E-2</v>
      </c>
      <c r="DP71" s="541"/>
      <c r="DQ71" s="1066">
        <f>+DQ72-DQ24</f>
        <v>0.04</v>
      </c>
      <c r="DR71" s="645">
        <f t="shared" ref="DR71" si="141">+DR72-DR24</f>
        <v>0.04</v>
      </c>
      <c r="DS71" s="645">
        <f t="shared" ref="DS71" si="142">+DS72-DS24</f>
        <v>0.04</v>
      </c>
      <c r="DT71" s="645">
        <f t="shared" ref="DT71" si="143">+DT72-DT24</f>
        <v>0.04</v>
      </c>
      <c r="DU71" s="540">
        <f>SUMPRODUCT(DQ71:DT71,DK$70:DN$70)/DO$70</f>
        <v>0.04</v>
      </c>
      <c r="DV71" s="541"/>
      <c r="DW71" s="1066">
        <f>+DW72-DW24</f>
        <v>0.04</v>
      </c>
      <c r="DX71" s="645">
        <f t="shared" ref="DX71" si="144">+DX72-DX24</f>
        <v>0.04</v>
      </c>
      <c r="DY71" s="645">
        <f t="shared" ref="DY71" si="145">+DY72-DY24</f>
        <v>0.04</v>
      </c>
      <c r="DZ71" s="645">
        <f t="shared" ref="DZ71" si="146">+DZ72-DZ24</f>
        <v>0.04</v>
      </c>
      <c r="EA71" s="540">
        <f>SUMPRODUCT(DW71:DZ71,DQ$70:DT$70)/DU$70</f>
        <v>4.0000000000000008E-2</v>
      </c>
      <c r="EB71" s="541"/>
      <c r="EC71" s="1066">
        <f t="shared" ref="EC71:EF71" si="147">+EC72-EC24</f>
        <v>0.04</v>
      </c>
      <c r="ED71" s="645">
        <f t="shared" si="147"/>
        <v>0.04</v>
      </c>
      <c r="EE71" s="645">
        <f t="shared" si="147"/>
        <v>0.04</v>
      </c>
      <c r="EF71" s="645">
        <f t="shared" si="147"/>
        <v>0.04</v>
      </c>
      <c r="EG71" s="540">
        <f t="shared" ref="EG71:EG74" si="148">SUMPRODUCT(EC71:EF71,DW$70:DZ$70)/EA$70</f>
        <v>0.04</v>
      </c>
    </row>
    <row r="72" spans="1:137" s="783" customFormat="1" ht="11.25" customHeight="1" outlineLevel="1" x14ac:dyDescent="0.2">
      <c r="A72" s="538" t="s">
        <v>620</v>
      </c>
      <c r="B72" s="539"/>
      <c r="C72" s="539"/>
      <c r="D72" s="539"/>
      <c r="E72" s="781"/>
      <c r="F72" s="541"/>
      <c r="G72" s="781"/>
      <c r="H72" s="541"/>
      <c r="I72" s="781"/>
      <c r="J72" s="541"/>
      <c r="K72" s="781"/>
      <c r="L72" s="541"/>
      <c r="M72" s="782"/>
      <c r="N72" s="541"/>
      <c r="O72" s="541"/>
      <c r="P72" s="541"/>
      <c r="Q72" s="781"/>
      <c r="R72" s="541"/>
      <c r="S72" s="782"/>
      <c r="T72" s="541"/>
      <c r="U72" s="541"/>
      <c r="V72" s="541"/>
      <c r="W72" s="781"/>
      <c r="X72" s="541"/>
      <c r="Y72" s="782"/>
      <c r="Z72" s="541"/>
      <c r="AA72" s="541"/>
      <c r="AB72" s="541"/>
      <c r="AC72" s="781"/>
      <c r="AD72" s="541"/>
      <c r="AE72" s="706"/>
      <c r="AF72" s="580"/>
      <c r="AG72" s="580"/>
      <c r="AH72" s="580"/>
      <c r="AI72" s="820"/>
      <c r="AJ72" s="588"/>
      <c r="AK72" s="706"/>
      <c r="AL72" s="580"/>
      <c r="AM72" s="580"/>
      <c r="AN72" s="580"/>
      <c r="AO72" s="820"/>
      <c r="AP72" s="588"/>
      <c r="AQ72" s="706"/>
      <c r="AR72" s="580"/>
      <c r="AS72" s="580"/>
      <c r="AT72" s="580"/>
      <c r="AU72" s="812">
        <v>0.09</v>
      </c>
      <c r="AV72" s="588"/>
      <c r="AW72" s="816"/>
      <c r="AX72" s="817"/>
      <c r="AY72" s="817"/>
      <c r="AZ72" s="817"/>
      <c r="BA72" s="812">
        <v>0.14000000000000001</v>
      </c>
      <c r="BB72" s="588"/>
      <c r="BC72" s="816"/>
      <c r="BD72" s="817"/>
      <c r="BE72" s="817"/>
      <c r="BF72" s="817"/>
      <c r="BG72" s="812">
        <v>9.5000000000000001E-2</v>
      </c>
      <c r="BH72" s="588"/>
      <c r="BI72" s="505">
        <f>+BM72</f>
        <v>-2.545E-2</v>
      </c>
      <c r="BJ72" s="614">
        <f>+BM72</f>
        <v>-2.545E-2</v>
      </c>
      <c r="BK72" s="614">
        <f>+BM72</f>
        <v>-2.545E-2</v>
      </c>
      <c r="BL72" s="614">
        <f>+BM72</f>
        <v>-2.545E-2</v>
      </c>
      <c r="BM72" s="812">
        <v>-2.545E-2</v>
      </c>
      <c r="BN72" s="588"/>
      <c r="BO72" s="756">
        <v>7.0000000000000007E-2</v>
      </c>
      <c r="BP72" s="775">
        <v>7.0000000000000007E-2</v>
      </c>
      <c r="BQ72" s="775">
        <v>0.1</v>
      </c>
      <c r="BR72" s="775">
        <v>0.1</v>
      </c>
      <c r="BS72" s="665">
        <f>SUMPRODUCT(BO72:BR72,BI$70:BL$70)/BM$70</f>
        <v>8.6244020899256743E-2</v>
      </c>
      <c r="BT72" s="588"/>
      <c r="BU72" s="756">
        <v>0.06</v>
      </c>
      <c r="BV72" s="775">
        <v>0.06</v>
      </c>
      <c r="BW72" s="775">
        <v>0.05</v>
      </c>
      <c r="BX72" s="775">
        <v>0.05</v>
      </c>
      <c r="BY72" s="713">
        <f>SUMPRODUCT(BU72:BX72,BO$70:BR$70)/BS$70</f>
        <v>5.4540786153152547E-2</v>
      </c>
      <c r="BZ72" s="588"/>
      <c r="CA72" s="634">
        <v>0</v>
      </c>
      <c r="CB72" s="588">
        <v>0.03</v>
      </c>
      <c r="CC72" s="588">
        <v>-2.8275000000000002E-2</v>
      </c>
      <c r="CD72" s="588">
        <v>8.2290000000000002E-2</v>
      </c>
      <c r="CE72" s="665">
        <f>SUMPRODUCT(CA72:CD72,BU$70:BX$70)/BY$70</f>
        <v>2.4595935051288528E-2</v>
      </c>
      <c r="CF72" s="588"/>
      <c r="CG72" s="634">
        <v>1.2239999999999999E-2</v>
      </c>
      <c r="CH72" s="588">
        <v>5.015E-2</v>
      </c>
      <c r="CI72" s="588">
        <v>7.0000000000000007E-2</v>
      </c>
      <c r="CJ72" s="588">
        <v>2.8410000000000001E-2</v>
      </c>
      <c r="CK72" s="665">
        <f>SUMPRODUCT(CG72:CJ72,CA$70:CD$70)/CE$70</f>
        <v>3.9245640450670458E-2</v>
      </c>
      <c r="CL72" s="588"/>
      <c r="CM72" s="717">
        <v>5.45E-2</v>
      </c>
      <c r="CN72" s="652">
        <v>2.52E-2</v>
      </c>
      <c r="CO72" s="652">
        <v>0.02</v>
      </c>
      <c r="CP72" s="652">
        <v>3.6249999999999998E-2</v>
      </c>
      <c r="CQ72" s="713">
        <f>SUMPRODUCT(CM72:CP72,CG$70:CJ$70)/CK$70</f>
        <v>3.3764548118207276E-2</v>
      </c>
      <c r="CR72" s="541"/>
      <c r="CS72" s="778">
        <v>4.4999999999999998E-2</v>
      </c>
      <c r="CT72" s="779">
        <v>2.5000000000000001E-2</v>
      </c>
      <c r="CU72" s="779">
        <v>4.4999999999999998E-2</v>
      </c>
      <c r="CV72" s="779">
        <v>1.4999999999999999E-2</v>
      </c>
      <c r="CW72" s="777">
        <v>0.03</v>
      </c>
      <c r="CX72" s="541"/>
      <c r="CY72" s="778">
        <v>0.03</v>
      </c>
      <c r="CZ72" s="779">
        <v>0.04</v>
      </c>
      <c r="DA72" s="779">
        <v>0.03</v>
      </c>
      <c r="DB72" s="779">
        <v>0.04</v>
      </c>
      <c r="DC72" s="777">
        <v>3.5890427489667247E-2</v>
      </c>
      <c r="DD72" s="541"/>
      <c r="DE72" s="778">
        <v>0.03</v>
      </c>
      <c r="DF72" s="779">
        <v>3.5000000000000003E-2</v>
      </c>
      <c r="DG72" s="779">
        <v>0.03</v>
      </c>
      <c r="DH72" s="799">
        <v>7.4999999999999997E-2</v>
      </c>
      <c r="DI72" s="540">
        <f>SUMPRODUCT(DE72:DH72,CY$70:DB$70)/DC$70</f>
        <v>4.3432229448927488E-2</v>
      </c>
      <c r="DJ72" s="541"/>
      <c r="DK72" s="798">
        <v>5.5E-2</v>
      </c>
      <c r="DL72" s="796">
        <v>0.05</v>
      </c>
      <c r="DM72" s="796">
        <v>0.05</v>
      </c>
      <c r="DN72" s="796">
        <v>3.5000000000000003E-2</v>
      </c>
      <c r="DO72" s="540">
        <f>SUMPRODUCT(DK72:DN72,DE$70:DH$70)/DI$70</f>
        <v>4.6876411971769325E-2</v>
      </c>
      <c r="DP72" s="541"/>
      <c r="DQ72" s="795">
        <v>0.04</v>
      </c>
      <c r="DR72" s="796">
        <v>0.04</v>
      </c>
      <c r="DS72" s="796">
        <v>0.04</v>
      </c>
      <c r="DT72" s="796">
        <v>0.04</v>
      </c>
      <c r="DU72" s="540">
        <f t="shared" ref="DU72" si="149">SUMPRODUCT(DQ72:DT72,DK$70:DN$70)/DO$70</f>
        <v>0.04</v>
      </c>
      <c r="DV72" s="541"/>
      <c r="DW72" s="795">
        <v>0.04</v>
      </c>
      <c r="DX72" s="796">
        <v>0.04</v>
      </c>
      <c r="DY72" s="796">
        <v>0.04</v>
      </c>
      <c r="DZ72" s="796">
        <v>0.04</v>
      </c>
      <c r="EA72" s="540">
        <f>SUMPRODUCT(DW72:DZ72,DQ$70:DT$70)/DU$70</f>
        <v>4.0000000000000008E-2</v>
      </c>
      <c r="EB72" s="541"/>
      <c r="EC72" s="795">
        <v>0.04</v>
      </c>
      <c r="ED72" s="796">
        <v>0.04</v>
      </c>
      <c r="EE72" s="796">
        <v>0.04</v>
      </c>
      <c r="EF72" s="796">
        <v>0.04</v>
      </c>
      <c r="EG72" s="540">
        <f t="shared" si="148"/>
        <v>0.04</v>
      </c>
    </row>
    <row r="73" spans="1:137" s="783" customFormat="1" ht="11.25" customHeight="1" outlineLevel="1" x14ac:dyDescent="0.2">
      <c r="A73" s="538" t="s">
        <v>504</v>
      </c>
      <c r="B73" s="539"/>
      <c r="C73" s="539"/>
      <c r="D73" s="539"/>
      <c r="E73" s="781"/>
      <c r="F73" s="541"/>
      <c r="G73" s="781"/>
      <c r="H73" s="541"/>
      <c r="I73" s="781"/>
      <c r="J73" s="541"/>
      <c r="K73" s="781"/>
      <c r="L73" s="541"/>
      <c r="M73" s="782"/>
      <c r="N73" s="541"/>
      <c r="O73" s="541"/>
      <c r="P73" s="541"/>
      <c r="Q73" s="781"/>
      <c r="R73" s="541"/>
      <c r="S73" s="782"/>
      <c r="T73" s="541"/>
      <c r="U73" s="541"/>
      <c r="V73" s="541"/>
      <c r="W73" s="781"/>
      <c r="X73" s="541"/>
      <c r="Y73" s="782"/>
      <c r="Z73" s="541"/>
      <c r="AA73" s="541"/>
      <c r="AB73" s="541"/>
      <c r="AC73" s="781"/>
      <c r="AD73" s="541"/>
      <c r="AE73" s="634"/>
      <c r="AF73" s="588"/>
      <c r="AG73" s="588"/>
      <c r="AH73" s="588"/>
      <c r="AI73" s="664"/>
      <c r="AJ73" s="588"/>
      <c r="AK73" s="634"/>
      <c r="AL73" s="588"/>
      <c r="AM73" s="588"/>
      <c r="AN73" s="588"/>
      <c r="AO73" s="664"/>
      <c r="AP73" s="588"/>
      <c r="AQ73" s="634"/>
      <c r="AR73" s="588"/>
      <c r="AS73" s="588"/>
      <c r="AT73" s="588"/>
      <c r="AU73" s="664"/>
      <c r="AV73" s="588"/>
      <c r="AW73" s="818">
        <v>0.14000000000000001</v>
      </c>
      <c r="AX73" s="819">
        <v>0.14000000000000001</v>
      </c>
      <c r="AY73" s="819">
        <v>0.14000000000000001</v>
      </c>
      <c r="AZ73" s="819">
        <v>0.14000000000000001</v>
      </c>
      <c r="BA73" s="664"/>
      <c r="BB73" s="588"/>
      <c r="BC73" s="818">
        <v>0.13</v>
      </c>
      <c r="BD73" s="819">
        <v>0.13</v>
      </c>
      <c r="BE73" s="819">
        <v>0.13</v>
      </c>
      <c r="BF73" s="819">
        <v>0.13</v>
      </c>
      <c r="BG73" s="664"/>
      <c r="BH73" s="588"/>
      <c r="BI73" s="707"/>
      <c r="BJ73" s="604"/>
      <c r="BK73" s="604"/>
      <c r="BL73" s="604"/>
      <c r="BM73" s="665"/>
      <c r="BN73" s="588"/>
      <c r="BO73" s="634">
        <v>0.60019</v>
      </c>
      <c r="BP73" s="588">
        <v>0.73280000000000001</v>
      </c>
      <c r="BQ73" s="588">
        <v>0.70333000000000001</v>
      </c>
      <c r="BR73" s="588">
        <v>0.70784000000000002</v>
      </c>
      <c r="BS73" s="665">
        <f>SUMPRODUCT(BO73:BR73,BI$70:BL$70)/BM$70</f>
        <v>0.68823222312164256</v>
      </c>
      <c r="BT73" s="588"/>
      <c r="BU73" s="634">
        <v>0.1</v>
      </c>
      <c r="BV73" s="588">
        <v>0.15</v>
      </c>
      <c r="BW73" s="588">
        <v>0.39455000000000001</v>
      </c>
      <c r="BX73" s="588">
        <v>0.34853000000000001</v>
      </c>
      <c r="BY73" s="665">
        <f>SUMPRODUCT(BU73:BX73,BO$70:BR$70)/BS$70</f>
        <v>0.25872031540645996</v>
      </c>
      <c r="BZ73" s="588"/>
      <c r="CA73" s="634">
        <v>0.35</v>
      </c>
      <c r="CB73" s="588">
        <v>0.19</v>
      </c>
      <c r="CC73" s="588">
        <v>-1.9779999999999999E-2</v>
      </c>
      <c r="CD73" s="588">
        <v>0</v>
      </c>
      <c r="CE73" s="665">
        <f>SUMPRODUCT(CA73:CD73,BU$70:BX$70)/BY$70</f>
        <v>0.10444577525459126</v>
      </c>
      <c r="CF73" s="588"/>
      <c r="CG73" s="634">
        <v>5.0000000000000001E-3</v>
      </c>
      <c r="CH73" s="588">
        <v>1.4999999999999999E-2</v>
      </c>
      <c r="CI73" s="588">
        <v>5.5E-2</v>
      </c>
      <c r="CJ73" s="588">
        <v>3.5000000000000003E-2</v>
      </c>
      <c r="CK73" s="665">
        <f>SUMPRODUCT(CG73:CJ73,CA$70:CD$70)/CE$70</f>
        <v>2.7765604604641551E-2</v>
      </c>
      <c r="CL73" s="588"/>
      <c r="CM73" s="634">
        <v>8.8999999999999999E-3</v>
      </c>
      <c r="CN73" s="588">
        <v>5.0000000000000001E-3</v>
      </c>
      <c r="CO73" s="588">
        <v>3.8E-3</v>
      </c>
      <c r="CP73" s="588">
        <v>0</v>
      </c>
      <c r="CQ73" s="665">
        <f>SUMPRODUCT(CM73:CP73,CG$70:CJ$70)/CK$70</f>
        <v>4.0761517752479362E-3</v>
      </c>
      <c r="CR73" s="541"/>
      <c r="CS73" s="778">
        <v>5.0000000000000001E-3</v>
      </c>
      <c r="CT73" s="779">
        <v>0</v>
      </c>
      <c r="CU73" s="779">
        <v>0.36</v>
      </c>
      <c r="CV73" s="779">
        <v>0.92</v>
      </c>
      <c r="CW73" s="777">
        <v>0.35499999999999998</v>
      </c>
      <c r="CX73" s="541"/>
      <c r="CY73" s="778">
        <v>1.2350000000000001</v>
      </c>
      <c r="CZ73" s="779">
        <v>1.2549999999999999</v>
      </c>
      <c r="DA73" s="779">
        <v>0.61</v>
      </c>
      <c r="DB73" s="779">
        <v>0.03</v>
      </c>
      <c r="DC73" s="777">
        <v>0.58723172534467671</v>
      </c>
      <c r="DD73" s="541"/>
      <c r="DE73" s="778">
        <v>2.5000000000000001E-2</v>
      </c>
      <c r="DF73" s="779">
        <v>2.5000000000000001E-2</v>
      </c>
      <c r="DG73" s="779">
        <v>0.01</v>
      </c>
      <c r="DH73" s="799">
        <v>0.01</v>
      </c>
      <c r="DI73" s="540">
        <f>SUMPRODUCT(DE73:DH73,CY$70:DB$70)/DC$70</f>
        <v>1.7230101194580592E-2</v>
      </c>
      <c r="DJ73" s="541"/>
      <c r="DK73" s="798">
        <v>1.4999999999999999E-2</v>
      </c>
      <c r="DL73" s="796">
        <f>5/DF70+40/DF70</f>
        <v>3.2507404464350215E-2</v>
      </c>
      <c r="DM73" s="796">
        <f>5/DG70+75/DG70</f>
        <v>5.7446502944133282E-2</v>
      </c>
      <c r="DN73" s="796">
        <f>2/DH70+85/DH70</f>
        <v>5.3535167066642055E-2</v>
      </c>
      <c r="DO73" s="540">
        <f>SUMPRODUCT(DK73:DN73,DE$70:DH$70)/DI$70</f>
        <v>4.0563475245617417E-2</v>
      </c>
      <c r="DP73" s="541"/>
      <c r="DQ73" s="795">
        <f>80/DK70</f>
        <v>5.4200542005420058E-2</v>
      </c>
      <c r="DR73" s="796">
        <f>45/DL70</f>
        <v>2.9089207225371217E-2</v>
      </c>
      <c r="DS73" s="796">
        <v>0</v>
      </c>
      <c r="DT73" s="796">
        <v>0</v>
      </c>
      <c r="DU73" s="540">
        <f>SUMPRODUCT(DQ73:DT73,DK$70:DN$70)/DO$70</f>
        <v>1.9590627968959665E-2</v>
      </c>
      <c r="DV73" s="541"/>
      <c r="DW73" s="795">
        <v>0</v>
      </c>
      <c r="DX73" s="796">
        <v>0</v>
      </c>
      <c r="DY73" s="796">
        <v>0</v>
      </c>
      <c r="DZ73" s="796">
        <v>0</v>
      </c>
      <c r="EA73" s="540">
        <f>SUMPRODUCT(DW73:DZ73,DQ$70:DT$70)/DU$70</f>
        <v>0</v>
      </c>
      <c r="EB73" s="541"/>
      <c r="EC73" s="795">
        <v>0</v>
      </c>
      <c r="ED73" s="796">
        <v>0</v>
      </c>
      <c r="EE73" s="796">
        <v>0</v>
      </c>
      <c r="EF73" s="796">
        <v>0</v>
      </c>
      <c r="EG73" s="540">
        <f t="shared" si="148"/>
        <v>0</v>
      </c>
    </row>
    <row r="74" spans="1:137" s="783" customFormat="1" ht="11.25" customHeight="1" outlineLevel="1" x14ac:dyDescent="0.2">
      <c r="A74" s="538" t="s">
        <v>379</v>
      </c>
      <c r="B74" s="539"/>
      <c r="C74" s="539"/>
      <c r="D74" s="539"/>
      <c r="E74" s="781"/>
      <c r="F74" s="541"/>
      <c r="G74" s="781"/>
      <c r="H74" s="541"/>
      <c r="I74" s="781"/>
      <c r="J74" s="541"/>
      <c r="K74" s="781"/>
      <c r="L74" s="541"/>
      <c r="M74" s="782"/>
      <c r="N74" s="541"/>
      <c r="O74" s="541"/>
      <c r="P74" s="541"/>
      <c r="Q74" s="781"/>
      <c r="R74" s="541"/>
      <c r="S74" s="782"/>
      <c r="T74" s="541"/>
      <c r="U74" s="541"/>
      <c r="V74" s="541"/>
      <c r="W74" s="781"/>
      <c r="X74" s="541"/>
      <c r="Y74" s="782"/>
      <c r="Z74" s="541"/>
      <c r="AA74" s="541"/>
      <c r="AB74" s="541"/>
      <c r="AC74" s="781"/>
      <c r="AD74" s="541"/>
      <c r="AE74" s="631"/>
      <c r="AF74" s="593"/>
      <c r="AG74" s="593"/>
      <c r="AH74" s="590"/>
      <c r="AI74" s="660"/>
      <c r="AJ74" s="588"/>
      <c r="AK74" s="631"/>
      <c r="AL74" s="593"/>
      <c r="AM74" s="593"/>
      <c r="AN74" s="590"/>
      <c r="AO74" s="660"/>
      <c r="AP74" s="588"/>
      <c r="AQ74" s="631"/>
      <c r="AR74" s="593"/>
      <c r="AS74" s="593"/>
      <c r="AT74" s="590"/>
      <c r="AU74" s="660"/>
      <c r="AV74" s="588"/>
      <c r="AW74" s="631"/>
      <c r="AX74" s="593"/>
      <c r="AY74" s="593"/>
      <c r="AZ74" s="590"/>
      <c r="BA74" s="660"/>
      <c r="BB74" s="588"/>
      <c r="BC74" s="631"/>
      <c r="BD74" s="593"/>
      <c r="BE74" s="593"/>
      <c r="BF74" s="590"/>
      <c r="BG74" s="660"/>
      <c r="BH74" s="588"/>
      <c r="BI74" s="634"/>
      <c r="BJ74" s="588"/>
      <c r="BK74" s="588"/>
      <c r="BL74" s="588"/>
      <c r="BM74" s="660"/>
      <c r="BN74" s="588"/>
      <c r="BO74" s="634">
        <v>0.05</v>
      </c>
      <c r="BP74" s="588">
        <v>-1.4999999999999999E-2</v>
      </c>
      <c r="BQ74" s="588">
        <v>-2.5000000000000001E-2</v>
      </c>
      <c r="BR74" s="588">
        <v>-1.4999999999999999E-2</v>
      </c>
      <c r="BS74" s="660">
        <v>0</v>
      </c>
      <c r="BT74" s="588"/>
      <c r="BU74" s="634">
        <v>2.5000000000000001E-2</v>
      </c>
      <c r="BV74" s="588">
        <v>7.4999999999999997E-2</v>
      </c>
      <c r="BW74" s="588">
        <v>5.5E-2</v>
      </c>
      <c r="BX74" s="588">
        <v>0</v>
      </c>
      <c r="BY74" s="660">
        <v>3.5000000000000003E-2</v>
      </c>
      <c r="BZ74" s="644"/>
      <c r="CA74" s="634">
        <v>-5.0000000000000001E-3</v>
      </c>
      <c r="CB74" s="588">
        <v>-3.5000000000000003E-2</v>
      </c>
      <c r="CC74" s="588">
        <v>-0.03</v>
      </c>
      <c r="CD74" s="588">
        <v>-5.0000000000000001E-3</v>
      </c>
      <c r="CE74" s="660">
        <v>-0.02</v>
      </c>
      <c r="CF74" s="644"/>
      <c r="CG74" s="634">
        <v>-1.4999999999999999E-2</v>
      </c>
      <c r="CH74" s="588">
        <v>-0.01</v>
      </c>
      <c r="CI74" s="588">
        <v>-0.01</v>
      </c>
      <c r="CJ74" s="588">
        <v>-1.4999999999999999E-2</v>
      </c>
      <c r="CK74" s="660">
        <v>-1.4999999999999999E-2</v>
      </c>
      <c r="CL74" s="644"/>
      <c r="CM74" s="634">
        <v>-5.0000000000000001E-3</v>
      </c>
      <c r="CN74" s="588">
        <v>5.0000000000000001E-3</v>
      </c>
      <c r="CO74" s="588">
        <v>-5.0000000000000001E-3</v>
      </c>
      <c r="CP74" s="590">
        <v>-0.04</v>
      </c>
      <c r="CQ74" s="665">
        <f>SUMPRODUCT(CM74:CP74,CG$70:CJ$70)/CK$70</f>
        <v>-1.3118158325975007E-2</v>
      </c>
      <c r="CR74" s="541"/>
      <c r="CS74" s="778">
        <v>-0.08</v>
      </c>
      <c r="CT74" s="779">
        <v>-7.0000000000000007E-2</v>
      </c>
      <c r="CU74" s="779">
        <v>-0.06</v>
      </c>
      <c r="CV74" s="779">
        <v>-5.5E-2</v>
      </c>
      <c r="CW74" s="777">
        <v>-6.5000000000000002E-2</v>
      </c>
      <c r="CX74" s="541"/>
      <c r="CY74" s="542">
        <f>+CY75-CY73-CY72</f>
        <v>-9.1276672045905449E-3</v>
      </c>
      <c r="CZ74" s="543">
        <f>+CZ75-CZ73-CZ72</f>
        <v>1.9047207331835195E-3</v>
      </c>
      <c r="DA74" s="543">
        <f>+DA75-DA73-DA72</f>
        <v>7.4829086389062438E-3</v>
      </c>
      <c r="DB74" s="543">
        <f>+DB75-DB73-DB72</f>
        <v>-1.1857080483190278E-2</v>
      </c>
      <c r="DC74" s="540">
        <f>+DC75-DC73-DC72</f>
        <v>-4.3029535101214919E-3</v>
      </c>
      <c r="DD74" s="541"/>
      <c r="DE74" s="542">
        <f>+DE75-DE73-DE72</f>
        <v>-1.5257531197838077E-2</v>
      </c>
      <c r="DF74" s="543">
        <f>+DF75-DF73-DF72</f>
        <v>-1.7840849205751748E-2</v>
      </c>
      <c r="DG74" s="543">
        <f>+DG75-DG73-DG72</f>
        <v>1.0701674966047826E-2</v>
      </c>
      <c r="DH74" s="543">
        <f>+DH75-DH73-DH72</f>
        <v>3.2598514545079532E-2</v>
      </c>
      <c r="DI74" s="540">
        <f>SUMPRODUCT(DE74:DH74,CY$70:DB$70)/DC$70</f>
        <v>3.4834790063176372E-3</v>
      </c>
      <c r="DJ74" s="541"/>
      <c r="DK74" s="542">
        <f>+DK75-DK73-DK72</f>
        <v>5.8354101368397089E-2</v>
      </c>
      <c r="DL74" s="796">
        <v>3.5000000000000003E-2</v>
      </c>
      <c r="DM74" s="796">
        <v>0.01</v>
      </c>
      <c r="DN74" s="796">
        <v>0.02</v>
      </c>
      <c r="DO74" s="540">
        <f>SUMPRODUCT(DK74:DN74,DE$70:DH$70)/DI$70</f>
        <v>2.9983975762245887E-2</v>
      </c>
      <c r="DP74" s="541"/>
      <c r="DQ74" s="795">
        <v>0</v>
      </c>
      <c r="DR74" s="796">
        <v>0</v>
      </c>
      <c r="DS74" s="796">
        <v>0</v>
      </c>
      <c r="DT74" s="796">
        <v>0</v>
      </c>
      <c r="DU74" s="540">
        <f>SUMPRODUCT(DQ74:DT74,DK$70:DN$70)/DO$70</f>
        <v>0</v>
      </c>
      <c r="DV74" s="541"/>
      <c r="DW74" s="795">
        <v>0</v>
      </c>
      <c r="DX74" s="796">
        <v>0</v>
      </c>
      <c r="DY74" s="796">
        <v>0</v>
      </c>
      <c r="DZ74" s="796">
        <v>0</v>
      </c>
      <c r="EA74" s="540">
        <f>SUMPRODUCT(DW74:DZ74,DQ$70:DT$70)/DU$70</f>
        <v>0</v>
      </c>
      <c r="EB74" s="541"/>
      <c r="EC74" s="795">
        <v>0</v>
      </c>
      <c r="ED74" s="796">
        <v>0</v>
      </c>
      <c r="EE74" s="796">
        <v>0</v>
      </c>
      <c r="EF74" s="796">
        <v>0</v>
      </c>
      <c r="EG74" s="540">
        <f t="shared" si="148"/>
        <v>0</v>
      </c>
    </row>
    <row r="75" spans="1:137" s="783" customFormat="1" ht="11.25" customHeight="1" outlineLevel="1" x14ac:dyDescent="0.2">
      <c r="A75" s="538" t="s">
        <v>503</v>
      </c>
      <c r="B75" s="539"/>
      <c r="C75" s="539"/>
      <c r="D75" s="539"/>
      <c r="E75" s="781"/>
      <c r="F75" s="541"/>
      <c r="G75" s="781"/>
      <c r="H75" s="541"/>
      <c r="I75" s="781"/>
      <c r="J75" s="541"/>
      <c r="K75" s="781"/>
      <c r="L75" s="541"/>
      <c r="M75" s="782"/>
      <c r="N75" s="541"/>
      <c r="O75" s="541"/>
      <c r="P75" s="541"/>
      <c r="Q75" s="781"/>
      <c r="R75" s="541"/>
      <c r="S75" s="782"/>
      <c r="T75" s="541"/>
      <c r="U75" s="541"/>
      <c r="V75" s="541"/>
      <c r="W75" s="781"/>
      <c r="X75" s="541"/>
      <c r="Y75" s="782"/>
      <c r="Z75" s="541"/>
      <c r="AA75" s="541"/>
      <c r="AB75" s="541"/>
      <c r="AC75" s="781"/>
      <c r="AD75" s="541"/>
      <c r="AE75" s="630" t="s">
        <v>501</v>
      </c>
      <c r="AF75" s="596" t="s">
        <v>501</v>
      </c>
      <c r="AG75" s="596" t="s">
        <v>501</v>
      </c>
      <c r="AH75" s="596" t="s">
        <v>501</v>
      </c>
      <c r="AI75" s="665"/>
      <c r="AJ75" s="588"/>
      <c r="AK75" s="630" t="s">
        <v>501</v>
      </c>
      <c r="AL75" s="596" t="s">
        <v>501</v>
      </c>
      <c r="AM75" s="596" t="s">
        <v>501</v>
      </c>
      <c r="AN75" s="596" t="s">
        <v>501</v>
      </c>
      <c r="AO75" s="665"/>
      <c r="AP75" s="588"/>
      <c r="AQ75" s="630" t="s">
        <v>501</v>
      </c>
      <c r="AR75" s="596" t="s">
        <v>501</v>
      </c>
      <c r="AS75" s="596" t="s">
        <v>501</v>
      </c>
      <c r="AT75" s="596" t="s">
        <v>501</v>
      </c>
      <c r="AU75" s="665"/>
      <c r="AV75" s="588"/>
      <c r="AW75" s="707">
        <f>+AW70/AQ70-1</f>
        <v>0.14000000000000012</v>
      </c>
      <c r="AX75" s="604">
        <f>+AX70/AR70-1</f>
        <v>0.14000000000000012</v>
      </c>
      <c r="AY75" s="604">
        <f>+AY70/AS70-1</f>
        <v>0.14000000000000012</v>
      </c>
      <c r="AZ75" s="604">
        <f>+AZ70/AT70-1</f>
        <v>0.14000000000000012</v>
      </c>
      <c r="BA75" s="665">
        <f>+BA70/AU70-1</f>
        <v>0.14000000000000035</v>
      </c>
      <c r="BB75" s="588"/>
      <c r="BC75" s="707">
        <f>+BC70/AW70-1</f>
        <v>0.12999999999999989</v>
      </c>
      <c r="BD75" s="604">
        <f>+BD70/AX70-1</f>
        <v>0.12999999999999989</v>
      </c>
      <c r="BE75" s="604">
        <f>+BE70/AY70-1</f>
        <v>0.12999999999999989</v>
      </c>
      <c r="BF75" s="604">
        <f>+BF70/AZ70-1</f>
        <v>0.12999999999999989</v>
      </c>
      <c r="BG75" s="665">
        <f>+BG70/BA70-1</f>
        <v>0.12999999999999967</v>
      </c>
      <c r="BH75" s="588"/>
      <c r="BI75" s="634">
        <v>-7.0000000000000007E-2</v>
      </c>
      <c r="BJ75" s="588">
        <v>-7.0000000000000007E-2</v>
      </c>
      <c r="BK75" s="588">
        <v>-0.05</v>
      </c>
      <c r="BL75" s="588">
        <v>0.09</v>
      </c>
      <c r="BM75" s="665">
        <f>+BM70/BG70-1</f>
        <v>-2.2374100719424361E-2</v>
      </c>
      <c r="BN75" s="588"/>
      <c r="BO75" s="636">
        <f>+BO74+BO73+BO71</f>
        <v>0.72019000000000011</v>
      </c>
      <c r="BP75" s="608">
        <f>+BP74+BP73+BP71</f>
        <v>0.78780000000000006</v>
      </c>
      <c r="BQ75" s="608">
        <f>+BQ74+BQ73+BQ71</f>
        <v>0.77832999999999997</v>
      </c>
      <c r="BR75" s="608">
        <f>+BR74+BR73+BR71</f>
        <v>0.79283999999999999</v>
      </c>
      <c r="BS75" s="665">
        <f>+BS70/BM70-1</f>
        <v>0.77170930016925432</v>
      </c>
      <c r="BT75" s="588"/>
      <c r="BU75" s="636">
        <f>+BU74+BU73+BU71</f>
        <v>0.185</v>
      </c>
      <c r="BV75" s="608">
        <f>+BV74+BV73+BV71</f>
        <v>0.28499999999999998</v>
      </c>
      <c r="BW75" s="608">
        <f>+BW74+BW73+BW71</f>
        <v>0.49954999999999999</v>
      </c>
      <c r="BX75" s="608">
        <f>+BX74+BX73+BX71</f>
        <v>0.39853</v>
      </c>
      <c r="BY75" s="665">
        <f>+BY70/BS70-1</f>
        <v>0.34986100666797793</v>
      </c>
      <c r="BZ75" s="588"/>
      <c r="CA75" s="636">
        <f>+CA74+CA73+CA71</f>
        <v>0.34499999999999997</v>
      </c>
      <c r="CB75" s="608">
        <f>+CB74+CB73+CB71</f>
        <v>0.185</v>
      </c>
      <c r="CC75" s="608">
        <f>+CC74+CC73+CC71</f>
        <v>-7.8054999999999999E-2</v>
      </c>
      <c r="CD75" s="608">
        <f>+CD74+CD73+CD71</f>
        <v>7.7289999999999998E-2</v>
      </c>
      <c r="CE75" s="665">
        <f>+CE70/BY70-1</f>
        <v>0.11051532317975354</v>
      </c>
      <c r="CF75" s="588"/>
      <c r="CG75" s="636">
        <f>+CG74+CG73+CG71</f>
        <v>2.2400000000000007E-3</v>
      </c>
      <c r="CH75" s="608">
        <f>+CH74+CH73+CH71</f>
        <v>5.5149999999999998E-2</v>
      </c>
      <c r="CI75" s="608">
        <f>+CI74+CI73+CI71</f>
        <v>0.115</v>
      </c>
      <c r="CJ75" s="608">
        <f>+CJ74+CJ73+CJ71</f>
        <v>4.8410000000000009E-2</v>
      </c>
      <c r="CK75" s="665">
        <f>+CK70/CE70-1</f>
        <v>5.433632221927609E-2</v>
      </c>
      <c r="CL75" s="588"/>
      <c r="CM75" s="636">
        <f>+CM74+CM73+CM72</f>
        <v>5.8400000000000001E-2</v>
      </c>
      <c r="CN75" s="608">
        <f>+CN74+CN73+CN72</f>
        <v>3.5200000000000002E-2</v>
      </c>
      <c r="CO75" s="608">
        <f>+CO74+CO73+CO72</f>
        <v>1.8800000000000001E-2</v>
      </c>
      <c r="CP75" s="608">
        <f>+CP74+CP73+CP72</f>
        <v>-3.7500000000000033E-3</v>
      </c>
      <c r="CQ75" s="665">
        <f>+CQ70/CK70-1</f>
        <v>2.4722541567480105E-2</v>
      </c>
      <c r="CR75" s="541"/>
      <c r="CS75" s="542">
        <f>+CS74+CS73+CS72</f>
        <v>-0.03</v>
      </c>
      <c r="CT75" s="543">
        <f>+CT74+CT73+CT72</f>
        <v>-4.5000000000000005E-2</v>
      </c>
      <c r="CU75" s="543">
        <f>+CU74+CU73+CU72</f>
        <v>0.34499999999999997</v>
      </c>
      <c r="CV75" s="543">
        <f>+CV74+CV73+CV72</f>
        <v>0.88</v>
      </c>
      <c r="CW75" s="540">
        <f>+CW74+CW73+CW72</f>
        <v>0.31999999999999995</v>
      </c>
      <c r="CX75" s="543"/>
      <c r="CY75" s="542">
        <f>IF(ISERROR(CY70/CS70-1),"-",CY70/CS70-1)</f>
        <v>1.2558723327954096</v>
      </c>
      <c r="CZ75" s="543">
        <f>IF(ISERROR(CZ70/CT70-1),"-",CZ70/CT70-1)</f>
        <v>1.2969047207331834</v>
      </c>
      <c r="DA75" s="543">
        <f>IF(ISERROR(DA70/CU70-1),"-",DA70/CU70-1)</f>
        <v>0.64748290863890623</v>
      </c>
      <c r="DB75" s="543">
        <f>IF(ISERROR(DB70/CV70-1),"-",DB70/CV70-1)</f>
        <v>5.8142919516809721E-2</v>
      </c>
      <c r="DC75" s="540">
        <f>IF(ISERROR(DC70/CW70-1),"-",DC70/CW70-1)</f>
        <v>0.61881919932422247</v>
      </c>
      <c r="DD75" s="541"/>
      <c r="DE75" s="542">
        <f>IF(ISERROR(DE70/CY70-1),"-",DE70/CY70-1)</f>
        <v>3.9742468802161923E-2</v>
      </c>
      <c r="DF75" s="543">
        <f>IF(ISERROR(DF70/CZ70-1),"-",DF70/CZ70-1)</f>
        <v>4.2159150794248257E-2</v>
      </c>
      <c r="DG75" s="543">
        <f>IF(ISERROR(DG70/DA70-1),"-",DG70/DA70-1)</f>
        <v>5.0701674966047827E-2</v>
      </c>
      <c r="DH75" s="543">
        <f>IF(ISERROR(DH70/DB70-1),"-",DH70/DB70-1)</f>
        <v>0.11759851454507952</v>
      </c>
      <c r="DI75" s="540">
        <f>IF(ISERROR(DI70/DC70-1),"-",DI70/DC70-1)</f>
        <v>6.4145809649825747E-2</v>
      </c>
      <c r="DJ75" s="541"/>
      <c r="DK75" s="542">
        <f>IF(ISERROR(DK70/DE70-1),"-",DK70/DE70-1)</f>
        <v>0.12835410136839709</v>
      </c>
      <c r="DL75" s="543">
        <f>+DL74+DL73+DL72</f>
        <v>0.11750740446435022</v>
      </c>
      <c r="DM75" s="543">
        <f>+DM74+DM73+DM72</f>
        <v>0.11744650294413328</v>
      </c>
      <c r="DN75" s="543">
        <f>+DN74+DN73+DN72</f>
        <v>0.10853516706664205</v>
      </c>
      <c r="DO75" s="540">
        <f>IF(ISERROR(DO70/DI70-1),"-",DO70/DI70-1)</f>
        <v>0.11742386297963292</v>
      </c>
      <c r="DP75" s="541"/>
      <c r="DQ75" s="542">
        <f>+DQ74+DQ73+DQ72</f>
        <v>9.4200542005420052E-2</v>
      </c>
      <c r="DR75" s="543">
        <f>+DR74+DR73+DR72</f>
        <v>6.9089207225371221E-2</v>
      </c>
      <c r="DS75" s="543">
        <f>+DS74+DS73+DS72</f>
        <v>0.04</v>
      </c>
      <c r="DT75" s="543">
        <f>+DT74+DT73+DT72</f>
        <v>0.04</v>
      </c>
      <c r="DU75" s="540">
        <f>IF(ISERROR(DU70/DO70-1),"-",DU70/DO70-1)</f>
        <v>5.9590627968959309E-2</v>
      </c>
      <c r="DV75" s="541"/>
      <c r="DW75" s="542">
        <f>+DW74+DW73+DW71</f>
        <v>0.04</v>
      </c>
      <c r="DX75" s="543">
        <f>+DX74+DX73+DX71</f>
        <v>0.04</v>
      </c>
      <c r="DY75" s="543">
        <f>+DY74+DY73+DY71</f>
        <v>0.04</v>
      </c>
      <c r="DZ75" s="543">
        <f>+DZ74+DZ73+DZ71</f>
        <v>0.04</v>
      </c>
      <c r="EA75" s="540">
        <f>IF(ISERROR(EA70/DU70-1),"-",EA70/DU70-1)</f>
        <v>4.0000000000000036E-2</v>
      </c>
      <c r="EB75" s="541"/>
      <c r="EC75" s="542">
        <f t="shared" ref="EC75:EF75" si="150">+EC74+EC73+EC71</f>
        <v>0.04</v>
      </c>
      <c r="ED75" s="543">
        <f t="shared" si="150"/>
        <v>0.04</v>
      </c>
      <c r="EE75" s="543">
        <f t="shared" si="150"/>
        <v>0.04</v>
      </c>
      <c r="EF75" s="543">
        <f t="shared" si="150"/>
        <v>0.04</v>
      </c>
      <c r="EG75" s="540">
        <f t="shared" ref="EG75" si="151">IF(ISERROR(EG70/EA70-1),"-",EG70/EA70-1)</f>
        <v>4.0000000000000036E-2</v>
      </c>
    </row>
    <row r="76" spans="1:137" ht="11.25" customHeight="1" outlineLevel="1" x14ac:dyDescent="0.2">
      <c r="A76" s="51"/>
      <c r="B76" s="14"/>
      <c r="C76" s="14"/>
      <c r="D76" s="14"/>
      <c r="E76" s="92"/>
      <c r="F76" s="71"/>
      <c r="G76" s="92"/>
      <c r="H76" s="71"/>
      <c r="I76" s="92"/>
      <c r="J76" s="71"/>
      <c r="K76" s="92"/>
      <c r="L76" s="71"/>
      <c r="M76" s="84"/>
      <c r="N76" s="71"/>
      <c r="O76" s="71"/>
      <c r="P76" s="71"/>
      <c r="Q76" s="92"/>
      <c r="R76" s="71"/>
      <c r="S76" s="84"/>
      <c r="T76" s="71"/>
      <c r="U76" s="71"/>
      <c r="V76" s="71"/>
      <c r="W76" s="92"/>
      <c r="X76" s="71"/>
      <c r="Y76" s="84"/>
      <c r="Z76" s="71"/>
      <c r="AA76" s="71"/>
      <c r="AB76" s="71"/>
      <c r="AC76" s="92"/>
      <c r="AD76" s="71"/>
      <c r="AE76" s="84"/>
      <c r="AF76" s="71"/>
      <c r="AG76" s="71"/>
      <c r="AH76" s="71"/>
      <c r="AI76" s="92"/>
      <c r="AJ76" s="71"/>
      <c r="AK76" s="84"/>
      <c r="AL76" s="71"/>
      <c r="AM76" s="71"/>
      <c r="AN76" s="71"/>
      <c r="AO76" s="92"/>
      <c r="AP76" s="71"/>
      <c r="AQ76" s="84"/>
      <c r="AR76" s="71"/>
      <c r="AS76" s="71"/>
      <c r="AT76" s="71"/>
      <c r="AU76" s="92"/>
      <c r="AV76" s="71"/>
      <c r="AW76" s="84"/>
      <c r="AX76" s="71"/>
      <c r="AY76" s="71"/>
      <c r="AZ76" s="71"/>
      <c r="BA76" s="92"/>
      <c r="BB76" s="71"/>
      <c r="BC76" s="84"/>
      <c r="BD76" s="71"/>
      <c r="BE76" s="71"/>
      <c r="BF76" s="71"/>
      <c r="BG76" s="92"/>
      <c r="BH76" s="71"/>
      <c r="BI76" s="84"/>
      <c r="BJ76" s="71"/>
      <c r="BK76" s="71"/>
      <c r="BL76" s="71"/>
      <c r="BM76" s="92"/>
      <c r="BN76" s="71"/>
      <c r="BO76" s="84"/>
      <c r="BP76" s="71"/>
      <c r="BQ76" s="71"/>
      <c r="BR76" s="71"/>
      <c r="BS76" s="92"/>
      <c r="BT76" s="71"/>
      <c r="BU76" s="84"/>
      <c r="BV76" s="71"/>
      <c r="BW76" s="71"/>
      <c r="BX76" s="71"/>
      <c r="BY76" s="92"/>
      <c r="BZ76" s="71"/>
      <c r="CA76" s="84"/>
      <c r="CB76" s="71"/>
      <c r="CC76" s="71"/>
      <c r="CD76" s="71"/>
      <c r="CE76" s="92"/>
      <c r="CF76" s="71"/>
      <c r="CG76" s="84"/>
      <c r="CH76" s="71"/>
      <c r="CI76" s="71"/>
      <c r="CJ76" s="71"/>
      <c r="CK76" s="92"/>
      <c r="CL76" s="71"/>
      <c r="CM76" s="84"/>
      <c r="CN76" s="71"/>
      <c r="CO76" s="71"/>
      <c r="CP76" s="71"/>
      <c r="CQ76" s="92"/>
      <c r="CR76" s="71"/>
      <c r="CS76" s="84"/>
      <c r="CT76" s="71"/>
      <c r="CU76" s="71"/>
      <c r="CV76" s="71"/>
      <c r="CW76" s="92"/>
      <c r="CX76" s="71"/>
      <c r="CY76" s="84"/>
      <c r="CZ76" s="71"/>
      <c r="DA76" s="71"/>
      <c r="DB76" s="1064"/>
      <c r="DC76" s="92"/>
      <c r="DD76" s="71"/>
      <c r="DE76" s="84"/>
      <c r="DF76" s="71"/>
      <c r="DG76" s="71"/>
      <c r="DH76" s="1065"/>
      <c r="DI76" s="1074"/>
      <c r="DJ76" s="71"/>
      <c r="DK76" s="84"/>
      <c r="DL76" s="71"/>
      <c r="DM76" s="71"/>
      <c r="DN76" s="71"/>
      <c r="DO76" s="92"/>
      <c r="DP76" s="71"/>
      <c r="DQ76" s="84"/>
      <c r="DR76" s="71"/>
      <c r="DS76" s="71"/>
      <c r="DT76" s="71"/>
      <c r="DU76" s="92"/>
      <c r="DV76" s="71"/>
      <c r="DW76" s="84"/>
      <c r="DX76" s="71"/>
      <c r="DY76" s="71"/>
      <c r="DZ76" s="71"/>
      <c r="EA76" s="92"/>
      <c r="EB76" s="71"/>
      <c r="EC76" s="84"/>
      <c r="ED76" s="71"/>
      <c r="EE76" s="71"/>
      <c r="EF76" s="71"/>
      <c r="EG76" s="92"/>
    </row>
    <row r="77" spans="1:137" ht="11.25" customHeight="1" outlineLevel="1" x14ac:dyDescent="0.2">
      <c r="A77" s="50" t="s">
        <v>407</v>
      </c>
      <c r="B77" s="14"/>
      <c r="C77" s="14"/>
      <c r="D77" s="14"/>
      <c r="E77" s="93"/>
      <c r="F77" s="71"/>
      <c r="G77" s="93"/>
      <c r="H77" s="71"/>
      <c r="I77" s="93"/>
      <c r="J77" s="71"/>
      <c r="K77" s="93"/>
      <c r="L77" s="71"/>
      <c r="M77" s="84"/>
      <c r="N77" s="71"/>
      <c r="O77" s="71"/>
      <c r="P77" s="71"/>
      <c r="Q77" s="93"/>
      <c r="R77" s="71"/>
      <c r="S77" s="84"/>
      <c r="T77" s="71"/>
      <c r="U77" s="71"/>
      <c r="V77" s="71"/>
      <c r="W77" s="93"/>
      <c r="X77" s="71"/>
      <c r="Y77" s="84"/>
      <c r="Z77" s="71"/>
      <c r="AA77" s="71"/>
      <c r="AB77" s="71"/>
      <c r="AC77" s="93"/>
      <c r="AD77" s="71"/>
      <c r="AE77" s="84"/>
      <c r="AF77" s="71"/>
      <c r="AG77" s="71"/>
      <c r="AH77" s="71"/>
      <c r="AI77" s="93"/>
      <c r="AJ77" s="71"/>
      <c r="AK77" s="84"/>
      <c r="AL77" s="71"/>
      <c r="AM77" s="71"/>
      <c r="AN77" s="71"/>
      <c r="AO77" s="93"/>
      <c r="AP77" s="71"/>
      <c r="AQ77" s="84"/>
      <c r="AR77" s="71"/>
      <c r="AS77" s="71"/>
      <c r="AT77" s="71"/>
      <c r="AU77" s="93"/>
      <c r="AV77" s="71"/>
      <c r="AW77" s="84"/>
      <c r="AX77" s="71"/>
      <c r="AY77" s="71"/>
      <c r="AZ77" s="71"/>
      <c r="BA77" s="93"/>
      <c r="BB77" s="71"/>
      <c r="BC77" s="84"/>
      <c r="BD77" s="71"/>
      <c r="BE77" s="71"/>
      <c r="BF77" s="71"/>
      <c r="BG77" s="93"/>
      <c r="BH77" s="71"/>
      <c r="BI77" s="84"/>
      <c r="BJ77" s="71"/>
      <c r="BK77" s="71"/>
      <c r="BL77" s="71"/>
      <c r="BM77" s="93"/>
      <c r="BN77" s="71"/>
      <c r="BO77" s="839">
        <v>23.638659279002507</v>
      </c>
      <c r="BP77" s="840">
        <v>21.108050773493009</v>
      </c>
      <c r="BQ77" s="840">
        <v>46.717926889682794</v>
      </c>
      <c r="BR77" s="840">
        <v>60.93718675428466</v>
      </c>
      <c r="BS77" s="163">
        <f>SUM(BO77:BR77)</f>
        <v>152.40182369646297</v>
      </c>
      <c r="BT77" s="344"/>
      <c r="BU77" s="839">
        <v>57.928787250063294</v>
      </c>
      <c r="BV77" s="840">
        <v>22.003076680050846</v>
      </c>
      <c r="BW77" s="840">
        <v>17.083896256639999</v>
      </c>
      <c r="BX77" s="840">
        <v>75.946692106905601</v>
      </c>
      <c r="BY77" s="163">
        <f>SUM(BU77:BX77)</f>
        <v>172.96245229365974</v>
      </c>
      <c r="BZ77" s="344"/>
      <c r="CA77" s="839">
        <v>69.35374540961628</v>
      </c>
      <c r="CB77" s="840">
        <v>70.006568135016948</v>
      </c>
      <c r="CC77" s="840">
        <v>62.424568135016948</v>
      </c>
      <c r="CD77" s="840">
        <v>88.271390860417625</v>
      </c>
      <c r="CE77" s="163">
        <v>290.05627254006782</v>
      </c>
      <c r="CF77" s="344"/>
      <c r="CG77" s="839">
        <v>67.028654298379379</v>
      </c>
      <c r="CH77" s="840">
        <v>81.074098227478515</v>
      </c>
      <c r="CI77" s="840">
        <v>83.148098227478528</v>
      </c>
      <c r="CJ77" s="840">
        <v>109.02554215657766</v>
      </c>
      <c r="CK77" s="163">
        <v>340.27639290991408</v>
      </c>
      <c r="CL77" s="344"/>
      <c r="CM77" s="839">
        <v>72.550073103999992</v>
      </c>
      <c r="CN77" s="840">
        <v>93.136246543999974</v>
      </c>
      <c r="CO77" s="840">
        <v>90.451365727999999</v>
      </c>
      <c r="CP77" s="164">
        <f>+CQ77-CO77-CN77-CM77</f>
        <v>112.36231462400006</v>
      </c>
      <c r="CQ77" s="841">
        <v>368.5</v>
      </c>
      <c r="CR77" s="344"/>
      <c r="CS77" s="475">
        <v>72.2</v>
      </c>
      <c r="CT77" s="344">
        <v>72.900000000000006</v>
      </c>
      <c r="CU77" s="344">
        <v>51.5</v>
      </c>
      <c r="CV77" s="344">
        <v>132.6</v>
      </c>
      <c r="CW77" s="163">
        <f>SUM(CS77:CV77)</f>
        <v>329.20000000000005</v>
      </c>
      <c r="CX77" s="344"/>
      <c r="CY77" s="475">
        <v>177.2</v>
      </c>
      <c r="CZ77" s="344">
        <v>192.2</v>
      </c>
      <c r="DA77" s="344">
        <v>204.7</v>
      </c>
      <c r="DB77" s="344">
        <v>244.8</v>
      </c>
      <c r="DC77" s="163">
        <f>SUM(CY77:DB77)</f>
        <v>818.89999999999986</v>
      </c>
      <c r="DD77" s="164"/>
      <c r="DE77" s="475">
        <v>211.6</v>
      </c>
      <c r="DF77" s="344">
        <v>221.6</v>
      </c>
      <c r="DG77" s="344">
        <v>246.8</v>
      </c>
      <c r="DH77" s="344">
        <v>324.3</v>
      </c>
      <c r="DI77" s="163">
        <f>SUM(DE77:DH77)</f>
        <v>1004.3</v>
      </c>
      <c r="DJ77" s="164"/>
      <c r="DK77" s="839">
        <v>271.3</v>
      </c>
      <c r="DL77" s="164">
        <f>(DL70-DF70)*DL80+DF77+(DHR!DL107-DHR!DF107)</f>
        <v>272.26637500000004</v>
      </c>
      <c r="DM77" s="164">
        <f>(DM70-DG70)*DM80+DG77+(DHR!DM107-DHR!DG107)</f>
        <v>289.51119999999997</v>
      </c>
      <c r="DN77" s="164">
        <f>(DN70-DH70)*DN80+DH77+(DHR!DN107-DHR!DH107)</f>
        <v>387.21415000000007</v>
      </c>
      <c r="DO77" s="163">
        <f>SUM(DK77:DN77)</f>
        <v>1220.291725</v>
      </c>
      <c r="DP77" s="164"/>
      <c r="DQ77" s="165">
        <f>(DQ70-DK70)*DQ80+DK77+(DHR!DQ107-DHR!DK107)</f>
        <v>334.96399999999994</v>
      </c>
      <c r="DR77" s="164">
        <f>(DR70-DL70)*DR80+DL77+(DHR!DR107-DHR!DL107)</f>
        <v>324.67389200000008</v>
      </c>
      <c r="DS77" s="164">
        <f>(DS70-DM70)*DS80+DM77+(DHR!DS107-DHR!DM107)</f>
        <v>326.29738399999997</v>
      </c>
      <c r="DT77" s="164">
        <f>(DT70-DN70)*DT80+DN77+(DHR!DT107-DHR!DN107)</f>
        <v>427.43487700000009</v>
      </c>
      <c r="DU77" s="163">
        <f>SUM(DQ77:DT77)</f>
        <v>1413.3701530000001</v>
      </c>
      <c r="DV77" s="164"/>
      <c r="DW77" s="165">
        <f>(DW70-DQ70)*DW80+DQ77+(DHR!DW107-DHR!DQ107)</f>
        <v>372.57455999999991</v>
      </c>
      <c r="DX77" s="164">
        <f>(DX70-DR70)*DX80+DR77+(DHR!DX107-DHR!DR107)</f>
        <v>362.82770968000011</v>
      </c>
      <c r="DY77" s="164">
        <f>(DY70-DS70)*DY80+DS77+(DHR!DY107-DHR!DS107)</f>
        <v>363.95501535999995</v>
      </c>
      <c r="DZ77" s="164">
        <f>(DZ70-DT70)*DZ80+DT77+(DHR!DZ107-DHR!DT107)</f>
        <v>468.66443308000009</v>
      </c>
      <c r="EA77" s="163">
        <f>SUM(DW77:DZ77)</f>
        <v>1568.0217181200001</v>
      </c>
      <c r="EB77" s="164"/>
      <c r="EC77" s="165">
        <f>(EC70-DW70)*EC80+DW77+(DHR!EC107-DHR!DW107)</f>
        <v>406.08954239999991</v>
      </c>
      <c r="ED77" s="164">
        <f>(ED70-DX70)*ED80+DX77+(DHR!ED107-DHR!DX107)</f>
        <v>396.90768006720009</v>
      </c>
      <c r="EE77" s="164">
        <f>(EE70-DY70)*EE80+DY77+(DHR!EE107-DHR!DY107)</f>
        <v>397.51895197439995</v>
      </c>
      <c r="EF77" s="164">
        <f>(EF70-DZ70)*EF80+DZ77+(DHR!EF107-DHR!DZ107)</f>
        <v>505.9431714032001</v>
      </c>
      <c r="EG77" s="163">
        <f t="shared" ref="EG77" si="152">SUM(EC77:EF77)</f>
        <v>1706.4593458448001</v>
      </c>
    </row>
    <row r="78" spans="1:137" s="783" customFormat="1" ht="11.25" customHeight="1" outlineLevel="1" x14ac:dyDescent="0.2">
      <c r="A78" s="538" t="s">
        <v>408</v>
      </c>
      <c r="B78" s="539"/>
      <c r="C78" s="539"/>
      <c r="D78" s="539"/>
      <c r="E78" s="540"/>
      <c r="F78" s="541"/>
      <c r="G78" s="540"/>
      <c r="H78" s="541"/>
      <c r="I78" s="540"/>
      <c r="J78" s="541"/>
      <c r="K78" s="540"/>
      <c r="L78" s="541"/>
      <c r="M78" s="542"/>
      <c r="N78" s="543"/>
      <c r="O78" s="543"/>
      <c r="P78" s="543"/>
      <c r="Q78" s="540"/>
      <c r="R78" s="541"/>
      <c r="S78" s="542"/>
      <c r="T78" s="543"/>
      <c r="U78" s="543"/>
      <c r="V78" s="543"/>
      <c r="W78" s="540"/>
      <c r="X78" s="541"/>
      <c r="Y78" s="542"/>
      <c r="Z78" s="543"/>
      <c r="AA78" s="543"/>
      <c r="AB78" s="543"/>
      <c r="AC78" s="540"/>
      <c r="AD78" s="541"/>
      <c r="AE78" s="542"/>
      <c r="AF78" s="543"/>
      <c r="AG78" s="543"/>
      <c r="AH78" s="543"/>
      <c r="AI78" s="540"/>
      <c r="AJ78" s="541"/>
      <c r="AK78" s="542"/>
      <c r="AL78" s="543"/>
      <c r="AM78" s="543"/>
      <c r="AN78" s="543"/>
      <c r="AO78" s="540"/>
      <c r="AP78" s="541"/>
      <c r="AQ78" s="542"/>
      <c r="AR78" s="543"/>
      <c r="AS78" s="543"/>
      <c r="AT78" s="543"/>
      <c r="AU78" s="540"/>
      <c r="AV78" s="541"/>
      <c r="AW78" s="542"/>
      <c r="AX78" s="543"/>
      <c r="AY78" s="543"/>
      <c r="AZ78" s="543"/>
      <c r="BA78" s="540"/>
      <c r="BB78" s="541"/>
      <c r="BC78" s="542"/>
      <c r="BD78" s="543"/>
      <c r="BE78" s="543"/>
      <c r="BF78" s="543"/>
      <c r="BG78" s="540"/>
      <c r="BH78" s="541"/>
      <c r="BI78" s="542"/>
      <c r="BJ78" s="543"/>
      <c r="BK78" s="543"/>
      <c r="BL78" s="543"/>
      <c r="BM78" s="540"/>
      <c r="BN78" s="541"/>
      <c r="BO78" s="542">
        <f>+BO77/BO70</f>
        <v>6.9517834404474732E-2</v>
      </c>
      <c r="BP78" s="543">
        <f>+BP77/BP70</f>
        <v>5.7971432547297509E-2</v>
      </c>
      <c r="BQ78" s="543">
        <f>+BQ77/BQ70</f>
        <v>0.12266658050564645</v>
      </c>
      <c r="BR78" s="543">
        <f>+BR77/BR70</f>
        <v>0.13084566725328711</v>
      </c>
      <c r="BS78" s="540">
        <f>+BS77/BS70</f>
        <v>9.8278133840072723E-2</v>
      </c>
      <c r="BT78" s="541"/>
      <c r="BU78" s="542">
        <f>+BU77/BU70</f>
        <v>0.14376377892850198</v>
      </c>
      <c r="BV78" s="543">
        <f>+BV77/BV70</f>
        <v>4.7026882218170571E-2</v>
      </c>
      <c r="BW78" s="543">
        <f>+BW77/BW70</f>
        <v>2.9913599206696468E-2</v>
      </c>
      <c r="BX78" s="543">
        <f>+BX77/BX70</f>
        <v>0.11660415376678664</v>
      </c>
      <c r="BY78" s="540">
        <f>+BY77/BY70</f>
        <v>8.2628433508747684E-2</v>
      </c>
      <c r="BZ78" s="541"/>
      <c r="CA78" s="542">
        <f>+CA77/CA70</f>
        <v>0.12796838202223507</v>
      </c>
      <c r="CB78" s="543">
        <f>+CB77/CB70</f>
        <v>0.12626506669304857</v>
      </c>
      <c r="CC78" s="543">
        <f>+CC77/CC70</f>
        <v>0.11855838595087384</v>
      </c>
      <c r="CD78" s="543">
        <f>+CD77/CD70</f>
        <v>0.12580343513446324</v>
      </c>
      <c r="CE78" s="540">
        <f>+CE77/CE70</f>
        <v>0.12477724469644201</v>
      </c>
      <c r="CF78" s="541"/>
      <c r="CG78" s="542">
        <f>+CG77/CG70</f>
        <v>0.12340180942146467</v>
      </c>
      <c r="CH78" s="543">
        <f>+CH77/CH70</f>
        <v>0.13858376240813042</v>
      </c>
      <c r="CI78" s="543">
        <f>+CI77/CI70</f>
        <v>0.1416296509293965</v>
      </c>
      <c r="CJ78" s="543">
        <f>+CJ77/CJ70</f>
        <v>0.14820731196460588</v>
      </c>
      <c r="CK78" s="540">
        <f>+CK77/CK70</f>
        <v>0.13883717934663967</v>
      </c>
      <c r="CL78" s="541"/>
      <c r="CM78" s="542">
        <f>+CM77/CM70</f>
        <v>0.12619700573909554</v>
      </c>
      <c r="CN78" s="543">
        <f>+CN77/CN70</f>
        <v>0.15378879330121734</v>
      </c>
      <c r="CO78" s="543">
        <f>+CO77/CO70</f>
        <v>0.15122655424384884</v>
      </c>
      <c r="CP78" s="543">
        <f>+CP77/CP70</f>
        <v>0.15331820219684722</v>
      </c>
      <c r="CQ78" s="540">
        <f>+CQ77/CQ70</f>
        <v>0.14672535326006678</v>
      </c>
      <c r="CR78" s="541"/>
      <c r="CS78" s="542">
        <f>+CS77/CS70</f>
        <v>0.12946028330643713</v>
      </c>
      <c r="CT78" s="543">
        <f>+CT77/CT70</f>
        <v>0.12605913885526546</v>
      </c>
      <c r="CU78" s="543">
        <f>+CU77/CU70</f>
        <v>6.401491609695463E-2</v>
      </c>
      <c r="CV78" s="543">
        <f>+CV77/CV70</f>
        <v>9.6492504730024728E-2</v>
      </c>
      <c r="CW78" s="540">
        <f>+CW77/CW70</f>
        <v>9.9315171810420266E-2</v>
      </c>
      <c r="CX78" s="541"/>
      <c r="CY78" s="542">
        <f>+CY77/CY70</f>
        <v>0.14084730943486209</v>
      </c>
      <c r="CZ78" s="543">
        <f>+CZ77/CZ70</f>
        <v>0.14469622826168788</v>
      </c>
      <c r="DA78" s="543">
        <f>+DA77/DA70</f>
        <v>0.15444394145163723</v>
      </c>
      <c r="DB78" s="543">
        <f>+DB77/DB70</f>
        <v>0.16835155766453477</v>
      </c>
      <c r="DC78" s="540">
        <f>+DC77/DC70</f>
        <v>0.15261186380663075</v>
      </c>
      <c r="DD78" s="543"/>
      <c r="DE78" s="542">
        <f>+DE77/DE70</f>
        <v>0.16176133323140435</v>
      </c>
      <c r="DF78" s="543">
        <f>+DF77/DF70</f>
        <v>0.16008090731777794</v>
      </c>
      <c r="DG78" s="543">
        <f>+DG77/DG70</f>
        <v>0.17722246158265118</v>
      </c>
      <c r="DH78" s="543">
        <f>+DH77/DH70</f>
        <v>0.19955695034151746</v>
      </c>
      <c r="DI78" s="540">
        <f>+DI77/DI70</f>
        <v>0.17588133307647852</v>
      </c>
      <c r="DJ78" s="543"/>
      <c r="DK78" s="542">
        <f>+DK77/DK70</f>
        <v>0.18380758807588077</v>
      </c>
      <c r="DL78" s="543">
        <f>+DL77/DL70</f>
        <v>0.17600028895279179</v>
      </c>
      <c r="DM78" s="543">
        <f>+DM77/DM70</f>
        <v>0.18604253044039287</v>
      </c>
      <c r="DN78" s="543">
        <f>+DN77/DN70</f>
        <v>0.21494218227729917</v>
      </c>
      <c r="DO78" s="540">
        <f>+DO77/DO70</f>
        <v>0.1912502495846003</v>
      </c>
      <c r="DP78" s="543"/>
      <c r="DQ78" s="542">
        <f>+DQ77/DQ70</f>
        <v>0.20740291262135921</v>
      </c>
      <c r="DR78" s="543">
        <f>+DR77/DR70</f>
        <v>0.19631468774699276</v>
      </c>
      <c r="DS78" s="543">
        <f>+DS77/DS70</f>
        <v>0.20161698738133235</v>
      </c>
      <c r="DT78" s="543">
        <f>+DT77/DT70</f>
        <v>0.22814294911238928</v>
      </c>
      <c r="DU78" s="540">
        <f>+DU77/DU70</f>
        <v>0.20905287849084861</v>
      </c>
      <c r="DV78" s="543"/>
      <c r="DW78" s="542">
        <f>+DW77/DW70</f>
        <v>0.22181789257898826</v>
      </c>
      <c r="DX78" s="543">
        <f>+DX77/DX70</f>
        <v>0.21094660225247275</v>
      </c>
      <c r="DY78" s="543">
        <f>+DY77/DY70</f>
        <v>0.21623594980841201</v>
      </c>
      <c r="DZ78" s="543">
        <f>+DZ77/DZ70</f>
        <v>0.24052806201596755</v>
      </c>
      <c r="EA78" s="540">
        <f>+EA77/EA70</f>
        <v>0.22300724388697782</v>
      </c>
      <c r="EB78" s="543"/>
      <c r="EC78" s="542">
        <f t="shared" ref="EC78:EG78" si="153">+EC77/EC70</f>
        <v>0.23247263811884261</v>
      </c>
      <c r="ED78" s="543">
        <f t="shared" si="153"/>
        <v>0.22188515662563879</v>
      </c>
      <c r="EE78" s="543">
        <f t="shared" si="153"/>
        <v>0.22709349243129859</v>
      </c>
      <c r="EF78" s="543">
        <f t="shared" si="153"/>
        <v>0.24967333094743982</v>
      </c>
      <c r="EG78" s="540">
        <f t="shared" si="153"/>
        <v>0.23336165903309522</v>
      </c>
    </row>
    <row r="79" spans="1:137" s="783" customFormat="1" ht="11.25" customHeight="1" outlineLevel="1" x14ac:dyDescent="0.2">
      <c r="A79" s="538" t="s">
        <v>611</v>
      </c>
      <c r="B79" s="539"/>
      <c r="C79" s="539"/>
      <c r="D79" s="539"/>
      <c r="E79" s="540"/>
      <c r="F79" s="541"/>
      <c r="G79" s="540"/>
      <c r="H79" s="541"/>
      <c r="I79" s="540"/>
      <c r="J79" s="541"/>
      <c r="K79" s="540"/>
      <c r="L79" s="541"/>
      <c r="M79" s="542"/>
      <c r="N79" s="543"/>
      <c r="O79" s="543"/>
      <c r="P79" s="543"/>
      <c r="Q79" s="540"/>
      <c r="R79" s="541"/>
      <c r="S79" s="542"/>
      <c r="T79" s="543"/>
      <c r="U79" s="543"/>
      <c r="V79" s="543"/>
      <c r="W79" s="540"/>
      <c r="X79" s="541"/>
      <c r="Y79" s="542"/>
      <c r="Z79" s="543"/>
      <c r="AA79" s="543"/>
      <c r="AB79" s="543"/>
      <c r="AC79" s="540"/>
      <c r="AD79" s="541"/>
      <c r="AE79" s="542"/>
      <c r="AF79" s="543"/>
      <c r="AG79" s="543"/>
      <c r="AH79" s="543"/>
      <c r="AI79" s="540"/>
      <c r="AJ79" s="541"/>
      <c r="AK79" s="542"/>
      <c r="AL79" s="543"/>
      <c r="AM79" s="543"/>
      <c r="AN79" s="543"/>
      <c r="AO79" s="540"/>
      <c r="AP79" s="541"/>
      <c r="AQ79" s="542"/>
      <c r="AR79" s="543"/>
      <c r="AS79" s="543"/>
      <c r="AT79" s="543"/>
      <c r="AU79" s="540"/>
      <c r="AV79" s="541"/>
      <c r="AW79" s="542"/>
      <c r="AX79" s="543"/>
      <c r="AY79" s="543"/>
      <c r="AZ79" s="543"/>
      <c r="BA79" s="540"/>
      <c r="BB79" s="541"/>
      <c r="BC79" s="542"/>
      <c r="BD79" s="543"/>
      <c r="BE79" s="543"/>
      <c r="BF79" s="543"/>
      <c r="BG79" s="540"/>
      <c r="BH79" s="541"/>
      <c r="BI79" s="542"/>
      <c r="BJ79" s="543"/>
      <c r="BK79" s="543"/>
      <c r="BL79" s="543"/>
      <c r="BM79" s="540"/>
      <c r="BN79" s="541"/>
      <c r="BO79" s="542"/>
      <c r="BP79" s="543"/>
      <c r="BQ79" s="543"/>
      <c r="BR79" s="543"/>
      <c r="BS79" s="540"/>
      <c r="BT79" s="541"/>
      <c r="BU79" s="542">
        <f>+BU74*BU$43</f>
        <v>5.000000000000001E-3</v>
      </c>
      <c r="BV79" s="543">
        <f>+BV74*BV43</f>
        <v>1.4999999999999999E-2</v>
      </c>
      <c r="BW79" s="543">
        <f>+BW74*BW43</f>
        <v>1.1000000000000001E-2</v>
      </c>
      <c r="BX79" s="543">
        <f>+BX74*BX43</f>
        <v>0</v>
      </c>
      <c r="BY79" s="540">
        <f>+BY74*BY43</f>
        <v>7.000000000000001E-3</v>
      </c>
      <c r="BZ79" s="541"/>
      <c r="CA79" s="542">
        <f>+CA74*CA43</f>
        <v>-1E-3</v>
      </c>
      <c r="CB79" s="543">
        <f>+CB74*CB43</f>
        <v>-7.000000000000001E-3</v>
      </c>
      <c r="CC79" s="543">
        <f>+CC74*CC43</f>
        <v>-6.0000000000000001E-3</v>
      </c>
      <c r="CD79" s="543">
        <f>+CD74*CD43</f>
        <v>-1E-3</v>
      </c>
      <c r="CE79" s="540">
        <f>+CE74*CE43</f>
        <v>-4.0000000000000001E-3</v>
      </c>
      <c r="CF79" s="541"/>
      <c r="CG79" s="542">
        <f>+CG74*CG43</f>
        <v>-3.0000000000000001E-3</v>
      </c>
      <c r="CH79" s="543">
        <f>+CH74*CH43</f>
        <v>-2E-3</v>
      </c>
      <c r="CI79" s="543">
        <f>+CI74*CI43</f>
        <v>-2E-3</v>
      </c>
      <c r="CJ79" s="543">
        <f>+CJ74*CJ43</f>
        <v>-3.0000000000000001E-3</v>
      </c>
      <c r="CK79" s="540">
        <f>+CK74*CK43</f>
        <v>-3.0000000000000001E-3</v>
      </c>
      <c r="CL79" s="541"/>
      <c r="CM79" s="542">
        <f>+CM74*CM43</f>
        <v>-1E-3</v>
      </c>
      <c r="CN79" s="543">
        <f>+CN74*CN43</f>
        <v>1E-3</v>
      </c>
      <c r="CO79" s="543">
        <f>+CO74*CO43</f>
        <v>-1E-3</v>
      </c>
      <c r="CP79" s="543">
        <f>+CP74*CP43</f>
        <v>-8.0000000000000002E-3</v>
      </c>
      <c r="CQ79" s="540">
        <f>+CQ74*CQ43</f>
        <v>-2.6236316651950015E-3</v>
      </c>
      <c r="CR79" s="541"/>
      <c r="CS79" s="542">
        <f>+CS74*CS43</f>
        <v>-8.0000000000000002E-3</v>
      </c>
      <c r="CT79" s="543">
        <f>+CT74*CT43</f>
        <v>-7.000000000000001E-3</v>
      </c>
      <c r="CU79" s="543">
        <f>+CU74*CU43</f>
        <v>-6.0000000000000001E-3</v>
      </c>
      <c r="CV79" s="543">
        <f>+CV74*CV43</f>
        <v>-5.5000000000000005E-3</v>
      </c>
      <c r="CW79" s="540">
        <f>+CW74*CW43</f>
        <v>-6.5000000000000006E-3</v>
      </c>
      <c r="CX79" s="541"/>
      <c r="CY79" s="542">
        <f>+CY74*CY43</f>
        <v>-1.8255334409181092E-3</v>
      </c>
      <c r="CZ79" s="543">
        <f>+CZ74*CZ43</f>
        <v>3.809441466367039E-4</v>
      </c>
      <c r="DA79" s="543">
        <f>+DA74*DA43</f>
        <v>1.4965817277812488E-3</v>
      </c>
      <c r="DB79" s="543">
        <f>+DB74*DB43</f>
        <v>-2.371416096638056E-3</v>
      </c>
      <c r="DC79" s="540">
        <f>+DC74*DC43</f>
        <v>-8.6059070202429845E-4</v>
      </c>
      <c r="DD79" s="541"/>
      <c r="DE79" s="542">
        <f>+DE74*DE43</f>
        <v>-2.2886296796757115E-3</v>
      </c>
      <c r="DF79" s="543">
        <f>+DF74*DF43</f>
        <v>-2.6761273808627623E-3</v>
      </c>
      <c r="DG79" s="543">
        <f>+DG74*DG43</f>
        <v>2.6754187415119566E-3</v>
      </c>
      <c r="DH79" s="543">
        <f t="shared" ref="DH79" si="154">+DH74*DH$43</f>
        <v>8.149628636269883E-3</v>
      </c>
      <c r="DI79" s="540">
        <f>+DI74*DI43</f>
        <v>8.708697515794093E-4</v>
      </c>
      <c r="DJ79" s="541"/>
      <c r="DK79" s="542">
        <f>+DK74*DK43</f>
        <v>4.0847870957877964E-3</v>
      </c>
      <c r="DL79" s="543">
        <f>+DL74*DL43</f>
        <v>7.000000000000001E-3</v>
      </c>
      <c r="DM79" s="543">
        <f>+DM74*DM43</f>
        <v>2E-3</v>
      </c>
      <c r="DN79" s="543">
        <f>+DN74*DN43</f>
        <v>4.0000000000000001E-3</v>
      </c>
      <c r="DO79" s="540">
        <f>+DO74*DO43</f>
        <v>5.9967951524491775E-3</v>
      </c>
      <c r="DP79" s="541"/>
      <c r="DQ79" s="542">
        <f>+DQ74*DQ43</f>
        <v>0</v>
      </c>
      <c r="DR79" s="543">
        <f>+DR74*DR43</f>
        <v>0</v>
      </c>
      <c r="DS79" s="543">
        <f>+DS74*DS43</f>
        <v>0</v>
      </c>
      <c r="DT79" s="543">
        <f>+DT74*DT43</f>
        <v>0</v>
      </c>
      <c r="DU79" s="540">
        <f>+DU74*DU43</f>
        <v>0</v>
      </c>
      <c r="DV79" s="541"/>
      <c r="DW79" s="542">
        <f>+DW74*DW43</f>
        <v>0</v>
      </c>
      <c r="DX79" s="543">
        <f>+DX74*DX43</f>
        <v>0</v>
      </c>
      <c r="DY79" s="543">
        <f>+DY74*DY43</f>
        <v>0</v>
      </c>
      <c r="DZ79" s="543">
        <f>+DZ74*DZ43</f>
        <v>0</v>
      </c>
      <c r="EA79" s="540">
        <f>+EA74*EA43</f>
        <v>0</v>
      </c>
      <c r="EB79" s="541"/>
      <c r="EC79" s="542">
        <f t="shared" ref="EC79:EG79" si="155">+EC74*EC43</f>
        <v>0</v>
      </c>
      <c r="ED79" s="543">
        <f t="shared" si="155"/>
        <v>0</v>
      </c>
      <c r="EE79" s="543">
        <f t="shared" si="155"/>
        <v>0</v>
      </c>
      <c r="EF79" s="543">
        <f t="shared" si="155"/>
        <v>0</v>
      </c>
      <c r="EG79" s="540">
        <f t="shared" si="155"/>
        <v>0</v>
      </c>
    </row>
    <row r="80" spans="1:137" s="783" customFormat="1" ht="11.25" customHeight="1" outlineLevel="1" x14ac:dyDescent="0.2">
      <c r="A80" s="538" t="s">
        <v>609</v>
      </c>
      <c r="B80" s="539"/>
      <c r="C80" s="539"/>
      <c r="D80" s="539"/>
      <c r="E80" s="540"/>
      <c r="F80" s="541"/>
      <c r="G80" s="540"/>
      <c r="H80" s="541"/>
      <c r="I80" s="540"/>
      <c r="J80" s="541"/>
      <c r="K80" s="540"/>
      <c r="L80" s="541"/>
      <c r="M80" s="542"/>
      <c r="N80" s="543"/>
      <c r="O80" s="543"/>
      <c r="P80" s="543"/>
      <c r="Q80" s="540"/>
      <c r="R80" s="541"/>
      <c r="S80" s="542"/>
      <c r="T80" s="543"/>
      <c r="U80" s="543"/>
      <c r="V80" s="543"/>
      <c r="W80" s="540"/>
      <c r="X80" s="541"/>
      <c r="Y80" s="542"/>
      <c r="Z80" s="543"/>
      <c r="AA80" s="543"/>
      <c r="AB80" s="543"/>
      <c r="AC80" s="540"/>
      <c r="AD80" s="541"/>
      <c r="AE80" s="542"/>
      <c r="AF80" s="543"/>
      <c r="AG80" s="543"/>
      <c r="AH80" s="543"/>
      <c r="AI80" s="540"/>
      <c r="AJ80" s="541"/>
      <c r="AK80" s="542"/>
      <c r="AL80" s="543"/>
      <c r="AM80" s="543"/>
      <c r="AN80" s="543"/>
      <c r="AO80" s="540"/>
      <c r="AP80" s="541"/>
      <c r="AQ80" s="542"/>
      <c r="AR80" s="543"/>
      <c r="AS80" s="543"/>
      <c r="AT80" s="543"/>
      <c r="AU80" s="540"/>
      <c r="AV80" s="541"/>
      <c r="AW80" s="542"/>
      <c r="AX80" s="543"/>
      <c r="AY80" s="543"/>
      <c r="AZ80" s="543"/>
      <c r="BA80" s="540"/>
      <c r="BB80" s="541"/>
      <c r="BC80" s="542"/>
      <c r="BD80" s="543"/>
      <c r="BE80" s="543"/>
      <c r="BF80" s="543"/>
      <c r="BG80" s="540"/>
      <c r="BH80" s="541"/>
      <c r="BI80" s="542"/>
      <c r="BJ80" s="543"/>
      <c r="BK80" s="543"/>
      <c r="BL80" s="543"/>
      <c r="BM80" s="540"/>
      <c r="BN80" s="541"/>
      <c r="BO80" s="542"/>
      <c r="BP80" s="543"/>
      <c r="BQ80" s="543"/>
      <c r="BR80" s="543"/>
      <c r="BS80" s="540"/>
      <c r="BT80" s="541"/>
      <c r="BU80" s="542">
        <f>+(BU83-BO77)/(BU70-BO70)</f>
        <v>0.12233645203135202</v>
      </c>
      <c r="BV80" s="543">
        <f>+(BV83-BP77)/(BV70-BP70)</f>
        <v>0.1979933722914094</v>
      </c>
      <c r="BW80" s="543">
        <f>+(BW83-BQ77)/(BW70-BQ70)</f>
        <v>9.9393668671314689E-2</v>
      </c>
      <c r="BX80" s="543">
        <f>+(BX83-BR77)/(BX70-BR70)</f>
        <v>0.11245203601780794</v>
      </c>
      <c r="BY80" s="540">
        <f>+(BY83-BS77)/(BY70-BS70)</f>
        <v>0.12538047539163988</v>
      </c>
      <c r="BZ80" s="541"/>
      <c r="CA80" s="542">
        <f>+(CA83-BU77)/(CA70-BU70)</f>
        <v>9.7778825772186106E-2</v>
      </c>
      <c r="CB80" s="543">
        <f>+(CB83-BV77)/(CB70-BV70)</f>
        <v>0.22790390169238917</v>
      </c>
      <c r="CC80" s="543">
        <f>+(CC83-BW77)/(CC70-BW70)</f>
        <v>-0.36748109575020038</v>
      </c>
      <c r="CD80" s="543">
        <f>+(CD83-BX77)/(CD70-BX70)</f>
        <v>0.24482635359321056</v>
      </c>
      <c r="CE80" s="540">
        <f>+(CE83-BY77)/(CE70-BY70)</f>
        <v>0.26811982045244931</v>
      </c>
      <c r="CF80" s="541"/>
      <c r="CG80" s="542">
        <f>+(CG83-CA77)/(CG70-CA70)</f>
        <v>-1.6973980099318258</v>
      </c>
      <c r="CH80" s="543">
        <f>+(CH83-CB77)/(CH70-CB70)</f>
        <v>0.37122413385751435</v>
      </c>
      <c r="CI80" s="543">
        <f>+(CI83-CC77)/(CI70-CC70)</f>
        <v>0.34694096264078467</v>
      </c>
      <c r="CJ80" s="543">
        <f>+(CJ83-CD77)/(CJ70-CD70)</f>
        <v>0.62153293233628082</v>
      </c>
      <c r="CK80" s="540">
        <f>+(CK83-CE77)/(CK70-CE70)</f>
        <v>0.40701459680297869</v>
      </c>
      <c r="CL80" s="541"/>
      <c r="CM80" s="542">
        <f>+(CM83-CG77)/(CM70-CG70)</f>
        <v>0.17379150274030139</v>
      </c>
      <c r="CN80" s="543">
        <f>+(CN83-CH77)/(CN70-CH70)</f>
        <v>0.58531608489109421</v>
      </c>
      <c r="CO80" s="543">
        <f>+(CO83-CI77)/(CO70-CI70)</f>
        <v>0.66076480856406317</v>
      </c>
      <c r="CP80" s="543">
        <f>+(CP83-CJ77)/(CP70-CJ70)</f>
        <v>-1.2095858597341491</v>
      </c>
      <c r="CQ80" s="540">
        <f>+(CQ83-CK77)/(CQ70-CK70)</f>
        <v>0.46533508815925478</v>
      </c>
      <c r="CR80" s="541"/>
      <c r="CS80" s="542">
        <f>+(CS83-CM77)/(CS70-CM70)</f>
        <v>-0.6607379309684398</v>
      </c>
      <c r="CT80" s="543">
        <f>+(CT83-CN77)/(CT70-CN70)</f>
        <v>4.219287582234843E-2</v>
      </c>
      <c r="CU80" s="543">
        <f>+(CU83-CO77)/(CU70-CO70)</f>
        <v>0.15429968055967605</v>
      </c>
      <c r="CV80" s="543">
        <f>+(CV83-CP77)/(CV70-CP70)</f>
        <v>0.15369168628507113</v>
      </c>
      <c r="CW80" s="540">
        <f>+(CW83-CQ77)/(CW70-CQ70)</f>
        <v>0.16942298509622969</v>
      </c>
      <c r="CX80" s="541"/>
      <c r="CY80" s="542">
        <f>+(CY83-CS77)/(CY70-CS70)</f>
        <v>0.143627427184466</v>
      </c>
      <c r="CZ80" s="543">
        <f>+(CZ83-CT77)/(CZ70-CT70)</f>
        <v>0.15463899999999997</v>
      </c>
      <c r="DA80" s="543">
        <f>+(DA83-CU77)/(DA70-CU70)</f>
        <v>0.10981487770186921</v>
      </c>
      <c r="DB80" s="543">
        <f>+(DB83-CV77)/(DB70-CV70)</f>
        <v>0.72435796155105181</v>
      </c>
      <c r="DC80" s="540">
        <f>+(DC77-DB89-CW77)/(DC70-CW70)</f>
        <v>0.22167511700468012</v>
      </c>
      <c r="DD80" s="541"/>
      <c r="DE80" s="542">
        <f>+(DE83-CY77)/(DE70-CY70)</f>
        <v>0.57027100000000019</v>
      </c>
      <c r="DF80" s="543">
        <f>+(DF83-CZ77)/(DF70-CZ70)</f>
        <v>0.45084107142857122</v>
      </c>
      <c r="DG80" s="543">
        <f>+(DG83-DA77)/(DG70-DA70)</f>
        <v>0.53323363095238252</v>
      </c>
      <c r="DH80" s="543">
        <f>+(DH83-DB77)/(DH70-DB70)</f>
        <v>0.45065701754385956</v>
      </c>
      <c r="DI80" s="540">
        <f>+(DI77-DH89-DC77)/(DI70-DC70)</f>
        <v>0.48053457292271989</v>
      </c>
      <c r="DJ80" s="541"/>
      <c r="DK80" s="542">
        <f>+(DK83-DE77)/(DK70-DE70)</f>
        <v>0.37754615842763539</v>
      </c>
      <c r="DL80" s="796">
        <v>0.25</v>
      </c>
      <c r="DM80" s="796">
        <v>0.2</v>
      </c>
      <c r="DN80" s="796">
        <v>0.3</v>
      </c>
      <c r="DO80" s="540">
        <f>+(DO77-DO89-DI77)/(DO70-DI70)</f>
        <v>0.26247755413108348</v>
      </c>
      <c r="DP80" s="541"/>
      <c r="DQ80" s="795">
        <v>0.35</v>
      </c>
      <c r="DR80" s="796">
        <f>+DQ80</f>
        <v>0.35</v>
      </c>
      <c r="DS80" s="796">
        <f>+DR80</f>
        <v>0.35</v>
      </c>
      <c r="DT80" s="796">
        <f>+DS80</f>
        <v>0.35</v>
      </c>
      <c r="DU80" s="540">
        <f>+(DU77-DU89-DO77)/(DU70-DO70)</f>
        <v>0.35000000000000181</v>
      </c>
      <c r="DV80" s="541"/>
      <c r="DW80" s="795">
        <f>+DT80</f>
        <v>0.35</v>
      </c>
      <c r="DX80" s="796">
        <f>+DW80</f>
        <v>0.35</v>
      </c>
      <c r="DY80" s="796">
        <f>+DX80</f>
        <v>0.35</v>
      </c>
      <c r="DZ80" s="796">
        <f>+DY80</f>
        <v>0.35</v>
      </c>
      <c r="EA80" s="540">
        <f>+(EA77-EA89-DU77)/(EA70-DU70)</f>
        <v>0.34999999999999915</v>
      </c>
      <c r="EB80" s="541"/>
      <c r="EC80" s="795">
        <f t="shared" ref="EC80" si="156">+DZ80</f>
        <v>0.35</v>
      </c>
      <c r="ED80" s="796">
        <f t="shared" ref="ED80:EF80" si="157">+EC80</f>
        <v>0.35</v>
      </c>
      <c r="EE80" s="796">
        <f t="shared" si="157"/>
        <v>0.35</v>
      </c>
      <c r="EF80" s="796">
        <f t="shared" si="157"/>
        <v>0.35</v>
      </c>
      <c r="EG80" s="540">
        <f t="shared" ref="EG80" si="158">+(EG77-EG89-EA77)/(EG70-EA70)</f>
        <v>0.3499999999999992</v>
      </c>
    </row>
    <row r="81" spans="1:137" ht="11.25" customHeight="1" outlineLevel="1" x14ac:dyDescent="0.2">
      <c r="A81" s="51" t="s">
        <v>505</v>
      </c>
      <c r="B81" s="14"/>
      <c r="C81" s="14"/>
      <c r="D81" s="14"/>
      <c r="E81" s="158"/>
      <c r="F81" s="71"/>
      <c r="G81" s="158"/>
      <c r="H81" s="71"/>
      <c r="I81" s="158"/>
      <c r="J81" s="71"/>
      <c r="K81" s="158"/>
      <c r="L81" s="71"/>
      <c r="M81" s="149"/>
      <c r="N81" s="22"/>
      <c r="O81" s="22"/>
      <c r="P81" s="22"/>
      <c r="Q81" s="158"/>
      <c r="R81" s="71"/>
      <c r="S81" s="149"/>
      <c r="T81" s="22"/>
      <c r="U81" s="22"/>
      <c r="V81" s="22"/>
      <c r="W81" s="158"/>
      <c r="X81" s="71"/>
      <c r="Y81" s="149"/>
      <c r="Z81" s="22"/>
      <c r="AA81" s="22"/>
      <c r="AB81" s="22"/>
      <c r="AC81" s="158"/>
      <c r="AD81" s="71"/>
      <c r="AE81" s="149"/>
      <c r="AF81" s="22"/>
      <c r="AG81" s="22"/>
      <c r="AH81" s="22"/>
      <c r="AI81" s="158"/>
      <c r="AJ81" s="71"/>
      <c r="AK81" s="149"/>
      <c r="AL81" s="22"/>
      <c r="AM81" s="22"/>
      <c r="AN81" s="22"/>
      <c r="AO81" s="158"/>
      <c r="AP81" s="71"/>
      <c r="AQ81" s="149"/>
      <c r="AR81" s="22"/>
      <c r="AS81" s="22"/>
      <c r="AT81" s="22"/>
      <c r="AU81" s="158"/>
      <c r="AV81" s="71"/>
      <c r="AW81" s="149"/>
      <c r="AX81" s="22"/>
      <c r="AY81" s="22"/>
      <c r="AZ81" s="22"/>
      <c r="BA81" s="158"/>
      <c r="BB81" s="71"/>
      <c r="BC81" s="149"/>
      <c r="BD81" s="22"/>
      <c r="BE81" s="22"/>
      <c r="BF81" s="22"/>
      <c r="BG81" s="158"/>
      <c r="BH81" s="71"/>
      <c r="BI81" s="149"/>
      <c r="BJ81" s="22"/>
      <c r="BK81" s="22"/>
      <c r="BL81" s="22"/>
      <c r="BM81" s="802"/>
      <c r="BN81" s="71"/>
      <c r="BO81" s="803"/>
      <c r="BP81" s="804"/>
      <c r="BQ81" s="804"/>
      <c r="BR81" s="804"/>
      <c r="BS81" s="802"/>
      <c r="BT81" s="71"/>
      <c r="BU81" s="803">
        <f>+(BU78-BO78)*10000</f>
        <v>742.45944524027243</v>
      </c>
      <c r="BV81" s="804">
        <f>+(BV78-BP78)*10000</f>
        <v>-109.44550329126939</v>
      </c>
      <c r="BW81" s="804">
        <f>+(BW78-BQ78)*10000</f>
        <v>-927.52981298949987</v>
      </c>
      <c r="BX81" s="804">
        <f>+(BX78-BR78)*10000</f>
        <v>-142.41513486500477</v>
      </c>
      <c r="BY81" s="802">
        <f>+(BY78-BS78)*10000</f>
        <v>-156.49700331325039</v>
      </c>
      <c r="BZ81" s="71"/>
      <c r="CA81" s="803">
        <f>+(CA78-BU78)*10000</f>
        <v>-157.95396906266913</v>
      </c>
      <c r="CB81" s="804">
        <f>+(CB78-BV78)*10000</f>
        <v>792.38184474878005</v>
      </c>
      <c r="CC81" s="804">
        <f>+(CC78-BW78)*10000</f>
        <v>886.44786744177372</v>
      </c>
      <c r="CD81" s="804">
        <f>+(CD78-BX78)*10000</f>
        <v>91.992813676766005</v>
      </c>
      <c r="CE81" s="802">
        <f>+(CE78-BY78)*10000</f>
        <v>421.48811187694326</v>
      </c>
      <c r="CF81" s="71"/>
      <c r="CG81" s="803">
        <f>+(CG78-CA78)*10000</f>
        <v>-45.665726007703967</v>
      </c>
      <c r="CH81" s="804">
        <f>+(CH78-CB78)*10000</f>
        <v>123.18695715081846</v>
      </c>
      <c r="CI81" s="804">
        <f>+(CI78-CC78)*10000</f>
        <v>230.7126497852266</v>
      </c>
      <c r="CJ81" s="804">
        <f>+(CJ78-CD78)*10000</f>
        <v>224.03876830142639</v>
      </c>
      <c r="CK81" s="802">
        <f>+(CK78-CE78)*10000</f>
        <v>140.59934650197656</v>
      </c>
      <c r="CL81" s="71"/>
      <c r="CM81" s="803">
        <f>+(CM78-CG78)*10000</f>
        <v>27.951963176308659</v>
      </c>
      <c r="CN81" s="804">
        <f>+(CN78-CH78)*10000</f>
        <v>152.05030893086919</v>
      </c>
      <c r="CO81" s="804">
        <f>+(CO78-CI78)*10000</f>
        <v>95.969033144523436</v>
      </c>
      <c r="CP81" s="804">
        <f>+(CP78-CJ78)*10000</f>
        <v>51.108902322413442</v>
      </c>
      <c r="CQ81" s="802">
        <f>+(CQ78-CK78)*10000</f>
        <v>78.881739134271101</v>
      </c>
      <c r="CR81" s="71"/>
      <c r="CS81" s="803">
        <f>+(CS78-CM78)*10000</f>
        <v>32.632775673415992</v>
      </c>
      <c r="CT81" s="804">
        <f>+(CT78-CN78)*10000</f>
        <v>-277.29654445951877</v>
      </c>
      <c r="CU81" s="804">
        <f>+(CU78-CO78)*10000</f>
        <v>-872.11638146894211</v>
      </c>
      <c r="CV81" s="804">
        <f>+(CV78-CP78)*10000</f>
        <v>-568.25697466822487</v>
      </c>
      <c r="CW81" s="838">
        <v>-480</v>
      </c>
      <c r="CX81" s="71"/>
      <c r="CY81" s="833">
        <f>+(CY78-CS78)*10000</f>
        <v>113.87026128424959</v>
      </c>
      <c r="CZ81" s="509">
        <f>+(CZ78-CT78)*10000</f>
        <v>186.37089406422419</v>
      </c>
      <c r="DA81" s="507">
        <v>900</v>
      </c>
      <c r="DB81" s="807">
        <v>710</v>
      </c>
      <c r="DC81" s="806">
        <v>540</v>
      </c>
      <c r="DD81" s="71"/>
      <c r="DE81" s="833">
        <f>+(DE78-CY78)*10000</f>
        <v>209.14023796542253</v>
      </c>
      <c r="DF81" s="509">
        <f>+(DF78-CZ78)*10000</f>
        <v>153.84679056090062</v>
      </c>
      <c r="DG81" s="509">
        <f>+(DG78-DA78)*10000</f>
        <v>227.78520131013946</v>
      </c>
      <c r="DH81" s="509">
        <f>+(DH78-DB78)*10000</f>
        <v>312.05392676982689</v>
      </c>
      <c r="DI81" s="802">
        <f>+(DI78-DC78)*10000</f>
        <v>232.6946926984777</v>
      </c>
      <c r="DJ81" s="71"/>
      <c r="DK81" s="833">
        <f>+(DK78-DE78)*10000</f>
        <v>220.4625484447642</v>
      </c>
      <c r="DL81" s="804">
        <f>+(DL78-DF78)*10000</f>
        <v>159.19381635013858</v>
      </c>
      <c r="DM81" s="804">
        <f>+(DM78-DG78)*10000</f>
        <v>88.200688577416969</v>
      </c>
      <c r="DN81" s="804">
        <f>+(DN78-DH78)*10000</f>
        <v>153.85231935781701</v>
      </c>
      <c r="DO81" s="802">
        <f>+(DO78-DI78)*10000</f>
        <v>153.68916508121777</v>
      </c>
      <c r="DP81" s="71"/>
      <c r="DQ81" s="803">
        <f>+(DQ78-DK78)*10000</f>
        <v>235.95324545478442</v>
      </c>
      <c r="DR81" s="804">
        <f>+(DR78-DL78)*10000</f>
        <v>203.14398794200966</v>
      </c>
      <c r="DS81" s="804">
        <f>+(DS78-DM78)*10000</f>
        <v>155.74456940939478</v>
      </c>
      <c r="DT81" s="804">
        <f>+(DT78-DN78)*10000</f>
        <v>132.0076683509011</v>
      </c>
      <c r="DU81" s="802">
        <f>+(DU78-DO78)*10000</f>
        <v>178.02628906248313</v>
      </c>
      <c r="DV81" s="71"/>
      <c r="DW81" s="803">
        <f>+(DW78-DQ78)*10000</f>
        <v>144.14979957629055</v>
      </c>
      <c r="DX81" s="804">
        <f>+(DX78-DR78)*10000</f>
        <v>146.31914505479986</v>
      </c>
      <c r="DY81" s="804">
        <f>+(DY78-DS78)*10000</f>
        <v>146.18962427079663</v>
      </c>
      <c r="DZ81" s="804">
        <f>+(DZ78-DT78)*10000</f>
        <v>123.85112903578272</v>
      </c>
      <c r="EA81" s="802">
        <f>+(EA78-DU78)*10000</f>
        <v>139.54365396129208</v>
      </c>
      <c r="EB81" s="71"/>
      <c r="EC81" s="803">
        <f t="shared" ref="EC81:EG81" si="159">+(EC78-DW78)*10000</f>
        <v>106.54745539854349</v>
      </c>
      <c r="ED81" s="804">
        <f t="shared" si="159"/>
        <v>109.38554373166043</v>
      </c>
      <c r="EE81" s="804">
        <f t="shared" si="159"/>
        <v>108.57542622886574</v>
      </c>
      <c r="EF81" s="804">
        <f t="shared" si="159"/>
        <v>91.452689314722718</v>
      </c>
      <c r="EG81" s="802">
        <f t="shared" si="159"/>
        <v>103.54415146117401</v>
      </c>
    </row>
    <row r="82" spans="1:137" ht="11.25" customHeight="1" outlineLevel="1" x14ac:dyDescent="0.2">
      <c r="A82" s="51"/>
      <c r="B82" s="14"/>
      <c r="C82" s="14"/>
      <c r="D82" s="14"/>
      <c r="E82" s="92"/>
      <c r="F82" s="71"/>
      <c r="G82" s="92"/>
      <c r="H82" s="71"/>
      <c r="I82" s="92"/>
      <c r="J82" s="71"/>
      <c r="K82" s="92"/>
      <c r="L82" s="71"/>
      <c r="M82" s="84"/>
      <c r="N82" s="71"/>
      <c r="O82" s="71"/>
      <c r="P82" s="71"/>
      <c r="Q82" s="92"/>
      <c r="R82" s="71"/>
      <c r="S82" s="84"/>
      <c r="T82" s="71"/>
      <c r="U82" s="71"/>
      <c r="V82" s="71"/>
      <c r="W82" s="92"/>
      <c r="X82" s="71"/>
      <c r="Y82" s="84"/>
      <c r="Z82" s="71"/>
      <c r="AA82" s="71"/>
      <c r="AB82" s="71"/>
      <c r="AC82" s="92"/>
      <c r="AD82" s="71"/>
      <c r="AE82" s="84"/>
      <c r="AF82" s="71"/>
      <c r="AG82" s="71"/>
      <c r="AH82" s="71"/>
      <c r="AI82" s="92"/>
      <c r="AJ82" s="71"/>
      <c r="AK82" s="84"/>
      <c r="AL82" s="71"/>
      <c r="AM82" s="71"/>
      <c r="AN82" s="71"/>
      <c r="AO82" s="92"/>
      <c r="AP82" s="71"/>
      <c r="AQ82" s="84"/>
      <c r="AR82" s="71"/>
      <c r="AS82" s="71"/>
      <c r="AT82" s="71"/>
      <c r="AU82" s="92"/>
      <c r="AV82" s="71"/>
      <c r="AW82" s="84"/>
      <c r="AX82" s="71"/>
      <c r="AY82" s="71"/>
      <c r="AZ82" s="71"/>
      <c r="BA82" s="92"/>
      <c r="BB82" s="71"/>
      <c r="BC82" s="84"/>
      <c r="BD82" s="71"/>
      <c r="BE82" s="71"/>
      <c r="BF82" s="71"/>
      <c r="BG82" s="92"/>
      <c r="BH82" s="71"/>
      <c r="BI82" s="84"/>
      <c r="BJ82" s="71"/>
      <c r="BK82" s="71"/>
      <c r="BL82" s="71"/>
      <c r="BM82" s="92"/>
      <c r="BN82" s="71"/>
      <c r="BO82" s="84"/>
      <c r="BP82" s="71"/>
      <c r="BQ82" s="71"/>
      <c r="BR82" s="71"/>
      <c r="BS82" s="92"/>
      <c r="BT82" s="71"/>
      <c r="BU82" s="84"/>
      <c r="BV82" s="71"/>
      <c r="BW82" s="71"/>
      <c r="BX82" s="71"/>
      <c r="BY82" s="92"/>
      <c r="BZ82" s="71"/>
      <c r="CA82" s="84"/>
      <c r="CB82" s="71"/>
      <c r="CC82" s="71"/>
      <c r="CD82" s="71"/>
      <c r="CE82" s="92"/>
      <c r="CF82" s="71"/>
      <c r="CG82" s="84"/>
      <c r="CH82" s="71"/>
      <c r="CI82" s="71"/>
      <c r="CJ82" s="71"/>
      <c r="CK82" s="92"/>
      <c r="CL82" s="71"/>
      <c r="CM82" s="84"/>
      <c r="CN82" s="71"/>
      <c r="CO82" s="71"/>
      <c r="CP82" s="71"/>
      <c r="CQ82" s="92"/>
      <c r="CR82" s="71"/>
      <c r="CS82" s="84"/>
      <c r="CT82" s="71"/>
      <c r="CU82" s="71"/>
      <c r="CV82" s="71"/>
      <c r="CW82" s="92"/>
      <c r="CX82" s="71"/>
      <c r="CY82" s="84"/>
      <c r="CZ82" s="71"/>
      <c r="DA82" s="71"/>
      <c r="DB82" s="71"/>
      <c r="DC82" s="92"/>
      <c r="DD82" s="71"/>
      <c r="DE82" s="84"/>
      <c r="DF82" s="71"/>
      <c r="DG82" s="71"/>
      <c r="DH82" s="486"/>
      <c r="DI82" s="92"/>
      <c r="DJ82" s="71"/>
      <c r="DK82" s="1328"/>
      <c r="DL82" s="71"/>
      <c r="DM82" s="71"/>
      <c r="DN82" s="71"/>
      <c r="DO82" s="92"/>
      <c r="DP82" s="71"/>
      <c r="DQ82" s="84"/>
      <c r="DR82" s="71"/>
      <c r="DS82" s="71"/>
      <c r="DT82" s="71"/>
      <c r="DU82" s="92"/>
      <c r="DV82" s="71"/>
      <c r="DW82" s="84"/>
      <c r="DX82" s="71"/>
      <c r="DY82" s="71"/>
      <c r="DZ82" s="71"/>
      <c r="EA82" s="92"/>
      <c r="EB82" s="71"/>
      <c r="EC82" s="84"/>
      <c r="ED82" s="71"/>
      <c r="EE82" s="71"/>
      <c r="EF82" s="71"/>
      <c r="EG82" s="92"/>
    </row>
    <row r="83" spans="1:137" ht="11.25" customHeight="1" outlineLevel="1" x14ac:dyDescent="0.2">
      <c r="A83" s="50" t="s">
        <v>512</v>
      </c>
      <c r="B83" s="14"/>
      <c r="C83" s="14"/>
      <c r="D83" s="14"/>
      <c r="E83" s="92"/>
      <c r="F83" s="71"/>
      <c r="G83" s="92"/>
      <c r="H83" s="71"/>
      <c r="I83" s="92"/>
      <c r="J83" s="71"/>
      <c r="K83" s="92"/>
      <c r="L83" s="71"/>
      <c r="M83" s="84"/>
      <c r="N83" s="71"/>
      <c r="O83" s="71"/>
      <c r="P83" s="71"/>
      <c r="Q83" s="92"/>
      <c r="R83" s="71"/>
      <c r="S83" s="84"/>
      <c r="T83" s="71"/>
      <c r="U83" s="71"/>
      <c r="V83" s="71"/>
      <c r="W83" s="92"/>
      <c r="X83" s="71"/>
      <c r="Y83" s="84"/>
      <c r="Z83" s="71"/>
      <c r="AA83" s="71"/>
      <c r="AB83" s="71"/>
      <c r="AC83" s="92"/>
      <c r="AD83" s="71"/>
      <c r="AE83" s="84"/>
      <c r="AF83" s="71"/>
      <c r="AG83" s="71"/>
      <c r="AH83" s="71"/>
      <c r="AI83" s="92"/>
      <c r="AJ83" s="71"/>
      <c r="AK83" s="84"/>
      <c r="AL83" s="71"/>
      <c r="AM83" s="71"/>
      <c r="AN83" s="71"/>
      <c r="AO83" s="92"/>
      <c r="AP83" s="71"/>
      <c r="AQ83" s="84"/>
      <c r="AR83" s="71"/>
      <c r="AS83" s="71"/>
      <c r="AT83" s="71"/>
      <c r="AU83" s="92"/>
      <c r="AV83" s="71"/>
      <c r="AW83" s="84"/>
      <c r="AX83" s="71"/>
      <c r="AY83" s="71"/>
      <c r="AZ83" s="71"/>
      <c r="BA83" s="92"/>
      <c r="BB83" s="71"/>
      <c r="BC83" s="84"/>
      <c r="BD83" s="71"/>
      <c r="BE83" s="71"/>
      <c r="BF83" s="71"/>
      <c r="BG83" s="92"/>
      <c r="BH83" s="71"/>
      <c r="BI83" s="84"/>
      <c r="BJ83" s="71"/>
      <c r="BK83" s="71"/>
      <c r="BL83" s="71"/>
      <c r="BM83" s="92"/>
      <c r="BN83" s="71"/>
      <c r="BO83" s="84"/>
      <c r="BP83" s="71"/>
      <c r="BQ83" s="71"/>
      <c r="BR83" s="71"/>
      <c r="BS83" s="92"/>
      <c r="BT83" s="71"/>
      <c r="BU83" s="165">
        <f>+BU84*BU70</f>
        <v>31.33446712993333</v>
      </c>
      <c r="BV83" s="164">
        <f>+BV84*BV70</f>
        <v>41.654160846652566</v>
      </c>
      <c r="BW83" s="164">
        <f>+BW84*BW70</f>
        <v>65.628077509470501</v>
      </c>
      <c r="BX83" s="164">
        <f>+BX84*BX70</f>
        <v>81.808577870677112</v>
      </c>
      <c r="BY83" s="163">
        <f>+BY84*BY70</f>
        <v>220.4252833567335</v>
      </c>
      <c r="BZ83" s="344"/>
      <c r="CA83" s="165">
        <f>+CA84*CA70</f>
        <v>71.521585443651119</v>
      </c>
      <c r="CB83" s="164">
        <f>+CB84*CB70</f>
        <v>41.730061668146128</v>
      </c>
      <c r="CC83" s="164">
        <f>+CC84*CC70</f>
        <v>33.465408309337612</v>
      </c>
      <c r="CD83" s="164">
        <f>+CD84*CD70</f>
        <v>88.271390860417625</v>
      </c>
      <c r="CE83" s="163">
        <f>+CE84*CE70</f>
        <v>234.98844628155248</v>
      </c>
      <c r="CF83" s="344"/>
      <c r="CG83" s="165">
        <f>+CG84*CG70</f>
        <v>67.293120488228311</v>
      </c>
      <c r="CH83" s="164">
        <f>+CH84*CH70</f>
        <v>81.357651025912645</v>
      </c>
      <c r="CI83" s="164">
        <f>+CI84*CI70</f>
        <v>83.432180144595051</v>
      </c>
      <c r="CJ83" s="164">
        <f>+CJ84*CJ70</f>
        <v>109.38326058658627</v>
      </c>
      <c r="CK83" s="163">
        <f>+CK84*CK70</f>
        <v>341.4662122453222</v>
      </c>
      <c r="CL83" s="344"/>
      <c r="CM83" s="165">
        <f>+CM84*CM70</f>
        <v>72.541557388929334</v>
      </c>
      <c r="CN83" s="164">
        <f>+CN84*CN70</f>
        <v>93.127313173781261</v>
      </c>
      <c r="CO83" s="164">
        <f>+CO84*CO70</f>
        <v>90.441042414854365</v>
      </c>
      <c r="CP83" s="164">
        <f>+CP84*CP70</f>
        <v>112.36231462400006</v>
      </c>
      <c r="CQ83" s="163">
        <f>+CQ84*CQ70</f>
        <v>368.47222760156495</v>
      </c>
      <c r="CR83" s="344"/>
      <c r="CS83" s="165">
        <f>+CS84*CS70</f>
        <v>83.911699999999996</v>
      </c>
      <c r="CT83" s="164">
        <f>+CT84*CT70</f>
        <v>91.983900000000006</v>
      </c>
      <c r="CU83" s="164">
        <f>+CU84*CU70</f>
        <v>122.29600000000001</v>
      </c>
      <c r="CV83" s="164">
        <f>+CV84*CV70</f>
        <v>210.92939999999999</v>
      </c>
      <c r="CW83" s="163">
        <f>+CW84*CW70</f>
        <v>504.58137845114334</v>
      </c>
      <c r="CX83" s="344"/>
      <c r="CY83" s="165">
        <f>+CY84*CY70</f>
        <v>172.79664999999997</v>
      </c>
      <c r="CZ83" s="164">
        <f>+CZ84*CZ70</f>
        <v>188.87924999999998</v>
      </c>
      <c r="DA83" s="164">
        <f>+DA84*DA70</f>
        <v>108.70256979490368</v>
      </c>
      <c r="DB83" s="164">
        <f>+DB84*DB70</f>
        <v>190.47620112792893</v>
      </c>
      <c r="DC83" s="163">
        <f>+DC84*DC70</f>
        <v>626.81853041753402</v>
      </c>
      <c r="DD83" s="344"/>
      <c r="DE83" s="165">
        <f>+DE84*DE70</f>
        <v>205.71355</v>
      </c>
      <c r="DF83" s="164">
        <f>+DF84*DF70</f>
        <v>217.44709999999998</v>
      </c>
      <c r="DG83" s="164">
        <f>+DG84*DG70</f>
        <v>240.5333</v>
      </c>
      <c r="DH83" s="164">
        <f>+DH84*DH70</f>
        <v>321.86234999999999</v>
      </c>
      <c r="DI83" s="163">
        <f>+DI84*DI70</f>
        <v>985.47996056696161</v>
      </c>
      <c r="DJ83" s="344"/>
      <c r="DK83" s="165">
        <f>+DK84*DK70</f>
        <v>274.99</v>
      </c>
      <c r="DL83" s="164">
        <f>+DL84*DL70</f>
        <v>272.26637500000004</v>
      </c>
      <c r="DM83" s="164">
        <f>+DM84*DM70</f>
        <v>289.51119999999997</v>
      </c>
      <c r="DN83" s="164">
        <f>+DN84*DN70</f>
        <v>387.21415000000007</v>
      </c>
      <c r="DO83" s="163">
        <f>+DO84*DO70</f>
        <v>1224.1301205342625</v>
      </c>
      <c r="DP83" s="344"/>
      <c r="DQ83" s="165">
        <f>+DQ84*DQ70</f>
        <v>334.96399999999994</v>
      </c>
      <c r="DR83" s="164">
        <f>+DR84*DR70</f>
        <v>324.67389200000008</v>
      </c>
      <c r="DS83" s="164">
        <f>+DS84*DS70</f>
        <v>326.29738399999997</v>
      </c>
      <c r="DT83" s="164">
        <f>+DT84*DT70</f>
        <v>427.43487700000009</v>
      </c>
      <c r="DU83" s="163">
        <f>+DU84*DU70</f>
        <v>1413.3701530000001</v>
      </c>
      <c r="DV83" s="344"/>
      <c r="DW83" s="165">
        <f>+DW84*DW70</f>
        <v>372.57455999999991</v>
      </c>
      <c r="DX83" s="164">
        <f>+DX84*DX70</f>
        <v>362.82770968000011</v>
      </c>
      <c r="DY83" s="164">
        <f>+DY84*DY70</f>
        <v>363.95501535999995</v>
      </c>
      <c r="DZ83" s="164">
        <f>+DZ84*DZ70</f>
        <v>468.66443308000009</v>
      </c>
      <c r="EA83" s="163">
        <f>+EA84*EA70</f>
        <v>1568.0217181200001</v>
      </c>
      <c r="EB83" s="344"/>
      <c r="EC83" s="165">
        <f t="shared" ref="EC83:EG83" si="160">+EC84*EC70</f>
        <v>406.08954239999991</v>
      </c>
      <c r="ED83" s="164">
        <f t="shared" si="160"/>
        <v>396.90768006720009</v>
      </c>
      <c r="EE83" s="164">
        <f t="shared" si="160"/>
        <v>397.51895197439995</v>
      </c>
      <c r="EF83" s="164">
        <f t="shared" si="160"/>
        <v>505.9431714032001</v>
      </c>
      <c r="EG83" s="163">
        <f t="shared" si="160"/>
        <v>1706.4593458448001</v>
      </c>
    </row>
    <row r="84" spans="1:137" s="783" customFormat="1" ht="11.25" customHeight="1" outlineLevel="1" x14ac:dyDescent="0.2">
      <c r="A84" s="538" t="s">
        <v>507</v>
      </c>
      <c r="B84" s="539"/>
      <c r="C84" s="539"/>
      <c r="D84" s="539"/>
      <c r="E84" s="776"/>
      <c r="F84" s="541"/>
      <c r="G84" s="776"/>
      <c r="H84" s="541"/>
      <c r="I84" s="776"/>
      <c r="J84" s="541"/>
      <c r="K84" s="776"/>
      <c r="L84" s="541"/>
      <c r="M84" s="782"/>
      <c r="N84" s="541"/>
      <c r="O84" s="541"/>
      <c r="P84" s="541"/>
      <c r="Q84" s="776"/>
      <c r="R84" s="541"/>
      <c r="S84" s="782"/>
      <c r="T84" s="541"/>
      <c r="U84" s="541"/>
      <c r="V84" s="541"/>
      <c r="W84" s="776"/>
      <c r="X84" s="541"/>
      <c r="Y84" s="782"/>
      <c r="Z84" s="541"/>
      <c r="AA84" s="541"/>
      <c r="AB84" s="541"/>
      <c r="AC84" s="776"/>
      <c r="AD84" s="541"/>
      <c r="AE84" s="782"/>
      <c r="AF84" s="541"/>
      <c r="AG84" s="541"/>
      <c r="AH84" s="541"/>
      <c r="AI84" s="776"/>
      <c r="AJ84" s="541"/>
      <c r="AK84" s="782"/>
      <c r="AL84" s="541"/>
      <c r="AM84" s="541"/>
      <c r="AN84" s="541"/>
      <c r="AO84" s="776"/>
      <c r="AP84" s="541"/>
      <c r="AQ84" s="782"/>
      <c r="AR84" s="541"/>
      <c r="AS84" s="541"/>
      <c r="AT84" s="541"/>
      <c r="AU84" s="776"/>
      <c r="AV84" s="541"/>
      <c r="AW84" s="782"/>
      <c r="AX84" s="541"/>
      <c r="AY84" s="541"/>
      <c r="AZ84" s="541"/>
      <c r="BA84" s="776"/>
      <c r="BB84" s="541"/>
      <c r="BC84" s="782"/>
      <c r="BD84" s="541"/>
      <c r="BE84" s="541"/>
      <c r="BF84" s="541"/>
      <c r="BG84" s="776"/>
      <c r="BH84" s="541"/>
      <c r="BI84" s="782"/>
      <c r="BJ84" s="541"/>
      <c r="BK84" s="541"/>
      <c r="BL84" s="541"/>
      <c r="BM84" s="776"/>
      <c r="BN84" s="541"/>
      <c r="BO84" s="782"/>
      <c r="BP84" s="541"/>
      <c r="BQ84" s="541"/>
      <c r="BR84" s="541"/>
      <c r="BS84" s="540"/>
      <c r="BT84" s="541"/>
      <c r="BU84" s="821">
        <f>+BO78+BU85/10000</f>
        <v>7.7763778928501989E-2</v>
      </c>
      <c r="BV84" s="822">
        <f>+BP78+BV85/10000</f>
        <v>8.9026882218170567E-2</v>
      </c>
      <c r="BW84" s="822">
        <f>+BQ78+BW85/10000</f>
        <v>0.11491359920669647</v>
      </c>
      <c r="BX84" s="822">
        <f>+BR78+BX85/10000</f>
        <v>0.12560415376678663</v>
      </c>
      <c r="BY84" s="540">
        <f>+BS78+BY85/10000</f>
        <v>0.10530259965651728</v>
      </c>
      <c r="BZ84" s="541"/>
      <c r="CA84" s="821">
        <f>+BU78+CA85/10000</f>
        <v>0.13196838202223507</v>
      </c>
      <c r="CB84" s="822">
        <f>+BV78+CB85/10000</f>
        <v>7.5265066693048582E-2</v>
      </c>
      <c r="CC84" s="822">
        <f>+BW78+CC85/10000</f>
        <v>6.3558385950873847E-2</v>
      </c>
      <c r="CD84" s="822">
        <f>+BX78+CD85/10000</f>
        <v>0.12580343513446324</v>
      </c>
      <c r="CE84" s="540">
        <f>+BY78+CE85/10000</f>
        <v>0.10108800821902453</v>
      </c>
      <c r="CF84" s="541"/>
      <c r="CG84" s="821">
        <f>+CA78+CG85/10000</f>
        <v>0.12388869979245258</v>
      </c>
      <c r="CH84" s="822">
        <f>+CB78+CH85/10000</f>
        <v>0.13906845251887454</v>
      </c>
      <c r="CI84" s="822">
        <f>+CC78+CI85/10000</f>
        <v>0.14211353960050588</v>
      </c>
      <c r="CJ84" s="822">
        <f>+CD78+CJ85/10000</f>
        <v>0.14869358780330463</v>
      </c>
      <c r="CK84" s="540">
        <f>+CE78+CK85/10000</f>
        <v>0.13932264105924191</v>
      </c>
      <c r="CL84" s="541"/>
      <c r="CM84" s="821">
        <f>+CG78+CM85/10000</f>
        <v>0.12618219310421228</v>
      </c>
      <c r="CN84" s="822">
        <f>+CH78+CN85/10000</f>
        <v>0.15377404230708744</v>
      </c>
      <c r="CO84" s="822">
        <f>+CI78+CO85/10000</f>
        <v>0.15120929459206989</v>
      </c>
      <c r="CP84" s="822">
        <f>+CJ78+CP85/10000</f>
        <v>0.15331820219684722</v>
      </c>
      <c r="CQ84" s="540">
        <f>+CK78+CQ85/10000</f>
        <v>0.14671429514616918</v>
      </c>
      <c r="CR84" s="541"/>
      <c r="CS84" s="821">
        <f>+CM78+CS85/10000</f>
        <v>0.15046028330643713</v>
      </c>
      <c r="CT84" s="822">
        <f>+CN78+CT85/10000</f>
        <v>0.15905913885526546</v>
      </c>
      <c r="CU84" s="822">
        <f>+CO78+CU85/10000</f>
        <v>0.15201491609695464</v>
      </c>
      <c r="CV84" s="822">
        <f>+CP78+CV85/10000</f>
        <v>0.15349250473002474</v>
      </c>
      <c r="CW84" s="540">
        <f>+CQ78+CW85/10000</f>
        <v>0.15222535326006678</v>
      </c>
      <c r="CX84" s="541"/>
      <c r="CY84" s="542">
        <f>+CS78+CY85/10000</f>
        <v>0.13734730943486209</v>
      </c>
      <c r="CZ84" s="543">
        <f>+CT78+CZ85/10000</f>
        <v>0.14219622826168787</v>
      </c>
      <c r="DA84" s="543">
        <f>+CU78+DA85/10000</f>
        <v>8.2014916096954632E-2</v>
      </c>
      <c r="DB84" s="543">
        <f>+CV78+DB85/10000</f>
        <v>0.13099250473002472</v>
      </c>
      <c r="DC84" s="810">
        <f>+CW78+DC85/10000</f>
        <v>0.11681517181042027</v>
      </c>
      <c r="DD84" s="543"/>
      <c r="DE84" s="542">
        <f>+CY78+DE85/10000</f>
        <v>0.15726133323140434</v>
      </c>
      <c r="DF84" s="543">
        <f>+CZ78+DF85/10000</f>
        <v>0.15708090731777793</v>
      </c>
      <c r="DG84" s="543">
        <f>+DA78+DG85/10000</f>
        <v>0.17272246158265117</v>
      </c>
      <c r="DH84" s="543">
        <f>+DB78+DH85/10000</f>
        <v>0.19805695034151746</v>
      </c>
      <c r="DI84" s="540">
        <f>+DC78+DI85/10000</f>
        <v>0.1725854119134449</v>
      </c>
      <c r="DJ84" s="543"/>
      <c r="DK84" s="542">
        <f>+DE78+DK85/10000</f>
        <v>0.18630758807588077</v>
      </c>
      <c r="DL84" s="543">
        <f>+DF78+DL85/10000</f>
        <v>0.17600028895279179</v>
      </c>
      <c r="DM84" s="543">
        <f>+DG78+DM85/10000</f>
        <v>0.18604253044039287</v>
      </c>
      <c r="DN84" s="543">
        <f>+DH78+DN85/10000</f>
        <v>0.21494218227729917</v>
      </c>
      <c r="DO84" s="540">
        <f>+DI78+DO85/10000</f>
        <v>0.19185182221587591</v>
      </c>
      <c r="DP84" s="543"/>
      <c r="DQ84" s="542">
        <f>+DK78+DQ85/10000</f>
        <v>0.20740291262135921</v>
      </c>
      <c r="DR84" s="543">
        <f>+DL78+DR85/10000</f>
        <v>0.19631468774699276</v>
      </c>
      <c r="DS84" s="543">
        <f>+DM78+DS85/10000</f>
        <v>0.20161698738133235</v>
      </c>
      <c r="DT84" s="543">
        <f>+DN78+DT85/10000</f>
        <v>0.22814294911238928</v>
      </c>
      <c r="DU84" s="540">
        <f>+DO78+DU85/10000</f>
        <v>0.20905287849084861</v>
      </c>
      <c r="DV84" s="543"/>
      <c r="DW84" s="542">
        <f>+DQ78+DW85/10000</f>
        <v>0.22181789257898826</v>
      </c>
      <c r="DX84" s="543">
        <f>+DR78+DX85/10000</f>
        <v>0.21094660225247275</v>
      </c>
      <c r="DY84" s="543">
        <f>+DS78+DY85/10000</f>
        <v>0.21623594980841201</v>
      </c>
      <c r="DZ84" s="543">
        <f>+DT78+DZ85/10000</f>
        <v>0.24052806201596755</v>
      </c>
      <c r="EA84" s="540">
        <f>+DU78+EA85/10000</f>
        <v>0.22300724388697782</v>
      </c>
      <c r="EB84" s="543"/>
      <c r="EC84" s="542">
        <f t="shared" ref="EC84:EG84" si="161">+DW78+EC85/10000</f>
        <v>0.23247263811884261</v>
      </c>
      <c r="ED84" s="543">
        <f t="shared" si="161"/>
        <v>0.22188515662563879</v>
      </c>
      <c r="EE84" s="543">
        <f t="shared" si="161"/>
        <v>0.22709349243129859</v>
      </c>
      <c r="EF84" s="543">
        <f t="shared" si="161"/>
        <v>0.24967333094743982</v>
      </c>
      <c r="EG84" s="540">
        <f t="shared" si="161"/>
        <v>0.23336165903309522</v>
      </c>
    </row>
    <row r="85" spans="1:137" ht="11.25" customHeight="1" outlineLevel="1" x14ac:dyDescent="0.2">
      <c r="A85" s="51" t="s">
        <v>233</v>
      </c>
      <c r="B85" s="14"/>
      <c r="C85" s="14"/>
      <c r="D85" s="14"/>
      <c r="E85" s="93"/>
      <c r="F85" s="71"/>
      <c r="G85" s="93"/>
      <c r="H85" s="71"/>
      <c r="I85" s="93"/>
      <c r="J85" s="71"/>
      <c r="K85" s="93"/>
      <c r="L85" s="71"/>
      <c r="M85" s="84"/>
      <c r="N85" s="71"/>
      <c r="O85" s="71"/>
      <c r="P85" s="71"/>
      <c r="Q85" s="93"/>
      <c r="R85" s="71"/>
      <c r="S85" s="84"/>
      <c r="T85" s="71"/>
      <c r="U85" s="71"/>
      <c r="V85" s="71"/>
      <c r="W85" s="93"/>
      <c r="X85" s="71"/>
      <c r="Y85" s="84"/>
      <c r="Z85" s="71"/>
      <c r="AA85" s="71"/>
      <c r="AB85" s="71"/>
      <c r="AC85" s="93"/>
      <c r="AD85" s="71"/>
      <c r="AE85" s="84"/>
      <c r="AF85" s="71"/>
      <c r="AG85" s="71"/>
      <c r="AH85" s="71"/>
      <c r="AI85" s="93"/>
      <c r="AJ85" s="71"/>
      <c r="AK85" s="84"/>
      <c r="AL85" s="71"/>
      <c r="AM85" s="71"/>
      <c r="AN85" s="71"/>
      <c r="AO85" s="93"/>
      <c r="AP85" s="71"/>
      <c r="AQ85" s="84"/>
      <c r="AR85" s="71"/>
      <c r="AS85" s="71"/>
      <c r="AT85" s="71"/>
      <c r="AU85" s="93"/>
      <c r="AV85" s="71"/>
      <c r="AW85" s="84"/>
      <c r="AX85" s="71"/>
      <c r="AY85" s="71"/>
      <c r="AZ85" s="71"/>
      <c r="BA85" s="93"/>
      <c r="BB85" s="71"/>
      <c r="BC85" s="84"/>
      <c r="BD85" s="71"/>
      <c r="BE85" s="71"/>
      <c r="BF85" s="71"/>
      <c r="BG85" s="93"/>
      <c r="BH85" s="71"/>
      <c r="BI85" s="84"/>
      <c r="BJ85" s="71"/>
      <c r="BK85" s="71"/>
      <c r="BL85" s="71"/>
      <c r="BM85" s="93"/>
      <c r="BN85" s="71"/>
      <c r="BO85" s="84"/>
      <c r="BP85" s="71"/>
      <c r="BQ85" s="71"/>
      <c r="BR85" s="71"/>
      <c r="BS85" s="806">
        <v>554.24812202218368</v>
      </c>
      <c r="BT85" s="507"/>
      <c r="BU85" s="510">
        <f>BU81-BU86-BU87</f>
        <v>82.459445240272544</v>
      </c>
      <c r="BV85" s="509">
        <f>BV81-BV86-BV87</f>
        <v>310.5544967087306</v>
      </c>
      <c r="BW85" s="509">
        <f>BW81-BW86-BW87</f>
        <v>-77.529812989499874</v>
      </c>
      <c r="BX85" s="509">
        <f>BX81-BX86-BX87</f>
        <v>-52.415134865004774</v>
      </c>
      <c r="BY85" s="508">
        <f>BY81-BY86-BY87</f>
        <v>70.244658164445568</v>
      </c>
      <c r="BZ85" s="507"/>
      <c r="CA85" s="510">
        <f>CA81-CA86-CA87</f>
        <v>-117.95396906266913</v>
      </c>
      <c r="CB85" s="509">
        <f>CB81-CB86-CB87</f>
        <v>282.38184474878005</v>
      </c>
      <c r="CC85" s="509">
        <f>CC81-CC86-CC87</f>
        <v>336.44786744177372</v>
      </c>
      <c r="CD85" s="509">
        <f>CD81-CD86-CD87</f>
        <v>91.992813676766005</v>
      </c>
      <c r="CE85" s="508">
        <f>CE81-CE86-CE87</f>
        <v>184.59574710276837</v>
      </c>
      <c r="CF85" s="507"/>
      <c r="CG85" s="510">
        <f>CG81-CG86-CG87</f>
        <v>-40.796822297824853</v>
      </c>
      <c r="CH85" s="509">
        <f>CH81-CH86-CH87</f>
        <v>128.03385825825967</v>
      </c>
      <c r="CI85" s="509">
        <f>CI81-CI86-CI87</f>
        <v>235.5515364963203</v>
      </c>
      <c r="CJ85" s="509">
        <f>CJ81-CJ86-CJ87</f>
        <v>228.90152668841384</v>
      </c>
      <c r="CK85" s="508">
        <f>CK81-CK86-CK87</f>
        <v>145.45396362799914</v>
      </c>
      <c r="CL85" s="507"/>
      <c r="CM85" s="510">
        <f>CM81-CM86-CM87</f>
        <v>27.803836827476012</v>
      </c>
      <c r="CN85" s="509">
        <f>CN81-CN86-CN87</f>
        <v>151.90279898957019</v>
      </c>
      <c r="CO85" s="509">
        <f>CO81-CO86-CO87</f>
        <v>95.796436626733879</v>
      </c>
      <c r="CP85" s="509">
        <f>CP81-CP86-CP87</f>
        <v>51.108902322413442</v>
      </c>
      <c r="CQ85" s="508">
        <f>CQ81-CQ86-CQ87</f>
        <v>78.771157995295283</v>
      </c>
      <c r="CR85" s="507"/>
      <c r="CS85" s="510">
        <f>CS81-CS86-CS87</f>
        <v>242.63277567341601</v>
      </c>
      <c r="CT85" s="509">
        <f>CT81-CT86-CT87</f>
        <v>52.703455540481229</v>
      </c>
      <c r="CU85" s="509">
        <f>CU81-CU86-CU87</f>
        <v>7.8836185310578912</v>
      </c>
      <c r="CV85" s="509">
        <f>CV81-CV86-CV87</f>
        <v>1.7430253317751294</v>
      </c>
      <c r="CW85" s="508">
        <f>CW81-CW86-CW87</f>
        <v>55</v>
      </c>
      <c r="CX85" s="507"/>
      <c r="CY85" s="510">
        <f>CY81-CY86-CY87</f>
        <v>78.870261284249594</v>
      </c>
      <c r="CZ85" s="509">
        <f>CZ81-CZ86-CZ87</f>
        <v>161.37089406422419</v>
      </c>
      <c r="DA85" s="509">
        <f>DA81-DA86-DA87</f>
        <v>180</v>
      </c>
      <c r="DB85" s="509">
        <f>DB81-DB86-DB87</f>
        <v>345</v>
      </c>
      <c r="DC85" s="508">
        <f>DC81-DC86-DC87</f>
        <v>175</v>
      </c>
      <c r="DD85" s="509"/>
      <c r="DE85" s="510">
        <f>DE81-DE86-DE87</f>
        <v>164.14023796542253</v>
      </c>
      <c r="DF85" s="509">
        <f>DF81-DF86-DF87</f>
        <v>123.84679056090062</v>
      </c>
      <c r="DG85" s="509">
        <f>DG81-DG86-DG87</f>
        <v>182.78520131013946</v>
      </c>
      <c r="DH85" s="509">
        <f>DH81-DH86-DH87</f>
        <v>297.05392676982689</v>
      </c>
      <c r="DI85" s="508">
        <f>DI81-DI86-DI87</f>
        <v>199.73548106814155</v>
      </c>
      <c r="DJ85" s="509"/>
      <c r="DK85" s="510">
        <f>DK81-DK86-DK87</f>
        <v>245.4625484447642</v>
      </c>
      <c r="DL85" s="509">
        <f>DL81-DL86-DL87</f>
        <v>159.19381635013858</v>
      </c>
      <c r="DM85" s="509">
        <f>DM81-DM86-DM87</f>
        <v>88.200688577416969</v>
      </c>
      <c r="DN85" s="509">
        <f>DN81-DN86-DN87</f>
        <v>153.85231935781701</v>
      </c>
      <c r="DO85" s="508">
        <f>DO81-DO86-DO87</f>
        <v>159.70489139397378</v>
      </c>
      <c r="DP85" s="509"/>
      <c r="DQ85" s="510">
        <f>DQ81-DQ86-DQ87</f>
        <v>235.95324545478442</v>
      </c>
      <c r="DR85" s="509">
        <f>DR81-DR86-DR87</f>
        <v>203.14398794200966</v>
      </c>
      <c r="DS85" s="509">
        <f>DS81-DS86-DS87</f>
        <v>155.74456940939478</v>
      </c>
      <c r="DT85" s="509">
        <f>DT81-DT86-DT87</f>
        <v>132.0076683509011</v>
      </c>
      <c r="DU85" s="508">
        <f>DU81-DU86-DU87</f>
        <v>178.02628906248313</v>
      </c>
      <c r="DV85" s="509"/>
      <c r="DW85" s="510">
        <f>DW81-DW86-DW87</f>
        <v>144.14979957629055</v>
      </c>
      <c r="DX85" s="509">
        <f>DX81-DX86-DX87</f>
        <v>146.31914505479986</v>
      </c>
      <c r="DY85" s="509">
        <f>DY81-DY86-DY87</f>
        <v>146.18962427079663</v>
      </c>
      <c r="DZ85" s="509">
        <f>DZ81-DZ86-DZ87</f>
        <v>123.85112903578272</v>
      </c>
      <c r="EA85" s="508">
        <f>EA81-EA86-EA87</f>
        <v>139.54365396129208</v>
      </c>
      <c r="EB85" s="509"/>
      <c r="EC85" s="510">
        <f t="shared" ref="EC85:EG85" si="162">EC81-EC86-EC87</f>
        <v>106.54745539854349</v>
      </c>
      <c r="ED85" s="509">
        <f t="shared" si="162"/>
        <v>109.38554373166043</v>
      </c>
      <c r="EE85" s="509">
        <f t="shared" si="162"/>
        <v>108.57542622886574</v>
      </c>
      <c r="EF85" s="509">
        <f t="shared" si="162"/>
        <v>91.452689314722718</v>
      </c>
      <c r="EG85" s="508">
        <f t="shared" si="162"/>
        <v>103.54415146117401</v>
      </c>
    </row>
    <row r="86" spans="1:137" ht="11.25" customHeight="1" outlineLevel="1" x14ac:dyDescent="0.2">
      <c r="A86" s="51" t="s">
        <v>235</v>
      </c>
      <c r="B86" s="14"/>
      <c r="C86" s="14"/>
      <c r="D86" s="14"/>
      <c r="E86" s="93"/>
      <c r="F86" s="71"/>
      <c r="G86" s="93"/>
      <c r="H86" s="71"/>
      <c r="I86" s="93"/>
      <c r="J86" s="71"/>
      <c r="K86" s="93"/>
      <c r="L86" s="71"/>
      <c r="M86" s="84"/>
      <c r="N86" s="71"/>
      <c r="O86" s="71"/>
      <c r="P86" s="71"/>
      <c r="Q86" s="93"/>
      <c r="R86" s="71"/>
      <c r="S86" s="84"/>
      <c r="T86" s="71"/>
      <c r="U86" s="71"/>
      <c r="V86" s="71"/>
      <c r="W86" s="93"/>
      <c r="X86" s="71"/>
      <c r="Y86" s="84"/>
      <c r="Z86" s="71"/>
      <c r="AA86" s="71"/>
      <c r="AB86" s="71"/>
      <c r="AC86" s="93"/>
      <c r="AD86" s="71"/>
      <c r="AE86" s="84"/>
      <c r="AF86" s="71"/>
      <c r="AG86" s="71"/>
      <c r="AH86" s="71"/>
      <c r="AI86" s="93"/>
      <c r="AJ86" s="71"/>
      <c r="AK86" s="84"/>
      <c r="AL86" s="71"/>
      <c r="AM86" s="71"/>
      <c r="AN86" s="71"/>
      <c r="AO86" s="93"/>
      <c r="AP86" s="71"/>
      <c r="AQ86" s="84"/>
      <c r="AR86" s="71"/>
      <c r="AS86" s="71"/>
      <c r="AT86" s="71"/>
      <c r="AU86" s="93"/>
      <c r="AV86" s="71"/>
      <c r="AW86" s="84"/>
      <c r="AX86" s="71"/>
      <c r="AY86" s="71"/>
      <c r="AZ86" s="71"/>
      <c r="BA86" s="93"/>
      <c r="BB86" s="71"/>
      <c r="BC86" s="84"/>
      <c r="BD86" s="71"/>
      <c r="BE86" s="71"/>
      <c r="BF86" s="71"/>
      <c r="BG86" s="93"/>
      <c r="BH86" s="71"/>
      <c r="BI86" s="84"/>
      <c r="BJ86" s="71"/>
      <c r="BK86" s="71"/>
      <c r="BL86" s="71"/>
      <c r="BM86" s="93"/>
      <c r="BN86" s="71"/>
      <c r="BO86" s="84"/>
      <c r="BP86" s="71"/>
      <c r="BQ86" s="71"/>
      <c r="BR86" s="71"/>
      <c r="BS86" s="806">
        <v>-384.98395187515513</v>
      </c>
      <c r="BT86" s="507"/>
      <c r="BU86" s="834">
        <v>-320</v>
      </c>
      <c r="BV86" s="807">
        <v>180</v>
      </c>
      <c r="BW86" s="807">
        <v>-550</v>
      </c>
      <c r="BX86" s="807">
        <v>-90</v>
      </c>
      <c r="BY86" s="508">
        <f>SUMPRODUCT(BU86:BX86,BU$70:BX$70)/BY$70</f>
        <v>-199.42688353797251</v>
      </c>
      <c r="BZ86" s="507"/>
      <c r="CA86" s="834">
        <v>-90</v>
      </c>
      <c r="CB86" s="807">
        <v>-90</v>
      </c>
      <c r="CC86" s="807">
        <v>0</v>
      </c>
      <c r="CD86" s="807">
        <v>0</v>
      </c>
      <c r="CE86" s="508">
        <f>SUMPRODUCT(CA86:CD86,CA$70:CD$70)/CE$70</f>
        <v>-42.448777339229764</v>
      </c>
      <c r="CF86" s="507"/>
      <c r="CG86" s="834">
        <v>-5</v>
      </c>
      <c r="CH86" s="807">
        <v>-5</v>
      </c>
      <c r="CI86" s="807">
        <v>-5</v>
      </c>
      <c r="CJ86" s="807">
        <v>-5</v>
      </c>
      <c r="CK86" s="508">
        <f>SUMPRODUCT(CG86:CJ86,CG$70:CJ$70)/CK$70</f>
        <v>-5</v>
      </c>
      <c r="CL86" s="507"/>
      <c r="CM86" s="834">
        <v>0</v>
      </c>
      <c r="CN86" s="807">
        <v>0</v>
      </c>
      <c r="CO86" s="807">
        <v>0</v>
      </c>
      <c r="CP86" s="807">
        <v>0</v>
      </c>
      <c r="CQ86" s="508">
        <f>SUMPRODUCT(CM86:CP86,CM$70:CP$70)/CQ$70</f>
        <v>0</v>
      </c>
      <c r="CR86" s="507"/>
      <c r="CS86" s="834">
        <v>0</v>
      </c>
      <c r="CT86" s="807">
        <v>0</v>
      </c>
      <c r="CU86" s="807">
        <v>-40</v>
      </c>
      <c r="CV86" s="807">
        <v>-350</v>
      </c>
      <c r="CW86" s="806">
        <v>-145</v>
      </c>
      <c r="CX86" s="507"/>
      <c r="CY86" s="834">
        <v>35</v>
      </c>
      <c r="CZ86" s="807">
        <v>25</v>
      </c>
      <c r="DA86" s="507">
        <v>-130</v>
      </c>
      <c r="DB86" s="807">
        <v>-30</v>
      </c>
      <c r="DC86" s="806">
        <f>-15</f>
        <v>-15</v>
      </c>
      <c r="DD86" s="509"/>
      <c r="DE86" s="834">
        <v>45</v>
      </c>
      <c r="DF86" s="807">
        <v>30</v>
      </c>
      <c r="DG86" s="507">
        <v>45</v>
      </c>
      <c r="DH86" s="807">
        <v>-10</v>
      </c>
      <c r="DI86" s="508">
        <f>SUMPRODUCT(DE86:DH86,DE$146:DH$146)/DI$146</f>
        <v>26.007465881265091</v>
      </c>
      <c r="DJ86" s="509"/>
      <c r="DK86" s="834">
        <v>-25</v>
      </c>
      <c r="DL86" s="898">
        <v>0</v>
      </c>
      <c r="DM86" s="898">
        <v>0</v>
      </c>
      <c r="DN86" s="898">
        <v>0</v>
      </c>
      <c r="DO86" s="508">
        <f>SUMPRODUCT(DK86:DN86,DK$146:DN$146)/DO$146</f>
        <v>-6.0157263127560148</v>
      </c>
      <c r="DP86" s="509"/>
      <c r="DQ86" s="897">
        <v>0</v>
      </c>
      <c r="DR86" s="898">
        <v>0</v>
      </c>
      <c r="DS86" s="898">
        <v>0</v>
      </c>
      <c r="DT86" s="898">
        <v>0</v>
      </c>
      <c r="DU86" s="508">
        <f>SUMPRODUCT(DQ86:DT86,DQ$146:DT$146)/DU$146</f>
        <v>0</v>
      </c>
      <c r="DV86" s="509"/>
      <c r="DW86" s="897">
        <v>0</v>
      </c>
      <c r="DX86" s="898">
        <v>0</v>
      </c>
      <c r="DY86" s="898">
        <v>0</v>
      </c>
      <c r="DZ86" s="898">
        <v>0</v>
      </c>
      <c r="EA86" s="508">
        <f>SUMPRODUCT(DW86:DZ86,DW$146:DZ$146)/EA$146</f>
        <v>0</v>
      </c>
      <c r="EB86" s="509"/>
      <c r="EC86" s="897">
        <v>0</v>
      </c>
      <c r="ED86" s="898">
        <v>0</v>
      </c>
      <c r="EE86" s="898">
        <v>0</v>
      </c>
      <c r="EF86" s="898">
        <v>0</v>
      </c>
      <c r="EG86" s="508">
        <f t="shared" ref="EG86:EG87" si="163">SUMPRODUCT(EC86:EF86,EC$146:EF$146)/EG$146</f>
        <v>0</v>
      </c>
    </row>
    <row r="87" spans="1:137" ht="11.25" customHeight="1" outlineLevel="1" x14ac:dyDescent="0.2">
      <c r="A87" s="51" t="s">
        <v>234</v>
      </c>
      <c r="B87" s="14"/>
      <c r="C87" s="14"/>
      <c r="D87" s="14"/>
      <c r="E87" s="93"/>
      <c r="F87" s="71"/>
      <c r="G87" s="93"/>
      <c r="H87" s="71"/>
      <c r="I87" s="93"/>
      <c r="J87" s="71"/>
      <c r="K87" s="93"/>
      <c r="L87" s="71"/>
      <c r="M87" s="84"/>
      <c r="N87" s="71"/>
      <c r="O87" s="71"/>
      <c r="P87" s="71"/>
      <c r="Q87" s="93"/>
      <c r="R87" s="71"/>
      <c r="S87" s="84"/>
      <c r="T87" s="71"/>
      <c r="U87" s="71"/>
      <c r="V87" s="71"/>
      <c r="W87" s="93"/>
      <c r="X87" s="71"/>
      <c r="Y87" s="84"/>
      <c r="Z87" s="71"/>
      <c r="AA87" s="71"/>
      <c r="AB87" s="71"/>
      <c r="AC87" s="93"/>
      <c r="AD87" s="71"/>
      <c r="AE87" s="84"/>
      <c r="AF87" s="71"/>
      <c r="AG87" s="71"/>
      <c r="AH87" s="71"/>
      <c r="AI87" s="93"/>
      <c r="AJ87" s="71"/>
      <c r="AK87" s="84"/>
      <c r="AL87" s="71"/>
      <c r="AM87" s="71"/>
      <c r="AN87" s="71"/>
      <c r="AO87" s="93"/>
      <c r="AP87" s="71"/>
      <c r="AQ87" s="84"/>
      <c r="AR87" s="71"/>
      <c r="AS87" s="71"/>
      <c r="AT87" s="71"/>
      <c r="AU87" s="93"/>
      <c r="AV87" s="71"/>
      <c r="AW87" s="84"/>
      <c r="AX87" s="71"/>
      <c r="AY87" s="71"/>
      <c r="AZ87" s="71"/>
      <c r="BA87" s="93"/>
      <c r="BB87" s="71"/>
      <c r="BC87" s="84"/>
      <c r="BD87" s="71"/>
      <c r="BE87" s="71"/>
      <c r="BF87" s="71"/>
      <c r="BG87" s="93"/>
      <c r="BH87" s="71"/>
      <c r="BI87" s="84"/>
      <c r="BJ87" s="71"/>
      <c r="BK87" s="71"/>
      <c r="BL87" s="71"/>
      <c r="BM87" s="93"/>
      <c r="BN87" s="71"/>
      <c r="BO87" s="84"/>
      <c r="BP87" s="71"/>
      <c r="BQ87" s="71"/>
      <c r="BR87" s="71"/>
      <c r="BS87" s="806">
        <v>-389.26417014702861</v>
      </c>
      <c r="BT87" s="507"/>
      <c r="BU87" s="834">
        <v>980</v>
      </c>
      <c r="BV87" s="807">
        <v>-600</v>
      </c>
      <c r="BW87" s="807">
        <v>-300</v>
      </c>
      <c r="BX87" s="807">
        <v>0</v>
      </c>
      <c r="BY87" s="508">
        <f>SUMPRODUCT(BU87:BX87,BU$70:BX$70)/BY$70</f>
        <v>-27.314777939723438</v>
      </c>
      <c r="BZ87" s="507"/>
      <c r="CA87" s="834">
        <v>50</v>
      </c>
      <c r="CB87" s="807">
        <v>600</v>
      </c>
      <c r="CC87" s="807">
        <v>550</v>
      </c>
      <c r="CD87" s="807">
        <v>0</v>
      </c>
      <c r="CE87" s="508">
        <f>SUMPRODUCT(CA87:CD87,CA$70:CD$70)/CE$70</f>
        <v>279.34114211340466</v>
      </c>
      <c r="CF87" s="507"/>
      <c r="CG87" s="834">
        <f>+CG40</f>
        <v>0.1310962901208837</v>
      </c>
      <c r="CH87" s="807">
        <f>+CH40</f>
        <v>0.15309889255877207</v>
      </c>
      <c r="CI87" s="807">
        <f>+CI40</f>
        <v>0.16111328890631127</v>
      </c>
      <c r="CJ87" s="891">
        <f>+CJ40</f>
        <v>0.13724161301253812</v>
      </c>
      <c r="CK87" s="508">
        <f>SUMPRODUCT(CG87:CJ87,CG$70:CJ$70)/CK$70</f>
        <v>0.14538287397739968</v>
      </c>
      <c r="CL87" s="507"/>
      <c r="CM87" s="834">
        <f>CM40</f>
        <v>0.14812634883264666</v>
      </c>
      <c r="CN87" s="807">
        <f>CN40</f>
        <v>0.14750994129899642</v>
      </c>
      <c r="CO87" s="807">
        <f>CO40</f>
        <v>0.17259651778955337</v>
      </c>
      <c r="CP87" s="807">
        <v>0</v>
      </c>
      <c r="CQ87" s="508">
        <f>SUMPRODUCT(CM87:CP87,CM$70:CP$70)/CQ$70</f>
        <v>0.11058113897581627</v>
      </c>
      <c r="CR87" s="507"/>
      <c r="CS87" s="834">
        <v>-210</v>
      </c>
      <c r="CT87" s="807">
        <v>-330</v>
      </c>
      <c r="CU87" s="807">
        <v>-840</v>
      </c>
      <c r="CV87" s="807">
        <v>-220</v>
      </c>
      <c r="CW87" s="806">
        <f>-390</f>
        <v>-390</v>
      </c>
      <c r="CX87" s="507"/>
      <c r="CY87" s="834">
        <v>0</v>
      </c>
      <c r="CZ87" s="807">
        <v>0</v>
      </c>
      <c r="DA87" s="807">
        <v>850</v>
      </c>
      <c r="DB87" s="807">
        <v>395</v>
      </c>
      <c r="DC87" s="806">
        <f>390-10</f>
        <v>380</v>
      </c>
      <c r="DD87" s="509"/>
      <c r="DE87" s="835">
        <v>0</v>
      </c>
      <c r="DF87" s="807">
        <v>0</v>
      </c>
      <c r="DG87" s="807">
        <v>0</v>
      </c>
      <c r="DH87" s="836">
        <v>25</v>
      </c>
      <c r="DI87" s="513">
        <f>SUMPRODUCT(DE87:DH87,DE$146:DH$146)/DI$146</f>
        <v>6.9517457490710459</v>
      </c>
      <c r="DJ87" s="509"/>
      <c r="DK87" s="835">
        <v>0</v>
      </c>
      <c r="DL87" s="899">
        <v>0</v>
      </c>
      <c r="DM87" s="899">
        <v>0</v>
      </c>
      <c r="DN87" s="899">
        <v>0</v>
      </c>
      <c r="DO87" s="513">
        <f>SUMPRODUCT(DK87:DN87,DK$146:DN$146)/DO$146</f>
        <v>0</v>
      </c>
      <c r="DP87" s="509"/>
      <c r="DQ87" s="900">
        <v>0</v>
      </c>
      <c r="DR87" s="899">
        <v>0</v>
      </c>
      <c r="DS87" s="899">
        <v>0</v>
      </c>
      <c r="DT87" s="899">
        <v>0</v>
      </c>
      <c r="DU87" s="513">
        <f>SUMPRODUCT(DQ87:DT87,DQ$146:DT$146)/DU$146</f>
        <v>0</v>
      </c>
      <c r="DV87" s="509"/>
      <c r="DW87" s="900">
        <v>0</v>
      </c>
      <c r="DX87" s="899">
        <v>0</v>
      </c>
      <c r="DY87" s="899">
        <v>0</v>
      </c>
      <c r="DZ87" s="899">
        <v>0</v>
      </c>
      <c r="EA87" s="513">
        <f>SUMPRODUCT(DW87:DZ87,DW$146:DZ$146)/EA$146</f>
        <v>0</v>
      </c>
      <c r="EB87" s="509"/>
      <c r="EC87" s="900">
        <v>0</v>
      </c>
      <c r="ED87" s="899">
        <v>0</v>
      </c>
      <c r="EE87" s="899">
        <v>0</v>
      </c>
      <c r="EF87" s="899">
        <v>0</v>
      </c>
      <c r="EG87" s="513">
        <f t="shared" si="163"/>
        <v>0</v>
      </c>
    </row>
    <row r="88" spans="1:137" ht="11.25" customHeight="1" outlineLevel="2" x14ac:dyDescent="0.2">
      <c r="A88" s="106" t="s">
        <v>586</v>
      </c>
      <c r="B88" s="74"/>
      <c r="C88" s="74"/>
      <c r="D88" s="74"/>
      <c r="E88" s="107"/>
      <c r="F88" s="75"/>
      <c r="G88" s="107"/>
      <c r="H88" s="75"/>
      <c r="I88" s="107"/>
      <c r="J88" s="75"/>
      <c r="K88" s="107"/>
      <c r="L88" s="75"/>
      <c r="M88" s="109"/>
      <c r="N88" s="110"/>
      <c r="O88" s="110"/>
      <c r="P88" s="110"/>
      <c r="Q88" s="107"/>
      <c r="R88" s="75"/>
      <c r="S88" s="109"/>
      <c r="T88" s="110"/>
      <c r="U88" s="110"/>
      <c r="V88" s="110"/>
      <c r="W88" s="107"/>
      <c r="X88" s="75"/>
      <c r="Y88" s="109"/>
      <c r="Z88" s="110"/>
      <c r="AA88" s="110"/>
      <c r="AB88" s="110"/>
      <c r="AC88" s="107"/>
      <c r="AD88" s="75"/>
      <c r="AE88" s="109"/>
      <c r="AF88" s="110"/>
      <c r="AG88" s="110"/>
      <c r="AH88" s="110"/>
      <c r="AI88" s="107"/>
      <c r="AJ88" s="75"/>
      <c r="AK88" s="109"/>
      <c r="AL88" s="110"/>
      <c r="AM88" s="110"/>
      <c r="AN88" s="110"/>
      <c r="AO88" s="107"/>
      <c r="AP88" s="75"/>
      <c r="AQ88" s="109"/>
      <c r="AR88" s="110"/>
      <c r="AS88" s="110"/>
      <c r="AT88" s="110"/>
      <c r="AU88" s="107"/>
      <c r="AV88" s="75"/>
      <c r="AW88" s="109"/>
      <c r="AX88" s="110"/>
      <c r="AY88" s="110"/>
      <c r="AZ88" s="110"/>
      <c r="BA88" s="107"/>
      <c r="BB88" s="75"/>
      <c r="BC88" s="109"/>
      <c r="BD88" s="110"/>
      <c r="BE88" s="110"/>
      <c r="BF88" s="110"/>
      <c r="BG88" s="107"/>
      <c r="BH88" s="75"/>
      <c r="BI88" s="109"/>
      <c r="BJ88" s="110"/>
      <c r="BK88" s="110"/>
      <c r="BL88" s="110"/>
      <c r="BM88" s="107"/>
      <c r="BN88" s="75"/>
      <c r="BO88" s="109"/>
      <c r="BP88" s="110"/>
      <c r="BQ88" s="110"/>
      <c r="BR88" s="110"/>
      <c r="BS88" s="107"/>
      <c r="BT88" s="75"/>
      <c r="BU88" s="109"/>
      <c r="BV88" s="110"/>
      <c r="BW88" s="110"/>
      <c r="BX88" s="110"/>
      <c r="BY88" s="107"/>
      <c r="BZ88" s="75"/>
      <c r="CA88" s="109"/>
      <c r="CB88" s="110"/>
      <c r="CC88" s="110"/>
      <c r="CD88" s="110"/>
      <c r="CE88" s="107"/>
      <c r="CF88" s="75"/>
      <c r="CG88" s="109"/>
      <c r="CH88" s="110"/>
      <c r="CI88" s="110"/>
      <c r="CJ88" s="110"/>
      <c r="CK88" s="107"/>
      <c r="CL88" s="75"/>
      <c r="CM88" s="109"/>
      <c r="CN88" s="110"/>
      <c r="CO88" s="110"/>
      <c r="CP88" s="110"/>
      <c r="CQ88" s="107"/>
      <c r="CR88" s="75"/>
      <c r="CS88" s="109"/>
      <c r="CT88" s="110"/>
      <c r="CU88" s="110"/>
      <c r="CV88" s="110"/>
      <c r="CW88" s="107"/>
      <c r="CX88" s="75"/>
      <c r="CY88" s="109"/>
      <c r="CZ88" s="110"/>
      <c r="DA88" s="110"/>
      <c r="DB88" s="110"/>
      <c r="DC88" s="107"/>
      <c r="DD88" s="75"/>
      <c r="DE88" s="109"/>
      <c r="DF88" s="110"/>
      <c r="DG88" s="110"/>
      <c r="DH88" s="110"/>
      <c r="DI88" s="107"/>
      <c r="DJ88" s="75"/>
      <c r="DK88" s="109"/>
      <c r="DL88" s="110"/>
      <c r="DM88" s="110"/>
      <c r="DN88" s="110"/>
      <c r="DO88" s="107"/>
      <c r="DP88" s="75"/>
      <c r="DQ88" s="109"/>
      <c r="DR88" s="110"/>
      <c r="DS88" s="110"/>
      <c r="DT88" s="110"/>
      <c r="DU88" s="107"/>
      <c r="DV88" s="75"/>
      <c r="DW88" s="109"/>
      <c r="DX88" s="110"/>
      <c r="DY88" s="110"/>
      <c r="DZ88" s="110"/>
      <c r="EA88" s="107"/>
      <c r="EB88" s="75"/>
      <c r="EC88" s="109"/>
      <c r="ED88" s="110"/>
      <c r="EE88" s="110"/>
      <c r="EF88" s="110"/>
      <c r="EG88" s="107"/>
    </row>
    <row r="89" spans="1:137" ht="11.25" customHeight="1" outlineLevel="2" x14ac:dyDescent="0.2">
      <c r="A89" s="884" t="s">
        <v>574</v>
      </c>
      <c r="B89" s="11"/>
      <c r="C89" s="11"/>
      <c r="D89" s="11"/>
      <c r="E89" s="885"/>
      <c r="F89" s="164"/>
      <c r="G89" s="885"/>
      <c r="H89" s="164"/>
      <c r="I89" s="885"/>
      <c r="J89" s="164"/>
      <c r="K89" s="885"/>
      <c r="L89" s="164"/>
      <c r="M89" s="886"/>
      <c r="N89" s="401"/>
      <c r="O89" s="401"/>
      <c r="P89" s="401"/>
      <c r="Q89" s="885"/>
      <c r="R89" s="164"/>
      <c r="S89" s="886"/>
      <c r="T89" s="401"/>
      <c r="U89" s="401"/>
      <c r="V89" s="401"/>
      <c r="W89" s="885"/>
      <c r="X89" s="164"/>
      <c r="Y89" s="886"/>
      <c r="Z89" s="401"/>
      <c r="AA89" s="401"/>
      <c r="AB89" s="401"/>
      <c r="AC89" s="885"/>
      <c r="AD89" s="164"/>
      <c r="AE89" s="886"/>
      <c r="AF89" s="401"/>
      <c r="AG89" s="401"/>
      <c r="AH89" s="401"/>
      <c r="AI89" s="885"/>
      <c r="AJ89" s="164"/>
      <c r="AK89" s="886"/>
      <c r="AL89" s="401"/>
      <c r="AM89" s="401"/>
      <c r="AN89" s="401"/>
      <c r="AO89" s="885"/>
      <c r="AP89" s="164"/>
      <c r="AQ89" s="886"/>
      <c r="AR89" s="401"/>
      <c r="AS89" s="401"/>
      <c r="AT89" s="401"/>
      <c r="AU89" s="885"/>
      <c r="AV89" s="164"/>
      <c r="AW89" s="886"/>
      <c r="AX89" s="401"/>
      <c r="AY89" s="401"/>
      <c r="AZ89" s="401"/>
      <c r="BA89" s="885"/>
      <c r="BB89" s="164"/>
      <c r="BC89" s="886"/>
      <c r="BD89" s="401"/>
      <c r="BE89" s="401"/>
      <c r="BF89" s="401"/>
      <c r="BG89" s="885"/>
      <c r="BH89" s="164"/>
      <c r="BI89" s="886"/>
      <c r="BJ89" s="401"/>
      <c r="BK89" s="401"/>
      <c r="BL89" s="401"/>
      <c r="BM89" s="885"/>
      <c r="BN89" s="164"/>
      <c r="BO89" s="886"/>
      <c r="BP89" s="401"/>
      <c r="BQ89" s="401"/>
      <c r="BR89" s="401"/>
      <c r="BS89" s="885"/>
      <c r="BT89" s="164"/>
      <c r="BU89" s="886"/>
      <c r="BV89" s="401"/>
      <c r="BW89" s="401"/>
      <c r="BX89" s="401"/>
      <c r="BY89" s="885"/>
      <c r="BZ89" s="164"/>
      <c r="CA89" s="886"/>
      <c r="CB89" s="401"/>
      <c r="CC89" s="401"/>
      <c r="CD89" s="401"/>
      <c r="CE89" s="885"/>
      <c r="CF89" s="164"/>
      <c r="CG89" s="886"/>
      <c r="CH89" s="401"/>
      <c r="CI89" s="401"/>
      <c r="CJ89" s="401"/>
      <c r="CK89" s="885"/>
      <c r="CL89" s="164"/>
      <c r="CM89" s="886"/>
      <c r="CN89" s="401"/>
      <c r="CO89" s="401"/>
      <c r="CP89" s="401"/>
      <c r="CQ89" s="885"/>
      <c r="CR89" s="164"/>
      <c r="CS89" s="998">
        <f>+CS107-CM107</f>
        <v>0</v>
      </c>
      <c r="CT89" s="999">
        <f>+CT107-CN107</f>
        <v>0</v>
      </c>
      <c r="CU89" s="999">
        <f>+CU107-CO107</f>
        <v>0</v>
      </c>
      <c r="CV89" s="999">
        <f>+CV107-CP107</f>
        <v>0</v>
      </c>
      <c r="CW89" s="1000">
        <f>+SUM(CS89:CV89)</f>
        <v>0</v>
      </c>
      <c r="CX89" s="987"/>
      <c r="CY89" s="998">
        <f>+CY107-CS107</f>
        <v>15</v>
      </c>
      <c r="CZ89" s="999">
        <f>+CZ107-CT107</f>
        <v>20</v>
      </c>
      <c r="DA89" s="999">
        <f>+DA107-CU107</f>
        <v>30</v>
      </c>
      <c r="DB89" s="999">
        <f>+DB107-CV107</f>
        <v>35</v>
      </c>
      <c r="DC89" s="1000">
        <f>+SUM(CY89:DB89)</f>
        <v>100</v>
      </c>
      <c r="DD89" s="987"/>
      <c r="DE89" s="998">
        <f>+DE107-CY107</f>
        <v>30</v>
      </c>
      <c r="DF89" s="999">
        <f>+DF107-CZ107</f>
        <v>30</v>
      </c>
      <c r="DG89" s="999">
        <f>+DG107-DA107</f>
        <v>20</v>
      </c>
      <c r="DH89" s="999">
        <f>+DH107-DB107</f>
        <v>20</v>
      </c>
      <c r="DI89" s="1000">
        <f>+SUM(DE89:DH89)</f>
        <v>100</v>
      </c>
      <c r="DJ89" s="987"/>
      <c r="DK89" s="998">
        <f>+DK107-DE107</f>
        <v>10</v>
      </c>
      <c r="DL89" s="999">
        <f>+DL107-DF107</f>
        <v>10</v>
      </c>
      <c r="DM89" s="999">
        <f>+DM107-DG107</f>
        <v>10</v>
      </c>
      <c r="DN89" s="999">
        <f>+DN107-DH107</f>
        <v>10</v>
      </c>
      <c r="DO89" s="1000">
        <f>+SUM(DK89:DN89)</f>
        <v>40</v>
      </c>
      <c r="DP89" s="987"/>
      <c r="DQ89" s="998">
        <f>+DQ107-DK107</f>
        <v>15</v>
      </c>
      <c r="DR89" s="999">
        <f>+DR107-DL107</f>
        <v>15</v>
      </c>
      <c r="DS89" s="999">
        <f>+DS107-DM107</f>
        <v>15</v>
      </c>
      <c r="DT89" s="999">
        <f>+DT107-DN107</f>
        <v>15</v>
      </c>
      <c r="DU89" s="1000">
        <f>+SUM(DQ89:DT89)</f>
        <v>60</v>
      </c>
      <c r="DV89" s="164"/>
      <c r="DW89" s="998">
        <f>+DW107-DQ107</f>
        <v>15</v>
      </c>
      <c r="DX89" s="999">
        <f>+DX107-DR107</f>
        <v>15</v>
      </c>
      <c r="DY89" s="999">
        <f>+DY107-DS107</f>
        <v>15</v>
      </c>
      <c r="DZ89" s="999">
        <f>+DZ107-DT107</f>
        <v>15</v>
      </c>
      <c r="EA89" s="1000">
        <f>+SUM(DW89:DZ89)</f>
        <v>60</v>
      </c>
      <c r="EB89" s="164"/>
      <c r="EC89" s="998">
        <f t="shared" ref="EC89:EF89" si="164">+EC107-DW107</f>
        <v>10</v>
      </c>
      <c r="ED89" s="999">
        <f t="shared" si="164"/>
        <v>10</v>
      </c>
      <c r="EE89" s="999">
        <f t="shared" si="164"/>
        <v>10</v>
      </c>
      <c r="EF89" s="999">
        <f t="shared" si="164"/>
        <v>10</v>
      </c>
      <c r="EG89" s="1000">
        <f t="shared" ref="EG89" si="165">+SUM(EC89:EF89)</f>
        <v>40</v>
      </c>
    </row>
    <row r="90" spans="1:137" ht="11.25" customHeight="1" outlineLevel="2" x14ac:dyDescent="0.2">
      <c r="A90" s="50" t="s">
        <v>583</v>
      </c>
      <c r="B90" s="11"/>
      <c r="C90" s="11"/>
      <c r="D90" s="11"/>
      <c r="E90" s="163"/>
      <c r="F90" s="164"/>
      <c r="G90" s="163"/>
      <c r="H90" s="164"/>
      <c r="I90" s="163"/>
      <c r="J90" s="164"/>
      <c r="K90" s="163"/>
      <c r="L90" s="164"/>
      <c r="M90" s="165"/>
      <c r="N90" s="164"/>
      <c r="O90" s="164"/>
      <c r="P90" s="164"/>
      <c r="Q90" s="163"/>
      <c r="R90" s="164"/>
      <c r="S90" s="165"/>
      <c r="T90" s="164"/>
      <c r="U90" s="164"/>
      <c r="V90" s="164"/>
      <c r="W90" s="163"/>
      <c r="X90" s="164"/>
      <c r="Y90" s="165"/>
      <c r="Z90" s="164"/>
      <c r="AA90" s="164"/>
      <c r="AB90" s="164"/>
      <c r="AC90" s="163"/>
      <c r="AD90" s="164"/>
      <c r="AE90" s="165"/>
      <c r="AF90" s="164"/>
      <c r="AG90" s="164"/>
      <c r="AH90" s="164"/>
      <c r="AI90" s="163"/>
      <c r="AJ90" s="164"/>
      <c r="AK90" s="165"/>
      <c r="AL90" s="164"/>
      <c r="AM90" s="164"/>
      <c r="AN90" s="164"/>
      <c r="AO90" s="163"/>
      <c r="AP90" s="164"/>
      <c r="AQ90" s="165"/>
      <c r="AR90" s="164"/>
      <c r="AS90" s="164"/>
      <c r="AT90" s="164"/>
      <c r="AU90" s="163"/>
      <c r="AV90" s="164"/>
      <c r="AW90" s="165"/>
      <c r="AX90" s="164"/>
      <c r="AY90" s="164"/>
      <c r="AZ90" s="164"/>
      <c r="BA90" s="163"/>
      <c r="BB90" s="164"/>
      <c r="BC90" s="165"/>
      <c r="BD90" s="164"/>
      <c r="BE90" s="164"/>
      <c r="BF90" s="164"/>
      <c r="BG90" s="163"/>
      <c r="BH90" s="164"/>
      <c r="BI90" s="165"/>
      <c r="BJ90" s="164"/>
      <c r="BK90" s="164"/>
      <c r="BL90" s="164"/>
      <c r="BM90" s="163"/>
      <c r="BN90" s="164"/>
      <c r="BO90" s="165"/>
      <c r="BP90" s="164"/>
      <c r="BQ90" s="164"/>
      <c r="BR90" s="164"/>
      <c r="BS90" s="163"/>
      <c r="BT90" s="163"/>
      <c r="BU90" s="165"/>
      <c r="BV90" s="164"/>
      <c r="BW90" s="164"/>
      <c r="BX90" s="164"/>
      <c r="BY90" s="163"/>
      <c r="BZ90" s="163"/>
      <c r="CA90" s="165"/>
      <c r="CB90" s="164"/>
      <c r="CC90" s="164"/>
      <c r="CD90" s="164"/>
      <c r="CE90" s="163"/>
      <c r="CF90" s="163"/>
      <c r="CG90" s="165"/>
      <c r="CH90" s="164"/>
      <c r="CI90" s="164"/>
      <c r="CJ90" s="164"/>
      <c r="CK90" s="163"/>
      <c r="CL90" s="163"/>
      <c r="CM90" s="165"/>
      <c r="CN90" s="164"/>
      <c r="CO90" s="164"/>
      <c r="CP90" s="164"/>
      <c r="CQ90" s="163"/>
      <c r="CR90" s="163"/>
      <c r="CS90" s="986">
        <f>+((CS107-CM107)/CS70)*10000</f>
        <v>0</v>
      </c>
      <c r="CT90" s="985">
        <f>+((CT107-CN107)/CT70)*10000</f>
        <v>0</v>
      </c>
      <c r="CU90" s="985">
        <f>+((CU107-CO107)/CU70)*10000</f>
        <v>0</v>
      </c>
      <c r="CV90" s="985">
        <f>+((CV107-CP107)/CV70)*10000</f>
        <v>0</v>
      </c>
      <c r="CW90" s="869">
        <f>+AVERAGE(CS90:CV90)</f>
        <v>0</v>
      </c>
      <c r="CX90" s="869"/>
      <c r="CY90" s="986">
        <f>+((CY107-CS107)/CY70)*10000</f>
        <v>119.22740640648598</v>
      </c>
      <c r="CZ90" s="985">
        <f>+((CZ107-CT107)/CZ70)*10000</f>
        <v>150.56839569374389</v>
      </c>
      <c r="DA90" s="985">
        <f>+((DA107-CU107)/DA70)*10000</f>
        <v>226.34676324128563</v>
      </c>
      <c r="DB90" s="985">
        <f>+((DB107-CV107)/DB70)*10000</f>
        <v>240.69871398115674</v>
      </c>
      <c r="DC90" s="869">
        <f>+AVERAGE(CY90:DB90)</f>
        <v>184.21031983066806</v>
      </c>
      <c r="DD90" s="869"/>
      <c r="DE90" s="986">
        <f>+((DE107-CY107)/DE70)*10000</f>
        <v>229.34026450577176</v>
      </c>
      <c r="DF90" s="985">
        <f>+((DF107-CZ107)/DF70)*10000</f>
        <v>216.71602976233478</v>
      </c>
      <c r="DG90" s="985">
        <f>+((DG107-DA107)/DG70)*10000</f>
        <v>143.61625736033321</v>
      </c>
      <c r="DH90" s="985">
        <f>+((DH107-DB107)/DH70)*10000</f>
        <v>123.06934957848749</v>
      </c>
      <c r="DI90" s="869">
        <f>+AVERAGE(DE90:DH90)</f>
        <v>178.1854753017318</v>
      </c>
      <c r="DJ90" s="869"/>
      <c r="DK90" s="986">
        <f>+((DK107-DE107)/DK70)*10000</f>
        <v>67.750677506775077</v>
      </c>
      <c r="DL90" s="985">
        <f>+((DL107-DF107)/DL70)*10000</f>
        <v>64.642682723047145</v>
      </c>
      <c r="DM90" s="985">
        <f>+((DM107-DG107)/DM70)*10000</f>
        <v>64.260909574618495</v>
      </c>
      <c r="DN90" s="985">
        <f>+((DN107-DH107)/DN70)*10000</f>
        <v>55.509898663904494</v>
      </c>
      <c r="DO90" s="869">
        <f>+AVERAGE(DK90:DN90)</f>
        <v>63.041042117086306</v>
      </c>
      <c r="DP90" s="869"/>
      <c r="DQ90" s="986">
        <f>+((DQ107-DK107)/DQ70)*10000</f>
        <v>92.876956607885887</v>
      </c>
      <c r="DR90" s="985">
        <f>+((DR107-DL107)/DR70)*10000</f>
        <v>90.697785955788859</v>
      </c>
      <c r="DS90" s="985">
        <f>+((DS107-DM107)/DS70)*10000</f>
        <v>92.684004194161304</v>
      </c>
      <c r="DT90" s="985">
        <f>+((DT107-DN107)/DT70)*10000</f>
        <v>80.062353842169941</v>
      </c>
      <c r="DU90" s="869">
        <f>+AVERAGE(DQ90:DT90)</f>
        <v>89.080275150001512</v>
      </c>
      <c r="DV90" s="869"/>
      <c r="DW90" s="986">
        <f>+((DW107-DQ107)/DW70)*10000</f>
        <v>89.30476596912105</v>
      </c>
      <c r="DX90" s="985">
        <f>+((DX107-DR107)/DX70)*10000</f>
        <v>87.209409572873895</v>
      </c>
      <c r="DY90" s="985">
        <f>+((DY107-DS107)/DY70)*10000</f>
        <v>89.119234802078168</v>
      </c>
      <c r="DZ90" s="985">
        <f>+((DZ107-DT107)/DZ70)*10000</f>
        <v>76.98303254054801</v>
      </c>
      <c r="EA90" s="869">
        <f>+AVERAGE(DW90:DZ90)</f>
        <v>85.654110721155291</v>
      </c>
      <c r="EB90" s="869"/>
      <c r="EC90" s="986">
        <f t="shared" ref="EC90:EF90" si="166">+((EC107-DW107)/EC70)*10000</f>
        <v>57.246644852000671</v>
      </c>
      <c r="ED90" s="985">
        <f t="shared" si="166"/>
        <v>55.90346767491917</v>
      </c>
      <c r="EE90" s="985">
        <f t="shared" si="166"/>
        <v>57.127714616716766</v>
      </c>
      <c r="EF90" s="985">
        <f t="shared" si="166"/>
        <v>49.348097782402569</v>
      </c>
      <c r="EG90" s="869">
        <f t="shared" ref="EG90" si="167">+AVERAGE(EC90:EF90)</f>
        <v>54.906481231509794</v>
      </c>
    </row>
    <row r="91" spans="1:137" ht="11.25" customHeight="1" outlineLevel="2" x14ac:dyDescent="0.2">
      <c r="A91" s="50"/>
      <c r="B91" s="11"/>
      <c r="C91" s="11"/>
      <c r="D91" s="11"/>
      <c r="E91" s="163"/>
      <c r="F91" s="164"/>
      <c r="G91" s="163"/>
      <c r="H91" s="164"/>
      <c r="I91" s="163"/>
      <c r="J91" s="164"/>
      <c r="K91" s="163"/>
      <c r="L91" s="164"/>
      <c r="M91" s="165"/>
      <c r="N91" s="164"/>
      <c r="O91" s="164"/>
      <c r="P91" s="164"/>
      <c r="Q91" s="163"/>
      <c r="R91" s="164"/>
      <c r="S91" s="165"/>
      <c r="T91" s="164"/>
      <c r="U91" s="164"/>
      <c r="V91" s="164"/>
      <c r="W91" s="163"/>
      <c r="X91" s="164"/>
      <c r="Y91" s="165"/>
      <c r="Z91" s="164"/>
      <c r="AA91" s="164"/>
      <c r="AB91" s="164"/>
      <c r="AC91" s="163"/>
      <c r="AD91" s="164"/>
      <c r="AE91" s="165"/>
      <c r="AF91" s="164"/>
      <c r="AG91" s="164"/>
      <c r="AH91" s="164"/>
      <c r="AI91" s="163"/>
      <c r="AJ91" s="164"/>
      <c r="AK91" s="165"/>
      <c r="AL91" s="164"/>
      <c r="AM91" s="164"/>
      <c r="AN91" s="164"/>
      <c r="AO91" s="163"/>
      <c r="AP91" s="164"/>
      <c r="AQ91" s="165"/>
      <c r="AR91" s="164"/>
      <c r="AS91" s="164"/>
      <c r="AT91" s="164"/>
      <c r="AU91" s="163"/>
      <c r="AV91" s="164"/>
      <c r="AW91" s="165"/>
      <c r="AX91" s="164"/>
      <c r="AY91" s="164"/>
      <c r="AZ91" s="164"/>
      <c r="BA91" s="163"/>
      <c r="BB91" s="164"/>
      <c r="BC91" s="165"/>
      <c r="BD91" s="164"/>
      <c r="BE91" s="164"/>
      <c r="BF91" s="164"/>
      <c r="BG91" s="163"/>
      <c r="BH91" s="164"/>
      <c r="BI91" s="165"/>
      <c r="BJ91" s="164"/>
      <c r="BK91" s="164"/>
      <c r="BL91" s="164"/>
      <c r="BM91" s="163"/>
      <c r="BN91" s="164"/>
      <c r="BO91" s="165"/>
      <c r="BP91" s="164"/>
      <c r="BQ91" s="164"/>
      <c r="BR91" s="164"/>
      <c r="BS91" s="163"/>
      <c r="BT91" s="164"/>
      <c r="BU91" s="165"/>
      <c r="BV91" s="164"/>
      <c r="BW91" s="164"/>
      <c r="BX91" s="164"/>
      <c r="BY91" s="163"/>
      <c r="BZ91" s="164"/>
      <c r="CA91" s="165"/>
      <c r="CB91" s="164"/>
      <c r="CC91" s="164"/>
      <c r="CD91" s="164"/>
      <c r="CE91" s="163"/>
      <c r="CF91" s="164"/>
      <c r="CG91" s="165"/>
      <c r="CH91" s="164"/>
      <c r="CI91" s="164"/>
      <c r="CJ91" s="164"/>
      <c r="CK91" s="163"/>
      <c r="CL91" s="164"/>
      <c r="CM91" s="165"/>
      <c r="CN91" s="164"/>
      <c r="CO91" s="164"/>
      <c r="CP91" s="164"/>
      <c r="CQ91" s="163"/>
      <c r="CR91" s="164"/>
      <c r="CS91" s="165"/>
      <c r="CT91" s="164"/>
      <c r="CU91" s="164"/>
      <c r="CV91" s="164"/>
      <c r="CW91" s="163"/>
      <c r="CX91" s="164"/>
      <c r="CY91" s="165"/>
      <c r="CZ91" s="164"/>
      <c r="DA91" s="164"/>
      <c r="DB91" s="164"/>
      <c r="DC91" s="163"/>
      <c r="DD91" s="164"/>
      <c r="DE91" s="165"/>
      <c r="DF91" s="164"/>
      <c r="DG91" s="164"/>
      <c r="DH91" s="164"/>
      <c r="DI91" s="1247"/>
      <c r="DJ91" s="164"/>
      <c r="DK91" s="165"/>
      <c r="DL91" s="164"/>
      <c r="DM91" s="164"/>
      <c r="DN91" s="164"/>
      <c r="DO91" s="163"/>
      <c r="DP91" s="164"/>
      <c r="DQ91" s="165"/>
      <c r="DR91" s="164"/>
      <c r="DS91" s="164"/>
      <c r="DT91" s="164"/>
      <c r="DU91" s="163"/>
      <c r="DV91" s="164"/>
      <c r="DW91" s="165"/>
      <c r="DX91" s="164"/>
      <c r="DY91" s="164"/>
      <c r="DZ91" s="164"/>
      <c r="EA91" s="163"/>
      <c r="EB91" s="164"/>
      <c r="EC91" s="165"/>
      <c r="ED91" s="164"/>
      <c r="EE91" s="164"/>
      <c r="EF91" s="164"/>
      <c r="EG91" s="163"/>
    </row>
    <row r="92" spans="1:137" ht="11.25" customHeight="1" outlineLevel="2" x14ac:dyDescent="0.2">
      <c r="A92" s="153" t="s">
        <v>69</v>
      </c>
      <c r="C92" s="348"/>
      <c r="E92" s="153"/>
      <c r="G92" s="153"/>
      <c r="I92" s="153"/>
      <c r="K92" s="153"/>
      <c r="M92" s="150"/>
      <c r="Q92" s="153"/>
      <c r="S92" s="150"/>
      <c r="W92" s="153"/>
      <c r="Y92" s="150"/>
      <c r="AC92" s="153"/>
      <c r="AE92" s="150"/>
      <c r="AI92" s="153"/>
      <c r="AK92" s="150"/>
      <c r="AO92" s="153"/>
      <c r="AQ92" s="150"/>
      <c r="AU92" s="153"/>
      <c r="AW92" s="150"/>
      <c r="BA92" s="153"/>
      <c r="BC92" s="150"/>
      <c r="BG92" s="153"/>
      <c r="BI92" s="150"/>
      <c r="BM92" s="153"/>
      <c r="BO92" s="150"/>
      <c r="BS92" s="153"/>
      <c r="BU92" s="150"/>
      <c r="BY92" s="153"/>
      <c r="CA92" s="150"/>
      <c r="CE92" s="153"/>
      <c r="CG92" s="150"/>
      <c r="CK92" s="153"/>
      <c r="CM92" s="150"/>
      <c r="CQ92" s="153">
        <v>2789</v>
      </c>
      <c r="CS92" s="84">
        <v>681.14499999999998</v>
      </c>
      <c r="CT92" s="71">
        <v>757.03</v>
      </c>
      <c r="CU92" s="71">
        <v>685.11</v>
      </c>
      <c r="CV92" s="71">
        <v>679.56200000000001</v>
      </c>
      <c r="CW92" s="92">
        <v>2802.8469999999998</v>
      </c>
      <c r="CX92" s="350"/>
      <c r="CY92" s="84">
        <v>670</v>
      </c>
      <c r="CZ92" s="71">
        <v>727</v>
      </c>
      <c r="DA92" s="71">
        <v>698.81220000000008</v>
      </c>
      <c r="DB92" s="67">
        <f>CV92*(1+DB93)</f>
        <v>713.54010000000005</v>
      </c>
      <c r="DC92" s="92">
        <v>2809.3523000000005</v>
      </c>
      <c r="DD92" s="350"/>
      <c r="DE92" s="82">
        <f>CY92*(1+DE93)</f>
        <v>683.4</v>
      </c>
      <c r="DF92" s="67">
        <f>CZ92*(1+DF93)</f>
        <v>745.17499999999995</v>
      </c>
      <c r="DG92" s="67">
        <f>DA92*(1+DG93)</f>
        <v>691.8240780000001</v>
      </c>
      <c r="DH92" s="67">
        <f>DB92*(1+DH93)</f>
        <v>781.32640950000007</v>
      </c>
      <c r="DI92" s="93">
        <f>SUM(DE92:DH92)</f>
        <v>2901.7254874999999</v>
      </c>
      <c r="DJ92" s="350"/>
      <c r="DK92" s="82">
        <f>DE92*(1+DK93)</f>
        <v>710.73599999999999</v>
      </c>
      <c r="DL92" s="67">
        <f>DF92*(1+DL93)</f>
        <v>774.98199999999997</v>
      </c>
      <c r="DM92" s="67">
        <f>DG92*(1+DM93)</f>
        <v>719.49704112000018</v>
      </c>
      <c r="DN92" s="67">
        <f>DH92*(1+DN93)</f>
        <v>812.57946588000004</v>
      </c>
      <c r="DO92" s="93">
        <f>SUM(DK92:DN92)</f>
        <v>3017.7945070000001</v>
      </c>
      <c r="DP92" s="350"/>
      <c r="DQ92" s="82">
        <f>DK92*(1+DQ93)</f>
        <v>739.16543999999999</v>
      </c>
      <c r="DR92" s="67">
        <f>DL92*(1+DR93)</f>
        <v>805.98127999999997</v>
      </c>
      <c r="DS92" s="67">
        <f>DM92*(1+DS93)</f>
        <v>748.27692276480025</v>
      </c>
      <c r="DT92" s="67">
        <f>DN92*(1+DT93)</f>
        <v>845.08264451520006</v>
      </c>
      <c r="DU92" s="93">
        <f>SUM(DQ92:DT92)</f>
        <v>3138.5062872800004</v>
      </c>
      <c r="DV92" s="350"/>
      <c r="DW92" s="82">
        <f>DQ92*(1+DW93)</f>
        <v>768.73205759999996</v>
      </c>
      <c r="DX92" s="67">
        <f>DR92*(1+DX93)</f>
        <v>838.22053119999998</v>
      </c>
      <c r="DY92" s="67">
        <f>DS92*(1+DY93)</f>
        <v>778.20799967539233</v>
      </c>
      <c r="DZ92" s="67">
        <f>DT92*(1+DZ93)</f>
        <v>878.88595029580813</v>
      </c>
      <c r="EA92" s="93">
        <f>SUM(DW92:DZ92)</f>
        <v>3264.0465387712002</v>
      </c>
      <c r="EB92" s="350"/>
      <c r="EC92" s="82">
        <f t="shared" ref="EC92:EF92" si="168">DW92*(1+EC93)</f>
        <v>799.48133990400004</v>
      </c>
      <c r="ED92" s="67">
        <f t="shared" si="168"/>
        <v>871.74935244799997</v>
      </c>
      <c r="EE92" s="67">
        <f t="shared" si="168"/>
        <v>809.33631966240807</v>
      </c>
      <c r="EF92" s="67">
        <f t="shared" si="168"/>
        <v>914.04138830764043</v>
      </c>
      <c r="EG92" s="93">
        <f t="shared" ref="EG92" si="169">SUM(EC92:EF92)</f>
        <v>3394.6084003220485</v>
      </c>
    </row>
    <row r="93" spans="1:137" ht="11.25" customHeight="1" outlineLevel="2" x14ac:dyDescent="0.2">
      <c r="A93" s="153" t="s">
        <v>127</v>
      </c>
      <c r="C93" s="351"/>
      <c r="E93" s="153"/>
      <c r="G93" s="153"/>
      <c r="I93" s="153"/>
      <c r="K93" s="153"/>
      <c r="M93" s="150"/>
      <c r="Q93" s="153"/>
      <c r="S93" s="150"/>
      <c r="W93" s="153"/>
      <c r="Y93" s="150"/>
      <c r="AC93" s="153"/>
      <c r="AE93" s="150"/>
      <c r="AI93" s="153"/>
      <c r="AK93" s="150"/>
      <c r="AO93" s="153"/>
      <c r="AQ93" s="150"/>
      <c r="AU93" s="153"/>
      <c r="AW93" s="150"/>
      <c r="BA93" s="153"/>
      <c r="BC93" s="150"/>
      <c r="BG93" s="153"/>
      <c r="BI93" s="150"/>
      <c r="BM93" s="153"/>
      <c r="BO93" s="150"/>
      <c r="BS93" s="153"/>
      <c r="BU93" s="150"/>
      <c r="BY93" s="153"/>
      <c r="CA93" s="150"/>
      <c r="CE93" s="153"/>
      <c r="CG93" s="150"/>
      <c r="CK93" s="153"/>
      <c r="CM93" s="150"/>
      <c r="CQ93" s="153"/>
      <c r="CS93" s="442">
        <v>-1.9049154144290537E-3</v>
      </c>
      <c r="CT93" s="347">
        <v>-5.3658085339907013E-2</v>
      </c>
      <c r="CU93" s="347">
        <v>-1.6341896245757437E-2</v>
      </c>
      <c r="CV93" s="347">
        <v>-1.4999999999999999E-2</v>
      </c>
      <c r="CW93" s="445">
        <v>-1.7470558438804185E-2</v>
      </c>
      <c r="CX93" s="53"/>
      <c r="CY93" s="111">
        <f>CY92/CS92-1</f>
        <v>-1.6362154900938841E-2</v>
      </c>
      <c r="CZ93" s="15">
        <f>CZ92/CT92-1</f>
        <v>-3.9668176954678169E-2</v>
      </c>
      <c r="DA93" s="15">
        <f>DA92/CU92-1</f>
        <v>2.0000000000000018E-2</v>
      </c>
      <c r="DB93" s="347">
        <v>0.05</v>
      </c>
      <c r="DC93" s="47">
        <f>DC92/CW92-1</f>
        <v>2.3209615080668211E-3</v>
      </c>
      <c r="DD93" s="53"/>
      <c r="DE93" s="1071">
        <v>0.02</v>
      </c>
      <c r="DF93" s="1162">
        <v>2.5000000000000001E-2</v>
      </c>
      <c r="DG93" s="1162">
        <v>-0.01</v>
      </c>
      <c r="DH93" s="1162">
        <v>9.5000000000000001E-2</v>
      </c>
      <c r="DI93" s="47">
        <f>DI92/DC92-1</f>
        <v>3.2880599382284492E-2</v>
      </c>
      <c r="DJ93" s="53"/>
      <c r="DK93" s="410">
        <v>0.04</v>
      </c>
      <c r="DL93" s="396">
        <f>+DK93</f>
        <v>0.04</v>
      </c>
      <c r="DM93" s="396">
        <f>+DL93</f>
        <v>0.04</v>
      </c>
      <c r="DN93" s="396">
        <f>+DM93</f>
        <v>0.04</v>
      </c>
      <c r="DO93" s="47">
        <f>DO92/DI92-1</f>
        <v>4.0000000000000036E-2</v>
      </c>
      <c r="DP93" s="53"/>
      <c r="DQ93" s="410">
        <v>0.04</v>
      </c>
      <c r="DR93" s="396">
        <f t="shared" ref="DR93:DT93" si="170">+DQ93</f>
        <v>0.04</v>
      </c>
      <c r="DS93" s="396">
        <f t="shared" si="170"/>
        <v>0.04</v>
      </c>
      <c r="DT93" s="396">
        <f t="shared" si="170"/>
        <v>0.04</v>
      </c>
      <c r="DU93" s="47">
        <f t="shared" ref="DU93" si="171">DU92/DO92-1</f>
        <v>4.0000000000000036E-2</v>
      </c>
      <c r="DV93" s="53"/>
      <c r="DW93" s="410">
        <v>0.04</v>
      </c>
      <c r="DX93" s="396">
        <f t="shared" ref="DX93:DZ93" si="172">+DW93</f>
        <v>0.04</v>
      </c>
      <c r="DY93" s="396">
        <f t="shared" si="172"/>
        <v>0.04</v>
      </c>
      <c r="DZ93" s="396">
        <f t="shared" si="172"/>
        <v>0.04</v>
      </c>
      <c r="EA93" s="47">
        <f t="shared" ref="EA93" si="173">EA92/DU92-1</f>
        <v>4.0000000000000036E-2</v>
      </c>
      <c r="EB93" s="53"/>
      <c r="EC93" s="410">
        <v>0.04</v>
      </c>
      <c r="ED93" s="396">
        <f t="shared" ref="ED93" si="174">+EC93</f>
        <v>0.04</v>
      </c>
      <c r="EE93" s="396">
        <f t="shared" ref="EE93" si="175">+ED93</f>
        <v>0.04</v>
      </c>
      <c r="EF93" s="396">
        <f t="shared" ref="EF93" si="176">+EE93</f>
        <v>0.04</v>
      </c>
      <c r="EG93" s="47">
        <f t="shared" ref="EG93" si="177">EG92/EA92-1</f>
        <v>4.0000000000000036E-2</v>
      </c>
    </row>
    <row r="94" spans="1:137" ht="11.25" customHeight="1" outlineLevel="2" x14ac:dyDescent="0.2">
      <c r="A94" s="153" t="s">
        <v>238</v>
      </c>
      <c r="C94" s="351"/>
      <c r="E94" s="153"/>
      <c r="G94" s="153"/>
      <c r="I94" s="153"/>
      <c r="K94" s="153"/>
      <c r="M94" s="150"/>
      <c r="Q94" s="153"/>
      <c r="S94" s="150"/>
      <c r="W94" s="153"/>
      <c r="Y94" s="150"/>
      <c r="AC94" s="153"/>
      <c r="AE94" s="150"/>
      <c r="AI94" s="153"/>
      <c r="AK94" s="150"/>
      <c r="AO94" s="153"/>
      <c r="AQ94" s="150"/>
      <c r="AU94" s="153"/>
      <c r="AW94" s="150"/>
      <c r="BA94" s="153"/>
      <c r="BC94" s="150"/>
      <c r="BG94" s="153"/>
      <c r="BI94" s="150"/>
      <c r="BM94" s="153"/>
      <c r="BO94" s="150"/>
      <c r="BS94" s="153"/>
      <c r="BU94" s="150"/>
      <c r="BY94" s="153"/>
      <c r="CA94" s="150"/>
      <c r="CE94" s="153"/>
      <c r="CG94" s="150"/>
      <c r="CK94" s="153"/>
      <c r="CM94" s="150"/>
      <c r="CP94" s="394">
        <f>+CQ94/CQ92</f>
        <v>0.48870562925779848</v>
      </c>
      <c r="CQ94" s="153">
        <v>1363</v>
      </c>
      <c r="CS94" s="442"/>
      <c r="CT94" s="347"/>
      <c r="CU94" s="347"/>
      <c r="CV94" s="347"/>
      <c r="CW94" s="1053">
        <f>+CW92*CP94</f>
        <v>1369.7671068483326</v>
      </c>
      <c r="CX94" s="53"/>
      <c r="CY94" s="111"/>
      <c r="CZ94" s="15"/>
      <c r="DA94" s="15"/>
      <c r="DB94" s="347"/>
      <c r="DC94" s="47"/>
      <c r="DD94" s="53"/>
      <c r="DE94" s="410"/>
      <c r="DF94" s="396"/>
      <c r="DG94" s="396"/>
      <c r="DH94" s="396"/>
      <c r="DI94" s="47"/>
      <c r="DJ94" s="53"/>
      <c r="DK94" s="410"/>
      <c r="DL94" s="396"/>
      <c r="DM94" s="396"/>
      <c r="DN94" s="396"/>
      <c r="DO94" s="47"/>
      <c r="DP94" s="53"/>
      <c r="DQ94" s="410"/>
      <c r="DR94" s="396"/>
      <c r="DS94" s="396"/>
      <c r="DT94" s="396"/>
      <c r="DU94" s="47"/>
      <c r="DV94" s="53"/>
      <c r="DW94" s="410"/>
      <c r="DX94" s="396"/>
      <c r="DY94" s="396"/>
      <c r="DZ94" s="396"/>
      <c r="EA94" s="47"/>
      <c r="EB94" s="53"/>
      <c r="EC94" s="410"/>
      <c r="ED94" s="396"/>
      <c r="EE94" s="396"/>
      <c r="EF94" s="396"/>
      <c r="EG94" s="47"/>
    </row>
    <row r="95" spans="1:137" ht="11.25" customHeight="1" outlineLevel="2" x14ac:dyDescent="0.2">
      <c r="A95" s="153" t="s">
        <v>613</v>
      </c>
      <c r="C95" s="351"/>
      <c r="E95" s="153"/>
      <c r="G95" s="153"/>
      <c r="I95" s="153"/>
      <c r="K95" s="153"/>
      <c r="M95" s="150"/>
      <c r="Q95" s="153"/>
      <c r="S95" s="150"/>
      <c r="W95" s="153"/>
      <c r="Y95" s="150"/>
      <c r="AC95" s="153"/>
      <c r="AE95" s="150"/>
      <c r="AI95" s="153"/>
      <c r="AK95" s="150"/>
      <c r="AO95" s="153"/>
      <c r="AQ95" s="150"/>
      <c r="AU95" s="153"/>
      <c r="AW95" s="150"/>
      <c r="BA95" s="153"/>
      <c r="BC95" s="150"/>
      <c r="BG95" s="153"/>
      <c r="BI95" s="150"/>
      <c r="BM95" s="153"/>
      <c r="BO95" s="150"/>
      <c r="BS95" s="153"/>
      <c r="BU95" s="150"/>
      <c r="BY95" s="153"/>
      <c r="CA95" s="150"/>
      <c r="CE95" s="153"/>
      <c r="CG95" s="150"/>
      <c r="CK95" s="153"/>
      <c r="CM95" s="150"/>
      <c r="CP95" s="394">
        <f>+CQ95/CQ92</f>
        <v>0.51129437074220152</v>
      </c>
      <c r="CQ95" s="153">
        <f>+CQ92-CQ94</f>
        <v>1426</v>
      </c>
      <c r="CS95" s="442"/>
      <c r="CT95" s="347"/>
      <c r="CU95" s="347"/>
      <c r="CV95" s="347"/>
      <c r="CW95" s="445"/>
      <c r="CX95" s="53"/>
      <c r="CY95" s="1054">
        <f>+CW94+CW96</f>
        <v>2331.81996920043</v>
      </c>
      <c r="CZ95" s="15"/>
      <c r="DA95" s="15"/>
      <c r="DB95" s="347"/>
      <c r="DC95" s="47"/>
      <c r="DD95" s="53"/>
      <c r="DE95" s="410"/>
      <c r="DF95" s="396"/>
      <c r="DG95" s="396"/>
      <c r="DH95" s="396"/>
      <c r="DI95" s="47"/>
      <c r="DJ95" s="53"/>
      <c r="DK95" s="410"/>
      <c r="DL95" s="396"/>
      <c r="DM95" s="396"/>
      <c r="DN95" s="396"/>
      <c r="DO95" s="47"/>
      <c r="DP95" s="53"/>
      <c r="DQ95" s="410"/>
      <c r="DR95" s="396"/>
      <c r="DS95" s="396"/>
      <c r="DT95" s="396"/>
      <c r="DU95" s="47"/>
      <c r="DV95" s="53"/>
      <c r="DW95" s="410"/>
      <c r="DX95" s="396"/>
      <c r="DY95" s="396"/>
      <c r="DZ95" s="396"/>
      <c r="EA95" s="47"/>
      <c r="EB95" s="53"/>
      <c r="EC95" s="410"/>
      <c r="ED95" s="396"/>
      <c r="EE95" s="396"/>
      <c r="EF95" s="396"/>
      <c r="EG95" s="47"/>
    </row>
    <row r="96" spans="1:137" ht="11.25" customHeight="1" outlineLevel="2" x14ac:dyDescent="0.2">
      <c r="A96" s="153" t="s">
        <v>614</v>
      </c>
      <c r="C96" s="348"/>
      <c r="E96" s="153"/>
      <c r="G96" s="153"/>
      <c r="I96" s="153"/>
      <c r="K96" s="153"/>
      <c r="M96" s="150"/>
      <c r="Q96" s="153"/>
      <c r="S96" s="150"/>
      <c r="W96" s="153"/>
      <c r="Y96" s="150"/>
      <c r="AC96" s="153"/>
      <c r="AE96" s="150"/>
      <c r="AI96" s="153"/>
      <c r="AK96" s="150"/>
      <c r="AO96" s="153"/>
      <c r="AQ96" s="150"/>
      <c r="AU96" s="153"/>
      <c r="AW96" s="150"/>
      <c r="BA96" s="153"/>
      <c r="BC96" s="150"/>
      <c r="BG96" s="153"/>
      <c r="BI96" s="150"/>
      <c r="BM96" s="153"/>
      <c r="BO96" s="150"/>
      <c r="BS96" s="153"/>
      <c r="BU96" s="150"/>
      <c r="BY96" s="153"/>
      <c r="CA96" s="150"/>
      <c r="CE96" s="153"/>
      <c r="CG96" s="150"/>
      <c r="CK96" s="153"/>
      <c r="CM96" s="150"/>
      <c r="CP96" s="394">
        <f>+CQ96/CQ92</f>
        <v>0.34324130512728579</v>
      </c>
      <c r="CQ96" s="153">
        <f>814.5+102.6+40.2</f>
        <v>957.30000000000007</v>
      </c>
      <c r="CS96" s="150"/>
      <c r="CW96" s="153">
        <f>+CP96*CW92</f>
        <v>962.05286235209746</v>
      </c>
      <c r="CX96" s="350"/>
      <c r="CY96" s="150"/>
      <c r="DC96" s="457">
        <f>+DC97-DC92</f>
        <v>-2123.4175050000003</v>
      </c>
      <c r="DD96" s="350"/>
      <c r="DE96" s="1055">
        <f>300/CY95</f>
        <v>0.1286548721438682</v>
      </c>
      <c r="DI96" s="153"/>
      <c r="DJ96" s="350"/>
      <c r="DK96" s="150"/>
      <c r="DO96" s="153"/>
      <c r="DP96" s="350"/>
      <c r="DQ96" s="150"/>
      <c r="DU96" s="153"/>
      <c r="DV96" s="350"/>
      <c r="DW96" s="150"/>
      <c r="EA96" s="153"/>
      <c r="EB96" s="350"/>
      <c r="EC96" s="150"/>
      <c r="EG96" s="153"/>
    </row>
    <row r="97" spans="1:137" ht="11.25" customHeight="1" outlineLevel="2" x14ac:dyDescent="0.2">
      <c r="A97" s="153" t="s">
        <v>195</v>
      </c>
      <c r="C97" s="348"/>
      <c r="E97" s="153"/>
      <c r="G97" s="153"/>
      <c r="I97" s="153"/>
      <c r="K97" s="153"/>
      <c r="M97" s="150"/>
      <c r="Q97" s="153"/>
      <c r="S97" s="150"/>
      <c r="W97" s="153"/>
      <c r="Y97" s="150"/>
      <c r="AC97" s="153"/>
      <c r="AE97" s="150"/>
      <c r="AI97" s="153"/>
      <c r="AK97" s="150"/>
      <c r="AO97" s="153"/>
      <c r="AQ97" s="150"/>
      <c r="AU97" s="153"/>
      <c r="AW97" s="150"/>
      <c r="BA97" s="153"/>
      <c r="BC97" s="150"/>
      <c r="BG97" s="153"/>
      <c r="BI97" s="150"/>
      <c r="BM97" s="153"/>
      <c r="BO97" s="150"/>
      <c r="BS97" s="153"/>
      <c r="BU97" s="150"/>
      <c r="BY97" s="153"/>
      <c r="CA97" s="150"/>
      <c r="CE97" s="153"/>
      <c r="CG97" s="150"/>
      <c r="CK97" s="153"/>
      <c r="CM97" s="150"/>
      <c r="CQ97" s="153"/>
      <c r="CS97" s="84">
        <v>161.56899999999996</v>
      </c>
      <c r="CT97" s="71">
        <v>184.29</v>
      </c>
      <c r="CU97" s="71">
        <v>172.1</v>
      </c>
      <c r="CV97" s="71">
        <v>167</v>
      </c>
      <c r="CW97" s="92">
        <v>684.95899999999995</v>
      </c>
      <c r="CX97" s="350"/>
      <c r="CY97" s="84">
        <v>159.89724999999996</v>
      </c>
      <c r="CZ97" s="71">
        <v>179.78549999999998</v>
      </c>
      <c r="DA97" s="71">
        <v>174.15532999999999</v>
      </c>
      <c r="DB97" s="71">
        <v>172.09671500000002</v>
      </c>
      <c r="DC97" s="92">
        <v>685.93479500000001</v>
      </c>
      <c r="DD97" s="350"/>
      <c r="DE97" s="82">
        <f>DE92*DE98</f>
        <v>170.85</v>
      </c>
      <c r="DF97" s="67">
        <f>DF92*DF98</f>
        <v>186.29374999999999</v>
      </c>
      <c r="DG97" s="67">
        <f>DG92*DG98</f>
        <v>172.95601950000002</v>
      </c>
      <c r="DH97" s="67">
        <f>DH92*DH98</f>
        <v>195.33160237500002</v>
      </c>
      <c r="DI97" s="93">
        <f>SUM(DE97:DH97)</f>
        <v>725.43137187499997</v>
      </c>
      <c r="DJ97" s="350"/>
      <c r="DK97" s="82">
        <f>DK92*DK98</f>
        <v>183.01452</v>
      </c>
      <c r="DL97" s="67">
        <f>DL92*DL98</f>
        <v>199.55786499999999</v>
      </c>
      <c r="DM97" s="67">
        <f>DM92*DM98</f>
        <v>185.27048808840004</v>
      </c>
      <c r="DN97" s="67">
        <f>DN92*DN98</f>
        <v>209.23921246410001</v>
      </c>
      <c r="DO97" s="93">
        <f>SUM(DK97:DN97)</f>
        <v>777.08208555249996</v>
      </c>
      <c r="DP97" s="350"/>
      <c r="DQ97" s="82">
        <f>DQ92*DQ98</f>
        <v>197.72675520000001</v>
      </c>
      <c r="DR97" s="67">
        <f>DR92*DR98</f>
        <v>215.59999239999999</v>
      </c>
      <c r="DS97" s="67">
        <f>DS92*DS98</f>
        <v>200.16407683958408</v>
      </c>
      <c r="DT97" s="67">
        <f>DT92*DT98</f>
        <v>226.05960740781603</v>
      </c>
      <c r="DU97" s="93">
        <f>SUM(DQ97:DT97)</f>
        <v>839.55043184739998</v>
      </c>
      <c r="DV97" s="350"/>
      <c r="DW97" s="82">
        <f>DW92*DW98</f>
        <v>213.32314598400001</v>
      </c>
      <c r="DX97" s="67">
        <f>DX92*DX98</f>
        <v>232.60619740800001</v>
      </c>
      <c r="DY97" s="67">
        <f>DY92*DY98</f>
        <v>215.9527199099214</v>
      </c>
      <c r="DZ97" s="67">
        <f>DZ92*DZ98</f>
        <v>243.89085120708677</v>
      </c>
      <c r="EA97" s="93">
        <f>SUM(DW97:DZ97)</f>
        <v>905.77291450900816</v>
      </c>
      <c r="EB97" s="350"/>
      <c r="EC97" s="82">
        <f t="shared" ref="EC97:EF97" si="178">EC92*EC98</f>
        <v>229.85088522240002</v>
      </c>
      <c r="ED97" s="67">
        <f t="shared" si="178"/>
        <v>250.62793882880001</v>
      </c>
      <c r="EE97" s="67">
        <f t="shared" si="178"/>
        <v>232.68419190294236</v>
      </c>
      <c r="EF97" s="67">
        <f t="shared" si="178"/>
        <v>262.78689913844664</v>
      </c>
      <c r="EG97" s="93">
        <f t="shared" ref="EG97" si="179">SUM(EC97:EF97)</f>
        <v>975.94991509258898</v>
      </c>
    </row>
    <row r="98" spans="1:137" ht="11.25" customHeight="1" outlineLevel="2" x14ac:dyDescent="0.2">
      <c r="A98" s="153" t="s">
        <v>539</v>
      </c>
      <c r="C98" s="349"/>
      <c r="E98" s="153"/>
      <c r="G98" s="153"/>
      <c r="I98" s="153"/>
      <c r="K98" s="153"/>
      <c r="M98" s="150"/>
      <c r="Q98" s="153"/>
      <c r="S98" s="150"/>
      <c r="W98" s="153"/>
      <c r="Y98" s="150"/>
      <c r="AC98" s="153"/>
      <c r="AE98" s="150"/>
      <c r="AI98" s="153"/>
      <c r="AK98" s="150"/>
      <c r="AO98" s="153"/>
      <c r="AQ98" s="150"/>
      <c r="AU98" s="153"/>
      <c r="AW98" s="150"/>
      <c r="BA98" s="153"/>
      <c r="BC98" s="150"/>
      <c r="BG98" s="153"/>
      <c r="BI98" s="150"/>
      <c r="BM98" s="153"/>
      <c r="BO98" s="150"/>
      <c r="BS98" s="153"/>
      <c r="BU98" s="150"/>
      <c r="BY98" s="153"/>
      <c r="CA98" s="150"/>
      <c r="CE98" s="153"/>
      <c r="CG98" s="150"/>
      <c r="CK98" s="153"/>
      <c r="CM98" s="150"/>
      <c r="CQ98" s="153"/>
      <c r="CS98" s="111">
        <f>+CS97/CS$92</f>
        <v>0.23720206417135847</v>
      </c>
      <c r="CT98" s="15">
        <f>+CT97/CT$92</f>
        <v>0.24343817285972816</v>
      </c>
      <c r="CU98" s="15">
        <f>+CU97/CU$92</f>
        <v>0.25120053714002127</v>
      </c>
      <c r="CV98" s="15">
        <f>+CV97/CV$92</f>
        <v>0.24574652496755262</v>
      </c>
      <c r="CW98" s="47">
        <f>+CW97/CW$92</f>
        <v>0.24437973246488304</v>
      </c>
      <c r="CX98" s="53"/>
      <c r="CY98" s="111">
        <f>+CY97/CY$92</f>
        <v>0.23865261194029844</v>
      </c>
      <c r="CZ98" s="15">
        <f>+CZ97/CZ$92</f>
        <v>0.2472977991746905</v>
      </c>
      <c r="DA98" s="15">
        <f>+DA97/DA$92</f>
        <v>0.24921621288237381</v>
      </c>
      <c r="DB98" s="347">
        <v>0.24118716663576442</v>
      </c>
      <c r="DC98" s="47">
        <f>+DC97/DC$92</f>
        <v>0.24416118797204606</v>
      </c>
      <c r="DD98" s="53"/>
      <c r="DE98" s="410">
        <v>0.25</v>
      </c>
      <c r="DF98" s="396">
        <v>0.25</v>
      </c>
      <c r="DG98" s="396">
        <v>0.25</v>
      </c>
      <c r="DH98" s="396">
        <v>0.25</v>
      </c>
      <c r="DI98" s="47">
        <f>+DI97/DI$92</f>
        <v>0.25</v>
      </c>
      <c r="DJ98" s="53"/>
      <c r="DK98" s="410">
        <v>0.25750000000000001</v>
      </c>
      <c r="DL98" s="396">
        <v>0.25750000000000001</v>
      </c>
      <c r="DM98" s="396">
        <v>0.25750000000000001</v>
      </c>
      <c r="DN98" s="396">
        <v>0.25750000000000001</v>
      </c>
      <c r="DO98" s="47">
        <f>+DO97/DO$92</f>
        <v>0.25750000000000001</v>
      </c>
      <c r="DP98" s="53"/>
      <c r="DQ98" s="410">
        <v>0.26750000000000002</v>
      </c>
      <c r="DR98" s="396">
        <v>0.26750000000000002</v>
      </c>
      <c r="DS98" s="396">
        <v>0.26750000000000002</v>
      </c>
      <c r="DT98" s="396">
        <v>0.26750000000000002</v>
      </c>
      <c r="DU98" s="47">
        <f>+DU97/DU$92</f>
        <v>0.26749999999999996</v>
      </c>
      <c r="DV98" s="53"/>
      <c r="DW98" s="410">
        <f>+DQ98+0.01</f>
        <v>0.27750000000000002</v>
      </c>
      <c r="DX98" s="396">
        <f>+DR98+0.01</f>
        <v>0.27750000000000002</v>
      </c>
      <c r="DY98" s="396">
        <f>+DS98+0.01</f>
        <v>0.27750000000000002</v>
      </c>
      <c r="DZ98" s="396">
        <f>+DT98+0.01</f>
        <v>0.27750000000000002</v>
      </c>
      <c r="EA98" s="47">
        <f>+EA97/EA$92</f>
        <v>0.27750000000000002</v>
      </c>
      <c r="EB98" s="53"/>
      <c r="EC98" s="410">
        <f t="shared" ref="EC98:EF98" si="180">+DW98+0.01</f>
        <v>0.28750000000000003</v>
      </c>
      <c r="ED98" s="396">
        <f t="shared" si="180"/>
        <v>0.28750000000000003</v>
      </c>
      <c r="EE98" s="396">
        <f t="shared" si="180"/>
        <v>0.28750000000000003</v>
      </c>
      <c r="EF98" s="396">
        <f t="shared" si="180"/>
        <v>0.28750000000000003</v>
      </c>
      <c r="EG98" s="47">
        <f t="shared" ref="EG98" si="181">+EG97/EG$92</f>
        <v>0.28750000000000003</v>
      </c>
    </row>
    <row r="99" spans="1:137" ht="11.25" customHeight="1" outlineLevel="2" x14ac:dyDescent="0.2">
      <c r="A99" s="153" t="s">
        <v>196</v>
      </c>
      <c r="C99" s="349"/>
      <c r="E99" s="153"/>
      <c r="G99" s="153"/>
      <c r="I99" s="153"/>
      <c r="K99" s="153"/>
      <c r="M99" s="150"/>
      <c r="Q99" s="153"/>
      <c r="S99" s="150"/>
      <c r="W99" s="153"/>
      <c r="Y99" s="150"/>
      <c r="AC99" s="153"/>
      <c r="AE99" s="150"/>
      <c r="AI99" s="153"/>
      <c r="AK99" s="150"/>
      <c r="AO99" s="153"/>
      <c r="AQ99" s="150"/>
      <c r="AU99" s="153"/>
      <c r="AW99" s="150"/>
      <c r="BA99" s="153"/>
      <c r="BC99" s="150"/>
      <c r="BG99" s="153"/>
      <c r="BI99" s="150"/>
      <c r="BM99" s="153"/>
      <c r="BO99" s="150"/>
      <c r="BS99" s="153"/>
      <c r="BU99" s="150"/>
      <c r="BY99" s="153"/>
      <c r="CA99" s="150"/>
      <c r="CE99" s="153"/>
      <c r="CG99" s="150"/>
      <c r="CK99" s="153"/>
      <c r="CM99" s="150"/>
      <c r="CQ99" s="153"/>
      <c r="CS99" s="150"/>
      <c r="CW99" s="153"/>
      <c r="CY99" s="499">
        <f>+(CY97+CY107)/CY$92</f>
        <v>0.26104067164179096</v>
      </c>
      <c r="CZ99" s="53">
        <f>+(CZ97+CZ107)/CZ$92</f>
        <v>0.27480811554332873</v>
      </c>
      <c r="DA99" s="53">
        <f>+(DA97+DA107)/DA$92</f>
        <v>0.29214620179785067</v>
      </c>
      <c r="DB99" s="53">
        <f>+(DB97+DB107)/DB$92</f>
        <v>0.29023836922409829</v>
      </c>
      <c r="DC99" s="1001">
        <f>+(DC97+DC107)/DC$92</f>
        <v>0.2797565812589613</v>
      </c>
      <c r="DE99" s="499">
        <f>+(DE97+DE107)/DE$92</f>
        <v>0.31584723441615453</v>
      </c>
      <c r="DF99" s="53">
        <f>+(DF97+DF107)/DF$92</f>
        <v>0.31709833260643472</v>
      </c>
      <c r="DG99" s="53">
        <f>+(DG97+DG107)/DG$92</f>
        <v>0.32227270861191387</v>
      </c>
      <c r="DH99" s="53">
        <f>+(DH97+DH107)/DH$92</f>
        <v>0.32039311526049213</v>
      </c>
      <c r="DI99" s="1001">
        <f>+(DI97+DI107)/DI$92</f>
        <v>0.31892450745653106</v>
      </c>
      <c r="DK99" s="499">
        <f>+(DK97+DK107)/DK$92</f>
        <v>0.33488457036086539</v>
      </c>
      <c r="DL99" s="53">
        <f>+(DL97+DL107)/DL$92</f>
        <v>0.3349211530074247</v>
      </c>
      <c r="DM99" s="53">
        <f>+(DM97+DM107)/DM$92</f>
        <v>0.34089158685990062</v>
      </c>
      <c r="DN99" s="53">
        <f>+(DN97+DN107)/DN$92</f>
        <v>0.33749217643237739</v>
      </c>
      <c r="DO99" s="1001">
        <f>+(DO97+DO107)/DO$92</f>
        <v>0.33702827783445888</v>
      </c>
      <c r="DQ99" s="499">
        <f>+(DQ97+DQ107)/DQ$92</f>
        <v>0.3622013972947653</v>
      </c>
      <c r="DR99" s="53">
        <f>+(DR97+DR107)/DR$92</f>
        <v>0.36055427044161625</v>
      </c>
      <c r="DS99" s="53">
        <f>+(DS97+DS107)/DS$92</f>
        <v>0.36773027266814984</v>
      </c>
      <c r="DT99" s="53">
        <f>+(DT97+DT107)/DT$92</f>
        <v>0.36216529755310944</v>
      </c>
      <c r="DU99" s="1001">
        <f>+(DU97+DU107)/DU$92</f>
        <v>0.36308687239718618</v>
      </c>
      <c r="DW99" s="499">
        <f>+(DW97+DW107)/DW$92</f>
        <v>0.38807168640185513</v>
      </c>
      <c r="DX99" s="53">
        <f>+(DX97+DX107)/DX$92</f>
        <v>0.38487031204801875</v>
      </c>
      <c r="DY99" s="53">
        <f>+(DY97+DY107)/DY$92</f>
        <v>0.39315031461709593</v>
      </c>
      <c r="DZ99" s="53">
        <f>+(DZ97+DZ107)/DZ$92</f>
        <v>0.38559138542722832</v>
      </c>
      <c r="EA99" s="1001">
        <f>+(EA97+EA107)/EA$92</f>
        <v>0.38779254507367644</v>
      </c>
      <c r="EC99" s="499">
        <f t="shared" ref="EC99:EG99" si="182">+(EC97+EC107)/EC$92</f>
        <v>0.40632703855402985</v>
      </c>
      <c r="ED99" s="53">
        <f t="shared" si="182"/>
        <v>0.40221187184617385</v>
      </c>
      <c r="EE99" s="53">
        <f t="shared" si="182"/>
        <v>0.41105802843706835</v>
      </c>
      <c r="EF99" s="53">
        <f t="shared" si="182"/>
        <v>0.40237444807549566</v>
      </c>
      <c r="EG99" s="1001">
        <f t="shared" si="182"/>
        <v>0.40533391567700466</v>
      </c>
    </row>
    <row r="100" spans="1:137" ht="11.25" customHeight="1" outlineLevel="2" x14ac:dyDescent="0.2">
      <c r="A100" s="153"/>
      <c r="C100" s="349"/>
      <c r="E100" s="153"/>
      <c r="G100" s="153"/>
      <c r="I100" s="153"/>
      <c r="K100" s="153"/>
      <c r="M100" s="150"/>
      <c r="Q100" s="153"/>
      <c r="S100" s="150"/>
      <c r="W100" s="153"/>
      <c r="Y100" s="150"/>
      <c r="AC100" s="153"/>
      <c r="AE100" s="150"/>
      <c r="AI100" s="153"/>
      <c r="AK100" s="150"/>
      <c r="AO100" s="153"/>
      <c r="AQ100" s="150"/>
      <c r="AU100" s="153"/>
      <c r="AW100" s="150"/>
      <c r="BA100" s="153"/>
      <c r="BC100" s="150"/>
      <c r="BG100" s="153"/>
      <c r="BI100" s="150"/>
      <c r="BM100" s="153"/>
      <c r="BO100" s="150"/>
      <c r="BS100" s="153"/>
      <c r="BU100" s="150"/>
      <c r="BY100" s="153"/>
      <c r="CA100" s="150"/>
      <c r="CE100" s="153"/>
      <c r="CG100" s="150"/>
      <c r="CK100" s="153"/>
      <c r="CM100" s="150"/>
      <c r="CQ100" s="153"/>
      <c r="CS100" s="150"/>
      <c r="CW100" s="153"/>
      <c r="CY100" s="499"/>
      <c r="CZ100" s="53"/>
      <c r="DA100" s="53"/>
      <c r="DB100" s="53"/>
      <c r="DC100" s="1001"/>
      <c r="DE100" s="499"/>
      <c r="DF100" s="53"/>
      <c r="DG100" s="53"/>
      <c r="DH100" s="53"/>
      <c r="DI100" s="1001"/>
      <c r="DK100" s="499"/>
      <c r="DL100" s="53"/>
      <c r="DM100" s="53"/>
      <c r="DN100" s="53"/>
      <c r="DO100" s="1001"/>
      <c r="DQ100" s="499"/>
      <c r="DR100" s="53"/>
      <c r="DS100" s="53"/>
      <c r="DT100" s="53"/>
      <c r="DU100" s="1001"/>
      <c r="DW100" s="499"/>
      <c r="DX100" s="53"/>
      <c r="DY100" s="53"/>
      <c r="DZ100" s="53"/>
      <c r="EA100" s="1001"/>
      <c r="EC100" s="499"/>
      <c r="ED100" s="53"/>
      <c r="EE100" s="53"/>
      <c r="EF100" s="53"/>
      <c r="EG100" s="1001"/>
    </row>
    <row r="101" spans="1:137" ht="11.25" customHeight="1" outlineLevel="2" x14ac:dyDescent="0.2">
      <c r="A101" s="153" t="s">
        <v>197</v>
      </c>
      <c r="C101" s="349"/>
      <c r="E101" s="153"/>
      <c r="G101" s="153"/>
      <c r="I101" s="153"/>
      <c r="K101" s="153"/>
      <c r="M101" s="150"/>
      <c r="Q101" s="153"/>
      <c r="S101" s="150"/>
      <c r="W101" s="153"/>
      <c r="Y101" s="150"/>
      <c r="AC101" s="153"/>
      <c r="AE101" s="150"/>
      <c r="AI101" s="153"/>
      <c r="AK101" s="150"/>
      <c r="AO101" s="153"/>
      <c r="AQ101" s="150"/>
      <c r="AU101" s="153"/>
      <c r="AW101" s="150"/>
      <c r="BA101" s="153"/>
      <c r="BC101" s="150"/>
      <c r="BG101" s="153"/>
      <c r="BI101" s="150"/>
      <c r="BM101" s="153"/>
      <c r="BO101" s="150"/>
      <c r="BS101" s="153"/>
      <c r="BU101" s="150"/>
      <c r="BY101" s="153"/>
      <c r="CA101" s="150"/>
      <c r="CE101" s="153"/>
      <c r="CG101" s="150"/>
      <c r="CK101" s="153"/>
      <c r="CM101" s="150"/>
      <c r="CQ101" s="153"/>
      <c r="CS101" s="84">
        <v>27.879000000000005</v>
      </c>
      <c r="CT101" s="71">
        <v>25.759999999999991</v>
      </c>
      <c r="CU101" s="71">
        <v>31.210000000000008</v>
      </c>
      <c r="CV101" s="71">
        <v>35.099999999999994</v>
      </c>
      <c r="CW101" s="92">
        <v>119.949</v>
      </c>
      <c r="CX101" s="350"/>
      <c r="CY101" s="84">
        <v>30.5</v>
      </c>
      <c r="CZ101" s="71">
        <v>30.5</v>
      </c>
      <c r="DA101" s="71">
        <v>30.5</v>
      </c>
      <c r="DB101" s="71">
        <v>30.5</v>
      </c>
      <c r="DC101" s="93">
        <f>SUM(CY101:DB101)</f>
        <v>122</v>
      </c>
      <c r="DD101" s="350"/>
      <c r="DE101" s="81">
        <v>31</v>
      </c>
      <c r="DF101" s="69">
        <v>31</v>
      </c>
      <c r="DG101" s="69">
        <v>31</v>
      </c>
      <c r="DH101" s="69">
        <v>31</v>
      </c>
      <c r="DI101" s="93">
        <f>SUM(DE101:DH101)</f>
        <v>124</v>
      </c>
      <c r="DJ101" s="350"/>
      <c r="DK101" s="81">
        <v>31.5</v>
      </c>
      <c r="DL101" s="69">
        <v>31.5</v>
      </c>
      <c r="DM101" s="69">
        <v>31.5</v>
      </c>
      <c r="DN101" s="69">
        <v>31.5</v>
      </c>
      <c r="DO101" s="93">
        <f>SUM(DK101:DN101)</f>
        <v>126</v>
      </c>
      <c r="DP101" s="350"/>
      <c r="DQ101" s="81">
        <v>31.5</v>
      </c>
      <c r="DR101" s="69">
        <v>31.5</v>
      </c>
      <c r="DS101" s="69">
        <v>31.5</v>
      </c>
      <c r="DT101" s="69">
        <v>31.5</v>
      </c>
      <c r="DU101" s="93">
        <f>SUM(DQ101:DT101)</f>
        <v>126</v>
      </c>
      <c r="DV101" s="350"/>
      <c r="DW101" s="81">
        <v>31.5</v>
      </c>
      <c r="DX101" s="69">
        <v>31.5</v>
      </c>
      <c r="DY101" s="69">
        <v>31.5</v>
      </c>
      <c r="DZ101" s="69">
        <v>31.5</v>
      </c>
      <c r="EA101" s="93">
        <f>SUM(DW101:DZ101)</f>
        <v>126</v>
      </c>
      <c r="EB101" s="350"/>
      <c r="EC101" s="81">
        <v>31.5</v>
      </c>
      <c r="ED101" s="69">
        <v>31.5</v>
      </c>
      <c r="EE101" s="69">
        <v>31.5</v>
      </c>
      <c r="EF101" s="69">
        <v>31.5</v>
      </c>
      <c r="EG101" s="93">
        <f t="shared" ref="EG101" si="183">SUM(EC101:EF101)</f>
        <v>126</v>
      </c>
    </row>
    <row r="102" spans="1:137" ht="11.25" customHeight="1" outlineLevel="2" x14ac:dyDescent="0.2">
      <c r="A102" s="153"/>
      <c r="C102" s="349"/>
      <c r="E102" s="153"/>
      <c r="G102" s="153"/>
      <c r="I102" s="153"/>
      <c r="K102" s="153"/>
      <c r="M102" s="150"/>
      <c r="Q102" s="153"/>
      <c r="S102" s="150"/>
      <c r="W102" s="153"/>
      <c r="Y102" s="150"/>
      <c r="AC102" s="153"/>
      <c r="AE102" s="150"/>
      <c r="AI102" s="153"/>
      <c r="AK102" s="150"/>
      <c r="AO102" s="153"/>
      <c r="AQ102" s="150"/>
      <c r="AU102" s="153"/>
      <c r="AW102" s="150"/>
      <c r="BA102" s="153"/>
      <c r="BC102" s="150"/>
      <c r="BG102" s="153"/>
      <c r="BI102" s="150"/>
      <c r="BM102" s="153"/>
      <c r="BO102" s="150"/>
      <c r="BS102" s="153"/>
      <c r="BU102" s="150"/>
      <c r="BY102" s="153"/>
      <c r="CA102" s="150"/>
      <c r="CE102" s="153"/>
      <c r="CG102" s="150"/>
      <c r="CK102" s="153"/>
      <c r="CM102" s="150"/>
      <c r="CQ102" s="153"/>
      <c r="CS102" s="150"/>
      <c r="CW102" s="153"/>
      <c r="CY102" s="150"/>
      <c r="DC102" s="153"/>
      <c r="DE102" s="150"/>
      <c r="DI102" s="153"/>
      <c r="DK102" s="150"/>
      <c r="DO102" s="153"/>
      <c r="DQ102" s="477"/>
      <c r="DR102" s="478"/>
      <c r="DS102" s="478"/>
      <c r="DT102" s="478"/>
      <c r="DU102" s="479"/>
      <c r="DW102" s="477"/>
      <c r="DX102" s="478"/>
      <c r="DY102" s="478"/>
      <c r="DZ102" s="478"/>
      <c r="EA102" s="479"/>
      <c r="EC102" s="477"/>
      <c r="ED102" s="478"/>
      <c r="EE102" s="478"/>
      <c r="EF102" s="478"/>
      <c r="EG102" s="479"/>
    </row>
    <row r="103" spans="1:137" ht="11.25" customHeight="1" outlineLevel="2" x14ac:dyDescent="0.2">
      <c r="A103" s="153" t="s">
        <v>198</v>
      </c>
      <c r="C103" s="348"/>
      <c r="E103" s="153"/>
      <c r="G103" s="153"/>
      <c r="I103" s="153"/>
      <c r="K103" s="153"/>
      <c r="M103" s="150"/>
      <c r="Q103" s="153"/>
      <c r="S103" s="150"/>
      <c r="W103" s="153"/>
      <c r="Y103" s="150"/>
      <c r="AC103" s="153"/>
      <c r="AE103" s="150"/>
      <c r="AI103" s="153"/>
      <c r="AK103" s="150"/>
      <c r="AO103" s="153"/>
      <c r="AQ103" s="150"/>
      <c r="AU103" s="153"/>
      <c r="AW103" s="150"/>
      <c r="BA103" s="153"/>
      <c r="BC103" s="150"/>
      <c r="BG103" s="153"/>
      <c r="BI103" s="150"/>
      <c r="BM103" s="153"/>
      <c r="BO103" s="150"/>
      <c r="BS103" s="153"/>
      <c r="BU103" s="150"/>
      <c r="BY103" s="153"/>
      <c r="CA103" s="150"/>
      <c r="CE103" s="153"/>
      <c r="CG103" s="150"/>
      <c r="CK103" s="153"/>
      <c r="CM103" s="150"/>
      <c r="CQ103" s="153">
        <v>451.4</v>
      </c>
      <c r="CS103" s="475">
        <v>133.68999999999997</v>
      </c>
      <c r="CT103" s="344">
        <v>158.53</v>
      </c>
      <c r="CU103" s="344">
        <v>140.88999999999999</v>
      </c>
      <c r="CV103" s="344">
        <v>131.9</v>
      </c>
      <c r="CW103" s="476">
        <v>565.01</v>
      </c>
      <c r="CX103" s="350"/>
      <c r="CY103" s="475">
        <v>129.39724999999996</v>
      </c>
      <c r="CZ103" s="344">
        <v>149.28549999999998</v>
      </c>
      <c r="DA103" s="344">
        <v>143.65532999999999</v>
      </c>
      <c r="DB103" s="344">
        <v>141.59671500000002</v>
      </c>
      <c r="DC103" s="476">
        <v>563.93479499999989</v>
      </c>
      <c r="DD103" s="350"/>
      <c r="DE103" s="165">
        <f>DE97-DE101</f>
        <v>139.85</v>
      </c>
      <c r="DF103" s="164">
        <f>DF97-DF101</f>
        <v>155.29374999999999</v>
      </c>
      <c r="DG103" s="164">
        <f>DG97-DG101</f>
        <v>141.95601950000002</v>
      </c>
      <c r="DH103" s="164">
        <f>DH97-DH101</f>
        <v>164.33160237500002</v>
      </c>
      <c r="DI103" s="163">
        <f>DI97-DI101</f>
        <v>601.43137187499997</v>
      </c>
      <c r="DJ103" s="350"/>
      <c r="DK103" s="165">
        <f>DK97-DK101</f>
        <v>151.51452</v>
      </c>
      <c r="DL103" s="164">
        <f>DL97-DL101</f>
        <v>168.05786499999999</v>
      </c>
      <c r="DM103" s="164">
        <f>DM97-DM101</f>
        <v>153.77048808840004</v>
      </c>
      <c r="DN103" s="164">
        <f>DN97-DN101</f>
        <v>177.73921246410001</v>
      </c>
      <c r="DO103" s="163">
        <f>DO97-DO101</f>
        <v>651.08208555249996</v>
      </c>
      <c r="DP103" s="350"/>
      <c r="DQ103" s="165">
        <f>DQ97-DQ101</f>
        <v>166.22675520000001</v>
      </c>
      <c r="DR103" s="164">
        <f>DR97-DR101</f>
        <v>184.09999239999999</v>
      </c>
      <c r="DS103" s="164">
        <f>DS97-DS101</f>
        <v>168.66407683958408</v>
      </c>
      <c r="DT103" s="164">
        <f>DT97-DT101</f>
        <v>194.55960740781603</v>
      </c>
      <c r="DU103" s="163">
        <f>DU97-DU101</f>
        <v>713.55043184739998</v>
      </c>
      <c r="DV103" s="350"/>
      <c r="DW103" s="165">
        <f>DW97-DW101</f>
        <v>181.82314598400001</v>
      </c>
      <c r="DX103" s="164">
        <f>DX97-DX101</f>
        <v>201.10619740800001</v>
      </c>
      <c r="DY103" s="164">
        <f>DY97-DY101</f>
        <v>184.4527199099214</v>
      </c>
      <c r="DZ103" s="164">
        <f>DZ97-DZ101</f>
        <v>212.39085120708677</v>
      </c>
      <c r="EA103" s="163">
        <f>EA97-EA101</f>
        <v>779.77291450900816</v>
      </c>
      <c r="EB103" s="350"/>
      <c r="EC103" s="165">
        <f t="shared" ref="EC103:EG103" si="184">EC97-EC101</f>
        <v>198.35088522240002</v>
      </c>
      <c r="ED103" s="164">
        <f t="shared" si="184"/>
        <v>219.12793882880001</v>
      </c>
      <c r="EE103" s="164">
        <f t="shared" si="184"/>
        <v>201.18419190294236</v>
      </c>
      <c r="EF103" s="164">
        <f t="shared" si="184"/>
        <v>231.28689913844664</v>
      </c>
      <c r="EG103" s="163">
        <f t="shared" si="184"/>
        <v>849.94991509258898</v>
      </c>
    </row>
    <row r="104" spans="1:137" ht="11.25" customHeight="1" outlineLevel="2" x14ac:dyDescent="0.2">
      <c r="A104" s="153" t="s">
        <v>575</v>
      </c>
      <c r="C104" s="349"/>
      <c r="E104" s="153"/>
      <c r="G104" s="153"/>
      <c r="I104" s="153"/>
      <c r="K104" s="153"/>
      <c r="M104" s="150"/>
      <c r="Q104" s="153"/>
      <c r="S104" s="150"/>
      <c r="W104" s="153"/>
      <c r="Y104" s="150"/>
      <c r="AC104" s="153"/>
      <c r="AE104" s="150"/>
      <c r="AI104" s="153"/>
      <c r="AK104" s="150"/>
      <c r="AO104" s="153"/>
      <c r="AQ104" s="150"/>
      <c r="AU104" s="153"/>
      <c r="AW104" s="150"/>
      <c r="BA104" s="153"/>
      <c r="BC104" s="150"/>
      <c r="BG104" s="153"/>
      <c r="BI104" s="150"/>
      <c r="BM104" s="153"/>
      <c r="BO104" s="150"/>
      <c r="BS104" s="153"/>
      <c r="BU104" s="150"/>
      <c r="BY104" s="153"/>
      <c r="CA104" s="150"/>
      <c r="CE104" s="153"/>
      <c r="CG104" s="150"/>
      <c r="CK104" s="153"/>
      <c r="CM104" s="150"/>
      <c r="CQ104" s="153"/>
      <c r="CS104" s="111">
        <f>+CS103/CS$92</f>
        <v>0.19627245300193052</v>
      </c>
      <c r="CT104" s="15">
        <f>+CT103/CT$92</f>
        <v>0.20941045929487603</v>
      </c>
      <c r="CU104" s="15">
        <f>+CU103/CU$92</f>
        <v>0.20564580870225216</v>
      </c>
      <c r="CV104" s="15">
        <f>+CV103/CV$92</f>
        <v>0.19409560864203709</v>
      </c>
      <c r="CW104" s="47">
        <f>+CW103/CW$92</f>
        <v>0.20158431765986515</v>
      </c>
      <c r="CX104" s="53"/>
      <c r="CY104" s="111">
        <f>+CY103/CY$92</f>
        <v>0.19313022388059695</v>
      </c>
      <c r="CZ104" s="15">
        <f>+CZ103/CZ$92</f>
        <v>0.20534456671251716</v>
      </c>
      <c r="DA104" s="15">
        <f>+DA103/DA$92</f>
        <v>0.20557072415163899</v>
      </c>
      <c r="DB104" s="15">
        <f>+DB103/DB$92</f>
        <v>0.19844254723735921</v>
      </c>
      <c r="DC104" s="47">
        <f>+DC103/DC$92</f>
        <v>0.20073480816200936</v>
      </c>
      <c r="DD104" s="53"/>
      <c r="DE104" s="111">
        <f>DE103/DE92</f>
        <v>0.2046385718466491</v>
      </c>
      <c r="DF104" s="15">
        <f>DF103/DF92</f>
        <v>0.20839903378401045</v>
      </c>
      <c r="DG104" s="15">
        <f>DG103/DG92</f>
        <v>0.2051909206606134</v>
      </c>
      <c r="DH104" s="15">
        <f>DH103/DH92</f>
        <v>0.21032388048954079</v>
      </c>
      <c r="DI104" s="47">
        <f>DI103/DI92</f>
        <v>0.20726680537695075</v>
      </c>
      <c r="DJ104" s="53"/>
      <c r="DK104" s="111">
        <f>DK103/DK92</f>
        <v>0.21317974606604986</v>
      </c>
      <c r="DL104" s="15">
        <f>DL103/DL92</f>
        <v>0.21685389467110203</v>
      </c>
      <c r="DM104" s="15">
        <f>DM103/DM92</f>
        <v>0.21371941689855217</v>
      </c>
      <c r="DN104" s="15">
        <f>DN103/DN92</f>
        <v>0.2187345606520017</v>
      </c>
      <c r="DO104" s="47">
        <f>DO103/DO92</f>
        <v>0.21574765413690905</v>
      </c>
      <c r="DP104" s="53"/>
      <c r="DQ104" s="111">
        <f>DQ103/DQ92</f>
        <v>0.22488437121735563</v>
      </c>
      <c r="DR104" s="15">
        <f>DR103/DR92</f>
        <v>0.22841720641452118</v>
      </c>
      <c r="DS104" s="15">
        <f>DS103/DS92</f>
        <v>0.2254032854793771</v>
      </c>
      <c r="DT104" s="15">
        <f>DT103/DT92</f>
        <v>0.23022553908846319</v>
      </c>
      <c r="DU104" s="47">
        <f>DU103/DU92</f>
        <v>0.22735351359318176</v>
      </c>
      <c r="DV104" s="53"/>
      <c r="DW104" s="111">
        <f>DW103/DW92</f>
        <v>0.23652343386284197</v>
      </c>
      <c r="DX104" s="15">
        <f>DX103/DX92</f>
        <v>0.23992039078319347</v>
      </c>
      <c r="DY104" s="15">
        <f>DY103/DY92</f>
        <v>0.23702238988401647</v>
      </c>
      <c r="DZ104" s="15">
        <f>DZ103/DZ92</f>
        <v>0.24165917220044536</v>
      </c>
      <c r="EA104" s="47">
        <f>EA103/EA92</f>
        <v>0.2388976092242133</v>
      </c>
      <c r="EB104" s="53"/>
      <c r="EC104" s="111">
        <f t="shared" ref="EC104:EG104" si="185">EC103/EC92</f>
        <v>0.24809945563734803</v>
      </c>
      <c r="ED104" s="15">
        <f t="shared" si="185"/>
        <v>0.25136576036845526</v>
      </c>
      <c r="EE104" s="15">
        <f t="shared" si="185"/>
        <v>0.24857922104232355</v>
      </c>
      <c r="EF104" s="15">
        <f t="shared" si="185"/>
        <v>0.2530376655773513</v>
      </c>
      <c r="EG104" s="47">
        <f t="shared" si="185"/>
        <v>0.25038231656174353</v>
      </c>
    </row>
    <row r="105" spans="1:137" ht="11.25" customHeight="1" outlineLevel="2" x14ac:dyDescent="0.2">
      <c r="A105" s="153" t="s">
        <v>576</v>
      </c>
      <c r="C105" s="349"/>
      <c r="E105" s="153"/>
      <c r="G105" s="153"/>
      <c r="I105" s="153"/>
      <c r="K105" s="153"/>
      <c r="M105" s="150"/>
      <c r="Q105" s="153"/>
      <c r="S105" s="150"/>
      <c r="W105" s="153"/>
      <c r="Y105" s="150"/>
      <c r="AC105" s="153"/>
      <c r="AE105" s="150"/>
      <c r="AI105" s="153"/>
      <c r="AK105" s="150"/>
      <c r="AO105" s="153"/>
      <c r="AQ105" s="150"/>
      <c r="AU105" s="153"/>
      <c r="AW105" s="150"/>
      <c r="BA105" s="153"/>
      <c r="BC105" s="150"/>
      <c r="BG105" s="153"/>
      <c r="BI105" s="150"/>
      <c r="BM105" s="153"/>
      <c r="BO105" s="150"/>
      <c r="BS105" s="153"/>
      <c r="BU105" s="150"/>
      <c r="BY105" s="153"/>
      <c r="CA105" s="150"/>
      <c r="CE105" s="153"/>
      <c r="CG105" s="150"/>
      <c r="CK105" s="153"/>
      <c r="CM105" s="150"/>
      <c r="CQ105" s="153"/>
      <c r="CS105" s="150"/>
      <c r="CW105" s="153"/>
      <c r="CY105" s="499">
        <f>+(CY103+CY107)/CY$92</f>
        <v>0.21551828358208949</v>
      </c>
      <c r="CZ105" s="53">
        <f>+(CZ103+CZ107)/CZ$92</f>
        <v>0.2328548830811554</v>
      </c>
      <c r="DA105" s="53">
        <f>+(DA103+DA107)/DA$92</f>
        <v>0.24850071306711585</v>
      </c>
      <c r="DB105" s="53">
        <f>+(DB103+DB107)/DB$92</f>
        <v>0.24749374982569305</v>
      </c>
      <c r="DC105" s="1001">
        <f>+(DC103+DC107)/DC$92</f>
        <v>0.23633020144892464</v>
      </c>
      <c r="DE105" s="499">
        <f>+(DE103+DE107)/DE$92</f>
        <v>0.27048580626280361</v>
      </c>
      <c r="DF105" s="53">
        <f>+(DF103+DF107)/DF$92</f>
        <v>0.2754973663904452</v>
      </c>
      <c r="DG105" s="53">
        <f>+(DG103+DG107)/DG$92</f>
        <v>0.27746362927252727</v>
      </c>
      <c r="DH105" s="53">
        <f>+(DH103+DH107)/DH$92</f>
        <v>0.28071699575003295</v>
      </c>
      <c r="DI105" s="1001">
        <f>+(DI103+DI107)/DI$92</f>
        <v>0.27619131283348181</v>
      </c>
      <c r="DK105" s="499">
        <f>+(DK103+DK107)/DK$92</f>
        <v>0.29056431642691521</v>
      </c>
      <c r="DL105" s="53">
        <f>+(DL103+DL107)/DL$92</f>
        <v>0.29427504767852675</v>
      </c>
      <c r="DM105" s="53">
        <f>+(DM103+DM107)/DM$92</f>
        <v>0.29711100375845279</v>
      </c>
      <c r="DN105" s="53">
        <f>+(DN103+DN107)/DN$92</f>
        <v>0.29872673708437913</v>
      </c>
      <c r="DO105" s="1001">
        <f>+(DO103+DO107)/DO$92</f>
        <v>0.29527593197136798</v>
      </c>
      <c r="DQ105" s="499">
        <f>+(DQ103+DQ107)/DQ$92</f>
        <v>0.31958576851212095</v>
      </c>
      <c r="DR105" s="53">
        <f>+(DR103+DR107)/DR$92</f>
        <v>0.32147147685613742</v>
      </c>
      <c r="DS105" s="53">
        <f>+(DS103+DS107)/DS$92</f>
        <v>0.32563355814752692</v>
      </c>
      <c r="DT105" s="53">
        <f>+(DT103+DT107)/DT$92</f>
        <v>0.32489083664157259</v>
      </c>
      <c r="DU105" s="1001">
        <f>+(DU103+DU107)/DU$92</f>
        <v>0.32294038599036795</v>
      </c>
      <c r="DW105" s="499">
        <f>+(DW103+DW107)/DW$92</f>
        <v>0.34709512026469708</v>
      </c>
      <c r="DX105" s="53">
        <f>+(DX103+DX107)/DX$92</f>
        <v>0.34729070283121216</v>
      </c>
      <c r="DY105" s="53">
        <f>+(DY103+DY107)/DY$92</f>
        <v>0.35267270450111232</v>
      </c>
      <c r="DZ105" s="53">
        <f>+(DZ103+DZ107)/DZ$92</f>
        <v>0.34975055762767365</v>
      </c>
      <c r="EA105" s="1001">
        <f>+(EA103+EA107)/EA$92</f>
        <v>0.34919015429788969</v>
      </c>
      <c r="EC105" s="499">
        <f t="shared" ref="EC105:EG105" si="186">+(EC103+EC107)/EC$92</f>
        <v>0.36692649419137785</v>
      </c>
      <c r="ED105" s="53">
        <f t="shared" si="186"/>
        <v>0.36607763221462908</v>
      </c>
      <c r="EE105" s="53">
        <f t="shared" si="186"/>
        <v>0.37213724947939181</v>
      </c>
      <c r="EF105" s="53">
        <f t="shared" si="186"/>
        <v>0.36791211365284698</v>
      </c>
      <c r="EG105" s="1001">
        <f t="shared" si="186"/>
        <v>0.36821623223874822</v>
      </c>
    </row>
    <row r="106" spans="1:137" ht="11.25" customHeight="1" outlineLevel="2" x14ac:dyDescent="0.2">
      <c r="A106" s="153"/>
      <c r="C106" s="348"/>
      <c r="E106" s="153"/>
      <c r="G106" s="153"/>
      <c r="I106" s="153"/>
      <c r="K106" s="153"/>
      <c r="M106" s="150"/>
      <c r="Q106" s="153"/>
      <c r="S106" s="150"/>
      <c r="W106" s="153"/>
      <c r="Y106" s="150"/>
      <c r="AC106" s="153"/>
      <c r="AE106" s="150"/>
      <c r="AI106" s="153"/>
      <c r="AK106" s="150"/>
      <c r="AO106" s="153"/>
      <c r="AQ106" s="150"/>
      <c r="AU106" s="153"/>
      <c r="AW106" s="150"/>
      <c r="BA106" s="153"/>
      <c r="BC106" s="150"/>
      <c r="BG106" s="153"/>
      <c r="BI106" s="150"/>
      <c r="BM106" s="153"/>
      <c r="BO106" s="150"/>
      <c r="BS106" s="153"/>
      <c r="BU106" s="150"/>
      <c r="BY106" s="153"/>
      <c r="CA106" s="150"/>
      <c r="CE106" s="153"/>
      <c r="CG106" s="150"/>
      <c r="CK106" s="153"/>
      <c r="CM106" s="150"/>
      <c r="CQ106" s="153"/>
      <c r="CS106" s="150"/>
      <c r="CW106" s="153"/>
      <c r="CY106" s="150"/>
      <c r="DC106" s="153"/>
      <c r="DE106" s="150"/>
      <c r="DI106" s="153"/>
      <c r="DK106" s="150"/>
      <c r="DO106" s="153"/>
      <c r="DQ106" s="150"/>
      <c r="DU106" s="153"/>
      <c r="DW106" s="150"/>
      <c r="EA106" s="153"/>
      <c r="EC106" s="150"/>
      <c r="EG106" s="153"/>
    </row>
    <row r="107" spans="1:137" ht="11.25" customHeight="1" outlineLevel="2" x14ac:dyDescent="0.2">
      <c r="A107" s="153" t="s">
        <v>199</v>
      </c>
      <c r="C107" s="349"/>
      <c r="E107" s="153"/>
      <c r="G107" s="153"/>
      <c r="I107" s="153"/>
      <c r="K107" s="153"/>
      <c r="M107" s="150"/>
      <c r="Q107" s="153"/>
      <c r="S107" s="150"/>
      <c r="W107" s="153"/>
      <c r="Y107" s="150"/>
      <c r="AC107" s="153"/>
      <c r="AE107" s="150"/>
      <c r="AI107" s="153"/>
      <c r="AK107" s="150"/>
      <c r="AO107" s="153"/>
      <c r="AQ107" s="150"/>
      <c r="AU107" s="153"/>
      <c r="AW107" s="150"/>
      <c r="BA107" s="153"/>
      <c r="BC107" s="150"/>
      <c r="BG107" s="153"/>
      <c r="BI107" s="150"/>
      <c r="BM107" s="153"/>
      <c r="BO107" s="150"/>
      <c r="BS107" s="153"/>
      <c r="BU107" s="150"/>
      <c r="BY107" s="153"/>
      <c r="CA107" s="150"/>
      <c r="CE107" s="153"/>
      <c r="CG107" s="150"/>
      <c r="CK107" s="153"/>
      <c r="CM107" s="150"/>
      <c r="CQ107" s="153"/>
      <c r="CS107" s="82"/>
      <c r="CT107" s="67"/>
      <c r="CU107" s="67"/>
      <c r="CV107" s="67">
        <v>0</v>
      </c>
      <c r="CW107" s="93"/>
      <c r="CY107" s="84">
        <v>15</v>
      </c>
      <c r="CZ107" s="71">
        <v>20</v>
      </c>
      <c r="DA107" s="71">
        <v>30</v>
      </c>
      <c r="DB107" s="71">
        <v>35</v>
      </c>
      <c r="DC107" s="93">
        <f>SUM(CY107:DB107)</f>
        <v>100</v>
      </c>
      <c r="DE107" s="81">
        <v>45</v>
      </c>
      <c r="DF107" s="69">
        <v>50</v>
      </c>
      <c r="DG107" s="69">
        <v>50</v>
      </c>
      <c r="DH107" s="69">
        <v>55</v>
      </c>
      <c r="DI107" s="163">
        <f>SUM(DE107:DH107)</f>
        <v>200</v>
      </c>
      <c r="DK107" s="81">
        <f>DE107+10</f>
        <v>55</v>
      </c>
      <c r="DL107" s="69">
        <f>DF107+10</f>
        <v>60</v>
      </c>
      <c r="DM107" s="69">
        <f>DG107+10</f>
        <v>60</v>
      </c>
      <c r="DN107" s="69">
        <f>DH107+10</f>
        <v>65</v>
      </c>
      <c r="DO107" s="163">
        <f>SUM(DK107:DN107)</f>
        <v>240</v>
      </c>
      <c r="DQ107" s="81">
        <f>DK107+15</f>
        <v>70</v>
      </c>
      <c r="DR107" s="69">
        <f>DL107+15</f>
        <v>75</v>
      </c>
      <c r="DS107" s="69">
        <f>DM107+15</f>
        <v>75</v>
      </c>
      <c r="DT107" s="69">
        <f>DN107+15</f>
        <v>80</v>
      </c>
      <c r="DU107" s="163">
        <f>SUM(DQ107:DT107)</f>
        <v>300</v>
      </c>
      <c r="DW107" s="81">
        <f>DQ107+15</f>
        <v>85</v>
      </c>
      <c r="DX107" s="69">
        <f>DR107+15</f>
        <v>90</v>
      </c>
      <c r="DY107" s="69">
        <f>DS107+15</f>
        <v>90</v>
      </c>
      <c r="DZ107" s="69">
        <f>DT107+15</f>
        <v>95</v>
      </c>
      <c r="EA107" s="163">
        <f>SUM(DW107:DZ107)</f>
        <v>360</v>
      </c>
      <c r="EC107" s="81">
        <f>DW107+10</f>
        <v>95</v>
      </c>
      <c r="ED107" s="69">
        <f>DX107+10</f>
        <v>100</v>
      </c>
      <c r="EE107" s="69">
        <f>DY107+10</f>
        <v>100</v>
      </c>
      <c r="EF107" s="69">
        <f>DZ107+10</f>
        <v>105</v>
      </c>
      <c r="EG107" s="163">
        <f t="shared" ref="EG107:EG108" si="187">SUM(EC107:EF107)</f>
        <v>400</v>
      </c>
    </row>
    <row r="108" spans="1:137" ht="11.25" customHeight="1" outlineLevel="2" x14ac:dyDescent="0.2">
      <c r="A108" s="153" t="s">
        <v>200</v>
      </c>
      <c r="C108" s="349"/>
      <c r="E108" s="153"/>
      <c r="G108" s="153"/>
      <c r="I108" s="153"/>
      <c r="K108" s="153"/>
      <c r="M108" s="150"/>
      <c r="Q108" s="153"/>
      <c r="S108" s="150"/>
      <c r="W108" s="153"/>
      <c r="Y108" s="150"/>
      <c r="AC108" s="153"/>
      <c r="AE108" s="150"/>
      <c r="AI108" s="153"/>
      <c r="AK108" s="150"/>
      <c r="AO108" s="153"/>
      <c r="AQ108" s="150"/>
      <c r="AU108" s="153"/>
      <c r="AW108" s="150"/>
      <c r="BA108" s="153"/>
      <c r="BC108" s="150"/>
      <c r="BG108" s="153"/>
      <c r="BI108" s="150"/>
      <c r="BM108" s="153"/>
      <c r="BO108" s="150"/>
      <c r="BS108" s="153"/>
      <c r="BU108" s="150"/>
      <c r="BY108" s="153"/>
      <c r="CA108" s="150"/>
      <c r="CE108" s="153"/>
      <c r="CG108" s="150"/>
      <c r="CK108" s="153"/>
      <c r="CM108" s="150"/>
      <c r="CQ108" s="153">
        <v>40</v>
      </c>
      <c r="CS108" s="82"/>
      <c r="CT108" s="67"/>
      <c r="CU108" s="67"/>
      <c r="CV108" s="71">
        <v>40</v>
      </c>
      <c r="CW108" s="92">
        <v>40</v>
      </c>
      <c r="CY108" s="82"/>
      <c r="CZ108" s="67"/>
      <c r="DA108" s="67"/>
      <c r="DB108" s="71"/>
      <c r="DC108" s="93"/>
      <c r="DE108" s="81">
        <v>6.25</v>
      </c>
      <c r="DF108" s="69">
        <v>6.25</v>
      </c>
      <c r="DG108" s="69">
        <v>6.25</v>
      </c>
      <c r="DH108" s="69">
        <v>6.25</v>
      </c>
      <c r="DI108" s="93">
        <f>SUM(DE108:DH108)</f>
        <v>25</v>
      </c>
      <c r="DK108" s="81">
        <v>5</v>
      </c>
      <c r="DL108" s="69">
        <v>5</v>
      </c>
      <c r="DM108" s="69">
        <v>5</v>
      </c>
      <c r="DN108" s="69">
        <v>5</v>
      </c>
      <c r="DO108" s="93">
        <f>SUM(DK108:DN108)</f>
        <v>20</v>
      </c>
      <c r="DQ108" s="81">
        <v>5</v>
      </c>
      <c r="DR108" s="69">
        <v>5</v>
      </c>
      <c r="DS108" s="69">
        <v>5</v>
      </c>
      <c r="DT108" s="69">
        <v>5</v>
      </c>
      <c r="DU108" s="93">
        <f>SUM(DQ108:DT108)</f>
        <v>20</v>
      </c>
      <c r="DW108" s="81">
        <v>5</v>
      </c>
      <c r="DX108" s="69">
        <v>5</v>
      </c>
      <c r="DY108" s="69">
        <v>5</v>
      </c>
      <c r="DZ108" s="69">
        <v>5</v>
      </c>
      <c r="EA108" s="93">
        <f>SUM(DW108:DZ108)</f>
        <v>20</v>
      </c>
      <c r="EC108" s="81">
        <v>5</v>
      </c>
      <c r="ED108" s="69">
        <v>5</v>
      </c>
      <c r="EE108" s="69">
        <v>5</v>
      </c>
      <c r="EF108" s="69">
        <v>5</v>
      </c>
      <c r="EG108" s="93">
        <f t="shared" si="187"/>
        <v>20</v>
      </c>
    </row>
    <row r="109" spans="1:137" ht="11.25" customHeight="1" outlineLevel="2" x14ac:dyDescent="0.2">
      <c r="A109" s="153" t="s">
        <v>201</v>
      </c>
      <c r="C109" s="349"/>
      <c r="E109" s="153"/>
      <c r="G109" s="153"/>
      <c r="I109" s="153"/>
      <c r="K109" s="153"/>
      <c r="M109" s="150"/>
      <c r="Q109" s="153"/>
      <c r="S109" s="150"/>
      <c r="W109" s="153"/>
      <c r="Y109" s="150"/>
      <c r="AC109" s="153"/>
      <c r="AE109" s="150"/>
      <c r="AI109" s="153"/>
      <c r="AK109" s="150"/>
      <c r="AO109" s="153"/>
      <c r="AQ109" s="150"/>
      <c r="AU109" s="153"/>
      <c r="AW109" s="150"/>
      <c r="BA109" s="153"/>
      <c r="BC109" s="150"/>
      <c r="BG109" s="153"/>
      <c r="BI109" s="150"/>
      <c r="BM109" s="153"/>
      <c r="BO109" s="150"/>
      <c r="BS109" s="153"/>
      <c r="BU109" s="150"/>
      <c r="BY109" s="153"/>
      <c r="CA109" s="150"/>
      <c r="CE109" s="153"/>
      <c r="CG109" s="150"/>
      <c r="CK109" s="153"/>
      <c r="CM109" s="150"/>
      <c r="CQ109" s="153"/>
      <c r="CS109" s="82"/>
      <c r="CT109" s="67"/>
      <c r="CU109" s="67"/>
      <c r="CV109" s="71">
        <v>28.028469999999999</v>
      </c>
      <c r="CW109" s="92">
        <v>112.11387999999999</v>
      </c>
      <c r="CX109" s="352"/>
      <c r="CY109" s="84">
        <v>28.028469999999999</v>
      </c>
      <c r="CZ109" s="71">
        <v>28.028469999999999</v>
      </c>
      <c r="DA109" s="71">
        <v>28.028469999999999</v>
      </c>
      <c r="DB109" s="71">
        <v>28.028469999999999</v>
      </c>
      <c r="DC109" s="92">
        <v>112.11387999999999</v>
      </c>
      <c r="DD109" s="352"/>
      <c r="DE109" s="82">
        <f>DI109/4</f>
        <v>28.028469999999999</v>
      </c>
      <c r="DF109" s="67">
        <f>DI109/4</f>
        <v>28.028469999999999</v>
      </c>
      <c r="DG109" s="67">
        <f>DI109/4</f>
        <v>28.028469999999999</v>
      </c>
      <c r="DH109" s="67">
        <f>DI109/4</f>
        <v>28.028469999999999</v>
      </c>
      <c r="DI109" s="91">
        <f>$CW$92*4%</f>
        <v>112.11387999999999</v>
      </c>
      <c r="DJ109" s="352"/>
      <c r="DK109" s="82">
        <f>DO109/4</f>
        <v>28.028469999999999</v>
      </c>
      <c r="DL109" s="67">
        <f>DO109/4</f>
        <v>28.028469999999999</v>
      </c>
      <c r="DM109" s="67">
        <f>DO109/4</f>
        <v>28.028469999999999</v>
      </c>
      <c r="DN109" s="67">
        <f>DO109/4</f>
        <v>28.028469999999999</v>
      </c>
      <c r="DO109" s="91">
        <f>$CW$92*4%</f>
        <v>112.11387999999999</v>
      </c>
      <c r="DP109" s="352"/>
      <c r="DQ109" s="82">
        <f>DU109/4</f>
        <v>28.028469999999999</v>
      </c>
      <c r="DR109" s="67">
        <f>DU109/4</f>
        <v>28.028469999999999</v>
      </c>
      <c r="DS109" s="67">
        <f>DU109/4</f>
        <v>28.028469999999999</v>
      </c>
      <c r="DT109" s="67">
        <f>DU109/4</f>
        <v>28.028469999999999</v>
      </c>
      <c r="DU109" s="91">
        <f>$CW$92*4%</f>
        <v>112.11387999999999</v>
      </c>
      <c r="DV109" s="352"/>
      <c r="DW109" s="82">
        <f>EA109/4</f>
        <v>28.028469999999999</v>
      </c>
      <c r="DX109" s="67">
        <f>EA109/4</f>
        <v>28.028469999999999</v>
      </c>
      <c r="DY109" s="67">
        <f>EA109/4</f>
        <v>28.028469999999999</v>
      </c>
      <c r="DZ109" s="67">
        <f>EA109/4</f>
        <v>28.028469999999999</v>
      </c>
      <c r="EA109" s="91">
        <f>$CW$92*4%</f>
        <v>112.11387999999999</v>
      </c>
      <c r="EB109" s="352"/>
      <c r="EC109" s="82">
        <f t="shared" ref="EC109" si="188">EG109/4</f>
        <v>28.028469999999999</v>
      </c>
      <c r="ED109" s="67">
        <f t="shared" ref="ED109" si="189">EG109/4</f>
        <v>28.028469999999999</v>
      </c>
      <c r="EE109" s="67">
        <f t="shared" ref="EE109" si="190">EG109/4</f>
        <v>28.028469999999999</v>
      </c>
      <c r="EF109" s="67">
        <f t="shared" ref="EF109" si="191">EG109/4</f>
        <v>28.028469999999999</v>
      </c>
      <c r="EG109" s="91">
        <f t="shared" ref="EG109" si="192">$CW$92*4%</f>
        <v>112.11387999999999</v>
      </c>
    </row>
    <row r="110" spans="1:137" ht="11.25" customHeight="1" outlineLevel="2" x14ac:dyDescent="0.2">
      <c r="A110" s="153"/>
      <c r="C110" s="349"/>
      <c r="E110" s="153"/>
      <c r="G110" s="153"/>
      <c r="I110" s="153"/>
      <c r="K110" s="153"/>
      <c r="M110" s="150"/>
      <c r="Q110" s="153"/>
      <c r="S110" s="150"/>
      <c r="W110" s="153"/>
      <c r="Y110" s="150"/>
      <c r="AC110" s="153"/>
      <c r="AE110" s="150"/>
      <c r="AI110" s="153"/>
      <c r="AK110" s="150"/>
      <c r="AO110" s="153"/>
      <c r="AQ110" s="150"/>
      <c r="AU110" s="153"/>
      <c r="AW110" s="150"/>
      <c r="BA110" s="153"/>
      <c r="BC110" s="150"/>
      <c r="BG110" s="153"/>
      <c r="BI110" s="150"/>
      <c r="BM110" s="153"/>
      <c r="BO110" s="150"/>
      <c r="BS110" s="153"/>
      <c r="BU110" s="150"/>
      <c r="BY110" s="153"/>
      <c r="CA110" s="150"/>
      <c r="CE110" s="153"/>
      <c r="CG110" s="150"/>
      <c r="CK110" s="153"/>
      <c r="CM110" s="150"/>
      <c r="CQ110" s="153"/>
      <c r="CS110" s="150"/>
      <c r="CW110" s="153"/>
      <c r="CY110" s="150"/>
      <c r="DC110" s="153"/>
      <c r="DE110" s="150"/>
      <c r="DI110" s="153"/>
      <c r="DK110" s="150"/>
      <c r="DO110" s="153"/>
      <c r="DQ110" s="150"/>
      <c r="DU110" s="153"/>
      <c r="DW110" s="150"/>
      <c r="EA110" s="153"/>
      <c r="EC110" s="150"/>
      <c r="EG110" s="153"/>
    </row>
    <row r="111" spans="1:137" ht="11.25" customHeight="1" outlineLevel="2" x14ac:dyDescent="0.2">
      <c r="A111" s="153" t="s">
        <v>202</v>
      </c>
      <c r="C111" s="348"/>
      <c r="E111" s="153"/>
      <c r="G111" s="153"/>
      <c r="I111" s="153"/>
      <c r="K111" s="153"/>
      <c r="M111" s="150"/>
      <c r="Q111" s="153"/>
      <c r="S111" s="150"/>
      <c r="W111" s="153"/>
      <c r="Y111" s="150"/>
      <c r="AC111" s="153"/>
      <c r="AE111" s="150"/>
      <c r="AI111" s="153"/>
      <c r="AK111" s="150"/>
      <c r="AO111" s="153"/>
      <c r="AQ111" s="150"/>
      <c r="AU111" s="153"/>
      <c r="AW111" s="150"/>
      <c r="BA111" s="153"/>
      <c r="BC111" s="150"/>
      <c r="BG111" s="153"/>
      <c r="BI111" s="150"/>
      <c r="BM111" s="153"/>
      <c r="BO111" s="150"/>
      <c r="BS111" s="153"/>
      <c r="BU111" s="150"/>
      <c r="BY111" s="153"/>
      <c r="CA111" s="150"/>
      <c r="CE111" s="153"/>
      <c r="CG111" s="150"/>
      <c r="CK111" s="153"/>
      <c r="CM111" s="150"/>
      <c r="CQ111" s="153"/>
      <c r="CR111" s="352"/>
      <c r="CS111" s="82">
        <f>+CS103+CS107</f>
        <v>133.68999999999997</v>
      </c>
      <c r="CT111" s="67">
        <f>+CT103+CT107</f>
        <v>158.53</v>
      </c>
      <c r="CU111" s="67">
        <f>+CU103+CU107</f>
        <v>140.88999999999999</v>
      </c>
      <c r="CV111" s="67">
        <f>+CV103+CV107</f>
        <v>131.9</v>
      </c>
      <c r="CW111" s="93">
        <f>+CW103+CW107</f>
        <v>565.01</v>
      </c>
      <c r="CX111" s="352"/>
      <c r="CY111" s="82">
        <f>+CY103+CY107</f>
        <v>144.39724999999996</v>
      </c>
      <c r="CZ111" s="67">
        <f>+CZ103+CZ107</f>
        <v>169.28549999999998</v>
      </c>
      <c r="DA111" s="67">
        <f>+DA103+DA107</f>
        <v>173.65532999999999</v>
      </c>
      <c r="DB111" s="67">
        <f>+DB103+DB107</f>
        <v>176.59671500000002</v>
      </c>
      <c r="DC111" s="93">
        <f>+DC103+DC107</f>
        <v>663.93479499999989</v>
      </c>
      <c r="DD111" s="352"/>
      <c r="DE111" s="82">
        <f>+DE103+DE107</f>
        <v>184.85</v>
      </c>
      <c r="DF111" s="67">
        <f>+DF103+DF107</f>
        <v>205.29374999999999</v>
      </c>
      <c r="DG111" s="67">
        <f>+DG103+DG107</f>
        <v>191.95601950000002</v>
      </c>
      <c r="DH111" s="67">
        <f>+DH103+DH107</f>
        <v>219.33160237500002</v>
      </c>
      <c r="DI111" s="93">
        <f>+DI103+DI107</f>
        <v>801.43137187499997</v>
      </c>
      <c r="DJ111" s="352"/>
      <c r="DK111" s="82">
        <f>+DK103+DK107</f>
        <v>206.51452</v>
      </c>
      <c r="DL111" s="67">
        <f>+DL103+DL107</f>
        <v>228.05786499999999</v>
      </c>
      <c r="DM111" s="67">
        <f>+DM103+DM107</f>
        <v>213.77048808840004</v>
      </c>
      <c r="DN111" s="67">
        <f>+DN103+DN107</f>
        <v>242.73921246410001</v>
      </c>
      <c r="DO111" s="93">
        <f>+DO103+DO107</f>
        <v>891.08208555249996</v>
      </c>
      <c r="DP111" s="352"/>
      <c r="DQ111" s="82">
        <f>+DQ103+DQ107</f>
        <v>236.22675520000001</v>
      </c>
      <c r="DR111" s="67">
        <f>+DR103+DR107</f>
        <v>259.09999240000002</v>
      </c>
      <c r="DS111" s="67">
        <f>+DS103+DS107</f>
        <v>243.66407683958408</v>
      </c>
      <c r="DT111" s="67">
        <f>+DT103+DT107</f>
        <v>274.55960740781603</v>
      </c>
      <c r="DU111" s="93">
        <f>+DU103+DU107</f>
        <v>1013.5504318474</v>
      </c>
      <c r="DV111" s="352"/>
      <c r="DW111" s="82">
        <f>+DW103+DW107</f>
        <v>266.82314598400001</v>
      </c>
      <c r="DX111" s="67">
        <f>+DX103+DX107</f>
        <v>291.10619740800001</v>
      </c>
      <c r="DY111" s="67">
        <f>+DY103+DY107</f>
        <v>274.45271990992137</v>
      </c>
      <c r="DZ111" s="67">
        <f>+DZ103+DZ107</f>
        <v>307.39085120708677</v>
      </c>
      <c r="EA111" s="93">
        <f>+EA103+EA107</f>
        <v>1139.7729145090082</v>
      </c>
      <c r="EB111" s="352"/>
      <c r="EC111" s="82">
        <f t="shared" ref="EC111:EG111" si="193">+EC103+EC107</f>
        <v>293.35088522240005</v>
      </c>
      <c r="ED111" s="67">
        <f t="shared" si="193"/>
        <v>319.12793882879998</v>
      </c>
      <c r="EE111" s="67">
        <f t="shared" si="193"/>
        <v>301.18419190294236</v>
      </c>
      <c r="EF111" s="67">
        <f t="shared" si="193"/>
        <v>336.28689913844664</v>
      </c>
      <c r="EG111" s="93">
        <f t="shared" si="193"/>
        <v>1249.949915092589</v>
      </c>
    </row>
    <row r="112" spans="1:137" ht="11.25" customHeight="1" outlineLevel="2" x14ac:dyDescent="0.2">
      <c r="A112" s="153" t="s">
        <v>203</v>
      </c>
      <c r="E112" s="153"/>
      <c r="G112" s="153"/>
      <c r="I112" s="153"/>
      <c r="K112" s="153"/>
      <c r="M112" s="150"/>
      <c r="Q112" s="153"/>
      <c r="S112" s="150"/>
      <c r="W112" s="153"/>
      <c r="Y112" s="150"/>
      <c r="AC112" s="153"/>
      <c r="AE112" s="150"/>
      <c r="AI112" s="153"/>
      <c r="AK112" s="150"/>
      <c r="AO112" s="153"/>
      <c r="AQ112" s="150"/>
      <c r="AU112" s="153"/>
      <c r="AW112" s="150"/>
      <c r="BA112" s="153"/>
      <c r="BC112" s="150"/>
      <c r="BG112" s="153"/>
      <c r="BI112" s="150"/>
      <c r="BM112" s="153"/>
      <c r="BO112" s="150"/>
      <c r="BS112" s="153"/>
      <c r="BU112" s="150"/>
      <c r="BY112" s="153"/>
      <c r="CA112" s="150"/>
      <c r="CE112" s="153"/>
      <c r="CG112" s="150"/>
      <c r="CK112" s="153"/>
      <c r="CM112" s="150"/>
      <c r="CQ112" s="153"/>
      <c r="CS112" s="887"/>
      <c r="CT112" s="562"/>
      <c r="CU112" s="562"/>
      <c r="CV112" s="563"/>
      <c r="CW112" s="445"/>
      <c r="CY112" s="888">
        <v>0.15</v>
      </c>
      <c r="CZ112" s="564">
        <v>0.15</v>
      </c>
      <c r="DA112" s="564">
        <v>0.15</v>
      </c>
      <c r="DB112" s="563">
        <v>0.15</v>
      </c>
      <c r="DC112" s="445"/>
      <c r="DE112" s="889"/>
      <c r="DF112" s="563"/>
      <c r="DG112" s="563"/>
      <c r="DH112" s="563"/>
      <c r="DI112" s="890">
        <v>0.35</v>
      </c>
      <c r="DK112" s="889"/>
      <c r="DL112" s="563"/>
      <c r="DM112" s="563"/>
      <c r="DN112" s="563"/>
      <c r="DO112" s="890">
        <v>0.3</v>
      </c>
      <c r="DQ112" s="889"/>
      <c r="DR112" s="563"/>
      <c r="DS112" s="563"/>
      <c r="DT112" s="563"/>
      <c r="DU112" s="890">
        <v>0.3</v>
      </c>
      <c r="DW112" s="889"/>
      <c r="DX112" s="563"/>
      <c r="DY112" s="563"/>
      <c r="DZ112" s="563"/>
      <c r="EA112" s="890">
        <v>0.3</v>
      </c>
      <c r="EC112" s="889"/>
      <c r="ED112" s="563"/>
      <c r="EE112" s="563"/>
      <c r="EF112" s="563"/>
      <c r="EG112" s="890">
        <v>0.3</v>
      </c>
    </row>
    <row r="113" spans="1:137" ht="11.25" customHeight="1" outlineLevel="2" x14ac:dyDescent="0.2">
      <c r="A113" s="153"/>
      <c r="E113" s="153"/>
      <c r="G113" s="153"/>
      <c r="I113" s="153"/>
      <c r="K113" s="153"/>
      <c r="M113" s="150"/>
      <c r="Q113" s="153"/>
      <c r="S113" s="150"/>
      <c r="W113" s="153"/>
      <c r="Y113" s="150"/>
      <c r="AC113" s="153"/>
      <c r="AE113" s="150"/>
      <c r="AI113" s="153"/>
      <c r="AK113" s="150"/>
      <c r="AO113" s="153"/>
      <c r="AQ113" s="150"/>
      <c r="AU113" s="153"/>
      <c r="AW113" s="150"/>
      <c r="BA113" s="153"/>
      <c r="BC113" s="150"/>
      <c r="BG113" s="153"/>
      <c r="BI113" s="150"/>
      <c r="BM113" s="153"/>
      <c r="BO113" s="150"/>
      <c r="BS113" s="153"/>
      <c r="BU113" s="150"/>
      <c r="BY113" s="153"/>
      <c r="CA113" s="150"/>
      <c r="CE113" s="153"/>
      <c r="CG113" s="150"/>
      <c r="CK113" s="153"/>
      <c r="CM113" s="150"/>
      <c r="CQ113" s="153"/>
      <c r="CS113" s="887"/>
      <c r="CT113" s="562"/>
      <c r="CU113" s="562"/>
      <c r="CV113" s="563"/>
      <c r="CW113" s="445"/>
      <c r="CY113" s="888"/>
      <c r="CZ113" s="564"/>
      <c r="DA113" s="564"/>
      <c r="DB113" s="563"/>
      <c r="DC113" s="445"/>
      <c r="DE113" s="889"/>
      <c r="DF113" s="563"/>
      <c r="DG113" s="563"/>
      <c r="DH113" s="563"/>
      <c r="DI113" s="890"/>
      <c r="DK113" s="889"/>
      <c r="DL113" s="563"/>
      <c r="DM113" s="563"/>
      <c r="DN113" s="563"/>
      <c r="DO113" s="890"/>
      <c r="DQ113" s="889"/>
      <c r="DR113" s="563"/>
      <c r="DS113" s="563"/>
      <c r="DT113" s="563"/>
      <c r="DU113" s="890"/>
      <c r="DW113" s="889"/>
      <c r="DX113" s="563"/>
      <c r="DY113" s="563"/>
      <c r="DZ113" s="563"/>
      <c r="EA113" s="890"/>
      <c r="EC113" s="889"/>
      <c r="ED113" s="563"/>
      <c r="EE113" s="563"/>
      <c r="EF113" s="563"/>
      <c r="EG113" s="890"/>
    </row>
    <row r="114" spans="1:137" s="949" customFormat="1" ht="11.25" customHeight="1" outlineLevel="2" x14ac:dyDescent="0.2">
      <c r="A114" s="944" t="s">
        <v>544</v>
      </c>
      <c r="B114" s="945"/>
      <c r="C114" s="945"/>
      <c r="D114" s="945"/>
      <c r="E114" s="946"/>
      <c r="F114" s="947"/>
      <c r="G114" s="946"/>
      <c r="H114" s="947"/>
      <c r="I114" s="946"/>
      <c r="J114" s="947"/>
      <c r="K114" s="946"/>
      <c r="L114" s="947"/>
      <c r="M114" s="948"/>
      <c r="N114" s="947"/>
      <c r="O114" s="947"/>
      <c r="P114" s="947"/>
      <c r="Q114" s="946"/>
      <c r="R114" s="947"/>
      <c r="S114" s="948"/>
      <c r="T114" s="947"/>
      <c r="U114" s="947"/>
      <c r="V114" s="947"/>
      <c r="W114" s="946"/>
      <c r="X114" s="947"/>
      <c r="Y114" s="948"/>
      <c r="Z114" s="947"/>
      <c r="AA114" s="947"/>
      <c r="AB114" s="947"/>
      <c r="AC114" s="946"/>
      <c r="AD114" s="947"/>
      <c r="AE114" s="948"/>
      <c r="AF114" s="947"/>
      <c r="AG114" s="947"/>
      <c r="AH114" s="947"/>
      <c r="AI114" s="946"/>
      <c r="AJ114" s="947"/>
      <c r="AK114" s="948"/>
      <c r="AL114" s="947"/>
      <c r="AM114" s="947"/>
      <c r="AN114" s="947"/>
      <c r="AO114" s="946"/>
      <c r="AP114" s="947"/>
      <c r="AQ114" s="948"/>
      <c r="AR114" s="947"/>
      <c r="AS114" s="947"/>
      <c r="AT114" s="947"/>
      <c r="AU114" s="946"/>
      <c r="AV114" s="947"/>
      <c r="AW114" s="948"/>
      <c r="AX114" s="947"/>
      <c r="AY114" s="947"/>
      <c r="AZ114" s="947"/>
      <c r="BA114" s="946"/>
      <c r="BB114" s="947"/>
      <c r="BC114" s="948"/>
      <c r="BD114" s="947"/>
      <c r="BE114" s="947"/>
      <c r="BF114" s="947"/>
      <c r="BG114" s="946"/>
      <c r="BH114" s="947"/>
      <c r="BI114" s="948"/>
      <c r="BJ114" s="947"/>
      <c r="BK114" s="947"/>
      <c r="BL114" s="947"/>
      <c r="BM114" s="946"/>
      <c r="BN114" s="947"/>
      <c r="BO114" s="948"/>
      <c r="BP114" s="947"/>
      <c r="BQ114" s="947"/>
      <c r="BR114" s="947"/>
      <c r="BS114" s="946"/>
      <c r="BT114" s="947"/>
      <c r="BU114" s="948"/>
      <c r="BV114" s="947"/>
      <c r="BW114" s="947"/>
      <c r="BX114" s="947"/>
      <c r="BY114" s="946"/>
      <c r="BZ114" s="947"/>
      <c r="CA114" s="948"/>
      <c r="CB114" s="947"/>
      <c r="CC114" s="947"/>
      <c r="CD114" s="947"/>
      <c r="CE114" s="946"/>
      <c r="CF114" s="947"/>
      <c r="CG114" s="948"/>
      <c r="CH114" s="947"/>
      <c r="CI114" s="947"/>
      <c r="CJ114" s="947"/>
      <c r="CK114" s="946"/>
      <c r="CL114" s="947"/>
      <c r="CM114" s="948"/>
      <c r="CN114" s="947"/>
      <c r="CO114" s="947"/>
      <c r="CP114" s="947"/>
      <c r="CQ114" s="946"/>
      <c r="CR114" s="947"/>
      <c r="CS114" s="948"/>
      <c r="CT114" s="947"/>
      <c r="CU114" s="947"/>
      <c r="CV114" s="947"/>
      <c r="CW114" s="946"/>
      <c r="CX114" s="947"/>
      <c r="CY114" s="948">
        <f>+'Pro Forma IS'!CY59</f>
        <v>0.25242470648289933</v>
      </c>
      <c r="CZ114" s="947">
        <f>+'Pro Forma IS'!CZ59</f>
        <v>0.36144210204705179</v>
      </c>
      <c r="DA114" s="947">
        <f>+'Pro Forma IS'!DA59</f>
        <v>0.15544367526746361</v>
      </c>
      <c r="DB114" s="947">
        <f>+'Pro Forma IS'!DB59</f>
        <v>-7.2659391154508909E-2</v>
      </c>
      <c r="DC114" s="946">
        <f>+'Pro Forma IS'!DC59</f>
        <v>0.17535327231647063</v>
      </c>
      <c r="DD114" s="947"/>
      <c r="DE114" s="948">
        <f>+'Pro Forma IS'!DE59</f>
        <v>0.17327409432672602</v>
      </c>
      <c r="DF114" s="947">
        <f>+'Pro Forma IS'!DF59</f>
        <v>0.16995005549389564</v>
      </c>
      <c r="DG114" s="947">
        <f>+'Pro Forma IS'!DG59</f>
        <v>0.21608659906823791</v>
      </c>
      <c r="DH114" s="947">
        <f>+'Pro Forma IS'!DH59</f>
        <v>0.12502553626149135</v>
      </c>
      <c r="DI114" s="946">
        <f>+'Pro Forma IS'!DI59</f>
        <v>0.16717526867453894</v>
      </c>
      <c r="DJ114" s="947"/>
      <c r="DK114" s="948">
        <f>+'Pro Forma IS'!DK59</f>
        <v>0.2054410321133083</v>
      </c>
      <c r="DL114" s="947">
        <f>+'Pro Forma IS'!DL59</f>
        <v>0.20599999999999999</v>
      </c>
      <c r="DM114" s="947">
        <f>+'Pro Forma IS'!DM59</f>
        <v>0.20599999999999999</v>
      </c>
      <c r="DN114" s="947">
        <f>+'Pro Forma IS'!DN59</f>
        <v>0.20599999999999999</v>
      </c>
      <c r="DO114" s="946">
        <f>+'Pro Forma IS'!DO59</f>
        <v>0.20588257630182652</v>
      </c>
      <c r="DP114" s="947"/>
      <c r="DQ114" s="948">
        <f>+'Pro Forma IS'!DQ59</f>
        <v>0.20599999999999999</v>
      </c>
      <c r="DR114" s="947">
        <f>+'Pro Forma IS'!DR59</f>
        <v>0.20599999999999999</v>
      </c>
      <c r="DS114" s="947">
        <f>+'Pro Forma IS'!DS59</f>
        <v>0.20599999999999999</v>
      </c>
      <c r="DT114" s="947">
        <f>+'Pro Forma IS'!DT59</f>
        <v>0.20599999999999999</v>
      </c>
      <c r="DU114" s="946">
        <f>+'Pro Forma IS'!DU59</f>
        <v>0.20599999999999996</v>
      </c>
      <c r="DV114" s="947"/>
      <c r="DW114" s="936">
        <v>0.21</v>
      </c>
      <c r="DX114" s="937">
        <f>+DW114</f>
        <v>0.21</v>
      </c>
      <c r="DY114" s="937">
        <f>+DX114</f>
        <v>0.21</v>
      </c>
      <c r="DZ114" s="937">
        <f>+DY114</f>
        <v>0.21</v>
      </c>
      <c r="EA114" s="938">
        <f>+DZ114</f>
        <v>0.21</v>
      </c>
      <c r="EB114" s="937"/>
      <c r="EC114" s="936">
        <f>+EA114</f>
        <v>0.21</v>
      </c>
      <c r="ED114" s="937">
        <f>+EC114</f>
        <v>0.21</v>
      </c>
      <c r="EE114" s="937">
        <f>+ED114</f>
        <v>0.21</v>
      </c>
      <c r="EF114" s="937">
        <f>+EE114</f>
        <v>0.21</v>
      </c>
      <c r="EG114" s="938">
        <f>+EF114</f>
        <v>0.21</v>
      </c>
    </row>
    <row r="115" spans="1:137" s="949" customFormat="1" ht="11.25" customHeight="1" outlineLevel="2" x14ac:dyDescent="0.2">
      <c r="A115" s="944" t="s">
        <v>178</v>
      </c>
      <c r="B115" s="945"/>
      <c r="C115" s="945"/>
      <c r="D115" s="945"/>
      <c r="E115" s="946"/>
      <c r="F115" s="947"/>
      <c r="G115" s="946"/>
      <c r="H115" s="947"/>
      <c r="I115" s="946"/>
      <c r="J115" s="947"/>
      <c r="K115" s="946"/>
      <c r="L115" s="947"/>
      <c r="M115" s="948"/>
      <c r="N115" s="947"/>
      <c r="O115" s="947"/>
      <c r="P115" s="947"/>
      <c r="Q115" s="946"/>
      <c r="R115" s="947"/>
      <c r="S115" s="948"/>
      <c r="T115" s="947"/>
      <c r="U115" s="947"/>
      <c r="V115" s="947"/>
      <c r="W115" s="946"/>
      <c r="X115" s="947"/>
      <c r="Y115" s="948"/>
      <c r="Z115" s="947"/>
      <c r="AA115" s="947"/>
      <c r="AB115" s="947"/>
      <c r="AC115" s="946"/>
      <c r="AD115" s="947"/>
      <c r="AE115" s="948"/>
      <c r="AF115" s="947"/>
      <c r="AG115" s="947"/>
      <c r="AH115" s="947"/>
      <c r="AI115" s="946"/>
      <c r="AJ115" s="947"/>
      <c r="AK115" s="948"/>
      <c r="AL115" s="947"/>
      <c r="AM115" s="947"/>
      <c r="AN115" s="947"/>
      <c r="AO115" s="946"/>
      <c r="AP115" s="947"/>
      <c r="AQ115" s="948"/>
      <c r="AR115" s="947"/>
      <c r="AS115" s="947"/>
      <c r="AT115" s="947"/>
      <c r="AU115" s="946"/>
      <c r="AV115" s="947"/>
      <c r="AW115" s="948"/>
      <c r="AX115" s="947"/>
      <c r="AY115" s="947"/>
      <c r="AZ115" s="947"/>
      <c r="BA115" s="946"/>
      <c r="BB115" s="947"/>
      <c r="BC115" s="948"/>
      <c r="BD115" s="947"/>
      <c r="BE115" s="947"/>
      <c r="BF115" s="947"/>
      <c r="BG115" s="946"/>
      <c r="BH115" s="947"/>
      <c r="BI115" s="948"/>
      <c r="BJ115" s="947"/>
      <c r="BK115" s="947"/>
      <c r="BL115" s="947"/>
      <c r="BM115" s="946"/>
      <c r="BN115" s="947"/>
      <c r="BO115" s="948"/>
      <c r="BP115" s="947"/>
      <c r="BQ115" s="947"/>
      <c r="BR115" s="947"/>
      <c r="BS115" s="946"/>
      <c r="BT115" s="947"/>
      <c r="BU115" s="948"/>
      <c r="BV115" s="947"/>
      <c r="BW115" s="947"/>
      <c r="BX115" s="947"/>
      <c r="BY115" s="946"/>
      <c r="BZ115" s="947"/>
      <c r="CA115" s="948"/>
      <c r="CB115" s="947"/>
      <c r="CC115" s="947"/>
      <c r="CD115" s="947"/>
      <c r="CE115" s="946"/>
      <c r="CF115" s="947"/>
      <c r="CG115" s="948"/>
      <c r="CH115" s="947"/>
      <c r="CI115" s="947"/>
      <c r="CJ115" s="947"/>
      <c r="CK115" s="946"/>
      <c r="CL115" s="947"/>
      <c r="CM115" s="948"/>
      <c r="CN115" s="947"/>
      <c r="CO115" s="947"/>
      <c r="CP115" s="947"/>
      <c r="CQ115" s="946"/>
      <c r="CR115" s="947"/>
      <c r="CS115" s="948"/>
      <c r="CT115" s="947"/>
      <c r="CU115" s="947"/>
      <c r="CV115" s="947"/>
      <c r="CW115" s="964">
        <f>+'Pro Forma IS'!CW41</f>
        <v>708.5</v>
      </c>
      <c r="CX115" s="956"/>
      <c r="CY115" s="962">
        <f>+'Pro Forma IS'!CY41</f>
        <v>697.1</v>
      </c>
      <c r="CZ115" s="963">
        <f>+'Pro Forma IS'!CZ41</f>
        <v>698.9</v>
      </c>
      <c r="DA115" s="963">
        <f>+'Pro Forma IS'!DA41</f>
        <v>701.3</v>
      </c>
      <c r="DB115" s="963">
        <f>+'Pro Forma IS'!DB41</f>
        <v>701.9</v>
      </c>
      <c r="DC115" s="964">
        <f>+'Pro Forma IS'!DC41</f>
        <v>699.8</v>
      </c>
      <c r="DD115" s="956"/>
      <c r="DE115" s="962">
        <f>+'Pro Forma IS'!DE41</f>
        <v>705.7</v>
      </c>
      <c r="DF115" s="963">
        <f>+'Pro Forma IS'!DF41</f>
        <v>705.4</v>
      </c>
      <c r="DG115" s="963">
        <f>+'Pro Forma IS'!DG41</f>
        <v>705.6</v>
      </c>
      <c r="DH115" s="963">
        <f>+'Pro Forma IS'!DH41</f>
        <v>707.6</v>
      </c>
      <c r="DI115" s="964">
        <f>+'Pro Forma IS'!DI41</f>
        <v>706.1</v>
      </c>
      <c r="DJ115" s="956"/>
      <c r="DK115" s="962">
        <f>+'Pro Forma IS'!DK41</f>
        <v>709.5</v>
      </c>
      <c r="DL115" s="963">
        <f>+'Pro Forma IS'!DL41</f>
        <v>710.80000000000007</v>
      </c>
      <c r="DM115" s="963">
        <f>+'Pro Forma IS'!DM41</f>
        <v>713.00000000000011</v>
      </c>
      <c r="DN115" s="963">
        <f>+'Pro Forma IS'!DN41</f>
        <v>715.20000000000016</v>
      </c>
      <c r="DO115" s="964">
        <f>+'Pro Forma IS'!DO41</f>
        <v>711.9</v>
      </c>
      <c r="DP115" s="956"/>
      <c r="DQ115" s="962">
        <f>+'Pro Forma IS'!DQ41</f>
        <v>717.4</v>
      </c>
      <c r="DR115" s="963">
        <f>+'Pro Forma IS'!DR41</f>
        <v>719.6</v>
      </c>
      <c r="DS115" s="963">
        <f>+'Pro Forma IS'!DS41</f>
        <v>721.80000000000007</v>
      </c>
      <c r="DT115" s="963">
        <f>+'Pro Forma IS'!DT41</f>
        <v>724.00000000000011</v>
      </c>
      <c r="DU115" s="964">
        <f>+'Pro Forma IS'!DU41</f>
        <v>720.70000000000016</v>
      </c>
      <c r="DV115" s="947"/>
      <c r="DW115" s="923">
        <f>+DQ115+5</f>
        <v>722.4</v>
      </c>
      <c r="DX115" s="924">
        <f>+DR115+5</f>
        <v>724.6</v>
      </c>
      <c r="DY115" s="924">
        <f>+DS115+5</f>
        <v>726.80000000000007</v>
      </c>
      <c r="DZ115" s="924">
        <f>+DT115+5</f>
        <v>729.00000000000011</v>
      </c>
      <c r="EA115" s="1002">
        <f>+DU115+5</f>
        <v>725.70000000000016</v>
      </c>
      <c r="EB115" s="924"/>
      <c r="EC115" s="923">
        <f>+DW115+5</f>
        <v>727.4</v>
      </c>
      <c r="ED115" s="924">
        <f>+DX115+5</f>
        <v>729.6</v>
      </c>
      <c r="EE115" s="924">
        <f>+DY115+5</f>
        <v>731.80000000000007</v>
      </c>
      <c r="EF115" s="924">
        <f>+DZ115+5</f>
        <v>734.00000000000011</v>
      </c>
      <c r="EG115" s="1002">
        <f>+EA115+5</f>
        <v>730.70000000000016</v>
      </c>
    </row>
    <row r="116" spans="1:137" s="395" customFormat="1" ht="11.25" customHeight="1" outlineLevel="2" x14ac:dyDescent="0.2">
      <c r="A116" s="951" t="s">
        <v>545</v>
      </c>
      <c r="B116" s="952"/>
      <c r="C116" s="952"/>
      <c r="D116" s="952"/>
      <c r="E116" s="925"/>
      <c r="F116" s="24"/>
      <c r="G116" s="925"/>
      <c r="H116" s="24"/>
      <c r="I116" s="925"/>
      <c r="J116" s="24"/>
      <c r="K116" s="925"/>
      <c r="L116" s="24"/>
      <c r="M116" s="912"/>
      <c r="N116" s="24"/>
      <c r="O116" s="24"/>
      <c r="P116" s="24"/>
      <c r="Q116" s="925"/>
      <c r="R116" s="24"/>
      <c r="S116" s="912"/>
      <c r="T116" s="24"/>
      <c r="U116" s="24"/>
      <c r="V116" s="24"/>
      <c r="W116" s="925"/>
      <c r="X116" s="24"/>
      <c r="Y116" s="912"/>
      <c r="Z116" s="24"/>
      <c r="AA116" s="24"/>
      <c r="AB116" s="24"/>
      <c r="AC116" s="925"/>
      <c r="AD116" s="24"/>
      <c r="AE116" s="912"/>
      <c r="AF116" s="24"/>
      <c r="AG116" s="24"/>
      <c r="AH116" s="24"/>
      <c r="AI116" s="925"/>
      <c r="AJ116" s="24"/>
      <c r="AK116" s="912"/>
      <c r="AL116" s="24"/>
      <c r="AM116" s="24"/>
      <c r="AN116" s="24"/>
      <c r="AO116" s="925"/>
      <c r="AP116" s="24"/>
      <c r="AQ116" s="912"/>
      <c r="AR116" s="24"/>
      <c r="AS116" s="24"/>
      <c r="AT116" s="24"/>
      <c r="AU116" s="925"/>
      <c r="AV116" s="24"/>
      <c r="AW116" s="912"/>
      <c r="AX116" s="24"/>
      <c r="AY116" s="24"/>
      <c r="AZ116" s="24"/>
      <c r="BA116" s="925"/>
      <c r="BB116" s="24"/>
      <c r="BC116" s="912"/>
      <c r="BD116" s="24"/>
      <c r="BE116" s="24"/>
      <c r="BF116" s="24"/>
      <c r="BG116" s="925"/>
      <c r="BH116" s="24"/>
      <c r="BI116" s="912"/>
      <c r="BJ116" s="24"/>
      <c r="BK116" s="24"/>
      <c r="BL116" s="24"/>
      <c r="BM116" s="925"/>
      <c r="BN116" s="24"/>
      <c r="BO116" s="912"/>
      <c r="BP116" s="24"/>
      <c r="BQ116" s="24"/>
      <c r="BR116" s="24"/>
      <c r="BS116" s="925"/>
      <c r="BT116" s="24"/>
      <c r="BU116" s="912"/>
      <c r="BV116" s="24"/>
      <c r="BW116" s="24"/>
      <c r="BX116" s="24"/>
      <c r="BY116" s="925"/>
      <c r="BZ116" s="24"/>
      <c r="CA116" s="912"/>
      <c r="CB116" s="24"/>
      <c r="CC116" s="24"/>
      <c r="CD116" s="24"/>
      <c r="CE116" s="925"/>
      <c r="CF116" s="24"/>
      <c r="CG116" s="912"/>
      <c r="CH116" s="24"/>
      <c r="CI116" s="24"/>
      <c r="CJ116" s="24"/>
      <c r="CK116" s="925"/>
      <c r="CL116" s="24"/>
      <c r="CM116" s="912"/>
      <c r="CN116" s="24"/>
      <c r="CO116" s="24"/>
      <c r="CP116" s="24"/>
      <c r="CQ116" s="925"/>
      <c r="CR116" s="24"/>
      <c r="CS116" s="912"/>
      <c r="CT116" s="24"/>
      <c r="CU116" s="24"/>
      <c r="CV116" s="24"/>
      <c r="CW116" s="925"/>
      <c r="CX116" s="24"/>
      <c r="CY116" s="912">
        <f>+CY111*(1-CY114)</f>
        <v>107.94781655181214</v>
      </c>
      <c r="CZ116" s="24">
        <f>+CZ111*(1-CZ114)</f>
        <v>108.09859303391382</v>
      </c>
      <c r="DA116" s="24">
        <f>+DA111*(1-DA114)</f>
        <v>146.66170727501577</v>
      </c>
      <c r="DB116" s="24">
        <f>+DB111*(1-DB114)</f>
        <v>189.42812479178633</v>
      </c>
      <c r="DC116" s="163">
        <f>SUM(CY116:DB116)</f>
        <v>552.13624165252804</v>
      </c>
      <c r="DD116" s="24"/>
      <c r="DE116" s="912">
        <f>+DE111*(1-DE114)</f>
        <v>152.82028366370469</v>
      </c>
      <c r="DF116" s="24">
        <f>+DF111*(1-DF114)</f>
        <v>170.40406579495004</v>
      </c>
      <c r="DG116" s="24">
        <f>+DG111*(1-DG114)</f>
        <v>150.47689607556867</v>
      </c>
      <c r="DH116" s="24">
        <f>+DH111*(1-DH114)</f>
        <v>191.90955116897345</v>
      </c>
      <c r="DI116" s="163">
        <f>SUM(DE116:DH116)</f>
        <v>665.61079670319691</v>
      </c>
      <c r="DJ116" s="24"/>
      <c r="DK116" s="912">
        <f>+DK111*(1-DK114)</f>
        <v>164.08796386481555</v>
      </c>
      <c r="DL116" s="24">
        <f>+DL111*(1-DL114)</f>
        <v>181.07794480999999</v>
      </c>
      <c r="DM116" s="24">
        <f>+DM111*(1-DM114)</f>
        <v>169.73376754218964</v>
      </c>
      <c r="DN116" s="24">
        <f>+DN111*(1-DN114)</f>
        <v>192.7349346964954</v>
      </c>
      <c r="DO116" s="163">
        <f>SUM(DK116:DN116)</f>
        <v>707.63461091350064</v>
      </c>
      <c r="DP116" s="24"/>
      <c r="DQ116" s="912">
        <f>+DQ111*(1-DQ114)</f>
        <v>187.56404362880002</v>
      </c>
      <c r="DR116" s="24">
        <f>+DR111*(1-DR114)</f>
        <v>205.72539396560003</v>
      </c>
      <c r="DS116" s="24">
        <f>+DS111*(1-DS114)</f>
        <v>193.46927701062978</v>
      </c>
      <c r="DT116" s="24">
        <f>+DT111*(1-DT114)</f>
        <v>218.00032828180593</v>
      </c>
      <c r="DU116" s="163">
        <f>SUM(DQ116:DT116)</f>
        <v>804.75904288683569</v>
      </c>
      <c r="DV116" s="24"/>
      <c r="DW116" s="912">
        <f>+DW111*(1-DW114)</f>
        <v>210.79028532736001</v>
      </c>
      <c r="DX116" s="24">
        <f>+DX111*(1-DX114)</f>
        <v>229.97389595232002</v>
      </c>
      <c r="DY116" s="24">
        <f>+DY111*(1-DY114)</f>
        <v>216.8176487288379</v>
      </c>
      <c r="DZ116" s="24">
        <f>+DZ111*(1-DZ114)</f>
        <v>242.83877245359855</v>
      </c>
      <c r="EA116" s="163">
        <f>SUM(DW116:DZ116)</f>
        <v>900.42060246211645</v>
      </c>
      <c r="EB116" s="24"/>
      <c r="EC116" s="912">
        <f t="shared" ref="EC116:EF116" si="194">+EC111*(1-EC114)</f>
        <v>231.74719932569604</v>
      </c>
      <c r="ED116" s="24">
        <f t="shared" si="194"/>
        <v>252.111071674752</v>
      </c>
      <c r="EE116" s="24">
        <f t="shared" si="194"/>
        <v>237.93551160332447</v>
      </c>
      <c r="EF116" s="24">
        <f t="shared" si="194"/>
        <v>265.66665031937288</v>
      </c>
      <c r="EG116" s="163">
        <f t="shared" ref="EG116" si="195">SUM(EC116:EF116)</f>
        <v>987.46043292314539</v>
      </c>
    </row>
    <row r="117" spans="1:137" s="957" customFormat="1" ht="11.25" customHeight="1" outlineLevel="2" x14ac:dyDescent="0.2">
      <c r="A117" s="981" t="s">
        <v>546</v>
      </c>
      <c r="B117" s="954"/>
      <c r="C117" s="954"/>
      <c r="D117" s="954"/>
      <c r="E117" s="955"/>
      <c r="F117" s="956"/>
      <c r="G117" s="955"/>
      <c r="H117" s="956"/>
      <c r="I117" s="955"/>
      <c r="J117" s="956"/>
      <c r="K117" s="955"/>
      <c r="L117" s="956"/>
      <c r="M117" s="953"/>
      <c r="N117" s="956"/>
      <c r="O117" s="956"/>
      <c r="P117" s="956"/>
      <c r="Q117" s="955"/>
      <c r="R117" s="956"/>
      <c r="S117" s="953"/>
      <c r="T117" s="956"/>
      <c r="U117" s="956"/>
      <c r="V117" s="956"/>
      <c r="W117" s="955"/>
      <c r="X117" s="956"/>
      <c r="Y117" s="953"/>
      <c r="Z117" s="956"/>
      <c r="AA117" s="956"/>
      <c r="AB117" s="956"/>
      <c r="AC117" s="955"/>
      <c r="AD117" s="956"/>
      <c r="AE117" s="953"/>
      <c r="AF117" s="956"/>
      <c r="AG117" s="956"/>
      <c r="AH117" s="956"/>
      <c r="AI117" s="955"/>
      <c r="AJ117" s="956"/>
      <c r="AK117" s="953"/>
      <c r="AL117" s="956"/>
      <c r="AM117" s="956"/>
      <c r="AN117" s="956"/>
      <c r="AO117" s="955"/>
      <c r="AP117" s="956"/>
      <c r="AQ117" s="953"/>
      <c r="AR117" s="956"/>
      <c r="AS117" s="956"/>
      <c r="AT117" s="956"/>
      <c r="AU117" s="955"/>
      <c r="AV117" s="956"/>
      <c r="AW117" s="953"/>
      <c r="AX117" s="956"/>
      <c r="AY117" s="956"/>
      <c r="AZ117" s="956"/>
      <c r="BA117" s="955"/>
      <c r="BB117" s="956"/>
      <c r="BC117" s="953"/>
      <c r="BD117" s="956"/>
      <c r="BE117" s="956"/>
      <c r="BF117" s="956"/>
      <c r="BG117" s="955"/>
      <c r="BH117" s="956"/>
      <c r="BI117" s="953"/>
      <c r="BJ117" s="956"/>
      <c r="BK117" s="956"/>
      <c r="BL117" s="956"/>
      <c r="BM117" s="955"/>
      <c r="BN117" s="956"/>
      <c r="BO117" s="953"/>
      <c r="BP117" s="956"/>
      <c r="BQ117" s="956"/>
      <c r="BR117" s="956"/>
      <c r="BS117" s="955"/>
      <c r="BT117" s="956"/>
      <c r="BU117" s="953"/>
      <c r="BV117" s="956"/>
      <c r="BW117" s="956"/>
      <c r="BX117" s="956"/>
      <c r="BY117" s="955"/>
      <c r="BZ117" s="956"/>
      <c r="CA117" s="953"/>
      <c r="CB117" s="956"/>
      <c r="CC117" s="956"/>
      <c r="CD117" s="956"/>
      <c r="CE117" s="955"/>
      <c r="CF117" s="956"/>
      <c r="CG117" s="953"/>
      <c r="CH117" s="956"/>
      <c r="CI117" s="956"/>
      <c r="CJ117" s="956"/>
      <c r="CK117" s="955"/>
      <c r="CL117" s="956"/>
      <c r="CM117" s="953"/>
      <c r="CN117" s="956"/>
      <c r="CO117" s="956"/>
      <c r="CP117" s="956"/>
      <c r="CQ117" s="955"/>
      <c r="CR117" s="956"/>
      <c r="CS117" s="953"/>
      <c r="CT117" s="956"/>
      <c r="CU117" s="956"/>
      <c r="CV117" s="956"/>
      <c r="CW117" s="955"/>
      <c r="CY117" s="959">
        <f>+CY116/CY115</f>
        <v>0.1548526991132006</v>
      </c>
      <c r="CZ117" s="960">
        <f>+CZ116/CZ115</f>
        <v>0.15466961372716242</v>
      </c>
      <c r="DA117" s="960">
        <f>+DA116/DA115</f>
        <v>0.20912834346929385</v>
      </c>
      <c r="DB117" s="960">
        <f>+DB116/DB115</f>
        <v>0.26987907791962723</v>
      </c>
      <c r="DC117" s="961">
        <f>+DC116/DC115</f>
        <v>0.78899148564236654</v>
      </c>
      <c r="DD117" s="24"/>
      <c r="DE117" s="959">
        <f>+DE116/DE115</f>
        <v>0.21655134428752257</v>
      </c>
      <c r="DF117" s="960">
        <f>+DF116/DF115</f>
        <v>0.24157083327891982</v>
      </c>
      <c r="DG117" s="960">
        <f>+DG116/DG115</f>
        <v>0.21326090713657692</v>
      </c>
      <c r="DH117" s="960">
        <f>+DH116/DH115</f>
        <v>0.27121191516248366</v>
      </c>
      <c r="DI117" s="961">
        <f>+DI116/DI115</f>
        <v>0.94265797578699462</v>
      </c>
      <c r="DJ117" s="24"/>
      <c r="DK117" s="959">
        <f>+DK116/DK115</f>
        <v>0.23127267634223475</v>
      </c>
      <c r="DL117" s="960">
        <f>+DL116/DL115</f>
        <v>0.25475231402644904</v>
      </c>
      <c r="DM117" s="960">
        <f>+DM116/DM115</f>
        <v>0.23805577495398261</v>
      </c>
      <c r="DN117" s="960">
        <f>+DN116/DN115</f>
        <v>0.26948396909465233</v>
      </c>
      <c r="DO117" s="961">
        <f>+DO116/DO115</f>
        <v>0.99400844348012452</v>
      </c>
      <c r="DP117" s="24"/>
      <c r="DQ117" s="959">
        <f>+DQ116/DQ115</f>
        <v>0.26144974021299139</v>
      </c>
      <c r="DR117" s="960">
        <f>+DR116/DR115</f>
        <v>0.28588854080822684</v>
      </c>
      <c r="DS117" s="960">
        <f>+DS116/DS115</f>
        <v>0.26803723609120222</v>
      </c>
      <c r="DT117" s="960">
        <f>+DT116/DT115</f>
        <v>0.30110542580359934</v>
      </c>
      <c r="DU117" s="961">
        <f>+DU116/DU115</f>
        <v>1.1166352752696482</v>
      </c>
      <c r="DV117" s="956"/>
      <c r="DW117" s="959">
        <f>+DW116/DW115</f>
        <v>0.29179164635570326</v>
      </c>
      <c r="DX117" s="960">
        <f>+DX116/DX115</f>
        <v>0.31738048019917198</v>
      </c>
      <c r="DY117" s="960">
        <f>+DY116/DY115</f>
        <v>0.29831817381513193</v>
      </c>
      <c r="DZ117" s="960">
        <f>+DZ116/DZ115</f>
        <v>0.33311217071824212</v>
      </c>
      <c r="EA117" s="961">
        <f>+EA116/EA115</f>
        <v>1.24076147507526</v>
      </c>
      <c r="EB117" s="960"/>
      <c r="EC117" s="959">
        <f>+EC116/EC115</f>
        <v>0.31859664466001658</v>
      </c>
      <c r="ED117" s="960">
        <f>+ED116/ED115</f>
        <v>0.34554697323842104</v>
      </c>
      <c r="EE117" s="960">
        <f>+EE116/EE115</f>
        <v>0.3251373484604051</v>
      </c>
      <c r="EF117" s="960">
        <f>+EF116/EF115</f>
        <v>0.36194366528524907</v>
      </c>
      <c r="EG117" s="961">
        <f>+EG116/EG115</f>
        <v>1.3513896714426512</v>
      </c>
    </row>
    <row r="118" spans="1:137" s="957" customFormat="1" ht="11.25" customHeight="1" outlineLevel="2" x14ac:dyDescent="0.2">
      <c r="A118" s="981"/>
      <c r="B118" s="954"/>
      <c r="C118" s="954"/>
      <c r="D118" s="954"/>
      <c r="E118" s="955"/>
      <c r="F118" s="956"/>
      <c r="G118" s="955"/>
      <c r="H118" s="956"/>
      <c r="I118" s="955"/>
      <c r="J118" s="956"/>
      <c r="K118" s="955"/>
      <c r="L118" s="956"/>
      <c r="M118" s="953"/>
      <c r="N118" s="956"/>
      <c r="O118" s="956"/>
      <c r="P118" s="956"/>
      <c r="Q118" s="955"/>
      <c r="R118" s="956"/>
      <c r="S118" s="953"/>
      <c r="T118" s="956"/>
      <c r="U118" s="956"/>
      <c r="V118" s="956"/>
      <c r="W118" s="955"/>
      <c r="X118" s="956"/>
      <c r="Y118" s="953"/>
      <c r="Z118" s="956"/>
      <c r="AA118" s="956"/>
      <c r="AB118" s="956"/>
      <c r="AC118" s="955"/>
      <c r="AD118" s="956"/>
      <c r="AE118" s="953"/>
      <c r="AF118" s="956"/>
      <c r="AG118" s="956"/>
      <c r="AH118" s="956"/>
      <c r="AI118" s="955"/>
      <c r="AJ118" s="956"/>
      <c r="AK118" s="953"/>
      <c r="AL118" s="956"/>
      <c r="AM118" s="956"/>
      <c r="AN118" s="956"/>
      <c r="AO118" s="955"/>
      <c r="AP118" s="956"/>
      <c r="AQ118" s="953"/>
      <c r="AR118" s="956"/>
      <c r="AS118" s="956"/>
      <c r="AT118" s="956"/>
      <c r="AU118" s="955"/>
      <c r="AV118" s="956"/>
      <c r="AW118" s="953"/>
      <c r="AX118" s="956"/>
      <c r="AY118" s="956"/>
      <c r="AZ118" s="956"/>
      <c r="BA118" s="955"/>
      <c r="BB118" s="956"/>
      <c r="BC118" s="953"/>
      <c r="BD118" s="956"/>
      <c r="BE118" s="956"/>
      <c r="BF118" s="956"/>
      <c r="BG118" s="955"/>
      <c r="BH118" s="956"/>
      <c r="BI118" s="953"/>
      <c r="BJ118" s="956"/>
      <c r="BK118" s="956"/>
      <c r="BL118" s="956"/>
      <c r="BM118" s="955"/>
      <c r="BN118" s="956"/>
      <c r="BO118" s="953"/>
      <c r="BP118" s="956"/>
      <c r="BQ118" s="956"/>
      <c r="BR118" s="956"/>
      <c r="BS118" s="955"/>
      <c r="BT118" s="956"/>
      <c r="BU118" s="953"/>
      <c r="BV118" s="956"/>
      <c r="BW118" s="956"/>
      <c r="BX118" s="956"/>
      <c r="BY118" s="955"/>
      <c r="BZ118" s="956"/>
      <c r="CA118" s="953"/>
      <c r="CB118" s="956"/>
      <c r="CC118" s="956"/>
      <c r="CD118" s="956"/>
      <c r="CE118" s="955"/>
      <c r="CF118" s="956"/>
      <c r="CG118" s="953"/>
      <c r="CH118" s="956"/>
      <c r="CI118" s="956"/>
      <c r="CJ118" s="956"/>
      <c r="CK118" s="955"/>
      <c r="CL118" s="956"/>
      <c r="CM118" s="953"/>
      <c r="CN118" s="956"/>
      <c r="CO118" s="956"/>
      <c r="CP118" s="956"/>
      <c r="CQ118" s="955"/>
      <c r="CR118" s="956"/>
      <c r="CS118" s="953"/>
      <c r="CT118" s="956"/>
      <c r="CU118" s="956"/>
      <c r="CV118" s="956"/>
      <c r="CW118" s="955"/>
      <c r="CY118" s="959"/>
      <c r="CZ118" s="960"/>
      <c r="DA118" s="960"/>
      <c r="DB118" s="960"/>
      <c r="DC118" s="961"/>
      <c r="DD118" s="24"/>
      <c r="DE118" s="959"/>
      <c r="DF118" s="960"/>
      <c r="DG118" s="960"/>
      <c r="DH118" s="960"/>
      <c r="DI118" s="961"/>
      <c r="DJ118" s="24"/>
      <c r="DK118" s="959"/>
      <c r="DL118" s="960"/>
      <c r="DM118" s="960"/>
      <c r="DN118" s="960"/>
      <c r="DO118" s="961"/>
      <c r="DP118" s="24"/>
      <c r="DQ118" s="959"/>
      <c r="DR118" s="960"/>
      <c r="DS118" s="960"/>
      <c r="DT118" s="960"/>
      <c r="DU118" s="961"/>
      <c r="DV118" s="956"/>
      <c r="DW118" s="959"/>
      <c r="DX118" s="960"/>
      <c r="DY118" s="960"/>
      <c r="DZ118" s="960"/>
      <c r="EA118" s="961"/>
      <c r="EB118" s="960"/>
      <c r="EC118" s="959"/>
      <c r="ED118" s="960"/>
      <c r="EE118" s="960"/>
      <c r="EF118" s="960"/>
      <c r="EG118" s="961"/>
    </row>
    <row r="119" spans="1:137" s="957" customFormat="1" ht="11.25" customHeight="1" outlineLevel="2" x14ac:dyDescent="0.2">
      <c r="A119" s="1005" t="s">
        <v>581</v>
      </c>
      <c r="B119" s="954"/>
      <c r="C119" s="954"/>
      <c r="D119" s="954"/>
      <c r="E119" s="955"/>
      <c r="F119" s="956"/>
      <c r="G119" s="955"/>
      <c r="H119" s="956"/>
      <c r="I119" s="955"/>
      <c r="J119" s="956"/>
      <c r="K119" s="955"/>
      <c r="L119" s="956"/>
      <c r="M119" s="953"/>
      <c r="N119" s="956"/>
      <c r="O119" s="956"/>
      <c r="P119" s="956"/>
      <c r="Q119" s="955"/>
      <c r="R119" s="956"/>
      <c r="S119" s="953"/>
      <c r="T119" s="956"/>
      <c r="U119" s="956"/>
      <c r="V119" s="956"/>
      <c r="W119" s="955"/>
      <c r="X119" s="956"/>
      <c r="Y119" s="953"/>
      <c r="Z119" s="956"/>
      <c r="AA119" s="956"/>
      <c r="AB119" s="956"/>
      <c r="AC119" s="955"/>
      <c r="AD119" s="956"/>
      <c r="AE119" s="953"/>
      <c r="AF119" s="956"/>
      <c r="AG119" s="956"/>
      <c r="AH119" s="956"/>
      <c r="AI119" s="955"/>
      <c r="AJ119" s="956"/>
      <c r="AK119" s="953"/>
      <c r="AL119" s="956"/>
      <c r="AM119" s="956"/>
      <c r="AN119" s="956"/>
      <c r="AO119" s="955"/>
      <c r="AP119" s="956"/>
      <c r="AQ119" s="953"/>
      <c r="AR119" s="956"/>
      <c r="AS119" s="956"/>
      <c r="AT119" s="956"/>
      <c r="AU119" s="955"/>
      <c r="AV119" s="956"/>
      <c r="AW119" s="953"/>
      <c r="AX119" s="956"/>
      <c r="AY119" s="956"/>
      <c r="AZ119" s="956"/>
      <c r="BA119" s="955"/>
      <c r="BB119" s="956"/>
      <c r="BC119" s="953"/>
      <c r="BD119" s="956"/>
      <c r="BE119" s="956"/>
      <c r="BF119" s="956"/>
      <c r="BG119" s="955"/>
      <c r="BH119" s="956"/>
      <c r="BI119" s="953"/>
      <c r="BJ119" s="956"/>
      <c r="BK119" s="956"/>
      <c r="BL119" s="956"/>
      <c r="BM119" s="955"/>
      <c r="BN119" s="956"/>
      <c r="BO119" s="953"/>
      <c r="BP119" s="956"/>
      <c r="BQ119" s="956"/>
      <c r="BR119" s="956"/>
      <c r="BS119" s="955"/>
      <c r="BT119" s="956"/>
      <c r="BU119" s="953"/>
      <c r="BV119" s="956"/>
      <c r="BW119" s="956"/>
      <c r="BX119" s="956"/>
      <c r="BY119" s="955"/>
      <c r="BZ119" s="956"/>
      <c r="CA119" s="953"/>
      <c r="CB119" s="956"/>
      <c r="CC119" s="956"/>
      <c r="CD119" s="956"/>
      <c r="CE119" s="955"/>
      <c r="CF119" s="956"/>
      <c r="CG119" s="953"/>
      <c r="CH119" s="956"/>
      <c r="CI119" s="956"/>
      <c r="CJ119" s="956"/>
      <c r="CK119" s="955"/>
      <c r="CL119" s="956"/>
      <c r="CM119" s="953"/>
      <c r="CN119" s="956"/>
      <c r="CO119" s="956"/>
      <c r="CP119" s="956"/>
      <c r="CQ119" s="955"/>
      <c r="CR119" s="956"/>
      <c r="CS119" s="953"/>
      <c r="CT119" s="956"/>
      <c r="CU119" s="956"/>
      <c r="CV119" s="956"/>
      <c r="CW119" s="955"/>
      <c r="CY119" s="959"/>
      <c r="CZ119" s="960"/>
      <c r="DA119" s="960"/>
      <c r="DB119" s="960"/>
      <c r="DC119" s="961"/>
      <c r="DD119" s="24"/>
      <c r="DE119" s="959"/>
      <c r="DF119" s="960"/>
      <c r="DG119" s="960"/>
      <c r="DH119" s="960"/>
      <c r="DI119" s="961"/>
      <c r="DJ119" s="24"/>
      <c r="DK119" s="959"/>
      <c r="DL119" s="960"/>
      <c r="DM119" s="960"/>
      <c r="DN119" s="960"/>
      <c r="DO119" s="961"/>
      <c r="DP119" s="24"/>
      <c r="DQ119" s="959"/>
      <c r="DR119" s="960"/>
      <c r="DS119" s="960"/>
      <c r="DT119" s="960"/>
      <c r="DU119" s="961"/>
      <c r="DV119" s="956"/>
      <c r="DW119" s="959"/>
      <c r="DX119" s="960"/>
      <c r="DY119" s="960"/>
      <c r="DZ119" s="960"/>
      <c r="EA119" s="961"/>
      <c r="EB119" s="960"/>
      <c r="EC119" s="959"/>
      <c r="ED119" s="960"/>
      <c r="EE119" s="960"/>
      <c r="EF119" s="960"/>
      <c r="EG119" s="961"/>
    </row>
    <row r="120" spans="1:137" ht="11.25" customHeight="1" outlineLevel="2" x14ac:dyDescent="0.2">
      <c r="A120" s="1003" t="s">
        <v>577</v>
      </c>
      <c r="B120" s="14"/>
      <c r="C120" s="14"/>
      <c r="D120" s="14"/>
      <c r="E120" s="93"/>
      <c r="F120" s="71"/>
      <c r="G120" s="93"/>
      <c r="H120" s="71"/>
      <c r="I120" s="93"/>
      <c r="J120" s="71"/>
      <c r="K120" s="93"/>
      <c r="L120" s="71"/>
      <c r="M120" s="84"/>
      <c r="N120" s="71"/>
      <c r="O120" s="71"/>
      <c r="P120" s="71"/>
      <c r="Q120" s="93"/>
      <c r="R120" s="71"/>
      <c r="S120" s="84"/>
      <c r="T120" s="71"/>
      <c r="U120" s="71"/>
      <c r="V120" s="71"/>
      <c r="W120" s="93"/>
      <c r="X120" s="71"/>
      <c r="Y120" s="84"/>
      <c r="Z120" s="71"/>
      <c r="AA120" s="71"/>
      <c r="AB120" s="71"/>
      <c r="AC120" s="93"/>
      <c r="AD120" s="71"/>
      <c r="AE120" s="84"/>
      <c r="AF120" s="71"/>
      <c r="AG120" s="71"/>
      <c r="AH120" s="71"/>
      <c r="AI120" s="93"/>
      <c r="AJ120" s="71"/>
      <c r="AK120" s="84"/>
      <c r="AL120" s="71"/>
      <c r="AM120" s="71"/>
      <c r="AN120" s="71"/>
      <c r="AO120" s="93"/>
      <c r="AP120" s="71"/>
      <c r="AQ120" s="84"/>
      <c r="AR120" s="71"/>
      <c r="AS120" s="71"/>
      <c r="AT120" s="71"/>
      <c r="AU120" s="93"/>
      <c r="AV120" s="71"/>
      <c r="AW120" s="84"/>
      <c r="AX120" s="71"/>
      <c r="AY120" s="71"/>
      <c r="AZ120" s="71"/>
      <c r="BA120" s="93"/>
      <c r="BB120" s="71"/>
      <c r="BC120" s="84"/>
      <c r="BD120" s="71"/>
      <c r="BE120" s="71"/>
      <c r="BF120" s="71"/>
      <c r="BG120" s="93"/>
      <c r="BH120" s="71"/>
      <c r="BI120" s="84"/>
      <c r="BJ120" s="71"/>
      <c r="BK120" s="71"/>
      <c r="BL120" s="71"/>
      <c r="BM120" s="93"/>
      <c r="BN120" s="71"/>
      <c r="BO120" s="84"/>
      <c r="BP120" s="71"/>
      <c r="BQ120" s="71"/>
      <c r="BR120" s="71"/>
      <c r="BS120" s="93"/>
      <c r="BT120" s="71"/>
      <c r="BU120" s="834"/>
      <c r="BV120" s="807"/>
      <c r="BW120" s="807"/>
      <c r="BX120" s="807"/>
      <c r="BY120" s="508"/>
      <c r="BZ120" s="507"/>
      <c r="CA120" s="834"/>
      <c r="CB120" s="807"/>
      <c r="CC120" s="807"/>
      <c r="CD120" s="807"/>
      <c r="CE120" s="508"/>
      <c r="CF120" s="507"/>
      <c r="CG120" s="834"/>
      <c r="CH120" s="807"/>
      <c r="CI120" s="807"/>
      <c r="CJ120" s="807"/>
      <c r="CK120" s="508"/>
      <c r="CL120" s="507"/>
      <c r="CM120" s="834"/>
      <c r="CN120" s="807"/>
      <c r="CO120" s="807"/>
      <c r="CP120" s="807"/>
      <c r="CQ120" s="508"/>
      <c r="CR120" s="507"/>
      <c r="CS120" s="834"/>
      <c r="CT120" s="807"/>
      <c r="CU120" s="807"/>
      <c r="CV120" s="807"/>
      <c r="CW120" s="966">
        <v>13800</v>
      </c>
      <c r="CX120" s="507"/>
      <c r="CY120" s="834"/>
      <c r="CZ120" s="807"/>
      <c r="DA120" s="807"/>
      <c r="DB120" s="807"/>
      <c r="DC120" s="961"/>
      <c r="DD120" s="509"/>
      <c r="DE120" s="897"/>
      <c r="DF120" s="898"/>
      <c r="DG120" s="898"/>
      <c r="DH120" s="898"/>
      <c r="DI120" s="508"/>
      <c r="DJ120" s="509"/>
      <c r="DK120" s="897"/>
      <c r="DL120" s="898"/>
      <c r="DM120" s="898"/>
      <c r="DN120" s="898"/>
      <c r="DO120" s="508"/>
      <c r="DP120" s="509"/>
      <c r="DQ120" s="897"/>
      <c r="DR120" s="898"/>
      <c r="DS120" s="898"/>
      <c r="DT120" s="898"/>
      <c r="DU120" s="508"/>
      <c r="DV120" s="509"/>
      <c r="DW120" s="897"/>
      <c r="DX120" s="898"/>
      <c r="DY120" s="898"/>
      <c r="DZ120" s="898"/>
      <c r="EA120" s="508"/>
      <c r="EB120" s="509"/>
      <c r="EC120" s="897"/>
      <c r="ED120" s="898"/>
      <c r="EE120" s="898"/>
      <c r="EF120" s="898"/>
      <c r="EG120" s="508"/>
    </row>
    <row r="121" spans="1:137" ht="11.25" customHeight="1" outlineLevel="2" x14ac:dyDescent="0.2">
      <c r="A121" s="1003" t="s">
        <v>578</v>
      </c>
      <c r="B121" s="14"/>
      <c r="C121" s="14"/>
      <c r="D121" s="14"/>
      <c r="E121" s="93"/>
      <c r="F121" s="71"/>
      <c r="G121" s="93"/>
      <c r="H121" s="71"/>
      <c r="I121" s="93"/>
      <c r="J121" s="71"/>
      <c r="K121" s="93"/>
      <c r="L121" s="71"/>
      <c r="M121" s="84"/>
      <c r="N121" s="71"/>
      <c r="O121" s="71"/>
      <c r="P121" s="71"/>
      <c r="Q121" s="93"/>
      <c r="R121" s="71"/>
      <c r="S121" s="84"/>
      <c r="T121" s="71"/>
      <c r="U121" s="71"/>
      <c r="V121" s="71"/>
      <c r="W121" s="93"/>
      <c r="X121" s="71"/>
      <c r="Y121" s="84"/>
      <c r="Z121" s="71"/>
      <c r="AA121" s="71"/>
      <c r="AB121" s="71"/>
      <c r="AC121" s="93"/>
      <c r="AD121" s="71"/>
      <c r="AE121" s="84"/>
      <c r="AF121" s="71"/>
      <c r="AG121" s="71"/>
      <c r="AH121" s="71"/>
      <c r="AI121" s="93"/>
      <c r="AJ121" s="71"/>
      <c r="AK121" s="84"/>
      <c r="AL121" s="71"/>
      <c r="AM121" s="71"/>
      <c r="AN121" s="71"/>
      <c r="AO121" s="93"/>
      <c r="AP121" s="71"/>
      <c r="AQ121" s="84"/>
      <c r="AR121" s="71"/>
      <c r="AS121" s="71"/>
      <c r="AT121" s="71"/>
      <c r="AU121" s="93"/>
      <c r="AV121" s="71"/>
      <c r="AW121" s="84"/>
      <c r="AX121" s="71"/>
      <c r="AY121" s="71"/>
      <c r="AZ121" s="71"/>
      <c r="BA121" s="93"/>
      <c r="BB121" s="71"/>
      <c r="BC121" s="84"/>
      <c r="BD121" s="71"/>
      <c r="BE121" s="71"/>
      <c r="BF121" s="71"/>
      <c r="BG121" s="93"/>
      <c r="BH121" s="71"/>
      <c r="BI121" s="84"/>
      <c r="BJ121" s="71"/>
      <c r="BK121" s="71"/>
      <c r="BL121" s="71"/>
      <c r="BM121" s="93"/>
      <c r="BN121" s="71"/>
      <c r="BO121" s="84"/>
      <c r="BP121" s="71"/>
      <c r="BQ121" s="71"/>
      <c r="BR121" s="71"/>
      <c r="BS121" s="93"/>
      <c r="BT121" s="71"/>
      <c r="BU121" s="834"/>
      <c r="BV121" s="807"/>
      <c r="BW121" s="807"/>
      <c r="BX121" s="807"/>
      <c r="BY121" s="508"/>
      <c r="BZ121" s="507"/>
      <c r="CA121" s="834"/>
      <c r="CB121" s="807"/>
      <c r="CC121" s="807"/>
      <c r="CD121" s="807"/>
      <c r="CE121" s="508"/>
      <c r="CF121" s="507"/>
      <c r="CG121" s="834"/>
      <c r="CH121" s="807"/>
      <c r="CI121" s="807"/>
      <c r="CJ121" s="807"/>
      <c r="CK121" s="508"/>
      <c r="CL121" s="507"/>
      <c r="CM121" s="834"/>
      <c r="CN121" s="807"/>
      <c r="CO121" s="807"/>
      <c r="CP121" s="807"/>
      <c r="CQ121" s="508"/>
      <c r="CR121" s="507"/>
      <c r="CS121" s="834"/>
      <c r="CT121" s="807"/>
      <c r="CU121" s="807"/>
      <c r="CV121" s="807"/>
      <c r="CW121" s="508">
        <f>0.003*(CW120-CW122)</f>
        <v>5.4</v>
      </c>
      <c r="CX121" s="507"/>
      <c r="CY121" s="82">
        <f>0.003*($CW$120-$CW$122)/4</f>
        <v>1.35</v>
      </c>
      <c r="CZ121" s="67">
        <f>0.003*($CW$120-$CW$122)/4</f>
        <v>1.35</v>
      </c>
      <c r="DA121" s="67">
        <f>0.003*($CW$120-$CW$122)/4</f>
        <v>1.35</v>
      </c>
      <c r="DB121" s="67">
        <f>0.003*($CW$120-$CW$122)/4</f>
        <v>1.35</v>
      </c>
      <c r="DC121" s="163">
        <f>SUM(CY121:DB121)</f>
        <v>5.4</v>
      </c>
      <c r="DD121" s="509"/>
      <c r="DE121" s="82">
        <f>0.003*($CW$120-$CW$122)/4</f>
        <v>1.35</v>
      </c>
      <c r="DF121" s="67">
        <f>0.003*($CW$120-$CW$122)/4</f>
        <v>1.35</v>
      </c>
      <c r="DG121" s="67">
        <f>0.003*($CW$120-$CW$122)/4</f>
        <v>1.35</v>
      </c>
      <c r="DH121" s="67">
        <f>0.003*($CW$120-$CW$122)/4</f>
        <v>1.35</v>
      </c>
      <c r="DI121" s="163">
        <f>SUM(DE121:DH121)</f>
        <v>5.4</v>
      </c>
      <c r="DJ121" s="509"/>
      <c r="DK121" s="82">
        <f>0.003*($CW$120-$CW$122)/4</f>
        <v>1.35</v>
      </c>
      <c r="DL121" s="67">
        <f>0.003*($CW$120-$CW$122)/4</f>
        <v>1.35</v>
      </c>
      <c r="DM121" s="67">
        <f>0.003*($CW$120-$CW$122)/4</f>
        <v>1.35</v>
      </c>
      <c r="DN121" s="67">
        <f>0.003*($CW$120-$CW$122)/4</f>
        <v>1.35</v>
      </c>
      <c r="DO121" s="163">
        <f>SUM(DK121:DN121)</f>
        <v>5.4</v>
      </c>
      <c r="DP121" s="509"/>
      <c r="DQ121" s="82">
        <f>0.003*($CW$120-$CW$122)/4</f>
        <v>1.35</v>
      </c>
      <c r="DR121" s="67">
        <f>0.003*($CW$120-$CW$122)/4</f>
        <v>1.35</v>
      </c>
      <c r="DS121" s="67">
        <f>0.003*($CW$120-$CW$122)/4</f>
        <v>1.35</v>
      </c>
      <c r="DT121" s="67">
        <f>0.003*($CW$120-$CW$122)/4</f>
        <v>1.35</v>
      </c>
      <c r="DU121" s="163">
        <f>SUM(DQ121:DT121)</f>
        <v>5.4</v>
      </c>
      <c r="DV121" s="509"/>
      <c r="DW121" s="82">
        <f>0.003*($CW$120-$CW$122)/4</f>
        <v>1.35</v>
      </c>
      <c r="DX121" s="67">
        <f>0.003*($CW$120-$CW$122)/4</f>
        <v>1.35</v>
      </c>
      <c r="DY121" s="67">
        <f>0.003*($CW$120-$CW$122)/4</f>
        <v>1.35</v>
      </c>
      <c r="DZ121" s="67">
        <f>0.003*($CW$120-$CW$122)/4</f>
        <v>1.35</v>
      </c>
      <c r="EA121" s="163">
        <f>SUM(DW121:DZ121)</f>
        <v>5.4</v>
      </c>
      <c r="EB121" s="509"/>
      <c r="EC121" s="82">
        <f t="shared" ref="EC121:EF121" si="196">0.003*($CW$120-$CW$122)/4</f>
        <v>1.35</v>
      </c>
      <c r="ED121" s="67">
        <f t="shared" si="196"/>
        <v>1.35</v>
      </c>
      <c r="EE121" s="67">
        <f t="shared" si="196"/>
        <v>1.35</v>
      </c>
      <c r="EF121" s="67">
        <f t="shared" si="196"/>
        <v>1.35</v>
      </c>
      <c r="EG121" s="163">
        <f t="shared" ref="EG121" si="197">SUM(EC121:EF121)</f>
        <v>5.4</v>
      </c>
    </row>
    <row r="122" spans="1:137" ht="11.25" customHeight="1" outlineLevel="2" x14ac:dyDescent="0.2">
      <c r="A122" s="1003" t="s">
        <v>579</v>
      </c>
      <c r="B122" s="14"/>
      <c r="C122" s="14"/>
      <c r="D122" s="14"/>
      <c r="E122" s="93"/>
      <c r="F122" s="71"/>
      <c r="G122" s="93"/>
      <c r="H122" s="71"/>
      <c r="I122" s="93"/>
      <c r="J122" s="71"/>
      <c r="K122" s="93"/>
      <c r="L122" s="71"/>
      <c r="M122" s="84"/>
      <c r="N122" s="71"/>
      <c r="O122" s="71"/>
      <c r="P122" s="71"/>
      <c r="Q122" s="93"/>
      <c r="R122" s="71"/>
      <c r="S122" s="84"/>
      <c r="T122" s="71"/>
      <c r="U122" s="71"/>
      <c r="V122" s="71"/>
      <c r="W122" s="93"/>
      <c r="X122" s="71"/>
      <c r="Y122" s="84"/>
      <c r="Z122" s="71"/>
      <c r="AA122" s="71"/>
      <c r="AB122" s="71"/>
      <c r="AC122" s="93"/>
      <c r="AD122" s="71"/>
      <c r="AE122" s="84"/>
      <c r="AF122" s="71"/>
      <c r="AG122" s="71"/>
      <c r="AH122" s="71"/>
      <c r="AI122" s="93"/>
      <c r="AJ122" s="71"/>
      <c r="AK122" s="84"/>
      <c r="AL122" s="71"/>
      <c r="AM122" s="71"/>
      <c r="AN122" s="71"/>
      <c r="AO122" s="93"/>
      <c r="AP122" s="71"/>
      <c r="AQ122" s="84"/>
      <c r="AR122" s="71"/>
      <c r="AS122" s="71"/>
      <c r="AT122" s="71"/>
      <c r="AU122" s="93"/>
      <c r="AV122" s="71"/>
      <c r="AW122" s="84"/>
      <c r="AX122" s="71"/>
      <c r="AY122" s="71"/>
      <c r="AZ122" s="71"/>
      <c r="BA122" s="93"/>
      <c r="BB122" s="71"/>
      <c r="BC122" s="84"/>
      <c r="BD122" s="71"/>
      <c r="BE122" s="71"/>
      <c r="BF122" s="71"/>
      <c r="BG122" s="93"/>
      <c r="BH122" s="71"/>
      <c r="BI122" s="84"/>
      <c r="BJ122" s="71"/>
      <c r="BK122" s="71"/>
      <c r="BL122" s="71"/>
      <c r="BM122" s="93"/>
      <c r="BN122" s="71"/>
      <c r="BO122" s="84"/>
      <c r="BP122" s="71"/>
      <c r="BQ122" s="71"/>
      <c r="BR122" s="71"/>
      <c r="BS122" s="93"/>
      <c r="BT122" s="71"/>
      <c r="BU122" s="834"/>
      <c r="BV122" s="807"/>
      <c r="BW122" s="807"/>
      <c r="BX122" s="807"/>
      <c r="BY122" s="508"/>
      <c r="BZ122" s="507"/>
      <c r="CA122" s="834"/>
      <c r="CB122" s="807"/>
      <c r="CC122" s="807"/>
      <c r="CD122" s="807"/>
      <c r="CE122" s="508"/>
      <c r="CF122" s="507"/>
      <c r="CG122" s="834"/>
      <c r="CH122" s="807"/>
      <c r="CI122" s="807"/>
      <c r="CJ122" s="807"/>
      <c r="CK122" s="508"/>
      <c r="CL122" s="507"/>
      <c r="CM122" s="834"/>
      <c r="CN122" s="807"/>
      <c r="CO122" s="807"/>
      <c r="CP122" s="807"/>
      <c r="CQ122" s="508"/>
      <c r="CR122" s="507"/>
      <c r="CS122" s="834"/>
      <c r="CT122" s="807"/>
      <c r="CU122" s="807"/>
      <c r="CV122" s="807"/>
      <c r="CW122" s="806">
        <v>12000</v>
      </c>
      <c r="CX122" s="507"/>
      <c r="CY122" s="897"/>
      <c r="CZ122" s="898"/>
      <c r="DA122" s="898"/>
      <c r="DB122" s="898"/>
      <c r="DC122" s="508"/>
      <c r="DD122" s="509"/>
      <c r="DE122" s="897"/>
      <c r="DF122" s="898"/>
      <c r="DG122" s="898"/>
      <c r="DH122" s="898"/>
      <c r="DI122" s="508"/>
      <c r="DJ122" s="509"/>
      <c r="DK122" s="897"/>
      <c r="DL122" s="898"/>
      <c r="DM122" s="898"/>
      <c r="DN122" s="898"/>
      <c r="DO122" s="508"/>
      <c r="DP122" s="509"/>
      <c r="DQ122" s="897"/>
      <c r="DR122" s="898"/>
      <c r="DS122" s="898"/>
      <c r="DT122" s="898"/>
      <c r="DU122" s="508"/>
      <c r="DV122" s="509"/>
      <c r="DW122" s="897"/>
      <c r="DX122" s="898"/>
      <c r="DY122" s="898"/>
      <c r="DZ122" s="898"/>
      <c r="EA122" s="508"/>
      <c r="EB122" s="509"/>
      <c r="EC122" s="897"/>
      <c r="ED122" s="898"/>
      <c r="EE122" s="898"/>
      <c r="EF122" s="898"/>
      <c r="EG122" s="508"/>
    </row>
    <row r="123" spans="1:137" ht="11.25" customHeight="1" outlineLevel="2" x14ac:dyDescent="0.2">
      <c r="A123" s="1003" t="s">
        <v>550</v>
      </c>
      <c r="B123" s="14"/>
      <c r="C123" s="14"/>
      <c r="D123" s="14"/>
      <c r="E123" s="93"/>
      <c r="F123" s="71"/>
      <c r="G123" s="93"/>
      <c r="H123" s="71"/>
      <c r="I123" s="93"/>
      <c r="J123" s="71"/>
      <c r="K123" s="93"/>
      <c r="L123" s="71"/>
      <c r="M123" s="84"/>
      <c r="N123" s="71"/>
      <c r="O123" s="71"/>
      <c r="P123" s="71"/>
      <c r="Q123" s="93"/>
      <c r="R123" s="71"/>
      <c r="S123" s="84"/>
      <c r="T123" s="71"/>
      <c r="U123" s="71"/>
      <c r="V123" s="71"/>
      <c r="W123" s="93"/>
      <c r="X123" s="71"/>
      <c r="Y123" s="84"/>
      <c r="Z123" s="71"/>
      <c r="AA123" s="71"/>
      <c r="AB123" s="71"/>
      <c r="AC123" s="93"/>
      <c r="AD123" s="71"/>
      <c r="AE123" s="84"/>
      <c r="AF123" s="71"/>
      <c r="AG123" s="71"/>
      <c r="AH123" s="71"/>
      <c r="AI123" s="93"/>
      <c r="AJ123" s="71"/>
      <c r="AK123" s="84"/>
      <c r="AL123" s="71"/>
      <c r="AM123" s="71"/>
      <c r="AN123" s="71"/>
      <c r="AO123" s="93"/>
      <c r="AP123" s="71"/>
      <c r="AQ123" s="84"/>
      <c r="AR123" s="71"/>
      <c r="AS123" s="71"/>
      <c r="AT123" s="71"/>
      <c r="AU123" s="93"/>
      <c r="AV123" s="71"/>
      <c r="AW123" s="84"/>
      <c r="AX123" s="71"/>
      <c r="AY123" s="71"/>
      <c r="AZ123" s="71"/>
      <c r="BA123" s="93"/>
      <c r="BB123" s="71"/>
      <c r="BC123" s="84"/>
      <c r="BD123" s="71"/>
      <c r="BE123" s="71"/>
      <c r="BF123" s="71"/>
      <c r="BG123" s="93"/>
      <c r="BH123" s="71"/>
      <c r="BI123" s="84"/>
      <c r="BJ123" s="71"/>
      <c r="BK123" s="71"/>
      <c r="BL123" s="71"/>
      <c r="BM123" s="93"/>
      <c r="BN123" s="71"/>
      <c r="BO123" s="84"/>
      <c r="BP123" s="71"/>
      <c r="BQ123" s="71"/>
      <c r="BR123" s="71"/>
      <c r="BS123" s="93"/>
      <c r="BT123" s="71"/>
      <c r="BU123" s="834"/>
      <c r="BV123" s="807"/>
      <c r="BW123" s="807"/>
      <c r="BX123" s="807"/>
      <c r="BY123" s="508"/>
      <c r="BZ123" s="507"/>
      <c r="CA123" s="834"/>
      <c r="CB123" s="807"/>
      <c r="CC123" s="807"/>
      <c r="CD123" s="807"/>
      <c r="CE123" s="508"/>
      <c r="CF123" s="507"/>
      <c r="CG123" s="834"/>
      <c r="CH123" s="807"/>
      <c r="CI123" s="807"/>
      <c r="CJ123" s="807"/>
      <c r="CK123" s="508"/>
      <c r="CL123" s="507"/>
      <c r="CM123" s="834"/>
      <c r="CN123" s="807"/>
      <c r="CO123" s="807"/>
      <c r="CP123" s="807"/>
      <c r="CQ123" s="508"/>
      <c r="CR123" s="507"/>
      <c r="CS123" s="834"/>
      <c r="CT123" s="807"/>
      <c r="CU123" s="807"/>
      <c r="CV123" s="807"/>
      <c r="CW123" s="508">
        <f>-CW124*$CW$122</f>
        <v>-180</v>
      </c>
      <c r="CX123" s="507"/>
      <c r="CY123" s="510">
        <f>-$CW$124*$CW$122/4</f>
        <v>-45</v>
      </c>
      <c r="CZ123" s="509">
        <f>-$CW$124*$CW$122/4</f>
        <v>-45</v>
      </c>
      <c r="DA123" s="509">
        <f>-$CW$124*$CW$122/4</f>
        <v>-45</v>
      </c>
      <c r="DB123" s="968">
        <f>-$CW$124*$CW$122/4</f>
        <v>-45</v>
      </c>
      <c r="DC123" s="163">
        <f>SUM(CY123:DB123)</f>
        <v>-180</v>
      </c>
      <c r="DD123" s="507"/>
      <c r="DE123" s="510">
        <f>-$CW$124*$CW$122/4</f>
        <v>-45</v>
      </c>
      <c r="DF123" s="509">
        <f>-$CW$124*$CW$122/4</f>
        <v>-45</v>
      </c>
      <c r="DG123" s="509">
        <f>-$CW$124*$CW$122/4</f>
        <v>-45</v>
      </c>
      <c r="DH123" s="968">
        <f>-$CW$124*$CW$122/4</f>
        <v>-45</v>
      </c>
      <c r="DI123" s="163">
        <f>SUM(DE123:DH123)</f>
        <v>-180</v>
      </c>
      <c r="DJ123" s="507"/>
      <c r="DK123" s="510">
        <f>-$CW$124*$CW$122/4</f>
        <v>-45</v>
      </c>
      <c r="DL123" s="509">
        <f>-$CW$124*$CW$122/4</f>
        <v>-45</v>
      </c>
      <c r="DM123" s="509">
        <f>-$CW$124*$CW$122/4</f>
        <v>-45</v>
      </c>
      <c r="DN123" s="968">
        <f>-$CW$124*$CW$122/4</f>
        <v>-45</v>
      </c>
      <c r="DO123" s="163">
        <f>SUM(DK123:DN123)</f>
        <v>-180</v>
      </c>
      <c r="DP123" s="507"/>
      <c r="DQ123" s="510">
        <f>-$CW$124*$CW$122/4</f>
        <v>-45</v>
      </c>
      <c r="DR123" s="509">
        <f>-$CW$124*$CW$122/4</f>
        <v>-45</v>
      </c>
      <c r="DS123" s="509">
        <f>-$CW$124*$CW$122/4</f>
        <v>-45</v>
      </c>
      <c r="DT123" s="968">
        <f>-$CW$124*$CW$122/4</f>
        <v>-45</v>
      </c>
      <c r="DU123" s="163">
        <f>SUM(DQ123:DT123)</f>
        <v>-180</v>
      </c>
      <c r="DV123" s="507"/>
      <c r="DW123" s="510">
        <f>-$CW$124*$CW$122/4</f>
        <v>-45</v>
      </c>
      <c r="DX123" s="509">
        <f>-$CW$124*$CW$122/4</f>
        <v>-45</v>
      </c>
      <c r="DY123" s="509">
        <f>-$CW$124*$CW$122/4</f>
        <v>-45</v>
      </c>
      <c r="DZ123" s="968">
        <f>-$CW$124*$CW$122/4</f>
        <v>-45</v>
      </c>
      <c r="EA123" s="163">
        <f>SUM(DW123:DZ123)</f>
        <v>-180</v>
      </c>
      <c r="EB123" s="507"/>
      <c r="EC123" s="510">
        <f t="shared" ref="EC123:EF123" si="198">-$CW$124*$CW$122/4</f>
        <v>-45</v>
      </c>
      <c r="ED123" s="509">
        <f t="shared" si="198"/>
        <v>-45</v>
      </c>
      <c r="EE123" s="509">
        <f t="shared" si="198"/>
        <v>-45</v>
      </c>
      <c r="EF123" s="968">
        <f t="shared" si="198"/>
        <v>-45</v>
      </c>
      <c r="EG123" s="163">
        <f t="shared" ref="EG123" si="199">SUM(EC123:EF123)</f>
        <v>-180</v>
      </c>
    </row>
    <row r="124" spans="1:137" ht="11.25" customHeight="1" outlineLevel="2" x14ac:dyDescent="0.2">
      <c r="A124" s="1004" t="s">
        <v>580</v>
      </c>
      <c r="B124" s="14"/>
      <c r="C124" s="14"/>
      <c r="D124" s="14"/>
      <c r="E124" s="93"/>
      <c r="F124" s="71"/>
      <c r="G124" s="93"/>
      <c r="H124" s="71"/>
      <c r="I124" s="93"/>
      <c r="J124" s="71"/>
      <c r="K124" s="93"/>
      <c r="L124" s="71"/>
      <c r="M124" s="84"/>
      <c r="N124" s="71"/>
      <c r="O124" s="71"/>
      <c r="P124" s="71"/>
      <c r="Q124" s="93"/>
      <c r="R124" s="71"/>
      <c r="S124" s="84"/>
      <c r="T124" s="71"/>
      <c r="U124" s="71"/>
      <c r="V124" s="71"/>
      <c r="W124" s="93"/>
      <c r="X124" s="71"/>
      <c r="Y124" s="84"/>
      <c r="Z124" s="71"/>
      <c r="AA124" s="71"/>
      <c r="AB124" s="71"/>
      <c r="AC124" s="93"/>
      <c r="AD124" s="71"/>
      <c r="AE124" s="84"/>
      <c r="AF124" s="71"/>
      <c r="AG124" s="71"/>
      <c r="AH124" s="71"/>
      <c r="AI124" s="93"/>
      <c r="AJ124" s="71"/>
      <c r="AK124" s="84"/>
      <c r="AL124" s="71"/>
      <c r="AM124" s="71"/>
      <c r="AN124" s="71"/>
      <c r="AO124" s="93"/>
      <c r="AP124" s="71"/>
      <c r="AQ124" s="84"/>
      <c r="AR124" s="71"/>
      <c r="AS124" s="71"/>
      <c r="AT124" s="71"/>
      <c r="AU124" s="93"/>
      <c r="AV124" s="71"/>
      <c r="AW124" s="84"/>
      <c r="AX124" s="71"/>
      <c r="AY124" s="71"/>
      <c r="AZ124" s="71"/>
      <c r="BA124" s="93"/>
      <c r="BB124" s="71"/>
      <c r="BC124" s="84"/>
      <c r="BD124" s="71"/>
      <c r="BE124" s="71"/>
      <c r="BF124" s="71"/>
      <c r="BG124" s="93"/>
      <c r="BH124" s="71"/>
      <c r="BI124" s="84"/>
      <c r="BJ124" s="71"/>
      <c r="BK124" s="71"/>
      <c r="BL124" s="71"/>
      <c r="BM124" s="93"/>
      <c r="BN124" s="71"/>
      <c r="BO124" s="84"/>
      <c r="BP124" s="71"/>
      <c r="BQ124" s="71"/>
      <c r="BR124" s="71"/>
      <c r="BS124" s="93"/>
      <c r="BT124" s="71"/>
      <c r="BU124" s="834"/>
      <c r="BV124" s="807"/>
      <c r="BW124" s="807"/>
      <c r="BX124" s="807"/>
      <c r="BY124" s="508"/>
      <c r="BZ124" s="507"/>
      <c r="CA124" s="834"/>
      <c r="CB124" s="807"/>
      <c r="CC124" s="807"/>
      <c r="CD124" s="807"/>
      <c r="CE124" s="508"/>
      <c r="CF124" s="507"/>
      <c r="CG124" s="834"/>
      <c r="CH124" s="807"/>
      <c r="CI124" s="807"/>
      <c r="CJ124" s="807"/>
      <c r="CK124" s="508"/>
      <c r="CL124" s="507"/>
      <c r="CM124" s="834"/>
      <c r="CN124" s="807"/>
      <c r="CO124" s="807"/>
      <c r="CP124" s="807"/>
      <c r="CQ124" s="508"/>
      <c r="CR124" s="507"/>
      <c r="CS124" s="834"/>
      <c r="CT124" s="807"/>
      <c r="CU124" s="807"/>
      <c r="CV124" s="807"/>
      <c r="CW124" s="445">
        <v>1.4999999999999999E-2</v>
      </c>
      <c r="CX124" s="507"/>
      <c r="CY124" s="510"/>
      <c r="CZ124" s="509"/>
      <c r="DA124" s="509"/>
      <c r="DB124" s="968"/>
      <c r="DC124" s="163"/>
      <c r="DD124" s="509"/>
      <c r="DE124" s="510"/>
      <c r="DF124" s="509"/>
      <c r="DG124" s="509"/>
      <c r="DH124" s="968"/>
      <c r="DI124" s="163"/>
      <c r="DJ124" s="509"/>
      <c r="DK124" s="510"/>
      <c r="DL124" s="509"/>
      <c r="DM124" s="509"/>
      <c r="DN124" s="968"/>
      <c r="DO124" s="163"/>
      <c r="DP124" s="509"/>
      <c r="DQ124" s="510"/>
      <c r="DR124" s="509"/>
      <c r="DS124" s="509"/>
      <c r="DT124" s="968"/>
      <c r="DU124" s="163"/>
      <c r="DV124" s="509"/>
      <c r="DW124" s="510"/>
      <c r="DX124" s="509"/>
      <c r="DY124" s="509"/>
      <c r="DZ124" s="968"/>
      <c r="EA124" s="163"/>
      <c r="EB124" s="509"/>
      <c r="EC124" s="510"/>
      <c r="ED124" s="509"/>
      <c r="EE124" s="509"/>
      <c r="EF124" s="968"/>
      <c r="EG124" s="163"/>
    </row>
    <row r="125" spans="1:137" ht="11.25" customHeight="1" outlineLevel="2" x14ac:dyDescent="0.2">
      <c r="A125" s="1004" t="s">
        <v>552</v>
      </c>
      <c r="B125" s="14"/>
      <c r="C125" s="14"/>
      <c r="D125" s="14"/>
      <c r="E125" s="93"/>
      <c r="F125" s="71"/>
      <c r="G125" s="93"/>
      <c r="H125" s="71"/>
      <c r="I125" s="93"/>
      <c r="J125" s="71"/>
      <c r="K125" s="93"/>
      <c r="L125" s="71"/>
      <c r="M125" s="84"/>
      <c r="N125" s="71"/>
      <c r="O125" s="71"/>
      <c r="P125" s="71"/>
      <c r="Q125" s="93"/>
      <c r="R125" s="71"/>
      <c r="S125" s="84"/>
      <c r="T125" s="71"/>
      <c r="U125" s="71"/>
      <c r="V125" s="71"/>
      <c r="W125" s="93"/>
      <c r="X125" s="71"/>
      <c r="Y125" s="84"/>
      <c r="Z125" s="71"/>
      <c r="AA125" s="71"/>
      <c r="AB125" s="71"/>
      <c r="AC125" s="93"/>
      <c r="AD125" s="71"/>
      <c r="AE125" s="84"/>
      <c r="AF125" s="71"/>
      <c r="AG125" s="71"/>
      <c r="AH125" s="71"/>
      <c r="AI125" s="93"/>
      <c r="AJ125" s="71"/>
      <c r="AK125" s="84"/>
      <c r="AL125" s="71"/>
      <c r="AM125" s="71"/>
      <c r="AN125" s="71"/>
      <c r="AO125" s="93"/>
      <c r="AP125" s="71"/>
      <c r="AQ125" s="84"/>
      <c r="AR125" s="71"/>
      <c r="AS125" s="71"/>
      <c r="AT125" s="71"/>
      <c r="AU125" s="93"/>
      <c r="AV125" s="71"/>
      <c r="AW125" s="84"/>
      <c r="AX125" s="71"/>
      <c r="AY125" s="71"/>
      <c r="AZ125" s="71"/>
      <c r="BA125" s="93"/>
      <c r="BB125" s="71"/>
      <c r="BC125" s="84"/>
      <c r="BD125" s="71"/>
      <c r="BE125" s="71"/>
      <c r="BF125" s="71"/>
      <c r="BG125" s="93"/>
      <c r="BH125" s="71"/>
      <c r="BI125" s="84"/>
      <c r="BJ125" s="71"/>
      <c r="BK125" s="71"/>
      <c r="BL125" s="71"/>
      <c r="BM125" s="93"/>
      <c r="BN125" s="71"/>
      <c r="BO125" s="84"/>
      <c r="BP125" s="71"/>
      <c r="BQ125" s="71"/>
      <c r="BR125" s="71"/>
      <c r="BS125" s="93"/>
      <c r="BT125" s="71"/>
      <c r="BU125" s="834"/>
      <c r="BV125" s="807"/>
      <c r="BW125" s="807"/>
      <c r="BX125" s="807"/>
      <c r="BY125" s="508"/>
      <c r="BZ125" s="507"/>
      <c r="CA125" s="834"/>
      <c r="CB125" s="807"/>
      <c r="CC125" s="807"/>
      <c r="CD125" s="807"/>
      <c r="CE125" s="508"/>
      <c r="CF125" s="507"/>
      <c r="CG125" s="834"/>
      <c r="CH125" s="807"/>
      <c r="CI125" s="807"/>
      <c r="CJ125" s="807"/>
      <c r="CK125" s="508"/>
      <c r="CL125" s="507"/>
      <c r="CM125" s="834"/>
      <c r="CN125" s="807"/>
      <c r="CO125" s="807"/>
      <c r="CP125" s="807"/>
      <c r="CQ125" s="508"/>
      <c r="CR125" s="507"/>
      <c r="CS125" s="834"/>
      <c r="CT125" s="807"/>
      <c r="CU125" s="807"/>
      <c r="CV125" s="807"/>
      <c r="CW125" s="508">
        <f>+(CW123-CW121)*(1-CW110)</f>
        <v>-185.4</v>
      </c>
      <c r="CX125" s="507"/>
      <c r="CY125" s="510">
        <f>+(CY123-CY121)*(1-CY114)</f>
        <v>-34.650114854517618</v>
      </c>
      <c r="CZ125" s="509">
        <f>+(CZ123-CZ121)*(1-CZ114)</f>
        <v>-29.597158570119152</v>
      </c>
      <c r="DA125" s="509">
        <f>+(DA123-DA121)*(1-DA114)</f>
        <v>-39.14518565135306</v>
      </c>
      <c r="DB125" s="968">
        <f>+(DB123-DB121)*(1-DB114)</f>
        <v>-49.717762780011483</v>
      </c>
      <c r="DC125" s="163">
        <f>SUM(CY125:DB125)</f>
        <v>-153.11022185600132</v>
      </c>
      <c r="DD125" s="507"/>
      <c r="DE125" s="510">
        <f>+(DE123-DE121)*(1-DE114)</f>
        <v>-38.318745727956248</v>
      </c>
      <c r="DF125" s="509">
        <f>+(DF123-DF121)*(1-DF114)</f>
        <v>-38.472814927857939</v>
      </c>
      <c r="DG125" s="509">
        <f>+(DG123-DG121)*(1-DG114)</f>
        <v>-36.334386133187174</v>
      </c>
      <c r="DH125" s="968">
        <f>+(DH123-DH121)*(1-DH114)</f>
        <v>-40.555066394279876</v>
      </c>
      <c r="DI125" s="163">
        <f>SUM(DE125:DH125)</f>
        <v>-153.68101318328121</v>
      </c>
      <c r="DJ125" s="507"/>
      <c r="DK125" s="510">
        <f>+(DK123-DK121)*(1-DK114)</f>
        <v>-36.827808161548163</v>
      </c>
      <c r="DL125" s="509">
        <f>+(DL123-DL121)*(1-DL114)</f>
        <v>-36.801900000000003</v>
      </c>
      <c r="DM125" s="509">
        <f>+(DM123-DM121)*(1-DM114)</f>
        <v>-36.801900000000003</v>
      </c>
      <c r="DN125" s="968">
        <f>+(DN123-DN121)*(1-DN114)</f>
        <v>-36.801900000000003</v>
      </c>
      <c r="DO125" s="163">
        <f>SUM(DK125:DN125)</f>
        <v>-147.23350816154817</v>
      </c>
      <c r="DP125" s="507"/>
      <c r="DQ125" s="510">
        <f>+(DQ123-DQ121)*(1-DQ114)</f>
        <v>-36.801900000000003</v>
      </c>
      <c r="DR125" s="509">
        <f>+(DR123-DR121)*(1-DR114)</f>
        <v>-36.801900000000003</v>
      </c>
      <c r="DS125" s="509">
        <f>+(DS123-DS121)*(1-DS114)</f>
        <v>-36.801900000000003</v>
      </c>
      <c r="DT125" s="968">
        <f>+(DT123-DT121)*(1-DT114)</f>
        <v>-36.801900000000003</v>
      </c>
      <c r="DU125" s="163">
        <f>SUM(DQ125:DT125)</f>
        <v>-147.20760000000001</v>
      </c>
      <c r="DV125" s="507"/>
      <c r="DW125" s="510">
        <f>+(DW123-DW121)*(1-DW114)</f>
        <v>-36.616500000000002</v>
      </c>
      <c r="DX125" s="509">
        <f>+(DX123-DX121)*(1-DX114)</f>
        <v>-36.616500000000002</v>
      </c>
      <c r="DY125" s="509">
        <f>+(DY123-DY121)*(1-DY114)</f>
        <v>-36.616500000000002</v>
      </c>
      <c r="DZ125" s="968">
        <f>+(DZ123-DZ121)*(1-DZ114)</f>
        <v>-36.616500000000002</v>
      </c>
      <c r="EA125" s="163">
        <f>SUM(DW125:DZ125)</f>
        <v>-146.46600000000001</v>
      </c>
      <c r="EB125" s="507"/>
      <c r="EC125" s="510">
        <f t="shared" ref="EC125:EF125" si="200">+(EC123-EC121)*(1-EC114)</f>
        <v>-36.616500000000002</v>
      </c>
      <c r="ED125" s="509">
        <f t="shared" si="200"/>
        <v>-36.616500000000002</v>
      </c>
      <c r="EE125" s="509">
        <f t="shared" si="200"/>
        <v>-36.616500000000002</v>
      </c>
      <c r="EF125" s="968">
        <f t="shared" si="200"/>
        <v>-36.616500000000002</v>
      </c>
      <c r="EG125" s="163">
        <f t="shared" ref="EG125" si="201">SUM(EC125:EF125)</f>
        <v>-146.46600000000001</v>
      </c>
    </row>
    <row r="126" spans="1:137" ht="11.25" customHeight="1" outlineLevel="2" x14ac:dyDescent="0.2">
      <c r="A126" s="981" t="s">
        <v>551</v>
      </c>
      <c r="B126" s="14"/>
      <c r="C126" s="14"/>
      <c r="D126" s="14"/>
      <c r="E126" s="93"/>
      <c r="F126" s="71"/>
      <c r="G126" s="93"/>
      <c r="H126" s="71"/>
      <c r="I126" s="93"/>
      <c r="J126" s="71"/>
      <c r="K126" s="93"/>
      <c r="L126" s="71"/>
      <c r="M126" s="84"/>
      <c r="N126" s="71"/>
      <c r="O126" s="71"/>
      <c r="P126" s="71"/>
      <c r="Q126" s="93"/>
      <c r="R126" s="71"/>
      <c r="S126" s="84"/>
      <c r="T126" s="71"/>
      <c r="U126" s="71"/>
      <c r="V126" s="71"/>
      <c r="W126" s="93"/>
      <c r="X126" s="71"/>
      <c r="Y126" s="84"/>
      <c r="Z126" s="71"/>
      <c r="AA126" s="71"/>
      <c r="AB126" s="71"/>
      <c r="AC126" s="93"/>
      <c r="AD126" s="71"/>
      <c r="AE126" s="84"/>
      <c r="AF126" s="71"/>
      <c r="AG126" s="71"/>
      <c r="AH126" s="71"/>
      <c r="AI126" s="93"/>
      <c r="AJ126" s="71"/>
      <c r="AK126" s="84"/>
      <c r="AL126" s="71"/>
      <c r="AM126" s="71"/>
      <c r="AN126" s="71"/>
      <c r="AO126" s="93"/>
      <c r="AP126" s="71"/>
      <c r="AQ126" s="84"/>
      <c r="AR126" s="71"/>
      <c r="AS126" s="71"/>
      <c r="AT126" s="71"/>
      <c r="AU126" s="93"/>
      <c r="AV126" s="71"/>
      <c r="AW126" s="84"/>
      <c r="AX126" s="71"/>
      <c r="AY126" s="71"/>
      <c r="AZ126" s="71"/>
      <c r="BA126" s="93"/>
      <c r="BB126" s="71"/>
      <c r="BC126" s="84"/>
      <c r="BD126" s="71"/>
      <c r="BE126" s="71"/>
      <c r="BF126" s="71"/>
      <c r="BG126" s="93"/>
      <c r="BH126" s="71"/>
      <c r="BI126" s="84"/>
      <c r="BJ126" s="71"/>
      <c r="BK126" s="71"/>
      <c r="BL126" s="71"/>
      <c r="BM126" s="93"/>
      <c r="BN126" s="71"/>
      <c r="BO126" s="84"/>
      <c r="BP126" s="71"/>
      <c r="BQ126" s="71"/>
      <c r="BR126" s="71"/>
      <c r="BS126" s="93"/>
      <c r="BT126" s="71"/>
      <c r="BU126" s="834"/>
      <c r="BV126" s="807"/>
      <c r="BW126" s="807"/>
      <c r="BX126" s="807"/>
      <c r="BY126" s="508"/>
      <c r="BZ126" s="507"/>
      <c r="CA126" s="834"/>
      <c r="CB126" s="807"/>
      <c r="CC126" s="807"/>
      <c r="CD126" s="807"/>
      <c r="CE126" s="508"/>
      <c r="CF126" s="507"/>
      <c r="CG126" s="834"/>
      <c r="CH126" s="807"/>
      <c r="CI126" s="807"/>
      <c r="CJ126" s="807"/>
      <c r="CK126" s="508"/>
      <c r="CL126" s="507"/>
      <c r="CM126" s="834"/>
      <c r="CN126" s="807"/>
      <c r="CO126" s="807"/>
      <c r="CP126" s="807"/>
      <c r="CQ126" s="508"/>
      <c r="CR126" s="507"/>
      <c r="CS126" s="834"/>
      <c r="CT126" s="807"/>
      <c r="CU126" s="807"/>
      <c r="CV126" s="807"/>
      <c r="CW126" s="961">
        <f>+CW125/CW115</f>
        <v>-0.26167960479887087</v>
      </c>
      <c r="CX126" s="507"/>
      <c r="CY126" s="959">
        <f>+CY125/CY115</f>
        <v>-4.9706089305003039E-2</v>
      </c>
      <c r="CZ126" s="960">
        <f>+CZ125/CZ115</f>
        <v>-4.2348202275174066E-2</v>
      </c>
      <c r="DA126" s="960">
        <f>+DA125/DA115</f>
        <v>-5.5818031728722461E-2</v>
      </c>
      <c r="DB126" s="967">
        <f>+DB125/DB115</f>
        <v>-7.0833114090342625E-2</v>
      </c>
      <c r="DC126" s="961">
        <f>+DC125/DC115</f>
        <v>-0.21879140019434315</v>
      </c>
      <c r="DD126" s="507"/>
      <c r="DE126" s="959">
        <f>+DE125/DE115</f>
        <v>-5.4298917001496735E-2</v>
      </c>
      <c r="DF126" s="960">
        <f>+DF125/DF115</f>
        <v>-5.4540423770708731E-2</v>
      </c>
      <c r="DG126" s="960">
        <f>+DG125/DG115</f>
        <v>-5.1494311413247125E-2</v>
      </c>
      <c r="DH126" s="967">
        <f>+DH125/DH115</f>
        <v>-5.7313547759016217E-2</v>
      </c>
      <c r="DI126" s="961">
        <f>+DI125/DI115</f>
        <v>-0.21764766064761537</v>
      </c>
      <c r="DJ126" s="507"/>
      <c r="DK126" s="959">
        <f>+DK125/DK115</f>
        <v>-5.1906706358771197E-2</v>
      </c>
      <c r="DL126" s="960">
        <f>+DL125/DL115</f>
        <v>-5.1775323579065842E-2</v>
      </c>
      <c r="DM126" s="960">
        <f>+DM125/DM115</f>
        <v>-5.161556802244039E-2</v>
      </c>
      <c r="DN126" s="967">
        <f>+DN125/DN115</f>
        <v>-5.1456795302013414E-2</v>
      </c>
      <c r="DO126" s="961">
        <f>+DO125/DO115</f>
        <v>-0.20681768248566959</v>
      </c>
      <c r="DP126" s="507"/>
      <c r="DQ126" s="959">
        <f>+DQ125/DQ115</f>
        <v>-5.1298996375801514E-2</v>
      </c>
      <c r="DR126" s="960">
        <f>+DR125/DR115</f>
        <v>-5.1142162312395781E-2</v>
      </c>
      <c r="DS126" s="960">
        <f>+DS125/DS115</f>
        <v>-5.0986284289276811E-2</v>
      </c>
      <c r="DT126" s="967">
        <f>+DT125/DT115</f>
        <v>-5.0831353591160221E-2</v>
      </c>
      <c r="DU126" s="961">
        <f>+DU125/DU115</f>
        <v>-0.20425641737199943</v>
      </c>
      <c r="DV126" s="507"/>
      <c r="DW126" s="959">
        <f>+DW125/DW115</f>
        <v>-5.0687292358803988E-2</v>
      </c>
      <c r="DX126" s="960">
        <f>+DX125/DX115</f>
        <v>-5.0533397736682306E-2</v>
      </c>
      <c r="DY126" s="960">
        <f>+DY125/DY115</f>
        <v>-5.0380434782608695E-2</v>
      </c>
      <c r="DZ126" s="967">
        <f>+DZ125/DZ115</f>
        <v>-5.0228395061728388E-2</v>
      </c>
      <c r="EA126" s="961">
        <f>+EA125/EA115</f>
        <v>-0.20182720132286067</v>
      </c>
      <c r="EB126" s="507"/>
      <c r="EC126" s="959">
        <f t="shared" ref="EC126:EG126" si="202">+EC125/EC115</f>
        <v>-5.0338878196315648E-2</v>
      </c>
      <c r="ED126" s="960">
        <f t="shared" si="202"/>
        <v>-5.0187088815789475E-2</v>
      </c>
      <c r="EE126" s="960">
        <f t="shared" si="202"/>
        <v>-5.0036212079803223E-2</v>
      </c>
      <c r="EF126" s="967">
        <f t="shared" si="202"/>
        <v>-4.9886239782016346E-2</v>
      </c>
      <c r="EG126" s="961">
        <f t="shared" si="202"/>
        <v>-0.20044614752976594</v>
      </c>
    </row>
    <row r="127" spans="1:137" ht="11.25" customHeight="1" outlineLevel="2" x14ac:dyDescent="0.2">
      <c r="A127" s="981"/>
      <c r="B127" s="14"/>
      <c r="C127" s="14"/>
      <c r="D127" s="14"/>
      <c r="E127" s="93"/>
      <c r="F127" s="71"/>
      <c r="G127" s="93"/>
      <c r="H127" s="71"/>
      <c r="I127" s="93"/>
      <c r="J127" s="71"/>
      <c r="K127" s="93"/>
      <c r="L127" s="71"/>
      <c r="M127" s="84"/>
      <c r="N127" s="71"/>
      <c r="O127" s="71"/>
      <c r="P127" s="71"/>
      <c r="Q127" s="93"/>
      <c r="R127" s="71"/>
      <c r="S127" s="84"/>
      <c r="T127" s="71"/>
      <c r="U127" s="71"/>
      <c r="V127" s="71"/>
      <c r="W127" s="93"/>
      <c r="X127" s="71"/>
      <c r="Y127" s="84"/>
      <c r="Z127" s="71"/>
      <c r="AA127" s="71"/>
      <c r="AB127" s="71"/>
      <c r="AC127" s="93"/>
      <c r="AD127" s="71"/>
      <c r="AE127" s="84"/>
      <c r="AF127" s="71"/>
      <c r="AG127" s="71"/>
      <c r="AH127" s="71"/>
      <c r="AI127" s="93"/>
      <c r="AJ127" s="71"/>
      <c r="AK127" s="84"/>
      <c r="AL127" s="71"/>
      <c r="AM127" s="71"/>
      <c r="AN127" s="71"/>
      <c r="AO127" s="93"/>
      <c r="AP127" s="71"/>
      <c r="AQ127" s="84"/>
      <c r="AR127" s="71"/>
      <c r="AS127" s="71"/>
      <c r="AT127" s="71"/>
      <c r="AU127" s="93"/>
      <c r="AV127" s="71"/>
      <c r="AW127" s="84"/>
      <c r="AX127" s="71"/>
      <c r="AY127" s="71"/>
      <c r="AZ127" s="71"/>
      <c r="BA127" s="93"/>
      <c r="BB127" s="71"/>
      <c r="BC127" s="84"/>
      <c r="BD127" s="71"/>
      <c r="BE127" s="71"/>
      <c r="BF127" s="71"/>
      <c r="BG127" s="93"/>
      <c r="BH127" s="71"/>
      <c r="BI127" s="84"/>
      <c r="BJ127" s="71"/>
      <c r="BK127" s="71"/>
      <c r="BL127" s="71"/>
      <c r="BM127" s="93"/>
      <c r="BN127" s="71"/>
      <c r="BO127" s="84"/>
      <c r="BP127" s="71"/>
      <c r="BQ127" s="71"/>
      <c r="BR127" s="71"/>
      <c r="BS127" s="93"/>
      <c r="BT127" s="71"/>
      <c r="BU127" s="834"/>
      <c r="BV127" s="807"/>
      <c r="BW127" s="807"/>
      <c r="BX127" s="807"/>
      <c r="BY127" s="508"/>
      <c r="BZ127" s="507"/>
      <c r="CA127" s="834"/>
      <c r="CB127" s="807"/>
      <c r="CC127" s="807"/>
      <c r="CD127" s="807"/>
      <c r="CE127" s="508"/>
      <c r="CF127" s="507"/>
      <c r="CG127" s="834"/>
      <c r="CH127" s="807"/>
      <c r="CI127" s="807"/>
      <c r="CJ127" s="807"/>
      <c r="CK127" s="508"/>
      <c r="CL127" s="507"/>
      <c r="CM127" s="834"/>
      <c r="CN127" s="807"/>
      <c r="CO127" s="807"/>
      <c r="CP127" s="807"/>
      <c r="CQ127" s="508"/>
      <c r="CR127" s="507"/>
      <c r="CS127" s="834"/>
      <c r="CT127" s="807"/>
      <c r="CU127" s="807"/>
      <c r="CV127" s="807"/>
      <c r="CW127" s="806"/>
      <c r="CX127" s="507"/>
      <c r="CY127" s="834"/>
      <c r="CZ127" s="807"/>
      <c r="DA127" s="807"/>
      <c r="DB127" s="807"/>
      <c r="DC127" s="961"/>
      <c r="DD127" s="509"/>
      <c r="DE127" s="959"/>
      <c r="DF127" s="960"/>
      <c r="DG127" s="960"/>
      <c r="DH127" s="960"/>
      <c r="DI127" s="961"/>
      <c r="DJ127" s="509"/>
      <c r="DK127" s="959"/>
      <c r="DL127" s="960"/>
      <c r="DM127" s="960"/>
      <c r="DN127" s="960"/>
      <c r="DO127" s="961"/>
      <c r="DP127" s="509"/>
      <c r="DQ127" s="959"/>
      <c r="DR127" s="960"/>
      <c r="DS127" s="960"/>
      <c r="DT127" s="960"/>
      <c r="DU127" s="961"/>
      <c r="DV127" s="509"/>
      <c r="DW127" s="959"/>
      <c r="DX127" s="960"/>
      <c r="DY127" s="960"/>
      <c r="DZ127" s="960"/>
      <c r="EA127" s="961"/>
      <c r="EB127" s="509"/>
      <c r="EC127" s="959"/>
      <c r="ED127" s="960"/>
      <c r="EE127" s="960"/>
      <c r="EF127" s="960"/>
      <c r="EG127" s="961"/>
    </row>
    <row r="128" spans="1:137" ht="11.25" customHeight="1" outlineLevel="2" x14ac:dyDescent="0.2">
      <c r="A128" s="969" t="s">
        <v>553</v>
      </c>
      <c r="B128" s="970"/>
      <c r="C128" s="970"/>
      <c r="D128" s="970"/>
      <c r="E128" s="971"/>
      <c r="F128" s="972"/>
      <c r="G128" s="971"/>
      <c r="H128" s="972"/>
      <c r="I128" s="971"/>
      <c r="J128" s="972"/>
      <c r="K128" s="971"/>
      <c r="L128" s="972"/>
      <c r="M128" s="973"/>
      <c r="N128" s="972"/>
      <c r="O128" s="972"/>
      <c r="P128" s="972"/>
      <c r="Q128" s="971"/>
      <c r="R128" s="972"/>
      <c r="S128" s="973"/>
      <c r="T128" s="972"/>
      <c r="U128" s="972"/>
      <c r="V128" s="972"/>
      <c r="W128" s="971"/>
      <c r="X128" s="972"/>
      <c r="Y128" s="973"/>
      <c r="Z128" s="972"/>
      <c r="AA128" s="972"/>
      <c r="AB128" s="972"/>
      <c r="AC128" s="971"/>
      <c r="AD128" s="972"/>
      <c r="AE128" s="973"/>
      <c r="AF128" s="972"/>
      <c r="AG128" s="972"/>
      <c r="AH128" s="972"/>
      <c r="AI128" s="971"/>
      <c r="AJ128" s="972"/>
      <c r="AK128" s="973"/>
      <c r="AL128" s="972"/>
      <c r="AM128" s="972"/>
      <c r="AN128" s="972"/>
      <c r="AO128" s="971"/>
      <c r="AP128" s="972"/>
      <c r="AQ128" s="973"/>
      <c r="AR128" s="972"/>
      <c r="AS128" s="972"/>
      <c r="AT128" s="972"/>
      <c r="AU128" s="971"/>
      <c r="AV128" s="972"/>
      <c r="AW128" s="973"/>
      <c r="AX128" s="972"/>
      <c r="AY128" s="972"/>
      <c r="AZ128" s="972"/>
      <c r="BA128" s="971"/>
      <c r="BB128" s="972"/>
      <c r="BC128" s="973"/>
      <c r="BD128" s="972"/>
      <c r="BE128" s="972"/>
      <c r="BF128" s="972"/>
      <c r="BG128" s="971"/>
      <c r="BH128" s="972"/>
      <c r="BI128" s="973"/>
      <c r="BJ128" s="972"/>
      <c r="BK128" s="972"/>
      <c r="BL128" s="972"/>
      <c r="BM128" s="971"/>
      <c r="BN128" s="972"/>
      <c r="BO128" s="973"/>
      <c r="BP128" s="972"/>
      <c r="BQ128" s="972"/>
      <c r="BR128" s="972"/>
      <c r="BS128" s="971"/>
      <c r="BT128" s="972"/>
      <c r="BU128" s="974"/>
      <c r="BV128" s="975"/>
      <c r="BW128" s="975"/>
      <c r="BX128" s="975"/>
      <c r="BY128" s="976"/>
      <c r="BZ128" s="977"/>
      <c r="CA128" s="974"/>
      <c r="CB128" s="975"/>
      <c r="CC128" s="975"/>
      <c r="CD128" s="975"/>
      <c r="CE128" s="976"/>
      <c r="CF128" s="977"/>
      <c r="CG128" s="974"/>
      <c r="CH128" s="975"/>
      <c r="CI128" s="975"/>
      <c r="CJ128" s="975"/>
      <c r="CK128" s="976"/>
      <c r="CL128" s="977"/>
      <c r="CM128" s="974"/>
      <c r="CN128" s="975"/>
      <c r="CO128" s="975"/>
      <c r="CP128" s="975"/>
      <c r="CQ128" s="976"/>
      <c r="CR128" s="977"/>
      <c r="CS128" s="974"/>
      <c r="CT128" s="975"/>
      <c r="CU128" s="975"/>
      <c r="CV128" s="975"/>
      <c r="CW128" s="978"/>
      <c r="CX128" s="977"/>
      <c r="CY128" s="994">
        <f>+CY126+CY117</f>
        <v>0.10514660980819757</v>
      </c>
      <c r="CZ128" s="995">
        <f>+CZ126+CZ117</f>
        <v>0.11232141145198836</v>
      </c>
      <c r="DA128" s="995">
        <f>+DA126+DA117</f>
        <v>0.15331031174057139</v>
      </c>
      <c r="DB128" s="995">
        <f>+DB126+DB117</f>
        <v>0.19904596382928461</v>
      </c>
      <c r="DC128" s="980">
        <f>+DC126+DC117</f>
        <v>0.57020008544802336</v>
      </c>
      <c r="DD128" s="979"/>
      <c r="DE128" s="994">
        <f>+DE126+DE117</f>
        <v>0.16225242728602585</v>
      </c>
      <c r="DF128" s="995">
        <f>+DF126+DF117</f>
        <v>0.18703040950821109</v>
      </c>
      <c r="DG128" s="995">
        <f>+DG126+DG117</f>
        <v>0.1617665957233298</v>
      </c>
      <c r="DH128" s="995">
        <f>+DH126+DH117</f>
        <v>0.21389836740346746</v>
      </c>
      <c r="DI128" s="980">
        <f>+DI126+DI117</f>
        <v>0.72501031513937919</v>
      </c>
      <c r="DJ128" s="979"/>
      <c r="DK128" s="994">
        <f>+DK126+DK117</f>
        <v>0.17936596998346355</v>
      </c>
      <c r="DL128" s="995">
        <f>+DL126+DL117</f>
        <v>0.20297699044738321</v>
      </c>
      <c r="DM128" s="995">
        <f>+DM126+DM117</f>
        <v>0.18644020693154223</v>
      </c>
      <c r="DN128" s="995">
        <f>+DN126+DN117</f>
        <v>0.21802717379263892</v>
      </c>
      <c r="DO128" s="980">
        <f>+DO126+DO117</f>
        <v>0.78719076099445495</v>
      </c>
      <c r="DP128" s="979"/>
      <c r="DQ128" s="994">
        <f>+DQ126+DQ117</f>
        <v>0.21015074383718987</v>
      </c>
      <c r="DR128" s="995">
        <f>+DR126+DR117</f>
        <v>0.23474637849583108</v>
      </c>
      <c r="DS128" s="995">
        <f>+DS126+DS117</f>
        <v>0.21705095180192541</v>
      </c>
      <c r="DT128" s="995">
        <f>+DT126+DT117</f>
        <v>0.25027407221243914</v>
      </c>
      <c r="DU128" s="980">
        <f>+DU126+DU117</f>
        <v>0.91237885789764883</v>
      </c>
      <c r="DV128" s="979"/>
      <c r="DW128" s="994">
        <f>+DW126+DW117</f>
        <v>0.24110435399689928</v>
      </c>
      <c r="DX128" s="995">
        <f>+DX126+DX117</f>
        <v>0.26684708246248967</v>
      </c>
      <c r="DY128" s="995">
        <f>+DY126+DY117</f>
        <v>0.24793773903252322</v>
      </c>
      <c r="DZ128" s="995">
        <f>+DZ126+DZ117</f>
        <v>0.28288377565651374</v>
      </c>
      <c r="EA128" s="980">
        <f>+EA126+EA117</f>
        <v>1.0389342737523994</v>
      </c>
      <c r="EB128" s="979"/>
      <c r="EC128" s="994">
        <f t="shared" ref="EC128:EG128" si="203">+EC126+EC117</f>
        <v>0.26825776646370092</v>
      </c>
      <c r="ED128" s="995">
        <f t="shared" si="203"/>
        <v>0.29535988442263156</v>
      </c>
      <c r="EE128" s="995">
        <f t="shared" si="203"/>
        <v>0.27510113638060185</v>
      </c>
      <c r="EF128" s="995">
        <f t="shared" si="203"/>
        <v>0.31205742550323273</v>
      </c>
      <c r="EG128" s="980">
        <f t="shared" si="203"/>
        <v>1.1509435239128853</v>
      </c>
    </row>
    <row r="129" spans="1:137" ht="11.25" customHeight="1" outlineLevel="2" x14ac:dyDescent="0.2">
      <c r="A129" s="153"/>
      <c r="E129" s="153"/>
      <c r="G129" s="153"/>
      <c r="I129" s="153"/>
      <c r="K129" s="153"/>
      <c r="M129" s="150"/>
      <c r="Q129" s="153"/>
      <c r="S129" s="150"/>
      <c r="W129" s="153"/>
      <c r="Y129" s="150"/>
      <c r="AC129" s="153"/>
      <c r="AE129" s="150"/>
      <c r="AI129" s="153"/>
      <c r="AK129" s="150"/>
      <c r="AO129" s="153"/>
      <c r="AQ129" s="150"/>
      <c r="AU129" s="153"/>
      <c r="AW129" s="150"/>
      <c r="BA129" s="153"/>
      <c r="BC129" s="150"/>
      <c r="BG129" s="153"/>
      <c r="BI129" s="150"/>
      <c r="BM129" s="153"/>
      <c r="BO129" s="150"/>
      <c r="BS129" s="153"/>
      <c r="BU129" s="150"/>
      <c r="BY129" s="153"/>
      <c r="CA129" s="150"/>
      <c r="CE129" s="153"/>
      <c r="CG129" s="150"/>
      <c r="CK129" s="153"/>
      <c r="CM129" s="150"/>
      <c r="CQ129" s="153"/>
      <c r="CS129" s="887"/>
      <c r="CT129" s="562"/>
      <c r="CU129" s="562"/>
      <c r="CV129" s="563"/>
      <c r="CW129" s="445"/>
      <c r="CY129" s="888"/>
      <c r="CZ129" s="564"/>
      <c r="DA129" s="564"/>
      <c r="DB129" s="563"/>
      <c r="DC129" s="445"/>
      <c r="DE129" s="889"/>
      <c r="DF129" s="563"/>
      <c r="DG129" s="563"/>
      <c r="DH129" s="563"/>
      <c r="DI129" s="890"/>
      <c r="DK129" s="889"/>
      <c r="DL129" s="563"/>
      <c r="DM129" s="563"/>
      <c r="DN129" s="563"/>
      <c r="DO129" s="890"/>
      <c r="DQ129" s="889"/>
      <c r="DR129" s="563"/>
      <c r="DS129" s="563"/>
      <c r="DT129" s="563"/>
      <c r="DU129" s="890"/>
      <c r="DW129" s="889"/>
      <c r="DX129" s="563"/>
      <c r="DY129" s="563"/>
      <c r="DZ129" s="563"/>
      <c r="EA129" s="890"/>
      <c r="EC129" s="889"/>
      <c r="ED129" s="563"/>
      <c r="EE129" s="563"/>
      <c r="EF129" s="563"/>
      <c r="EG129" s="890"/>
    </row>
    <row r="130" spans="1:137" ht="11.25" customHeight="1" outlineLevel="1" x14ac:dyDescent="0.2">
      <c r="A130" s="106" t="s">
        <v>113</v>
      </c>
      <c r="B130" s="74"/>
      <c r="C130" s="74"/>
      <c r="D130" s="74"/>
      <c r="E130" s="107"/>
      <c r="F130" s="75"/>
      <c r="G130" s="107"/>
      <c r="H130" s="75"/>
      <c r="I130" s="107"/>
      <c r="J130" s="75"/>
      <c r="K130" s="107"/>
      <c r="L130" s="75"/>
      <c r="M130" s="109"/>
      <c r="N130" s="110"/>
      <c r="O130" s="110"/>
      <c r="P130" s="110"/>
      <c r="Q130" s="107"/>
      <c r="R130" s="75"/>
      <c r="S130" s="109"/>
      <c r="T130" s="110"/>
      <c r="U130" s="110"/>
      <c r="V130" s="110"/>
      <c r="W130" s="107"/>
      <c r="X130" s="75"/>
      <c r="Y130" s="109"/>
      <c r="Z130" s="110"/>
      <c r="AA130" s="110"/>
      <c r="AB130" s="110"/>
      <c r="AC130" s="107"/>
      <c r="AD130" s="75"/>
      <c r="AE130" s="109"/>
      <c r="AF130" s="110"/>
      <c r="AG130" s="110"/>
      <c r="AH130" s="110"/>
      <c r="AI130" s="107"/>
      <c r="AJ130" s="75"/>
      <c r="AK130" s="109"/>
      <c r="AL130" s="110"/>
      <c r="AM130" s="110"/>
      <c r="AN130" s="110"/>
      <c r="AO130" s="107"/>
      <c r="AP130" s="75"/>
      <c r="AQ130" s="109"/>
      <c r="AR130" s="110"/>
      <c r="AS130" s="110"/>
      <c r="AT130" s="110"/>
      <c r="AU130" s="107"/>
      <c r="AV130" s="75"/>
      <c r="AW130" s="109"/>
      <c r="AX130" s="110"/>
      <c r="AY130" s="110"/>
      <c r="AZ130" s="110"/>
      <c r="BA130" s="107"/>
      <c r="BB130" s="75"/>
      <c r="BC130" s="109"/>
      <c r="BD130" s="110"/>
      <c r="BE130" s="110"/>
      <c r="BF130" s="110"/>
      <c r="BG130" s="107"/>
      <c r="BH130" s="75"/>
      <c r="BI130" s="109"/>
      <c r="BJ130" s="110"/>
      <c r="BK130" s="110"/>
      <c r="BL130" s="110"/>
      <c r="BM130" s="107"/>
      <c r="BN130" s="75"/>
      <c r="BO130" s="109"/>
      <c r="BP130" s="110"/>
      <c r="BQ130" s="110"/>
      <c r="BR130" s="110"/>
      <c r="BS130" s="107"/>
      <c r="BT130" s="75"/>
      <c r="BU130" s="109"/>
      <c r="BV130" s="110"/>
      <c r="BW130" s="110"/>
      <c r="BX130" s="110"/>
      <c r="BY130" s="107"/>
      <c r="BZ130" s="75"/>
      <c r="CA130" s="109"/>
      <c r="CB130" s="110"/>
      <c r="CC130" s="110"/>
      <c r="CD130" s="110"/>
      <c r="CE130" s="107"/>
      <c r="CF130" s="75"/>
      <c r="CG130" s="109"/>
      <c r="CH130" s="110"/>
      <c r="CI130" s="110"/>
      <c r="CJ130" s="110"/>
      <c r="CK130" s="107"/>
      <c r="CL130" s="75"/>
      <c r="CM130" s="109"/>
      <c r="CN130" s="110"/>
      <c r="CO130" s="110"/>
      <c r="CP130" s="110"/>
      <c r="CQ130" s="107"/>
      <c r="CR130" s="75"/>
      <c r="CS130" s="109"/>
      <c r="CT130" s="110"/>
      <c r="CU130" s="110"/>
      <c r="CV130" s="110"/>
      <c r="CW130" s="107"/>
      <c r="CX130" s="75"/>
      <c r="CY130" s="109"/>
      <c r="CZ130" s="110"/>
      <c r="DA130" s="110"/>
      <c r="DB130" s="110"/>
      <c r="DC130" s="107"/>
      <c r="DD130" s="75"/>
      <c r="DE130" s="109"/>
      <c r="DF130" s="110"/>
      <c r="DG130" s="110"/>
      <c r="DH130" s="110"/>
      <c r="DI130" s="107"/>
      <c r="DJ130" s="75"/>
      <c r="DK130" s="109"/>
      <c r="DL130" s="110"/>
      <c r="DM130" s="110"/>
      <c r="DN130" s="110"/>
      <c r="DO130" s="107"/>
      <c r="DP130" s="75"/>
      <c r="DQ130" s="109"/>
      <c r="DR130" s="110"/>
      <c r="DS130" s="110"/>
      <c r="DT130" s="110"/>
      <c r="DU130" s="107"/>
      <c r="DV130" s="75"/>
      <c r="DW130" s="109"/>
      <c r="DX130" s="110"/>
      <c r="DY130" s="110"/>
      <c r="DZ130" s="110"/>
      <c r="EA130" s="107"/>
      <c r="EB130" s="75"/>
      <c r="EC130" s="109"/>
      <c r="ED130" s="110"/>
      <c r="EE130" s="110"/>
      <c r="EF130" s="110"/>
      <c r="EG130" s="107"/>
    </row>
    <row r="131" spans="1:137" ht="11.25" customHeight="1" outlineLevel="1" x14ac:dyDescent="0.2">
      <c r="A131" s="454" t="s">
        <v>377</v>
      </c>
      <c r="B131" s="40"/>
      <c r="C131" s="346"/>
      <c r="D131" s="346"/>
      <c r="E131" s="435"/>
      <c r="F131" s="346"/>
      <c r="G131" s="435"/>
      <c r="H131" s="346"/>
      <c r="I131" s="435"/>
      <c r="J131" s="346"/>
      <c r="K131" s="435"/>
      <c r="L131" s="346"/>
      <c r="M131" s="428"/>
      <c r="N131" s="429"/>
      <c r="O131" s="429"/>
      <c r="P131" s="429"/>
      <c r="Q131" s="435"/>
      <c r="R131" s="346"/>
      <c r="S131" s="428"/>
      <c r="T131" s="429"/>
      <c r="U131" s="429"/>
      <c r="V131" s="429"/>
      <c r="W131" s="435"/>
      <c r="X131" s="346"/>
      <c r="Y131" s="428"/>
      <c r="Z131" s="429"/>
      <c r="AA131" s="429"/>
      <c r="AB131" s="429"/>
      <c r="AC131" s="435"/>
      <c r="AD131" s="346"/>
      <c r="AE131" s="428"/>
      <c r="AF131" s="429"/>
      <c r="AG131" s="429"/>
      <c r="AH131" s="429"/>
      <c r="AI131" s="435"/>
      <c r="AJ131" s="346"/>
      <c r="AK131" s="428"/>
      <c r="AL131" s="429"/>
      <c r="AM131" s="429"/>
      <c r="AN131" s="429"/>
      <c r="AO131" s="435"/>
      <c r="AP131" s="346"/>
      <c r="AQ131" s="428"/>
      <c r="AR131" s="429"/>
      <c r="AS131" s="429"/>
      <c r="AT131" s="429"/>
      <c r="AU131" s="435"/>
      <c r="AV131" s="346"/>
      <c r="AW131" s="428"/>
      <c r="AX131" s="429"/>
      <c r="AY131" s="429"/>
      <c r="AZ131" s="429"/>
      <c r="BA131" s="435"/>
      <c r="BB131" s="346"/>
      <c r="BC131" s="428"/>
      <c r="BD131" s="429"/>
      <c r="BE131" s="429"/>
      <c r="BF131" s="429"/>
      <c r="BG131" s="435"/>
      <c r="BH131" s="346"/>
      <c r="BI131" s="428"/>
      <c r="BJ131" s="429"/>
      <c r="BK131" s="429"/>
      <c r="BL131" s="429"/>
      <c r="BM131" s="435"/>
      <c r="BN131" s="346"/>
      <c r="BO131" s="428"/>
      <c r="BP131" s="429"/>
      <c r="BQ131" s="429"/>
      <c r="BR131" s="429"/>
      <c r="BS131" s="435"/>
      <c r="BT131" s="346"/>
      <c r="BU131" s="428"/>
      <c r="BV131" s="429"/>
      <c r="BW131" s="429"/>
      <c r="BX131" s="429"/>
      <c r="BY131" s="435"/>
      <c r="BZ131" s="346"/>
      <c r="CA131" s="428"/>
      <c r="CB131" s="429"/>
      <c r="CC131" s="429"/>
      <c r="CD131" s="429"/>
      <c r="CE131" s="435"/>
      <c r="CF131" s="346"/>
      <c r="CG131" s="428"/>
      <c r="CH131" s="429"/>
      <c r="CI131" s="429"/>
      <c r="CJ131" s="429"/>
      <c r="CK131" s="435"/>
      <c r="CL131" s="346"/>
      <c r="CM131" s="428"/>
      <c r="CN131" s="429"/>
      <c r="CO131" s="429"/>
      <c r="CP131" s="429"/>
      <c r="CQ131" s="435"/>
      <c r="CR131" s="346"/>
      <c r="CS131" s="439"/>
      <c r="CT131" s="440"/>
      <c r="CU131" s="447"/>
      <c r="CV131" s="448"/>
      <c r="CW131" s="435"/>
      <c r="CX131" s="346"/>
      <c r="CY131" s="439"/>
      <c r="CZ131" s="440"/>
      <c r="DA131" s="440"/>
      <c r="DB131" s="429"/>
      <c r="DC131" s="435"/>
      <c r="DD131" s="346"/>
      <c r="DE131" s="428"/>
      <c r="DF131" s="429"/>
      <c r="DG131" s="429"/>
      <c r="DH131" s="429"/>
      <c r="DI131" s="435"/>
      <c r="DJ131" s="346"/>
      <c r="DK131" s="428"/>
      <c r="DL131" s="429"/>
      <c r="DM131" s="429"/>
      <c r="DN131" s="429"/>
      <c r="DO131" s="435"/>
      <c r="DP131" s="346"/>
      <c r="DQ131" s="428"/>
      <c r="DR131" s="429"/>
      <c r="DS131" s="429"/>
      <c r="DT131" s="429"/>
      <c r="DU131" s="435"/>
      <c r="DV131" s="346"/>
      <c r="DW131" s="428"/>
      <c r="DX131" s="429"/>
      <c r="DY131" s="429"/>
      <c r="DZ131" s="429"/>
      <c r="EA131" s="435"/>
      <c r="EB131" s="346"/>
      <c r="EC131" s="428"/>
      <c r="ED131" s="429"/>
      <c r="EE131" s="429"/>
      <c r="EF131" s="429"/>
      <c r="EG131" s="435"/>
    </row>
    <row r="132" spans="1:137" ht="11.25" customHeight="1" outlineLevel="1" x14ac:dyDescent="0.2">
      <c r="A132" s="455" t="s">
        <v>391</v>
      </c>
      <c r="B132" s="40"/>
      <c r="C132" s="40"/>
      <c r="D132" s="40"/>
      <c r="E132" s="436"/>
      <c r="F132" s="40"/>
      <c r="G132" s="436"/>
      <c r="H132" s="40"/>
      <c r="I132" s="436"/>
      <c r="J132" s="40"/>
      <c r="K132" s="436"/>
      <c r="L132" s="40"/>
      <c r="M132" s="430"/>
      <c r="N132" s="40"/>
      <c r="O132" s="40"/>
      <c r="P132" s="40"/>
      <c r="Q132" s="436"/>
      <c r="R132" s="40"/>
      <c r="S132" s="430"/>
      <c r="T132" s="40"/>
      <c r="U132" s="40"/>
      <c r="V132" s="40"/>
      <c r="W132" s="436"/>
      <c r="X132" s="40"/>
      <c r="Y132" s="430"/>
      <c r="Z132" s="40"/>
      <c r="AA132" s="40"/>
      <c r="AB132" s="40"/>
      <c r="AC132" s="436"/>
      <c r="AD132" s="40"/>
      <c r="AE132" s="430"/>
      <c r="AF132" s="40"/>
      <c r="AG132" s="40"/>
      <c r="AH132" s="40"/>
      <c r="AI132" s="436"/>
      <c r="AJ132" s="40"/>
      <c r="AK132" s="430"/>
      <c r="AL132" s="40"/>
      <c r="AM132" s="40"/>
      <c r="AN132" s="40"/>
      <c r="AO132" s="436"/>
      <c r="AP132" s="40"/>
      <c r="AQ132" s="430"/>
      <c r="AR132" s="40"/>
      <c r="AS132" s="40"/>
      <c r="AT132" s="40"/>
      <c r="AU132" s="436"/>
      <c r="AV132" s="40"/>
      <c r="AW132" s="430"/>
      <c r="AX132" s="40"/>
      <c r="AY132" s="40"/>
      <c r="AZ132" s="40"/>
      <c r="BA132" s="436"/>
      <c r="BB132" s="40"/>
      <c r="BC132" s="430"/>
      <c r="BD132" s="40"/>
      <c r="BE132" s="40"/>
      <c r="BF132" s="40"/>
      <c r="BG132" s="436"/>
      <c r="BH132" s="40"/>
      <c r="BI132" s="430"/>
      <c r="BJ132" s="40"/>
      <c r="BK132" s="40"/>
      <c r="BL132" s="40"/>
      <c r="BM132" s="436"/>
      <c r="BN132" s="40"/>
      <c r="BO132" s="430"/>
      <c r="BP132" s="40"/>
      <c r="BQ132" s="40"/>
      <c r="BR132" s="40"/>
      <c r="BS132" s="436"/>
      <c r="BT132" s="40"/>
      <c r="BU132" s="430"/>
      <c r="BV132" s="40"/>
      <c r="BW132" s="40"/>
      <c r="BX132" s="40"/>
      <c r="BY132" s="436"/>
      <c r="BZ132" s="40"/>
      <c r="CA132" s="430"/>
      <c r="CB132" s="40"/>
      <c r="CC132" s="40"/>
      <c r="CD132" s="40"/>
      <c r="CE132" s="436"/>
      <c r="CF132" s="40"/>
      <c r="CG132" s="430"/>
      <c r="CH132" s="40"/>
      <c r="CI132" s="40"/>
      <c r="CJ132" s="40"/>
      <c r="CK132" s="436"/>
      <c r="CL132" s="40"/>
      <c r="CM132" s="430"/>
      <c r="CN132" s="40"/>
      <c r="CO132" s="40"/>
      <c r="CP132" s="40"/>
      <c r="CQ132" s="436"/>
      <c r="CR132" s="40"/>
      <c r="CS132" s="441"/>
      <c r="CT132" s="39"/>
      <c r="CU132" s="39"/>
      <c r="CV132" s="39"/>
      <c r="CW132" s="436"/>
      <c r="CX132" s="40"/>
      <c r="CY132" s="441"/>
      <c r="CZ132" s="39"/>
      <c r="DA132" s="39"/>
      <c r="DB132" s="40"/>
      <c r="DC132" s="436"/>
      <c r="DD132" s="40"/>
      <c r="DE132" s="430"/>
      <c r="DF132" s="40"/>
      <c r="DG132" s="40"/>
      <c r="DH132" s="40"/>
      <c r="DI132" s="436"/>
      <c r="DJ132" s="40"/>
      <c r="DK132" s="430"/>
      <c r="DL132" s="40"/>
      <c r="DM132" s="40"/>
      <c r="DN132" s="40"/>
      <c r="DO132" s="436"/>
      <c r="DP132" s="40"/>
      <c r="DQ132" s="430"/>
      <c r="DR132" s="40"/>
      <c r="DS132" s="40"/>
      <c r="DT132" s="40"/>
      <c r="DU132" s="436"/>
      <c r="DV132" s="40"/>
      <c r="DW132" s="430"/>
      <c r="DX132" s="40"/>
      <c r="DY132" s="40"/>
      <c r="DZ132" s="40"/>
      <c r="EA132" s="436"/>
      <c r="EB132" s="40"/>
      <c r="EC132" s="430"/>
      <c r="ED132" s="40"/>
      <c r="EE132" s="40"/>
      <c r="EF132" s="40"/>
      <c r="EG132" s="436"/>
    </row>
    <row r="133" spans="1:137" ht="11.25" customHeight="1" outlineLevel="1" x14ac:dyDescent="0.2">
      <c r="A133" s="452" t="s">
        <v>53</v>
      </c>
      <c r="B133" s="38"/>
      <c r="C133" s="38"/>
      <c r="D133" s="38"/>
      <c r="E133" s="452"/>
      <c r="F133" s="38"/>
      <c r="G133" s="452"/>
      <c r="H133" s="38"/>
      <c r="I133" s="452"/>
      <c r="J133" s="38"/>
      <c r="K133" s="452"/>
      <c r="L133" s="38"/>
      <c r="M133" s="433"/>
      <c r="N133" s="38"/>
      <c r="O133" s="38"/>
      <c r="P133" s="38"/>
      <c r="Q133" s="452"/>
      <c r="R133" s="38"/>
      <c r="S133" s="433"/>
      <c r="T133" s="38"/>
      <c r="U133" s="38"/>
      <c r="V133" s="38"/>
      <c r="W133" s="452"/>
      <c r="X133" s="38"/>
      <c r="Y133" s="433"/>
      <c r="Z133" s="38"/>
      <c r="AA133" s="38"/>
      <c r="AB133" s="38"/>
      <c r="AC133" s="452"/>
      <c r="AD133" s="38"/>
      <c r="AE133" s="433"/>
      <c r="AF133" s="38"/>
      <c r="AG133" s="38"/>
      <c r="AH133" s="38"/>
      <c r="AI133" s="452"/>
      <c r="AJ133" s="38"/>
      <c r="AK133" s="433"/>
      <c r="AL133" s="38"/>
      <c r="AM133" s="38"/>
      <c r="AN133" s="38"/>
      <c r="AO133" s="452"/>
      <c r="AP133" s="38"/>
      <c r="AQ133" s="433"/>
      <c r="AR133" s="38"/>
      <c r="AS133" s="38"/>
      <c r="AT133" s="38"/>
      <c r="AU133" s="452"/>
      <c r="AV133" s="38"/>
      <c r="AW133" s="433"/>
      <c r="AX133" s="38"/>
      <c r="AY133" s="38"/>
      <c r="AZ133" s="38"/>
      <c r="BA133" s="558"/>
      <c r="BB133" s="554"/>
      <c r="BC133" s="557"/>
      <c r="BD133" s="554"/>
      <c r="BE133" s="554"/>
      <c r="BF133" s="554"/>
      <c r="BG133" s="558"/>
      <c r="BH133" s="554"/>
      <c r="BI133" s="557"/>
      <c r="BJ133" s="554"/>
      <c r="BK133" s="554"/>
      <c r="BL133" s="554"/>
      <c r="BM133" s="558"/>
      <c r="BN133" s="554"/>
      <c r="BO133" s="557"/>
      <c r="BP133" s="554"/>
      <c r="BQ133" s="554"/>
      <c r="BR133" s="554"/>
      <c r="BS133" s="558"/>
      <c r="BT133" s="554"/>
      <c r="BU133" s="557"/>
      <c r="BV133" s="554"/>
      <c r="BW133" s="554"/>
      <c r="BX133" s="554"/>
      <c r="BY133" s="558"/>
      <c r="BZ133" s="554"/>
      <c r="CA133" s="557"/>
      <c r="CB133" s="554"/>
      <c r="CC133" s="554"/>
      <c r="CD133" s="554"/>
      <c r="CE133" s="558"/>
      <c r="CF133" s="554"/>
      <c r="CG133" s="557"/>
      <c r="CH133" s="554"/>
      <c r="CI133" s="554"/>
      <c r="CJ133" s="554"/>
      <c r="CK133" s="558"/>
      <c r="CL133" s="554"/>
      <c r="CM133" s="557"/>
      <c r="CN133" s="554"/>
      <c r="CO133" s="554"/>
      <c r="CP133" s="554"/>
      <c r="CQ133" s="558"/>
      <c r="CR133" s="38"/>
      <c r="CS133" s="442" t="s">
        <v>481</v>
      </c>
      <c r="CT133" s="347" t="s">
        <v>478</v>
      </c>
      <c r="CU133" s="347" t="s">
        <v>481</v>
      </c>
      <c r="CV133" s="347" t="s">
        <v>478</v>
      </c>
      <c r="CW133" s="47"/>
      <c r="CX133" s="15"/>
      <c r="CY133" s="442" t="s">
        <v>478</v>
      </c>
      <c r="CZ133" s="347">
        <v>0.04</v>
      </c>
      <c r="DA133" s="347">
        <v>0.03</v>
      </c>
      <c r="DB133" s="347"/>
      <c r="DC133" s="445"/>
      <c r="DD133" s="44"/>
      <c r="DE133" s="431"/>
      <c r="DF133" s="347"/>
      <c r="DG133" s="37"/>
      <c r="DH133" s="37"/>
      <c r="DI133" s="437"/>
      <c r="DJ133" s="44"/>
      <c r="DK133" s="431"/>
      <c r="DL133" s="37"/>
      <c r="DM133" s="37"/>
      <c r="DN133" s="37"/>
      <c r="DO133" s="437"/>
      <c r="DP133" s="44"/>
      <c r="DQ133" s="431"/>
      <c r="DR133" s="37"/>
      <c r="DS133" s="37"/>
      <c r="DT133" s="37"/>
      <c r="DU133" s="437"/>
      <c r="DV133" s="44"/>
      <c r="DW133" s="431"/>
      <c r="DX133" s="37"/>
      <c r="DY133" s="37"/>
      <c r="DZ133" s="37"/>
      <c r="EA133" s="437"/>
      <c r="EB133" s="44"/>
      <c r="EC133" s="431"/>
      <c r="ED133" s="37"/>
      <c r="EE133" s="37"/>
      <c r="EF133" s="37"/>
      <c r="EG133" s="437"/>
    </row>
    <row r="134" spans="1:137" ht="11.25" customHeight="1" outlineLevel="1" x14ac:dyDescent="0.2">
      <c r="A134" s="452" t="s">
        <v>65</v>
      </c>
      <c r="B134" s="38"/>
      <c r="C134" s="38"/>
      <c r="D134" s="38"/>
      <c r="E134" s="452"/>
      <c r="F134" s="38"/>
      <c r="G134" s="452"/>
      <c r="H134" s="38"/>
      <c r="I134" s="452"/>
      <c r="J134" s="38"/>
      <c r="K134" s="452"/>
      <c r="L134" s="38"/>
      <c r="M134" s="433"/>
      <c r="N134" s="38"/>
      <c r="O134" s="38"/>
      <c r="P134" s="38"/>
      <c r="Q134" s="452"/>
      <c r="R134" s="38"/>
      <c r="S134" s="433"/>
      <c r="T134" s="38"/>
      <c r="U134" s="38"/>
      <c r="V134" s="38"/>
      <c r="W134" s="452"/>
      <c r="X134" s="38"/>
      <c r="Y134" s="433"/>
      <c r="Z134" s="38"/>
      <c r="AA134" s="38"/>
      <c r="AB134" s="38"/>
      <c r="AC134" s="452"/>
      <c r="AD134" s="38"/>
      <c r="AE134" s="433"/>
      <c r="AF134" s="38"/>
      <c r="AG134" s="38"/>
      <c r="AH134" s="38"/>
      <c r="AI134" s="452"/>
      <c r="AJ134" s="38"/>
      <c r="AK134" s="433"/>
      <c r="AL134" s="38"/>
      <c r="AM134" s="38"/>
      <c r="AN134" s="38"/>
      <c r="AO134" s="452"/>
      <c r="AP134" s="38"/>
      <c r="AQ134" s="433"/>
      <c r="AR134" s="38"/>
      <c r="AS134" s="38"/>
      <c r="AT134" s="38"/>
      <c r="AU134" s="452"/>
      <c r="AV134" s="38"/>
      <c r="AW134" s="433"/>
      <c r="AX134" s="38"/>
      <c r="AY134" s="38"/>
      <c r="AZ134" s="38"/>
      <c r="BA134" s="558"/>
      <c r="BB134" s="554"/>
      <c r="BC134" s="557"/>
      <c r="BD134" s="554"/>
      <c r="BE134" s="554"/>
      <c r="BF134" s="554"/>
      <c r="BG134" s="558"/>
      <c r="BH134" s="554"/>
      <c r="BI134" s="557"/>
      <c r="BJ134" s="554"/>
      <c r="BK134" s="554"/>
      <c r="BL134" s="554"/>
      <c r="BM134" s="558"/>
      <c r="BN134" s="554"/>
      <c r="BO134" s="557"/>
      <c r="BP134" s="554"/>
      <c r="BQ134" s="554"/>
      <c r="BR134" s="554"/>
      <c r="BS134" s="558"/>
      <c r="BT134" s="554"/>
      <c r="BU134" s="557"/>
      <c r="BV134" s="554"/>
      <c r="BW134" s="554"/>
      <c r="BX134" s="554"/>
      <c r="BY134" s="558"/>
      <c r="BZ134" s="554"/>
      <c r="CA134" s="557"/>
      <c r="CB134" s="554"/>
      <c r="CC134" s="554"/>
      <c r="CD134" s="554"/>
      <c r="CE134" s="558"/>
      <c r="CF134" s="554"/>
      <c r="CG134" s="557"/>
      <c r="CH134" s="554"/>
      <c r="CI134" s="554"/>
      <c r="CJ134" s="554"/>
      <c r="CK134" s="558"/>
      <c r="CL134" s="554"/>
      <c r="CM134" s="557"/>
      <c r="CN134" s="554"/>
      <c r="CO134" s="554"/>
      <c r="CP134" s="554"/>
      <c r="CQ134" s="558"/>
      <c r="CR134" s="38"/>
      <c r="CS134" s="442" t="s">
        <v>384</v>
      </c>
      <c r="CT134" s="347" t="s">
        <v>384</v>
      </c>
      <c r="CU134" s="347" t="s">
        <v>384</v>
      </c>
      <c r="CV134" s="347" t="s">
        <v>207</v>
      </c>
      <c r="CW134" s="47"/>
      <c r="CX134" s="15"/>
      <c r="CY134" s="442"/>
      <c r="CZ134" s="347"/>
      <c r="DA134" s="347"/>
      <c r="DB134" s="347" t="s">
        <v>384</v>
      </c>
      <c r="DC134" s="445"/>
      <c r="DD134" s="44"/>
      <c r="DE134" s="431"/>
      <c r="DF134" s="1157"/>
      <c r="DG134" s="37"/>
      <c r="DH134" s="37"/>
      <c r="DI134" s="437"/>
      <c r="DJ134" s="44"/>
      <c r="DK134" s="431"/>
      <c r="DL134" s="37"/>
      <c r="DM134" s="37"/>
      <c r="DN134" s="37"/>
      <c r="DO134" s="437"/>
      <c r="DP134" s="44"/>
      <c r="DQ134" s="431"/>
      <c r="DR134" s="37"/>
      <c r="DS134" s="37"/>
      <c r="DT134" s="37"/>
      <c r="DU134" s="437"/>
      <c r="DV134" s="44"/>
      <c r="DW134" s="431"/>
      <c r="DX134" s="37"/>
      <c r="DY134" s="37"/>
      <c r="DZ134" s="37"/>
      <c r="EA134" s="437"/>
      <c r="EB134" s="44"/>
      <c r="EC134" s="431"/>
      <c r="ED134" s="37"/>
      <c r="EE134" s="37"/>
      <c r="EF134" s="37"/>
      <c r="EG134" s="437"/>
    </row>
    <row r="135" spans="1:137" ht="11.25" customHeight="1" outlineLevel="1" x14ac:dyDescent="0.2">
      <c r="A135" s="452" t="s">
        <v>173</v>
      </c>
      <c r="B135" s="38"/>
      <c r="C135" s="38"/>
      <c r="D135" s="38"/>
      <c r="E135" s="452"/>
      <c r="F135" s="38"/>
      <c r="G135" s="452"/>
      <c r="H135" s="38"/>
      <c r="I135" s="452"/>
      <c r="J135" s="38"/>
      <c r="K135" s="452"/>
      <c r="L135" s="38"/>
      <c r="M135" s="433"/>
      <c r="N135" s="38"/>
      <c r="O135" s="38"/>
      <c r="P135" s="38"/>
      <c r="Q135" s="452"/>
      <c r="R135" s="38"/>
      <c r="S135" s="433"/>
      <c r="T135" s="38"/>
      <c r="U135" s="38"/>
      <c r="V135" s="38"/>
      <c r="W135" s="452"/>
      <c r="X135" s="38"/>
      <c r="Y135" s="433"/>
      <c r="Z135" s="38"/>
      <c r="AA135" s="38"/>
      <c r="AB135" s="38"/>
      <c r="AC135" s="452"/>
      <c r="AD135" s="38"/>
      <c r="AE135" s="433"/>
      <c r="AF135" s="38"/>
      <c r="AG135" s="38"/>
      <c r="AH135" s="38"/>
      <c r="AI135" s="452"/>
      <c r="AJ135" s="38"/>
      <c r="AK135" s="433"/>
      <c r="AL135" s="38"/>
      <c r="AM135" s="38"/>
      <c r="AN135" s="38"/>
      <c r="AO135" s="452"/>
      <c r="AP135" s="38"/>
      <c r="AQ135" s="433"/>
      <c r="AR135" s="38"/>
      <c r="AS135" s="38"/>
      <c r="AT135" s="38"/>
      <c r="AU135" s="452"/>
      <c r="AV135" s="38"/>
      <c r="AW135" s="433"/>
      <c r="AX135" s="38"/>
      <c r="AY135" s="38"/>
      <c r="AZ135" s="38"/>
      <c r="BA135" s="558"/>
      <c r="BB135" s="554"/>
      <c r="BC135" s="557"/>
      <c r="BD135" s="554"/>
      <c r="BE135" s="554"/>
      <c r="BF135" s="554"/>
      <c r="BG135" s="558" t="s">
        <v>477</v>
      </c>
      <c r="BH135" s="554"/>
      <c r="BI135" s="557" t="s">
        <v>478</v>
      </c>
      <c r="BJ135" s="554" t="s">
        <v>517</v>
      </c>
      <c r="BK135" s="554" t="s">
        <v>517</v>
      </c>
      <c r="BL135" s="554" t="s">
        <v>14</v>
      </c>
      <c r="BM135" s="558" t="s">
        <v>479</v>
      </c>
      <c r="BN135" s="554"/>
      <c r="BO135" s="557" t="s">
        <v>477</v>
      </c>
      <c r="BP135" s="554" t="s">
        <v>481</v>
      </c>
      <c r="BQ135" s="554" t="s">
        <v>517</v>
      </c>
      <c r="BR135" s="554"/>
      <c r="BS135" s="558" t="s">
        <v>477</v>
      </c>
      <c r="BT135" s="554"/>
      <c r="BU135" s="557" t="s">
        <v>477</v>
      </c>
      <c r="BV135" s="554" t="s">
        <v>481</v>
      </c>
      <c r="BW135" s="554" t="s">
        <v>481</v>
      </c>
      <c r="BX135" s="554"/>
      <c r="BY135" s="558"/>
      <c r="BZ135" s="554"/>
      <c r="CA135" s="557"/>
      <c r="CB135" s="554"/>
      <c r="CC135" s="554"/>
      <c r="CD135" s="554"/>
      <c r="CE135" s="558"/>
      <c r="CF135" s="554"/>
      <c r="CG135" s="557"/>
      <c r="CH135" s="554" t="s">
        <v>488</v>
      </c>
      <c r="CI135" s="554"/>
      <c r="CJ135" s="554"/>
      <c r="CK135" s="558"/>
      <c r="CL135" s="554"/>
      <c r="CM135" s="557"/>
      <c r="CN135" s="554"/>
      <c r="CO135" s="554"/>
      <c r="CP135" s="554"/>
      <c r="CQ135" s="558" t="s">
        <v>64</v>
      </c>
      <c r="CR135" s="38"/>
      <c r="CS135" s="442"/>
      <c r="CT135" s="347"/>
      <c r="CU135" s="347"/>
      <c r="CV135" s="347"/>
      <c r="CW135" s="47"/>
      <c r="CX135" s="15"/>
      <c r="CY135" s="442"/>
      <c r="CZ135" s="347"/>
      <c r="DA135" s="347"/>
      <c r="DB135" s="347"/>
      <c r="DC135" s="445"/>
      <c r="DD135" s="44"/>
      <c r="DE135" s="431"/>
      <c r="DF135" s="347"/>
      <c r="DG135" s="37"/>
      <c r="DH135" s="37"/>
      <c r="DI135" s="437"/>
      <c r="DJ135" s="44"/>
      <c r="DK135" s="431"/>
      <c r="DL135" s="37"/>
      <c r="DM135" s="37"/>
      <c r="DN135" s="37"/>
      <c r="DO135" s="437"/>
      <c r="DP135" s="44"/>
      <c r="DQ135" s="431"/>
      <c r="DR135" s="37"/>
      <c r="DS135" s="37"/>
      <c r="DT135" s="37"/>
      <c r="DU135" s="437"/>
      <c r="DV135" s="44"/>
      <c r="DW135" s="431"/>
      <c r="DX135" s="37"/>
      <c r="DY135" s="37"/>
      <c r="DZ135" s="37"/>
      <c r="EA135" s="437"/>
      <c r="EB135" s="44"/>
      <c r="EC135" s="431"/>
      <c r="ED135" s="37"/>
      <c r="EE135" s="37"/>
      <c r="EF135" s="37"/>
      <c r="EG135" s="437"/>
    </row>
    <row r="136" spans="1:137" ht="11.25" customHeight="1" outlineLevel="1" x14ac:dyDescent="0.2">
      <c r="A136" s="452" t="s">
        <v>131</v>
      </c>
      <c r="B136" s="38"/>
      <c r="C136" s="38"/>
      <c r="D136" s="38"/>
      <c r="E136" s="452"/>
      <c r="F136" s="38"/>
      <c r="G136" s="452"/>
      <c r="H136" s="38"/>
      <c r="I136" s="452"/>
      <c r="J136" s="38"/>
      <c r="K136" s="452"/>
      <c r="L136" s="38"/>
      <c r="M136" s="433"/>
      <c r="N136" s="38"/>
      <c r="O136" s="38"/>
      <c r="P136" s="38"/>
      <c r="Q136" s="452"/>
      <c r="R136" s="38"/>
      <c r="S136" s="433"/>
      <c r="T136" s="38"/>
      <c r="U136" s="38"/>
      <c r="V136" s="38"/>
      <c r="W136" s="452"/>
      <c r="X136" s="38"/>
      <c r="Y136" s="433"/>
      <c r="Z136" s="38"/>
      <c r="AA136" s="38"/>
      <c r="AB136" s="38"/>
      <c r="AC136" s="452"/>
      <c r="AD136" s="38"/>
      <c r="AE136" s="433"/>
      <c r="AF136" s="38"/>
      <c r="AG136" s="38"/>
      <c r="AH136" s="38"/>
      <c r="AI136" s="452"/>
      <c r="AJ136" s="38"/>
      <c r="AK136" s="433"/>
      <c r="AL136" s="38"/>
      <c r="AM136" s="38"/>
      <c r="AN136" s="38"/>
      <c r="AO136" s="452"/>
      <c r="AP136" s="38"/>
      <c r="AQ136" s="433"/>
      <c r="AR136" s="38"/>
      <c r="AS136" s="38"/>
      <c r="AT136" s="38"/>
      <c r="AU136" s="452"/>
      <c r="AV136" s="38"/>
      <c r="AW136" s="433"/>
      <c r="AX136" s="38"/>
      <c r="AY136" s="38"/>
      <c r="AZ136" s="38"/>
      <c r="BA136" s="558"/>
      <c r="BB136" s="554"/>
      <c r="BC136" s="557"/>
      <c r="BD136" s="554"/>
      <c r="BE136" s="554"/>
      <c r="BF136" s="554"/>
      <c r="BG136" s="558"/>
      <c r="BH136" s="554"/>
      <c r="BI136" s="557"/>
      <c r="BJ136" s="554"/>
      <c r="BK136" s="554"/>
      <c r="BL136" s="554" t="s">
        <v>481</v>
      </c>
      <c r="BM136" s="558"/>
      <c r="BN136" s="554"/>
      <c r="BO136" s="557" t="s">
        <v>477</v>
      </c>
      <c r="BP136" s="554" t="s">
        <v>478</v>
      </c>
      <c r="BQ136" s="554" t="s">
        <v>481</v>
      </c>
      <c r="BR136" s="554" t="s">
        <v>477</v>
      </c>
      <c r="BS136" s="558"/>
      <c r="BT136" s="554"/>
      <c r="BU136" s="557" t="s">
        <v>481</v>
      </c>
      <c r="BV136" s="554" t="s">
        <v>481</v>
      </c>
      <c r="BW136" s="554"/>
      <c r="BX136" s="554" t="s">
        <v>478</v>
      </c>
      <c r="BY136" s="558"/>
      <c r="BZ136" s="554"/>
      <c r="CA136" s="557" t="s">
        <v>518</v>
      </c>
      <c r="CB136" s="554" t="s">
        <v>481</v>
      </c>
      <c r="CC136" s="554" t="s">
        <v>517</v>
      </c>
      <c r="CD136" s="554" t="s">
        <v>486</v>
      </c>
      <c r="CE136" s="558" t="s">
        <v>516</v>
      </c>
      <c r="CF136" s="554"/>
      <c r="CG136" s="557" t="s">
        <v>479</v>
      </c>
      <c r="CH136" s="554" t="s">
        <v>519</v>
      </c>
      <c r="CI136" s="554" t="s">
        <v>520</v>
      </c>
      <c r="CJ136" s="554" t="s">
        <v>479</v>
      </c>
      <c r="CK136" s="558"/>
      <c r="CL136" s="554"/>
      <c r="CM136" s="557"/>
      <c r="CN136" s="554"/>
      <c r="CO136" s="554" t="s">
        <v>478</v>
      </c>
      <c r="CP136" s="554" t="s">
        <v>481</v>
      </c>
      <c r="CQ136" s="558"/>
      <c r="CR136" s="38"/>
      <c r="CS136" s="442" t="s">
        <v>517</v>
      </c>
      <c r="CT136" s="347" t="s">
        <v>478</v>
      </c>
      <c r="CU136" s="347" t="s">
        <v>104</v>
      </c>
      <c r="CV136" s="347" t="s">
        <v>206</v>
      </c>
      <c r="CW136" s="47"/>
      <c r="CX136" s="15"/>
      <c r="CY136" s="442" t="s">
        <v>64</v>
      </c>
      <c r="CZ136" s="347" t="s">
        <v>383</v>
      </c>
      <c r="DA136" s="347" t="s">
        <v>221</v>
      </c>
      <c r="DB136" s="347"/>
      <c r="DC136" s="445"/>
      <c r="DD136" s="44"/>
      <c r="DE136" s="431"/>
      <c r="DF136" s="1157" t="s">
        <v>383</v>
      </c>
      <c r="DG136" s="553" t="s">
        <v>475</v>
      </c>
      <c r="DH136" s="553" t="s">
        <v>64</v>
      </c>
      <c r="DI136" s="437"/>
      <c r="DJ136" s="44"/>
      <c r="DK136" s="431"/>
      <c r="DL136" s="37"/>
      <c r="DM136" s="37"/>
      <c r="DN136" s="37"/>
      <c r="DO136" s="437"/>
      <c r="DP136" s="44"/>
      <c r="DQ136" s="431"/>
      <c r="DR136" s="37"/>
      <c r="DS136" s="37"/>
      <c r="DT136" s="37"/>
      <c r="DU136" s="437"/>
      <c r="DV136" s="44"/>
      <c r="DW136" s="431"/>
      <c r="DX136" s="37"/>
      <c r="DY136" s="37"/>
      <c r="DZ136" s="37"/>
      <c r="EA136" s="437"/>
      <c r="EB136" s="44"/>
      <c r="EC136" s="431"/>
      <c r="ED136" s="37"/>
      <c r="EE136" s="37"/>
      <c r="EF136" s="37"/>
      <c r="EG136" s="437"/>
    </row>
    <row r="137" spans="1:137" ht="11.25" customHeight="1" outlineLevel="1" x14ac:dyDescent="0.2">
      <c r="A137" s="452" t="s">
        <v>49</v>
      </c>
      <c r="B137" s="38"/>
      <c r="C137" s="38"/>
      <c r="D137" s="38"/>
      <c r="E137" s="452"/>
      <c r="F137" s="38"/>
      <c r="G137" s="452"/>
      <c r="H137" s="38"/>
      <c r="I137" s="452"/>
      <c r="J137" s="38"/>
      <c r="K137" s="452"/>
      <c r="L137" s="38"/>
      <c r="M137" s="433"/>
      <c r="N137" s="38"/>
      <c r="O137" s="38"/>
      <c r="P137" s="38"/>
      <c r="Q137" s="452"/>
      <c r="R137" s="38"/>
      <c r="S137" s="433"/>
      <c r="T137" s="38"/>
      <c r="U137" s="38"/>
      <c r="V137" s="38"/>
      <c r="W137" s="452"/>
      <c r="X137" s="38"/>
      <c r="Y137" s="433"/>
      <c r="Z137" s="38"/>
      <c r="AA137" s="38"/>
      <c r="AB137" s="38"/>
      <c r="AC137" s="452"/>
      <c r="AD137" s="38"/>
      <c r="AE137" s="433"/>
      <c r="AF137" s="38"/>
      <c r="AG137" s="38"/>
      <c r="AH137" s="38"/>
      <c r="AI137" s="452"/>
      <c r="AJ137" s="38"/>
      <c r="AK137" s="433"/>
      <c r="AL137" s="38"/>
      <c r="AM137" s="38"/>
      <c r="AN137" s="38"/>
      <c r="AO137" s="452"/>
      <c r="AP137" s="38"/>
      <c r="AQ137" s="433"/>
      <c r="AR137" s="38"/>
      <c r="AS137" s="38"/>
      <c r="AT137" s="38"/>
      <c r="AU137" s="452"/>
      <c r="AV137" s="38"/>
      <c r="AW137" s="433"/>
      <c r="AX137" s="38"/>
      <c r="AY137" s="38"/>
      <c r="AZ137" s="38"/>
      <c r="BA137" s="558"/>
      <c r="BB137" s="554"/>
      <c r="BC137" s="557"/>
      <c r="BD137" s="554"/>
      <c r="BE137" s="554"/>
      <c r="BF137" s="554"/>
      <c r="BG137" s="558"/>
      <c r="BH137" s="554"/>
      <c r="BI137" s="557"/>
      <c r="BJ137" s="554"/>
      <c r="BK137" s="554"/>
      <c r="BL137" s="554"/>
      <c r="BM137" s="558"/>
      <c r="BN137" s="554"/>
      <c r="BO137" s="557"/>
      <c r="BP137" s="554"/>
      <c r="BQ137" s="554"/>
      <c r="BR137" s="554" t="s">
        <v>523</v>
      </c>
      <c r="BS137" s="558"/>
      <c r="BT137" s="554"/>
      <c r="BU137" s="557" t="s">
        <v>477</v>
      </c>
      <c r="BV137" s="554" t="s">
        <v>486</v>
      </c>
      <c r="BW137" s="554" t="s">
        <v>480</v>
      </c>
      <c r="BX137" s="554" t="s">
        <v>480</v>
      </c>
      <c r="BY137" s="558"/>
      <c r="BZ137" s="554"/>
      <c r="CA137" s="557" t="s">
        <v>12</v>
      </c>
      <c r="CB137" s="554" t="s">
        <v>487</v>
      </c>
      <c r="CC137" s="554" t="s">
        <v>478</v>
      </c>
      <c r="CD137" s="554" t="s">
        <v>480</v>
      </c>
      <c r="CE137" s="558" t="s">
        <v>516</v>
      </c>
      <c r="CF137" s="554"/>
      <c r="CG137" s="557" t="s">
        <v>481</v>
      </c>
      <c r="CH137" s="554" t="s">
        <v>488</v>
      </c>
      <c r="CI137" s="554"/>
      <c r="CJ137" s="554" t="s">
        <v>478</v>
      </c>
      <c r="CK137" s="558"/>
      <c r="CL137" s="554"/>
      <c r="CM137" s="557" t="s">
        <v>477</v>
      </c>
      <c r="CN137" s="554"/>
      <c r="CO137" s="554" t="s">
        <v>481</v>
      </c>
      <c r="CP137" s="554" t="s">
        <v>481</v>
      </c>
      <c r="CQ137" s="558"/>
      <c r="CR137" s="38"/>
      <c r="CS137" s="442"/>
      <c r="CT137" s="347" t="s">
        <v>481</v>
      </c>
      <c r="CU137" s="347" t="s">
        <v>481</v>
      </c>
      <c r="CV137" s="347" t="s">
        <v>481</v>
      </c>
      <c r="CW137" s="47"/>
      <c r="CX137" s="15"/>
      <c r="CY137" s="442" t="s">
        <v>64</v>
      </c>
      <c r="CZ137" s="347" t="s">
        <v>382</v>
      </c>
      <c r="DA137" s="347" t="s">
        <v>382</v>
      </c>
      <c r="DB137" s="347"/>
      <c r="DC137" s="445"/>
      <c r="DD137" s="44"/>
      <c r="DE137" s="431"/>
      <c r="DF137" s="1157" t="s">
        <v>382</v>
      </c>
      <c r="DG137" s="553" t="s">
        <v>475</v>
      </c>
      <c r="DH137" s="553" t="s">
        <v>475</v>
      </c>
      <c r="DI137" s="437"/>
      <c r="DJ137" s="44"/>
      <c r="DK137" s="431"/>
      <c r="DL137" s="37"/>
      <c r="DM137" s="37"/>
      <c r="DN137" s="37"/>
      <c r="DO137" s="437"/>
      <c r="DP137" s="44"/>
      <c r="DQ137" s="431"/>
      <c r="DR137" s="37"/>
      <c r="DS137" s="37"/>
      <c r="DT137" s="37"/>
      <c r="DU137" s="437"/>
      <c r="DV137" s="44"/>
      <c r="DW137" s="431"/>
      <c r="DX137" s="37"/>
      <c r="DY137" s="37"/>
      <c r="DZ137" s="37"/>
      <c r="EA137" s="437"/>
      <c r="EB137" s="44"/>
      <c r="EC137" s="431"/>
      <c r="ED137" s="37"/>
      <c r="EE137" s="37"/>
      <c r="EF137" s="37"/>
      <c r="EG137" s="437"/>
    </row>
    <row r="138" spans="1:137" ht="11.25" customHeight="1" outlineLevel="1" x14ac:dyDescent="0.2">
      <c r="A138" s="452" t="s">
        <v>137</v>
      </c>
      <c r="B138" s="38"/>
      <c r="C138" s="38"/>
      <c r="D138" s="38"/>
      <c r="E138" s="452"/>
      <c r="F138" s="38"/>
      <c r="G138" s="452"/>
      <c r="H138" s="38"/>
      <c r="I138" s="452"/>
      <c r="J138" s="38"/>
      <c r="K138" s="452"/>
      <c r="L138" s="38"/>
      <c r="M138" s="433"/>
      <c r="N138" s="38"/>
      <c r="O138" s="38"/>
      <c r="P138" s="38"/>
      <c r="Q138" s="452"/>
      <c r="R138" s="38"/>
      <c r="S138" s="433"/>
      <c r="T138" s="38"/>
      <c r="U138" s="38"/>
      <c r="V138" s="38"/>
      <c r="W138" s="452"/>
      <c r="X138" s="38"/>
      <c r="Y138" s="433"/>
      <c r="Z138" s="38"/>
      <c r="AA138" s="38"/>
      <c r="AB138" s="38"/>
      <c r="AC138" s="452"/>
      <c r="AD138" s="38"/>
      <c r="AE138" s="433"/>
      <c r="AF138" s="38"/>
      <c r="AG138" s="38"/>
      <c r="AH138" s="38"/>
      <c r="AI138" s="452"/>
      <c r="AJ138" s="38"/>
      <c r="AK138" s="433"/>
      <c r="AL138" s="38"/>
      <c r="AM138" s="38"/>
      <c r="AN138" s="38"/>
      <c r="AO138" s="452"/>
      <c r="AP138" s="38"/>
      <c r="AQ138" s="433"/>
      <c r="AR138" s="38"/>
      <c r="AS138" s="38"/>
      <c r="AT138" s="38"/>
      <c r="AU138" s="452"/>
      <c r="AV138" s="38"/>
      <c r="AW138" s="433"/>
      <c r="AX138" s="38"/>
      <c r="AY138" s="38"/>
      <c r="AZ138" s="38"/>
      <c r="BA138" s="558"/>
      <c r="BB138" s="554"/>
      <c r="BC138" s="557"/>
      <c r="BD138" s="554"/>
      <c r="BE138" s="554"/>
      <c r="BF138" s="554"/>
      <c r="BG138" s="558"/>
      <c r="BH138" s="554"/>
      <c r="BI138" s="557"/>
      <c r="BJ138" s="554"/>
      <c r="BK138" s="554"/>
      <c r="BL138" s="554"/>
      <c r="BM138" s="558"/>
      <c r="BN138" s="554"/>
      <c r="BO138" s="557"/>
      <c r="BP138" s="554"/>
      <c r="BQ138" s="554"/>
      <c r="BR138" s="554"/>
      <c r="BS138" s="558"/>
      <c r="BT138" s="554"/>
      <c r="BU138" s="557"/>
      <c r="BV138" s="554"/>
      <c r="BW138" s="554"/>
      <c r="BX138" s="554"/>
      <c r="BY138" s="558"/>
      <c r="BZ138" s="554"/>
      <c r="CA138" s="557"/>
      <c r="CB138" s="554"/>
      <c r="CC138" s="554"/>
      <c r="CD138" s="554"/>
      <c r="CE138" s="558"/>
      <c r="CF138" s="554"/>
      <c r="CG138" s="557"/>
      <c r="CH138" s="554"/>
      <c r="CI138" s="554"/>
      <c r="CJ138" s="554"/>
      <c r="CK138" s="558"/>
      <c r="CL138" s="554"/>
      <c r="CM138" s="557"/>
      <c r="CN138" s="554"/>
      <c r="CO138" s="554"/>
      <c r="CP138" s="554"/>
      <c r="CQ138" s="558"/>
      <c r="CR138" s="38"/>
      <c r="CS138" s="442"/>
      <c r="CT138" s="347"/>
      <c r="CU138" s="347"/>
      <c r="CV138" s="347"/>
      <c r="CW138" s="47"/>
      <c r="CX138" s="15"/>
      <c r="CY138" s="442"/>
      <c r="CZ138" s="347"/>
      <c r="DA138" s="347"/>
      <c r="DB138" s="347"/>
      <c r="DC138" s="445"/>
      <c r="DD138" s="44"/>
      <c r="DE138" s="431"/>
      <c r="DF138" s="1157"/>
      <c r="DG138" s="553"/>
      <c r="DH138" s="553"/>
      <c r="DI138" s="437"/>
      <c r="DJ138" s="44"/>
      <c r="DK138" s="431"/>
      <c r="DL138" s="37"/>
      <c r="DM138" s="37"/>
      <c r="DN138" s="37"/>
      <c r="DO138" s="437"/>
      <c r="DP138" s="44"/>
      <c r="DQ138" s="431"/>
      <c r="DR138" s="37"/>
      <c r="DS138" s="37"/>
      <c r="DT138" s="37"/>
      <c r="DU138" s="437"/>
      <c r="DV138" s="44"/>
      <c r="DW138" s="431"/>
      <c r="DX138" s="37"/>
      <c r="DY138" s="37"/>
      <c r="DZ138" s="37"/>
      <c r="EA138" s="437"/>
      <c r="EB138" s="44"/>
      <c r="EC138" s="431"/>
      <c r="ED138" s="37"/>
      <c r="EE138" s="37"/>
      <c r="EF138" s="37"/>
      <c r="EG138" s="437"/>
    </row>
    <row r="139" spans="1:137" ht="11.25" customHeight="1" outlineLevel="1" x14ac:dyDescent="0.2">
      <c r="A139" s="452" t="s">
        <v>638</v>
      </c>
      <c r="B139" s="38"/>
      <c r="C139" s="38"/>
      <c r="D139" s="38"/>
      <c r="E139" s="452"/>
      <c r="F139" s="38"/>
      <c r="G139" s="452"/>
      <c r="H139" s="38"/>
      <c r="I139" s="452"/>
      <c r="J139" s="38"/>
      <c r="K139" s="452"/>
      <c r="L139" s="38"/>
      <c r="M139" s="433"/>
      <c r="N139" s="38"/>
      <c r="O139" s="38"/>
      <c r="P139" s="38"/>
      <c r="Q139" s="452"/>
      <c r="R139" s="38"/>
      <c r="S139" s="433"/>
      <c r="T139" s="38"/>
      <c r="U139" s="38"/>
      <c r="V139" s="38"/>
      <c r="W139" s="452"/>
      <c r="X139" s="38"/>
      <c r="Y139" s="433"/>
      <c r="Z139" s="38"/>
      <c r="AA139" s="38"/>
      <c r="AB139" s="38"/>
      <c r="AC139" s="452"/>
      <c r="AD139" s="38"/>
      <c r="AE139" s="433"/>
      <c r="AF139" s="38"/>
      <c r="AG139" s="38"/>
      <c r="AH139" s="38"/>
      <c r="AI139" s="452"/>
      <c r="AJ139" s="38"/>
      <c r="AK139" s="433"/>
      <c r="AL139" s="38"/>
      <c r="AM139" s="38"/>
      <c r="AN139" s="38"/>
      <c r="AO139" s="452"/>
      <c r="AP139" s="38"/>
      <c r="AQ139" s="433"/>
      <c r="AR139" s="38"/>
      <c r="AS139" s="38"/>
      <c r="AT139" s="38"/>
      <c r="AU139" s="452"/>
      <c r="AV139" s="38"/>
      <c r="AW139" s="433"/>
      <c r="AX139" s="38"/>
      <c r="AY139" s="38"/>
      <c r="AZ139" s="38"/>
      <c r="BA139" s="558"/>
      <c r="BB139" s="554"/>
      <c r="BC139" s="557"/>
      <c r="BD139" s="554"/>
      <c r="BE139" s="554"/>
      <c r="BF139" s="554"/>
      <c r="BG139" s="558"/>
      <c r="BH139" s="554"/>
      <c r="BI139" s="557"/>
      <c r="BJ139" s="554"/>
      <c r="BK139" s="554"/>
      <c r="BL139" s="554"/>
      <c r="BM139" s="558"/>
      <c r="BN139" s="554"/>
      <c r="BO139" s="557"/>
      <c r="BP139" s="554"/>
      <c r="BQ139" s="554"/>
      <c r="BR139" s="554"/>
      <c r="BS139" s="558"/>
      <c r="BT139" s="554"/>
      <c r="BU139" s="557"/>
      <c r="BV139" s="554"/>
      <c r="BW139" s="554"/>
      <c r="BX139" s="554"/>
      <c r="BY139" s="558"/>
      <c r="BZ139" s="554"/>
      <c r="CA139" s="557"/>
      <c r="CB139" s="554"/>
      <c r="CC139" s="554"/>
      <c r="CD139" s="554"/>
      <c r="CE139" s="558"/>
      <c r="CF139" s="554"/>
      <c r="CG139" s="557"/>
      <c r="CH139" s="554"/>
      <c r="CI139" s="554"/>
      <c r="CJ139" s="554"/>
      <c r="CK139" s="558"/>
      <c r="CL139" s="554"/>
      <c r="CM139" s="557"/>
      <c r="CN139" s="554"/>
      <c r="CO139" s="554"/>
      <c r="CP139" s="554"/>
      <c r="CQ139" s="558"/>
      <c r="CR139" s="38"/>
      <c r="CS139" s="442" t="s">
        <v>382</v>
      </c>
      <c r="CT139" s="347" t="s">
        <v>382</v>
      </c>
      <c r="CU139" s="347" t="s">
        <v>382</v>
      </c>
      <c r="CV139" s="347" t="s">
        <v>386</v>
      </c>
      <c r="CW139" s="47"/>
      <c r="CX139" s="15"/>
      <c r="CY139" s="442" t="s">
        <v>383</v>
      </c>
      <c r="CZ139" s="347" t="s">
        <v>384</v>
      </c>
      <c r="DA139" s="347" t="s">
        <v>383</v>
      </c>
      <c r="DB139" s="347"/>
      <c r="DC139" s="445"/>
      <c r="DD139" s="44"/>
      <c r="DE139" s="431"/>
      <c r="DF139" s="1157" t="s">
        <v>382</v>
      </c>
      <c r="DG139" s="553" t="s">
        <v>474</v>
      </c>
      <c r="DH139" s="553" t="s">
        <v>474</v>
      </c>
      <c r="DI139" s="437"/>
      <c r="DJ139" s="44"/>
      <c r="DK139" s="431"/>
      <c r="DL139" s="37"/>
      <c r="DM139" s="37"/>
      <c r="DN139" s="37"/>
      <c r="DO139" s="437"/>
      <c r="DP139" s="44"/>
      <c r="DQ139" s="431"/>
      <c r="DR139" s="37"/>
      <c r="DS139" s="37"/>
      <c r="DT139" s="37"/>
      <c r="DU139" s="437"/>
      <c r="DV139" s="44"/>
      <c r="DW139" s="431"/>
      <c r="DX139" s="37"/>
      <c r="DY139" s="37"/>
      <c r="DZ139" s="37"/>
      <c r="EA139" s="437"/>
      <c r="EB139" s="44"/>
      <c r="EC139" s="431"/>
      <c r="ED139" s="37"/>
      <c r="EE139" s="37"/>
      <c r="EF139" s="37"/>
      <c r="EG139" s="437"/>
    </row>
    <row r="140" spans="1:137" ht="11.25" customHeight="1" outlineLevel="1" x14ac:dyDescent="0.2">
      <c r="A140" s="452" t="s">
        <v>194</v>
      </c>
      <c r="B140" s="38"/>
      <c r="C140" s="38"/>
      <c r="D140" s="38"/>
      <c r="E140" s="452"/>
      <c r="F140" s="38"/>
      <c r="G140" s="452"/>
      <c r="H140" s="38"/>
      <c r="I140" s="452"/>
      <c r="J140" s="38"/>
      <c r="K140" s="452"/>
      <c r="L140" s="38"/>
      <c r="M140" s="433"/>
      <c r="N140" s="38"/>
      <c r="O140" s="38"/>
      <c r="P140" s="38"/>
      <c r="Q140" s="452"/>
      <c r="R140" s="38"/>
      <c r="S140" s="433"/>
      <c r="T140" s="38"/>
      <c r="U140" s="38"/>
      <c r="V140" s="38"/>
      <c r="W140" s="452"/>
      <c r="X140" s="38"/>
      <c r="Y140" s="433"/>
      <c r="Z140" s="38"/>
      <c r="AA140" s="38"/>
      <c r="AB140" s="38"/>
      <c r="AC140" s="452"/>
      <c r="AD140" s="38"/>
      <c r="AE140" s="433"/>
      <c r="AF140" s="38"/>
      <c r="AG140" s="38"/>
      <c r="AH140" s="38"/>
      <c r="AI140" s="452"/>
      <c r="AJ140" s="38"/>
      <c r="AK140" s="433"/>
      <c r="AL140" s="38"/>
      <c r="AM140" s="38"/>
      <c r="AN140" s="38"/>
      <c r="AO140" s="452"/>
      <c r="AP140" s="38"/>
      <c r="AQ140" s="433"/>
      <c r="AR140" s="38"/>
      <c r="AS140" s="38"/>
      <c r="AT140" s="38"/>
      <c r="AU140" s="452"/>
      <c r="AV140" s="38"/>
      <c r="AW140" s="433"/>
      <c r="AX140" s="38"/>
      <c r="AY140" s="38"/>
      <c r="AZ140" s="38"/>
      <c r="BA140" s="558"/>
      <c r="BB140" s="554"/>
      <c r="BC140" s="557"/>
      <c r="BD140" s="554"/>
      <c r="BE140" s="554"/>
      <c r="BF140" s="554"/>
      <c r="BG140" s="558"/>
      <c r="BH140" s="554"/>
      <c r="BI140" s="557"/>
      <c r="BJ140" s="554"/>
      <c r="BK140" s="554"/>
      <c r="BL140" s="554"/>
      <c r="BM140" s="558"/>
      <c r="BN140" s="554"/>
      <c r="BO140" s="557"/>
      <c r="BP140" s="554"/>
      <c r="BQ140" s="554"/>
      <c r="BR140" s="554"/>
      <c r="BS140" s="558"/>
      <c r="BT140" s="554"/>
      <c r="BU140" s="557"/>
      <c r="BV140" s="554"/>
      <c r="BW140" s="554"/>
      <c r="BX140" s="554"/>
      <c r="BY140" s="558"/>
      <c r="BZ140" s="554"/>
      <c r="CA140" s="557"/>
      <c r="CB140" s="554"/>
      <c r="CC140" s="554"/>
      <c r="CD140" s="554"/>
      <c r="CE140" s="558"/>
      <c r="CF140" s="554"/>
      <c r="CG140" s="557"/>
      <c r="CH140" s="554"/>
      <c r="CI140" s="554"/>
      <c r="CJ140" s="554"/>
      <c r="CK140" s="558"/>
      <c r="CL140" s="554"/>
      <c r="CM140" s="557"/>
      <c r="CN140" s="554"/>
      <c r="CO140" s="554"/>
      <c r="CP140" s="554"/>
      <c r="CQ140" s="558"/>
      <c r="CR140" s="38"/>
      <c r="CS140" s="442"/>
      <c r="CT140" s="347"/>
      <c r="CU140" s="347"/>
      <c r="CV140" s="1137" t="s">
        <v>526</v>
      </c>
      <c r="CW140" s="1138"/>
      <c r="CX140" s="1137"/>
      <c r="CY140" s="1139" t="s">
        <v>481</v>
      </c>
      <c r="CZ140" s="1137" t="s">
        <v>481</v>
      </c>
      <c r="DA140" s="1137" t="s">
        <v>478</v>
      </c>
      <c r="DB140" s="347" t="s">
        <v>475</v>
      </c>
      <c r="DC140" s="445"/>
      <c r="DD140" s="44"/>
      <c r="DE140" s="560" t="s">
        <v>64</v>
      </c>
      <c r="DF140" s="1158" t="s">
        <v>383</v>
      </c>
      <c r="DG140" s="37"/>
      <c r="DH140" s="1324" t="s">
        <v>389</v>
      </c>
      <c r="DI140" s="437"/>
      <c r="DJ140" s="44"/>
      <c r="DK140" s="431"/>
      <c r="DL140" s="37"/>
      <c r="DM140" s="37"/>
      <c r="DN140" s="37"/>
      <c r="DO140" s="437"/>
      <c r="DP140" s="44"/>
      <c r="DQ140" s="431"/>
      <c r="DR140" s="37"/>
      <c r="DS140" s="37"/>
      <c r="DT140" s="37"/>
      <c r="DU140" s="437"/>
      <c r="DV140" s="44"/>
      <c r="DW140" s="431"/>
      <c r="DX140" s="37"/>
      <c r="DY140" s="37"/>
      <c r="DZ140" s="37"/>
      <c r="EA140" s="437"/>
      <c r="EB140" s="44"/>
      <c r="EC140" s="431"/>
      <c r="ED140" s="37"/>
      <c r="EE140" s="37"/>
      <c r="EF140" s="37"/>
      <c r="EG140" s="437"/>
    </row>
    <row r="141" spans="1:137" ht="11.25" customHeight="1" outlineLevel="1" x14ac:dyDescent="0.2">
      <c r="A141" s="452" t="s">
        <v>721</v>
      </c>
      <c r="B141" s="38"/>
      <c r="C141" s="38"/>
      <c r="D141" s="38"/>
      <c r="E141" s="452"/>
      <c r="F141" s="38"/>
      <c r="G141" s="452"/>
      <c r="H141" s="38"/>
      <c r="I141" s="452"/>
      <c r="J141" s="38"/>
      <c r="K141" s="452"/>
      <c r="L141" s="38"/>
      <c r="M141" s="433"/>
      <c r="N141" s="38"/>
      <c r="O141" s="38"/>
      <c r="P141" s="38"/>
      <c r="Q141" s="452"/>
      <c r="R141" s="38"/>
      <c r="S141" s="433"/>
      <c r="T141" s="38"/>
      <c r="U141" s="38"/>
      <c r="V141" s="38"/>
      <c r="W141" s="452"/>
      <c r="X141" s="38"/>
      <c r="Y141" s="433"/>
      <c r="Z141" s="38"/>
      <c r="AA141" s="38"/>
      <c r="AB141" s="38"/>
      <c r="AC141" s="452"/>
      <c r="AD141" s="38"/>
      <c r="AE141" s="433"/>
      <c r="AF141" s="38"/>
      <c r="AG141" s="38"/>
      <c r="AH141" s="38"/>
      <c r="AI141" s="452"/>
      <c r="AJ141" s="38"/>
      <c r="AK141" s="433"/>
      <c r="AL141" s="38"/>
      <c r="AM141" s="38"/>
      <c r="AN141" s="38"/>
      <c r="AO141" s="452"/>
      <c r="AP141" s="38"/>
      <c r="AQ141" s="433"/>
      <c r="AR141" s="38"/>
      <c r="AS141" s="38"/>
      <c r="AT141" s="38"/>
      <c r="AU141" s="452"/>
      <c r="AV141" s="38"/>
      <c r="AW141" s="433"/>
      <c r="AX141" s="38"/>
      <c r="AY141" s="38"/>
      <c r="AZ141" s="38"/>
      <c r="BA141" s="558"/>
      <c r="BB141" s="554"/>
      <c r="BC141" s="557"/>
      <c r="BD141" s="554"/>
      <c r="BE141" s="554"/>
      <c r="BF141" s="554"/>
      <c r="BG141" s="558"/>
      <c r="BH141" s="554"/>
      <c r="BI141" s="557"/>
      <c r="BJ141" s="554"/>
      <c r="BK141" s="554"/>
      <c r="BL141" s="554"/>
      <c r="BM141" s="558"/>
      <c r="BN141" s="554"/>
      <c r="BO141" s="557"/>
      <c r="BP141" s="554"/>
      <c r="BQ141" s="554"/>
      <c r="BR141" s="554"/>
      <c r="BS141" s="558"/>
      <c r="BT141" s="554"/>
      <c r="BU141" s="557"/>
      <c r="BV141" s="554"/>
      <c r="BW141" s="554"/>
      <c r="BX141" s="554"/>
      <c r="BY141" s="558"/>
      <c r="BZ141" s="554"/>
      <c r="CA141" s="557"/>
      <c r="CB141" s="554"/>
      <c r="CC141" s="554"/>
      <c r="CD141" s="554"/>
      <c r="CE141" s="558"/>
      <c r="CF141" s="554"/>
      <c r="CG141" s="557"/>
      <c r="CH141" s="554"/>
      <c r="CI141" s="554"/>
      <c r="CJ141" s="554"/>
      <c r="CK141" s="558"/>
      <c r="CL141" s="554"/>
      <c r="CM141" s="557"/>
      <c r="CN141" s="554"/>
      <c r="CO141" s="554"/>
      <c r="CP141" s="554"/>
      <c r="CQ141" s="558"/>
      <c r="CR141" s="38"/>
      <c r="CS141" s="442"/>
      <c r="CT141" s="347"/>
      <c r="CU141" s="347"/>
      <c r="CV141" s="1137"/>
      <c r="CW141" s="1138"/>
      <c r="CX141" s="1137"/>
      <c r="CY141" s="1139"/>
      <c r="CZ141" s="1137"/>
      <c r="DA141" s="1137"/>
      <c r="DB141" s="347"/>
      <c r="DC141" s="445"/>
      <c r="DD141" s="44"/>
      <c r="DE141" s="560"/>
      <c r="DF141" s="1158"/>
      <c r="DG141" s="37"/>
      <c r="DH141" s="553" t="s">
        <v>474</v>
      </c>
      <c r="DI141" s="437"/>
      <c r="DJ141" s="44"/>
      <c r="DK141" s="431"/>
      <c r="DL141" s="37"/>
      <c r="DM141" s="37"/>
      <c r="DN141" s="37"/>
      <c r="DO141" s="437"/>
      <c r="DP141" s="44"/>
      <c r="DQ141" s="431"/>
      <c r="DR141" s="37"/>
      <c r="DS141" s="37"/>
      <c r="DT141" s="37"/>
      <c r="DU141" s="437"/>
      <c r="DV141" s="44"/>
      <c r="DW141" s="431"/>
      <c r="DX141" s="37"/>
      <c r="DY141" s="37"/>
      <c r="DZ141" s="37"/>
      <c r="EA141" s="437"/>
      <c r="EB141" s="44"/>
      <c r="EC141" s="431"/>
      <c r="ED141" s="37"/>
      <c r="EE141" s="37"/>
      <c r="EF141" s="37"/>
      <c r="EG141" s="437"/>
    </row>
    <row r="142" spans="1:137" ht="11.25" customHeight="1" outlineLevel="1" x14ac:dyDescent="0.2">
      <c r="A142" s="452"/>
      <c r="B142" s="38"/>
      <c r="C142" s="38"/>
      <c r="D142" s="38"/>
      <c r="E142" s="452"/>
      <c r="F142" s="38"/>
      <c r="G142" s="452"/>
      <c r="H142" s="38"/>
      <c r="I142" s="452"/>
      <c r="J142" s="38"/>
      <c r="K142" s="452"/>
      <c r="L142" s="38"/>
      <c r="M142" s="433"/>
      <c r="N142" s="38"/>
      <c r="O142" s="38"/>
      <c r="P142" s="38"/>
      <c r="Q142" s="452"/>
      <c r="R142" s="38"/>
      <c r="S142" s="433"/>
      <c r="T142" s="38"/>
      <c r="U142" s="38"/>
      <c r="V142" s="38"/>
      <c r="W142" s="452"/>
      <c r="X142" s="38"/>
      <c r="Y142" s="433"/>
      <c r="Z142" s="38"/>
      <c r="AA142" s="38"/>
      <c r="AB142" s="38"/>
      <c r="AC142" s="452"/>
      <c r="AD142" s="38"/>
      <c r="AE142" s="433"/>
      <c r="AF142" s="38"/>
      <c r="AG142" s="38"/>
      <c r="AH142" s="38"/>
      <c r="AI142" s="452"/>
      <c r="AJ142" s="38"/>
      <c r="AK142" s="433"/>
      <c r="AL142" s="38"/>
      <c r="AM142" s="38"/>
      <c r="AN142" s="38"/>
      <c r="AO142" s="452"/>
      <c r="AP142" s="38"/>
      <c r="AQ142" s="433"/>
      <c r="AR142" s="38"/>
      <c r="AS142" s="38"/>
      <c r="AT142" s="38"/>
      <c r="AU142" s="452"/>
      <c r="AV142" s="38"/>
      <c r="AW142" s="433"/>
      <c r="AX142" s="38"/>
      <c r="AY142" s="38"/>
      <c r="AZ142" s="38"/>
      <c r="BA142" s="558"/>
      <c r="BB142" s="554"/>
      <c r="BC142" s="557"/>
      <c r="BD142" s="554"/>
      <c r="BE142" s="554"/>
      <c r="BF142" s="554"/>
      <c r="BG142" s="558"/>
      <c r="BH142" s="554"/>
      <c r="BI142" s="557"/>
      <c r="BJ142" s="554"/>
      <c r="BK142" s="554"/>
      <c r="BL142" s="554"/>
      <c r="BM142" s="558"/>
      <c r="BN142" s="554"/>
      <c r="BO142" s="557"/>
      <c r="BP142" s="554"/>
      <c r="BQ142" s="554"/>
      <c r="BR142" s="554"/>
      <c r="BS142" s="558"/>
      <c r="BT142" s="554"/>
      <c r="BU142" s="557"/>
      <c r="BV142" s="554"/>
      <c r="BW142" s="554"/>
      <c r="BX142" s="554"/>
      <c r="BY142" s="558"/>
      <c r="BZ142" s="554"/>
      <c r="CA142" s="557"/>
      <c r="CB142" s="554"/>
      <c r="CC142" s="554"/>
      <c r="CD142" s="554"/>
      <c r="CE142" s="558"/>
      <c r="CF142" s="554"/>
      <c r="CG142" s="557"/>
      <c r="CH142" s="554"/>
      <c r="CI142" s="554"/>
      <c r="CJ142" s="554"/>
      <c r="CK142" s="558"/>
      <c r="CL142" s="554"/>
      <c r="CM142" s="557"/>
      <c r="CN142" s="554"/>
      <c r="CO142" s="554"/>
      <c r="CP142" s="554"/>
      <c r="CQ142" s="558"/>
      <c r="CR142" s="38"/>
      <c r="CS142" s="442"/>
      <c r="CT142" s="347"/>
      <c r="CU142" s="347"/>
      <c r="CV142" s="347"/>
      <c r="CW142" s="47"/>
      <c r="CX142" s="15"/>
      <c r="CY142" s="442"/>
      <c r="CZ142" s="347"/>
      <c r="DA142" s="347"/>
      <c r="DB142" s="347"/>
      <c r="DC142" s="445"/>
      <c r="DD142" s="44"/>
      <c r="DE142" s="431"/>
      <c r="DF142" s="37"/>
      <c r="DG142" s="37"/>
      <c r="DH142" s="37"/>
      <c r="DI142" s="437"/>
      <c r="DJ142" s="44"/>
      <c r="DK142" s="431"/>
      <c r="DL142" s="37"/>
      <c r="DM142" s="37"/>
      <c r="DN142" s="37"/>
      <c r="DO142" s="437"/>
      <c r="DP142" s="44"/>
      <c r="DQ142" s="431"/>
      <c r="DR142" s="37"/>
      <c r="DS142" s="37"/>
      <c r="DT142" s="37"/>
      <c r="DU142" s="437"/>
      <c r="DV142" s="44"/>
      <c r="DW142" s="431"/>
      <c r="DX142" s="37"/>
      <c r="DY142" s="37"/>
      <c r="DZ142" s="37"/>
      <c r="EA142" s="437"/>
      <c r="EB142" s="44"/>
      <c r="EC142" s="431"/>
      <c r="ED142" s="37"/>
      <c r="EE142" s="37"/>
      <c r="EF142" s="37"/>
      <c r="EG142" s="437"/>
    </row>
    <row r="143" spans="1:137" ht="11.25" customHeight="1" outlineLevel="1" x14ac:dyDescent="0.2">
      <c r="A143" s="1155" t="s">
        <v>11</v>
      </c>
      <c r="B143" s="1141"/>
      <c r="C143" s="1141"/>
      <c r="D143" s="1141"/>
      <c r="E143" s="1140"/>
      <c r="F143" s="1141"/>
      <c r="G143" s="1140"/>
      <c r="H143" s="1141"/>
      <c r="I143" s="1140"/>
      <c r="J143" s="1141"/>
      <c r="K143" s="1140"/>
      <c r="L143" s="1141"/>
      <c r="M143" s="1142"/>
      <c r="N143" s="1141"/>
      <c r="O143" s="1141"/>
      <c r="P143" s="1141"/>
      <c r="Q143" s="1140"/>
      <c r="R143" s="1141"/>
      <c r="S143" s="1142"/>
      <c r="T143" s="1141"/>
      <c r="U143" s="1141"/>
      <c r="V143" s="1141"/>
      <c r="W143" s="1140"/>
      <c r="X143" s="1141"/>
      <c r="Y143" s="1142"/>
      <c r="Z143" s="1141"/>
      <c r="AA143" s="1141"/>
      <c r="AB143" s="1141"/>
      <c r="AC143" s="1140"/>
      <c r="AD143" s="1141"/>
      <c r="AE143" s="1142"/>
      <c r="AF143" s="1141"/>
      <c r="AG143" s="1141"/>
      <c r="AH143" s="1141"/>
      <c r="AI143" s="1140"/>
      <c r="AJ143" s="1141"/>
      <c r="AK143" s="1142"/>
      <c r="AL143" s="1141"/>
      <c r="AM143" s="1141"/>
      <c r="AN143" s="1141"/>
      <c r="AO143" s="1140"/>
      <c r="AP143" s="1141"/>
      <c r="AQ143" s="1142"/>
      <c r="AR143" s="1141"/>
      <c r="AS143" s="1141"/>
      <c r="AT143" s="1141"/>
      <c r="AU143" s="1140"/>
      <c r="AV143" s="1141"/>
      <c r="AW143" s="1142"/>
      <c r="AX143" s="1141"/>
      <c r="AY143" s="1141"/>
      <c r="AZ143" s="1141"/>
      <c r="BA143" s="1143"/>
      <c r="BB143" s="1144"/>
      <c r="BC143" s="1145"/>
      <c r="BD143" s="1144"/>
      <c r="BE143" s="1144"/>
      <c r="BF143" s="1144"/>
      <c r="BG143" s="1143"/>
      <c r="BH143" s="1144"/>
      <c r="BI143" s="1145"/>
      <c r="BJ143" s="1144"/>
      <c r="BK143" s="1144"/>
      <c r="BL143" s="1144"/>
      <c r="BM143" s="1143"/>
      <c r="BN143" s="1144"/>
      <c r="BO143" s="1145"/>
      <c r="BP143" s="1144"/>
      <c r="BQ143" s="1144"/>
      <c r="BR143" s="1144"/>
      <c r="BS143" s="1143"/>
      <c r="BT143" s="1144"/>
      <c r="BU143" s="1145"/>
      <c r="BV143" s="1144"/>
      <c r="BW143" s="1144"/>
      <c r="BX143" s="1144"/>
      <c r="BY143" s="1143"/>
      <c r="BZ143" s="1144"/>
      <c r="CA143" s="1145"/>
      <c r="CB143" s="1144"/>
      <c r="CC143" s="1144"/>
      <c r="CD143" s="1144"/>
      <c r="CE143" s="1143"/>
      <c r="CF143" s="1144"/>
      <c r="CG143" s="1145"/>
      <c r="CH143" s="1144"/>
      <c r="CI143" s="1144"/>
      <c r="CJ143" s="1144"/>
      <c r="CK143" s="1143"/>
      <c r="CL143" s="1144"/>
      <c r="CM143" s="1145"/>
      <c r="CN143" s="1144"/>
      <c r="CO143" s="1144"/>
      <c r="CP143" s="1052"/>
      <c r="CQ143" s="1165">
        <v>0</v>
      </c>
      <c r="CR143" s="1166"/>
      <c r="CS143" s="1167">
        <v>0</v>
      </c>
      <c r="CT143" s="1168">
        <v>5.0000000000000001E-3</v>
      </c>
      <c r="CU143" s="1168">
        <v>5.0000000000000001E-3</v>
      </c>
      <c r="CV143" s="1168">
        <f>+CW143*4-CS143-CT143-CU143</f>
        <v>9.9999999999999985E-3</v>
      </c>
      <c r="CW143" s="1169">
        <v>5.0000000000000001E-3</v>
      </c>
      <c r="CX143" s="1168"/>
      <c r="CY143" s="1167">
        <v>5.0000000000000001E-3</v>
      </c>
      <c r="CZ143" s="1168">
        <v>0</v>
      </c>
      <c r="DA143" s="1164">
        <v>5.0000000000000001E-3</v>
      </c>
      <c r="DB143" s="1168">
        <f>+DC143*4-CY143-CZ143-DA143</f>
        <v>-0.01</v>
      </c>
      <c r="DC143" s="1146">
        <v>0</v>
      </c>
      <c r="DD143" s="1171"/>
      <c r="DE143" s="1170">
        <v>5.0000000000000001E-3</v>
      </c>
      <c r="DF143" s="1164">
        <v>5.0000000000000001E-3</v>
      </c>
      <c r="DG143" s="1164">
        <v>5.0000000000000001E-3</v>
      </c>
      <c r="DH143" s="1168">
        <f>+DI143*4-DE143-DF143-DG143</f>
        <v>4.9999999999999984E-3</v>
      </c>
      <c r="DI143" s="1146">
        <v>5.0000000000000001E-3</v>
      </c>
      <c r="DJ143" s="1147"/>
      <c r="DK143" s="1170">
        <v>0</v>
      </c>
      <c r="DL143" s="1164"/>
      <c r="DM143" s="1164"/>
      <c r="DN143" s="1168"/>
      <c r="DO143" s="1146"/>
      <c r="DP143" s="1147"/>
      <c r="DQ143" s="1150"/>
      <c r="DR143" s="1148"/>
      <c r="DS143" s="1148"/>
      <c r="DT143" s="1148"/>
      <c r="DU143" s="1149"/>
      <c r="DV143" s="1147"/>
      <c r="DW143" s="1150"/>
      <c r="DX143" s="1148"/>
      <c r="DY143" s="1148"/>
      <c r="DZ143" s="1148"/>
      <c r="EA143" s="1149"/>
      <c r="EB143" s="1147"/>
      <c r="EC143" s="1150"/>
      <c r="ED143" s="1148"/>
      <c r="EE143" s="1148"/>
      <c r="EF143" s="1148"/>
      <c r="EG143" s="1149"/>
    </row>
    <row r="144" spans="1:137" ht="11.25" customHeight="1" x14ac:dyDescent="0.2">
      <c r="CS144" s="562"/>
      <c r="CT144" s="562"/>
      <c r="CU144" s="562"/>
      <c r="CV144" s="563"/>
      <c r="CW144" s="347"/>
      <c r="CY144" s="564"/>
      <c r="CZ144" s="564"/>
      <c r="DA144" s="564"/>
      <c r="DB144" s="563"/>
      <c r="DC144" s="347"/>
      <c r="DE144" s="563"/>
      <c r="DF144" s="563"/>
      <c r="DG144" s="563"/>
      <c r="DH144" s="1051"/>
      <c r="DI144" s="396"/>
      <c r="DK144" s="1301"/>
      <c r="DL144" s="563"/>
      <c r="DM144" s="563"/>
      <c r="DN144" s="563"/>
      <c r="DO144" s="396"/>
      <c r="DQ144" s="563"/>
      <c r="DR144" s="563"/>
      <c r="DS144" s="563"/>
      <c r="DT144" s="563"/>
      <c r="DU144" s="396"/>
      <c r="DW144" s="563"/>
      <c r="DX144" s="563"/>
      <c r="DY144" s="563"/>
      <c r="DZ144" s="563"/>
      <c r="EA144" s="396"/>
      <c r="EC144" s="563"/>
      <c r="ED144" s="563"/>
      <c r="EE144" s="563"/>
      <c r="EF144" s="563"/>
      <c r="EG144" s="396"/>
    </row>
    <row r="145" spans="1:137" ht="11.25" customHeight="1" x14ac:dyDescent="0.2">
      <c r="A145" s="106" t="s">
        <v>115</v>
      </c>
      <c r="B145" s="74"/>
      <c r="C145" s="74"/>
      <c r="D145" s="74"/>
      <c r="E145" s="107"/>
      <c r="F145" s="75"/>
      <c r="G145" s="107"/>
      <c r="H145" s="75"/>
      <c r="I145" s="107"/>
      <c r="J145" s="75"/>
      <c r="K145" s="107"/>
      <c r="L145" s="75"/>
      <c r="M145" s="109"/>
      <c r="N145" s="110"/>
      <c r="O145" s="110"/>
      <c r="P145" s="110"/>
      <c r="Q145" s="107"/>
      <c r="R145" s="75"/>
      <c r="S145" s="109"/>
      <c r="T145" s="110"/>
      <c r="U145" s="110"/>
      <c r="V145" s="110"/>
      <c r="W145" s="107"/>
      <c r="X145" s="75"/>
      <c r="Y145" s="109"/>
      <c r="Z145" s="110"/>
      <c r="AA145" s="110"/>
      <c r="AB145" s="110"/>
      <c r="AC145" s="107"/>
      <c r="AD145" s="75"/>
      <c r="AE145" s="109"/>
      <c r="AF145" s="110"/>
      <c r="AG145" s="110"/>
      <c r="AH145" s="110"/>
      <c r="AI145" s="107"/>
      <c r="AJ145" s="75"/>
      <c r="AK145" s="109"/>
      <c r="AL145" s="110"/>
      <c r="AM145" s="110"/>
      <c r="AN145" s="110"/>
      <c r="AO145" s="107"/>
      <c r="AP145" s="75"/>
      <c r="AQ145" s="109"/>
      <c r="AR145" s="110"/>
      <c r="AS145" s="110"/>
      <c r="AT145" s="110"/>
      <c r="AU145" s="107"/>
      <c r="AV145" s="75"/>
      <c r="AW145" s="109"/>
      <c r="AX145" s="110"/>
      <c r="AY145" s="110"/>
      <c r="AZ145" s="110"/>
      <c r="BA145" s="107"/>
      <c r="BB145" s="75"/>
      <c r="BC145" s="109"/>
      <c r="BD145" s="110"/>
      <c r="BE145" s="110"/>
      <c r="BF145" s="110"/>
      <c r="BG145" s="107"/>
      <c r="BH145" s="75"/>
      <c r="BI145" s="109"/>
      <c r="BJ145" s="110"/>
      <c r="BK145" s="110"/>
      <c r="BL145" s="110"/>
      <c r="BM145" s="107"/>
      <c r="BN145" s="75"/>
      <c r="BO145" s="109"/>
      <c r="BP145" s="110"/>
      <c r="BQ145" s="110"/>
      <c r="BR145" s="110"/>
      <c r="BS145" s="107"/>
      <c r="BT145" s="75"/>
      <c r="BU145" s="109"/>
      <c r="BV145" s="110"/>
      <c r="BW145" s="110"/>
      <c r="BX145" s="110"/>
      <c r="BY145" s="107"/>
      <c r="BZ145" s="75"/>
      <c r="CA145" s="109"/>
      <c r="CB145" s="110"/>
      <c r="CC145" s="110"/>
      <c r="CD145" s="110"/>
      <c r="CE145" s="107"/>
      <c r="CF145" s="75"/>
      <c r="CG145" s="109"/>
      <c r="CH145" s="110"/>
      <c r="CI145" s="110"/>
      <c r="CJ145" s="110"/>
      <c r="CK145" s="107"/>
      <c r="CL145" s="75"/>
      <c r="CM145" s="109"/>
      <c r="CN145" s="110"/>
      <c r="CO145" s="110"/>
      <c r="CP145" s="110"/>
      <c r="CQ145" s="107"/>
      <c r="CR145" s="75"/>
      <c r="CS145" s="109"/>
      <c r="CT145" s="110"/>
      <c r="CU145" s="110"/>
      <c r="CV145" s="110"/>
      <c r="CW145" s="107"/>
      <c r="CX145" s="75"/>
      <c r="CY145" s="109"/>
      <c r="CZ145" s="110"/>
      <c r="DA145" s="110"/>
      <c r="DB145" s="110"/>
      <c r="DC145" s="107"/>
      <c r="DD145" s="75"/>
      <c r="DE145" s="109"/>
      <c r="DF145" s="110"/>
      <c r="DG145" s="110"/>
      <c r="DH145" s="110"/>
      <c r="DI145" s="107"/>
      <c r="DJ145" s="75"/>
      <c r="DK145" s="109"/>
      <c r="DL145" s="110"/>
      <c r="DM145" s="110"/>
      <c r="DN145" s="110"/>
      <c r="DO145" s="107"/>
      <c r="DP145" s="75"/>
      <c r="DQ145" s="109"/>
      <c r="DR145" s="110"/>
      <c r="DS145" s="110"/>
      <c r="DT145" s="110"/>
      <c r="DU145" s="107"/>
      <c r="DV145" s="75"/>
      <c r="DW145" s="109"/>
      <c r="DX145" s="110"/>
      <c r="DY145" s="110"/>
      <c r="DZ145" s="110"/>
      <c r="EA145" s="107"/>
      <c r="EB145" s="75"/>
      <c r="EC145" s="109"/>
      <c r="ED145" s="110"/>
      <c r="EE145" s="110"/>
      <c r="EF145" s="110"/>
      <c r="EG145" s="107"/>
    </row>
    <row r="146" spans="1:137" s="384" customFormat="1" ht="11.25" customHeight="1" outlineLevel="1" x14ac:dyDescent="0.2">
      <c r="A146" s="129" t="s">
        <v>380</v>
      </c>
      <c r="B146" s="343"/>
      <c r="C146" s="343"/>
      <c r="D146" s="343"/>
      <c r="E146" s="408"/>
      <c r="F146" s="344"/>
      <c r="G146" s="408"/>
      <c r="H146" s="344"/>
      <c r="I146" s="408"/>
      <c r="J146" s="344"/>
      <c r="K146" s="408"/>
      <c r="L146" s="344"/>
      <c r="M146" s="406"/>
      <c r="N146" s="407"/>
      <c r="O146" s="407"/>
      <c r="P146" s="407"/>
      <c r="Q146" s="408"/>
      <c r="R146" s="344"/>
      <c r="S146" s="406"/>
      <c r="T146" s="407"/>
      <c r="U146" s="407"/>
      <c r="V146" s="407"/>
      <c r="W146" s="408"/>
      <c r="X146" s="344"/>
      <c r="Y146" s="406"/>
      <c r="Z146" s="407"/>
      <c r="AA146" s="407"/>
      <c r="AB146" s="407"/>
      <c r="AC146" s="408"/>
      <c r="AD146" s="344"/>
      <c r="AE146" s="850">
        <v>78.75</v>
      </c>
      <c r="AF146" s="770">
        <v>80.400000000000006</v>
      </c>
      <c r="AG146" s="770">
        <v>82.87</v>
      </c>
      <c r="AH146" s="770">
        <v>85.906000000000063</v>
      </c>
      <c r="AI146" s="851">
        <v>327.92600000000004</v>
      </c>
      <c r="AJ146" s="845"/>
      <c r="AK146" s="850">
        <v>84.262500000000003</v>
      </c>
      <c r="AL146" s="770">
        <v>84.420000000000016</v>
      </c>
      <c r="AM146" s="770">
        <v>87.013500000000008</v>
      </c>
      <c r="AN146" s="770">
        <v>90.201300000000074</v>
      </c>
      <c r="AO146" s="844">
        <f>SUM(AK146:AN146)</f>
        <v>345.89730000000009</v>
      </c>
      <c r="AP146" s="845"/>
      <c r="AQ146" s="850">
        <v>97.744500000000002</v>
      </c>
      <c r="AR146" s="770">
        <v>97.927200000000013</v>
      </c>
      <c r="AS146" s="770">
        <v>100.93566</v>
      </c>
      <c r="AT146" s="770">
        <v>104.63350800000008</v>
      </c>
      <c r="AU146" s="851">
        <v>401.24086800000009</v>
      </c>
      <c r="AV146" s="845"/>
      <c r="AW146" s="850">
        <v>113.38361999999999</v>
      </c>
      <c r="AX146" s="770">
        <v>113.59555200000001</v>
      </c>
      <c r="AY146" s="770">
        <v>117.08536559999999</v>
      </c>
      <c r="AZ146" s="770">
        <v>120.53780121600008</v>
      </c>
      <c r="BA146" s="851">
        <v>464.60233881600004</v>
      </c>
      <c r="BB146" s="845"/>
      <c r="BC146" s="850">
        <v>133.79267159999998</v>
      </c>
      <c r="BD146" s="770">
        <v>134.04275136000001</v>
      </c>
      <c r="BE146" s="770">
        <v>138.16073140799998</v>
      </c>
      <c r="BF146" s="770">
        <v>141.33057192576007</v>
      </c>
      <c r="BG146" s="851">
        <v>547.32672629375998</v>
      </c>
      <c r="BH146" s="845"/>
      <c r="BI146" s="850">
        <f>+BC146*(1+BI152)</f>
        <v>133.67225819555998</v>
      </c>
      <c r="BJ146" s="770">
        <f>+BD146*(1+BJ152)</f>
        <v>135.90460517639042</v>
      </c>
      <c r="BK146" s="770">
        <f>+BE146*(1+BK152)</f>
        <v>139.80484411175519</v>
      </c>
      <c r="BL146" s="770">
        <f>+BF146*(1+BL152)</f>
        <v>162.55135730041295</v>
      </c>
      <c r="BM146" s="851">
        <f>SUM(BI146:BL146)</f>
        <v>571.93306478411853</v>
      </c>
      <c r="BN146" s="845"/>
      <c r="BO146" s="850">
        <f>+BI146*(1+BO152)</f>
        <v>167.09032274444996</v>
      </c>
      <c r="BP146" s="770">
        <f>+BJ146*(1+BP152)</f>
        <v>165.8036183151963</v>
      </c>
      <c r="BQ146" s="770">
        <f>+BK146*(1+BQ152)</f>
        <v>168.76541756950527</v>
      </c>
      <c r="BR146" s="770">
        <f>+BL146*(1+BR152)</f>
        <v>205.18857832031125</v>
      </c>
      <c r="BS146" s="851">
        <f>SUM(BO146:BR146)</f>
        <v>706.84793694946279</v>
      </c>
      <c r="BT146" s="845"/>
      <c r="BU146" s="842">
        <f>+BO146*(1+BU152)</f>
        <v>213.48963446735627</v>
      </c>
      <c r="BV146" s="843">
        <f>+BP146*(1+BV152)</f>
        <v>226.33022918115873</v>
      </c>
      <c r="BW146" s="843">
        <f>+BQ146*(1+BW152)</f>
        <v>985.69973612733099</v>
      </c>
      <c r="BX146" s="843">
        <f>+BR146*(1+BX152)</f>
        <v>1066.1619048381206</v>
      </c>
      <c r="BY146" s="844">
        <f>SUM(BU146:BX146)</f>
        <v>2491.6815046139664</v>
      </c>
      <c r="BZ146" s="845"/>
      <c r="CA146" s="842">
        <f>+BU146*(1+CA152)</f>
        <v>993.57008432935277</v>
      </c>
      <c r="CB146" s="843">
        <f>+BV146*(1+CB152)</f>
        <v>1018.1578524829016</v>
      </c>
      <c r="CC146" s="843">
        <f>+BW146*(1+CC152)</f>
        <v>980.77123744669439</v>
      </c>
      <c r="CD146" s="843">
        <f>+BX146*(1+CD152)</f>
        <v>1124.8008096042172</v>
      </c>
      <c r="CE146" s="844">
        <f>SUM(CA146:CD146)</f>
        <v>4117.2999838631658</v>
      </c>
      <c r="CF146" s="845"/>
      <c r="CG146" s="842">
        <f>+CA146*(1+CG152)</f>
        <v>1013.4414860159399</v>
      </c>
      <c r="CH146" s="843">
        <f>+CB146*(1+CH152)</f>
        <v>1078.0458973659461</v>
      </c>
      <c r="CI146" s="843">
        <f>+CC146*(1+CI152)</f>
        <v>1076.788741592726</v>
      </c>
      <c r="CJ146" s="843">
        <f>+CD146*(1+CJ152)</f>
        <v>1192.2888581804702</v>
      </c>
      <c r="CK146" s="844">
        <f>SUM(CG146:CJ146)</f>
        <v>4360.5649831550818</v>
      </c>
      <c r="CL146" s="845"/>
      <c r="CM146" s="842">
        <f>+CG146*(1+CM152)</f>
        <v>1070.7009299758404</v>
      </c>
      <c r="CN146" s="843">
        <f>+CH146*(1+CN152)</f>
        <v>1163.6427416168021</v>
      </c>
      <c r="CO146" s="843">
        <f>+CI146*(1+CO152)</f>
        <v>1130.6281786723623</v>
      </c>
      <c r="CP146" s="843">
        <f>+CJ146*(1+CP152)</f>
        <v>1253.7871174854188</v>
      </c>
      <c r="CQ146" s="844">
        <f>SUM(CM146:CP146)</f>
        <v>4618.7589677504238</v>
      </c>
      <c r="CR146" s="344"/>
      <c r="CS146" s="406">
        <v>1124.2</v>
      </c>
      <c r="CT146" s="407">
        <v>1245</v>
      </c>
      <c r="CU146" s="407">
        <v>1175.8</v>
      </c>
      <c r="CV146" s="407">
        <v>1287.4000000000001</v>
      </c>
      <c r="CW146" s="404">
        <f>SUM(CS146:CV146)</f>
        <v>4832.3999999999996</v>
      </c>
      <c r="CX146" s="344"/>
      <c r="CY146" s="406">
        <v>1136.2</v>
      </c>
      <c r="CZ146" s="407">
        <v>1257.5999999999999</v>
      </c>
      <c r="DA146" s="407">
        <v>1212.7</v>
      </c>
      <c r="DB146" s="407">
        <v>1431.8</v>
      </c>
      <c r="DC146" s="404">
        <f>SUM(CY146:DB146)</f>
        <v>5038.3</v>
      </c>
      <c r="DD146" s="344"/>
      <c r="DE146" s="406">
        <v>1327.3</v>
      </c>
      <c r="DF146" s="407">
        <v>1440</v>
      </c>
      <c r="DG146" s="407">
        <v>1448.7</v>
      </c>
      <c r="DH146" s="407">
        <v>1623.9</v>
      </c>
      <c r="DI146" s="404">
        <f>SUM(DE146:DH146)</f>
        <v>5839.9</v>
      </c>
      <c r="DJ146" s="344"/>
      <c r="DK146" s="406">
        <v>1519.7</v>
      </c>
      <c r="DL146" s="401">
        <f>DF146*(1+DL152)</f>
        <v>1569.6000000000001</v>
      </c>
      <c r="DM146" s="401">
        <f>DG146*(1+DM152)</f>
        <v>1521.1350000000002</v>
      </c>
      <c r="DN146" s="401">
        <f>DH146*(1+DN152)</f>
        <v>1705.0950000000003</v>
      </c>
      <c r="DO146" s="404">
        <f>SUM(DK146:DN146)</f>
        <v>6315.5300000000007</v>
      </c>
      <c r="DP146" s="344"/>
      <c r="DQ146" s="400">
        <f>DK146*(1+DQ152)</f>
        <v>1519.7</v>
      </c>
      <c r="DR146" s="401">
        <f>DL146*(1+DR152)</f>
        <v>1616.6880000000001</v>
      </c>
      <c r="DS146" s="401">
        <f>DM146*(1+DS152)</f>
        <v>1566.7690500000003</v>
      </c>
      <c r="DT146" s="401">
        <f>DN146*(1+DT152)</f>
        <v>1756.2478500000002</v>
      </c>
      <c r="DU146" s="404">
        <f>SUM(DQ146:DT146)</f>
        <v>6459.4048999999995</v>
      </c>
      <c r="DV146" s="344"/>
      <c r="DW146" s="400">
        <f>DQ146*(1+DW152)</f>
        <v>1595.6850000000002</v>
      </c>
      <c r="DX146" s="401">
        <f>DR146*(1+DX152)</f>
        <v>1697.5224000000003</v>
      </c>
      <c r="DY146" s="401">
        <f>DS146*(1+DY152)</f>
        <v>1645.1075025000005</v>
      </c>
      <c r="DZ146" s="401">
        <f>DT146*(1+DZ152)</f>
        <v>1844.0602425000002</v>
      </c>
      <c r="EA146" s="404">
        <f>SUM(DW146:DZ146)</f>
        <v>6782.375145</v>
      </c>
      <c r="EB146" s="344"/>
      <c r="EC146" s="400">
        <f>DW146*(1+EC152)</f>
        <v>1675.4692500000003</v>
      </c>
      <c r="ED146" s="401">
        <f>DX146*(1+ED152)</f>
        <v>1782.3985200000004</v>
      </c>
      <c r="EE146" s="401">
        <f>DY146*(1+EE152)</f>
        <v>1727.3628776250005</v>
      </c>
      <c r="EF146" s="401">
        <f>DZ146*(1+EF152)</f>
        <v>1936.2632546250002</v>
      </c>
      <c r="EG146" s="404">
        <f>SUM(EC146:EF146)</f>
        <v>7121.4939022500021</v>
      </c>
    </row>
    <row r="147" spans="1:137" ht="11.25" customHeight="1" outlineLevel="1" x14ac:dyDescent="0.2">
      <c r="A147" s="538" t="s">
        <v>619</v>
      </c>
      <c r="B147" s="14"/>
      <c r="C147" s="14"/>
      <c r="D147" s="14"/>
      <c r="E147" s="92"/>
      <c r="F147" s="71"/>
      <c r="G147" s="92"/>
      <c r="H147" s="71"/>
      <c r="I147" s="92"/>
      <c r="J147" s="71"/>
      <c r="K147" s="92"/>
      <c r="L147" s="71"/>
      <c r="M147" s="84"/>
      <c r="N147" s="71"/>
      <c r="O147" s="71"/>
      <c r="P147" s="71"/>
      <c r="Q147" s="92"/>
      <c r="R147" s="71"/>
      <c r="S147" s="84"/>
      <c r="T147" s="71"/>
      <c r="U147" s="71"/>
      <c r="V147" s="71"/>
      <c r="W147" s="92"/>
      <c r="X147" s="71"/>
      <c r="Y147" s="84"/>
      <c r="Z147" s="71"/>
      <c r="AA147" s="71"/>
      <c r="AB147" s="71"/>
      <c r="AC147" s="92"/>
      <c r="AD147" s="71"/>
      <c r="AE147" s="633"/>
      <c r="AF147" s="583"/>
      <c r="AG147" s="583"/>
      <c r="AH147" s="583"/>
      <c r="AI147" s="812">
        <v>0.09</v>
      </c>
      <c r="AJ147" s="588"/>
      <c r="AK147" s="814">
        <v>0.04</v>
      </c>
      <c r="AL147" s="815">
        <v>0.04</v>
      </c>
      <c r="AM147" s="815">
        <v>0.04</v>
      </c>
      <c r="AN147" s="815">
        <v>0.04</v>
      </c>
      <c r="AO147" s="812">
        <v>0.04</v>
      </c>
      <c r="AP147" s="588"/>
      <c r="AQ147" s="814">
        <v>0.16</v>
      </c>
      <c r="AR147" s="815">
        <v>0.16</v>
      </c>
      <c r="AS147" s="815">
        <v>0.16</v>
      </c>
      <c r="AT147" s="815">
        <v>0.16</v>
      </c>
      <c r="AU147" s="812">
        <v>0.06</v>
      </c>
      <c r="AV147" s="588"/>
      <c r="AW147" s="816"/>
      <c r="AX147" s="817"/>
      <c r="AY147" s="817"/>
      <c r="AZ147" s="817"/>
      <c r="BA147" s="812">
        <v>0.09</v>
      </c>
      <c r="BB147" s="588"/>
      <c r="BC147" s="816"/>
      <c r="BD147" s="817"/>
      <c r="BE147" s="817"/>
      <c r="BF147" s="817"/>
      <c r="BG147" s="812">
        <v>6.5000000000000002E-2</v>
      </c>
      <c r="BH147" s="588"/>
      <c r="BI147" s="505">
        <f>+BM147</f>
        <v>0.05</v>
      </c>
      <c r="BJ147" s="614">
        <f>+BM147</f>
        <v>0.05</v>
      </c>
      <c r="BK147" s="614">
        <f>+BM147</f>
        <v>0.05</v>
      </c>
      <c r="BL147" s="614">
        <f>+BM147</f>
        <v>0.05</v>
      </c>
      <c r="BM147" s="812">
        <v>0.05</v>
      </c>
      <c r="BN147" s="588"/>
      <c r="BO147" s="756">
        <v>0.08</v>
      </c>
      <c r="BP147" s="775">
        <v>0.08</v>
      </c>
      <c r="BQ147" s="775">
        <v>0.09</v>
      </c>
      <c r="BR147" s="775">
        <v>0.09</v>
      </c>
      <c r="BS147" s="713">
        <f>SUMPRODUCT(BO147:BR147,BI$146:BL$146)/BM$146</f>
        <v>8.5286566209042236E-2</v>
      </c>
      <c r="BT147" s="588"/>
      <c r="BU147" s="756">
        <v>0.09</v>
      </c>
      <c r="BV147" s="775">
        <v>0.09</v>
      </c>
      <c r="BW147" s="775">
        <v>0.08</v>
      </c>
      <c r="BX147" s="775">
        <v>0.08</v>
      </c>
      <c r="BY147" s="713">
        <f>SUMPRODUCT(BU147:BX147,BO$146:BR$146)/BS$146</f>
        <v>8.4709555247431484E-2</v>
      </c>
      <c r="BZ147" s="588"/>
      <c r="CA147" s="634">
        <v>0.05</v>
      </c>
      <c r="CB147" s="588">
        <v>0.05</v>
      </c>
      <c r="CC147" s="588">
        <v>0.05</v>
      </c>
      <c r="CD147" s="588">
        <v>0.06</v>
      </c>
      <c r="CE147" s="713">
        <f>SUMPRODUCT(CA147:CD147,BU$146:BX$146)/BY$146</f>
        <v>5.4278885173983348E-2</v>
      </c>
      <c r="CF147" s="588"/>
      <c r="CG147" s="634">
        <v>0.03</v>
      </c>
      <c r="CH147" s="588">
        <v>5.382E-2</v>
      </c>
      <c r="CI147" s="588">
        <v>5.2900000000000003E-2</v>
      </c>
      <c r="CJ147" s="588">
        <v>0.04</v>
      </c>
      <c r="CK147" s="665">
        <f>SUMPRODUCT(CG147:CJ147,CA$146:CD$146)/CE$146</f>
        <v>4.4077232581273197E-2</v>
      </c>
      <c r="CL147" s="588"/>
      <c r="CM147" s="1066">
        <f>+CM149-CM24</f>
        <v>3.15E-2</v>
      </c>
      <c r="CN147" s="645">
        <f t="shared" ref="CN147:CP147" si="204">+CN149-CN24</f>
        <v>5.4399999999999997E-2</v>
      </c>
      <c r="CO147" s="645">
        <f t="shared" si="204"/>
        <v>3.5000000000000003E-2</v>
      </c>
      <c r="CP147" s="645">
        <f t="shared" si="204"/>
        <v>5.1580000000000001E-2</v>
      </c>
      <c r="CQ147" s="713">
        <f>SUMPRODUCT(CM147:CP147,CG$146:CJ$146)/CK$146</f>
        <v>4.3516142889724031E-2</v>
      </c>
      <c r="CR147" s="541"/>
      <c r="CS147" s="1066">
        <f>+CS149-CS24</f>
        <v>3.9999999999999994E-2</v>
      </c>
      <c r="CT147" s="645">
        <f t="shared" ref="CT147:CV147" si="205">+CT149-CT24</f>
        <v>5.5E-2</v>
      </c>
      <c r="CU147" s="645">
        <f t="shared" si="205"/>
        <v>0.03</v>
      </c>
      <c r="CV147" s="645">
        <f t="shared" si="205"/>
        <v>3.5000000000000003E-2</v>
      </c>
      <c r="CW147" s="777">
        <v>0.04</v>
      </c>
      <c r="CX147" s="541"/>
      <c r="CY147" s="1066">
        <f>+CY149-CY24</f>
        <v>2.5000000000000001E-2</v>
      </c>
      <c r="CZ147" s="645">
        <f t="shared" ref="CZ147:DB147" si="206">+CZ149-CZ24</f>
        <v>0.02</v>
      </c>
      <c r="DA147" s="645">
        <f t="shared" si="206"/>
        <v>3.4999999999999996E-2</v>
      </c>
      <c r="DB147" s="645">
        <f t="shared" si="206"/>
        <v>2.4999999999999998E-2</v>
      </c>
      <c r="DC147" s="777">
        <v>2.5097260160582731E-2</v>
      </c>
      <c r="DD147" s="541"/>
      <c r="DE147" s="1066">
        <f>+DE149-DE24</f>
        <v>3.0000000000000002E-2</v>
      </c>
      <c r="DF147" s="645">
        <f t="shared" ref="DF147:DH147" si="207">+DF149-DF24</f>
        <v>2.7000000000000003E-2</v>
      </c>
      <c r="DG147" s="645">
        <f t="shared" si="207"/>
        <v>0.04</v>
      </c>
      <c r="DH147" s="645">
        <f t="shared" si="207"/>
        <v>0.06</v>
      </c>
      <c r="DI147" s="540">
        <f>SUMPRODUCT(DE147:DH147,CY$146:DB$146)/DC$146</f>
        <v>4.0183633368398072E-2</v>
      </c>
      <c r="DJ147" s="541"/>
      <c r="DK147" s="1066">
        <f>+DK149-DK24</f>
        <v>9.5000000000000001E-2</v>
      </c>
      <c r="DL147" s="645">
        <f t="shared" ref="DL147:DN147" si="208">+DL149-DL24</f>
        <v>5.5E-2</v>
      </c>
      <c r="DM147" s="645">
        <f t="shared" si="208"/>
        <v>0.04</v>
      </c>
      <c r="DN147" s="645">
        <f t="shared" si="208"/>
        <v>0.03</v>
      </c>
      <c r="DO147" s="540">
        <f>SUMPRODUCT(DK147:DN147,DE$146:DH$146)/DI$146</f>
        <v>5.3418466069624478E-2</v>
      </c>
      <c r="DP147" s="541"/>
      <c r="DQ147" s="1066">
        <f>+DQ149-DQ24</f>
        <v>0</v>
      </c>
      <c r="DR147" s="645">
        <f t="shared" ref="DR147:DT147" si="209">+DR149-DR24</f>
        <v>0.03</v>
      </c>
      <c r="DS147" s="645">
        <f t="shared" si="209"/>
        <v>0.03</v>
      </c>
      <c r="DT147" s="645">
        <f t="shared" si="209"/>
        <v>0.03</v>
      </c>
      <c r="DU147" s="540">
        <f>SUMPRODUCT(DQ147:DT147,DK$146:DN$146)/DO$146</f>
        <v>2.2781128424692779E-2</v>
      </c>
      <c r="DV147" s="541"/>
      <c r="DW147" s="1066">
        <f>+DW149-DW24</f>
        <v>0.05</v>
      </c>
      <c r="DX147" s="645">
        <f t="shared" ref="DX147:DZ147" si="210">+DX149-DX24</f>
        <v>0.05</v>
      </c>
      <c r="DY147" s="645">
        <f t="shared" si="210"/>
        <v>0.05</v>
      </c>
      <c r="DZ147" s="645">
        <f t="shared" si="210"/>
        <v>0.05</v>
      </c>
      <c r="EA147" s="540">
        <f>SUMPRODUCT(DW147:DZ147,DQ$146:DT$146)/DU$146</f>
        <v>5.0000000000000017E-2</v>
      </c>
      <c r="EB147" s="541"/>
      <c r="EC147" s="1066">
        <f t="shared" ref="EC147:EF147" si="211">+EC149-EC24</f>
        <v>0.05</v>
      </c>
      <c r="ED147" s="645">
        <f t="shared" si="211"/>
        <v>0.05</v>
      </c>
      <c r="EE147" s="645">
        <f t="shared" si="211"/>
        <v>0.05</v>
      </c>
      <c r="EF147" s="645">
        <f t="shared" si="211"/>
        <v>0.05</v>
      </c>
      <c r="EG147" s="540">
        <f t="shared" ref="EG147" si="212">SUMPRODUCT(EC147:EF147,DW$146:DZ$146)/EA$146</f>
        <v>5.000000000000001E-2</v>
      </c>
    </row>
    <row r="148" spans="1:137" ht="11.25" customHeight="1" outlineLevel="1" x14ac:dyDescent="0.2">
      <c r="A148" s="914" t="s">
        <v>621</v>
      </c>
      <c r="B148" s="14"/>
      <c r="C148" s="14"/>
      <c r="D148" s="14"/>
      <c r="E148" s="92"/>
      <c r="F148" s="71"/>
      <c r="G148" s="92"/>
      <c r="H148" s="71"/>
      <c r="I148" s="92"/>
      <c r="J148" s="71"/>
      <c r="K148" s="92"/>
      <c r="L148" s="71"/>
      <c r="M148" s="84"/>
      <c r="N148" s="71"/>
      <c r="O148" s="71"/>
      <c r="P148" s="71"/>
      <c r="Q148" s="92"/>
      <c r="R148" s="71"/>
      <c r="S148" s="84"/>
      <c r="T148" s="71"/>
      <c r="U148" s="71"/>
      <c r="V148" s="71"/>
      <c r="W148" s="92"/>
      <c r="X148" s="71"/>
      <c r="Y148" s="84"/>
      <c r="Z148" s="71"/>
      <c r="AA148" s="71"/>
      <c r="AB148" s="71"/>
      <c r="AC148" s="92"/>
      <c r="AD148" s="71"/>
      <c r="AE148" s="633"/>
      <c r="AF148" s="583"/>
      <c r="AG148" s="583"/>
      <c r="AH148" s="583"/>
      <c r="AI148" s="812"/>
      <c r="AJ148" s="588"/>
      <c r="AK148" s="814"/>
      <c r="AL148" s="815"/>
      <c r="AM148" s="815"/>
      <c r="AN148" s="815"/>
      <c r="AO148" s="812"/>
      <c r="AP148" s="588"/>
      <c r="AQ148" s="814"/>
      <c r="AR148" s="815"/>
      <c r="AS148" s="815"/>
      <c r="AT148" s="815"/>
      <c r="AU148" s="812"/>
      <c r="AV148" s="588"/>
      <c r="AW148" s="816"/>
      <c r="AX148" s="817"/>
      <c r="AY148" s="817"/>
      <c r="AZ148" s="817"/>
      <c r="BA148" s="812"/>
      <c r="BB148" s="588"/>
      <c r="BC148" s="816"/>
      <c r="BD148" s="817"/>
      <c r="BE148" s="817"/>
      <c r="BF148" s="817"/>
      <c r="BG148" s="812"/>
      <c r="BH148" s="588"/>
      <c r="BI148" s="505"/>
      <c r="BJ148" s="614"/>
      <c r="BK148" s="614"/>
      <c r="BL148" s="614"/>
      <c r="BM148" s="812"/>
      <c r="BN148" s="588"/>
      <c r="BO148" s="542">
        <f>+BO147</f>
        <v>0.08</v>
      </c>
      <c r="BP148" s="543">
        <f>+BP147</f>
        <v>0.08</v>
      </c>
      <c r="BQ148" s="543">
        <f>+BQ147</f>
        <v>0.09</v>
      </c>
      <c r="BR148" s="779">
        <f>+BR147</f>
        <v>0.09</v>
      </c>
      <c r="BS148" s="777">
        <f>+BS147</f>
        <v>8.5286566209042236E-2</v>
      </c>
      <c r="BT148" s="588"/>
      <c r="BU148" s="542">
        <f>+BU147</f>
        <v>0.09</v>
      </c>
      <c r="BV148" s="543">
        <f>+BV147</f>
        <v>0.09</v>
      </c>
      <c r="BW148" s="543">
        <f>+BW147</f>
        <v>0.08</v>
      </c>
      <c r="BX148" s="779">
        <f>+BX147</f>
        <v>0.08</v>
      </c>
      <c r="BY148" s="777">
        <f>+BY147</f>
        <v>8.4709555247431484E-2</v>
      </c>
      <c r="BZ148" s="588"/>
      <c r="CA148" s="542">
        <f>+CA147</f>
        <v>0.05</v>
      </c>
      <c r="CB148" s="543">
        <f>+CB147</f>
        <v>0.05</v>
      </c>
      <c r="CC148" s="543">
        <f>+CC147</f>
        <v>0.05</v>
      </c>
      <c r="CD148" s="779">
        <f>+CD147</f>
        <v>0.06</v>
      </c>
      <c r="CE148" s="777">
        <f>+CE147</f>
        <v>5.4278885173983348E-2</v>
      </c>
      <c r="CF148" s="541"/>
      <c r="CG148" s="542">
        <f>+CG147</f>
        <v>0.03</v>
      </c>
      <c r="CH148" s="543">
        <f>+CH147</f>
        <v>5.382E-2</v>
      </c>
      <c r="CI148" s="543">
        <f>+CI147</f>
        <v>5.2900000000000003E-2</v>
      </c>
      <c r="CJ148" s="779">
        <f>+CJ147</f>
        <v>0.04</v>
      </c>
      <c r="CK148" s="777">
        <f>+CK147</f>
        <v>4.4077232581273197E-2</v>
      </c>
      <c r="CL148" s="541"/>
      <c r="CM148" s="542">
        <f t="shared" ref="CM148:CQ148" si="213">+CM147</f>
        <v>3.15E-2</v>
      </c>
      <c r="CN148" s="543">
        <f t="shared" si="213"/>
        <v>5.4399999999999997E-2</v>
      </c>
      <c r="CO148" s="543">
        <f t="shared" si="213"/>
        <v>3.5000000000000003E-2</v>
      </c>
      <c r="CP148" s="779">
        <f t="shared" si="213"/>
        <v>5.1580000000000001E-2</v>
      </c>
      <c r="CQ148" s="777">
        <f t="shared" si="213"/>
        <v>4.3516142889724031E-2</v>
      </c>
      <c r="CR148" s="541"/>
      <c r="CS148" s="542">
        <f t="shared" ref="CS148:CW148" si="214">+CS147</f>
        <v>3.9999999999999994E-2</v>
      </c>
      <c r="CT148" s="543">
        <f t="shared" si="214"/>
        <v>5.5E-2</v>
      </c>
      <c r="CU148" s="543">
        <f t="shared" si="214"/>
        <v>0.03</v>
      </c>
      <c r="CV148" s="779">
        <f t="shared" si="214"/>
        <v>3.5000000000000003E-2</v>
      </c>
      <c r="CW148" s="777">
        <f t="shared" si="214"/>
        <v>0.04</v>
      </c>
      <c r="CX148" s="541"/>
      <c r="CY148" s="542">
        <f t="shared" ref="CY148:DC148" si="215">+CY147</f>
        <v>2.5000000000000001E-2</v>
      </c>
      <c r="CZ148" s="543">
        <f t="shared" si="215"/>
        <v>0.02</v>
      </c>
      <c r="DA148" s="543">
        <f t="shared" si="215"/>
        <v>3.4999999999999996E-2</v>
      </c>
      <c r="DB148" s="779">
        <f t="shared" si="215"/>
        <v>2.4999999999999998E-2</v>
      </c>
      <c r="DC148" s="777">
        <f t="shared" si="215"/>
        <v>2.5097260160582731E-2</v>
      </c>
      <c r="DD148" s="541"/>
      <c r="DE148" s="542">
        <f>+DE147</f>
        <v>3.0000000000000002E-2</v>
      </c>
      <c r="DF148" s="543">
        <f>+DF147</f>
        <v>2.7000000000000003E-2</v>
      </c>
      <c r="DG148" s="543">
        <f t="shared" ref="DG148" si="216">+DG147</f>
        <v>0.04</v>
      </c>
      <c r="DH148" s="543">
        <f>+DH169/DB169-1</f>
        <v>4.56671531129893E-2</v>
      </c>
      <c r="DI148" s="540">
        <f>SUMPRODUCT(DE148:DH148,CY$146:DB$146)/DC$146</f>
        <v>3.6110479691002541E-2</v>
      </c>
      <c r="DJ148" s="828"/>
      <c r="DK148" s="542">
        <f>+DK169/DE169-1</f>
        <v>3.3296382670339408E-2</v>
      </c>
      <c r="DL148" s="543">
        <f>+DL169/DF169-1</f>
        <v>2.1845714640352787E-2</v>
      </c>
      <c r="DM148" s="543">
        <f>+DM169/DG169-1</f>
        <v>2.6514262516571518E-2</v>
      </c>
      <c r="DN148" s="543">
        <f>+DN169/DH169-1</f>
        <v>4.9893449051996219E-2</v>
      </c>
      <c r="DO148" s="540">
        <f>+DO169/DI169-1</f>
        <v>3.3180787708967596E-2</v>
      </c>
      <c r="DP148" s="828"/>
      <c r="DQ148" s="542">
        <f>+DQ169/DK169-1</f>
        <v>6.3409433406445892E-2</v>
      </c>
      <c r="DR148" s="543">
        <f>+DR169/DL169-1</f>
        <v>5.1448765114544326E-2</v>
      </c>
      <c r="DS148" s="543">
        <f>+DS169/DM169-1</f>
        <v>1.8099911928028733E-2</v>
      </c>
      <c r="DT148" s="543">
        <f>+DT169/DN169-1</f>
        <v>2.8703429609231668E-2</v>
      </c>
      <c r="DU148" s="540">
        <f>+DU169/DO169-1</f>
        <v>3.9744525109749462E-2</v>
      </c>
      <c r="DV148" s="828"/>
      <c r="DW148" s="542">
        <f>+DW169/DQ169-1</f>
        <v>3.6449433490437055E-2</v>
      </c>
      <c r="DX148" s="543">
        <f>+DX169/DR169-1</f>
        <v>2.7504962753772233E-2</v>
      </c>
      <c r="DY148" s="543">
        <f>+DY169/DS169-1</f>
        <v>2.647742920515328E-2</v>
      </c>
      <c r="DZ148" s="543">
        <f>+DZ169/DT169-1</f>
        <v>2.4995020948122226E-2</v>
      </c>
      <c r="EA148" s="540">
        <f>+EA169/DU169-1</f>
        <v>2.8673104705575714E-2</v>
      </c>
      <c r="EB148" s="828"/>
      <c r="EC148" s="542">
        <f>+EC169/DW169-1</f>
        <v>2.9693006421346979E-2</v>
      </c>
      <c r="ED148" s="543">
        <f>+ED169/DX169-1</f>
        <v>3.0713375781162844E-2</v>
      </c>
      <c r="EE148" s="543">
        <f>+EE169/DY169-1</f>
        <v>2.8408623770412422E-2</v>
      </c>
      <c r="EF148" s="543">
        <f>+EF169/DZ169-1</f>
        <v>2.8347801630285385E-2</v>
      </c>
      <c r="EG148" s="540">
        <f>+EG169/EA169-1</f>
        <v>2.9279207354293124E-2</v>
      </c>
    </row>
    <row r="149" spans="1:137" ht="11.25" customHeight="1" outlineLevel="1" x14ac:dyDescent="0.2">
      <c r="A149" s="538" t="s">
        <v>620</v>
      </c>
      <c r="B149" s="14"/>
      <c r="C149" s="14"/>
      <c r="D149" s="14"/>
      <c r="E149" s="92"/>
      <c r="F149" s="71"/>
      <c r="G149" s="92"/>
      <c r="H149" s="71"/>
      <c r="I149" s="92"/>
      <c r="J149" s="71"/>
      <c r="K149" s="92"/>
      <c r="L149" s="71"/>
      <c r="M149" s="84"/>
      <c r="N149" s="71"/>
      <c r="O149" s="71"/>
      <c r="P149" s="71"/>
      <c r="Q149" s="92"/>
      <c r="R149" s="71"/>
      <c r="S149" s="84"/>
      <c r="T149" s="71"/>
      <c r="U149" s="71"/>
      <c r="V149" s="71"/>
      <c r="W149" s="92"/>
      <c r="X149" s="71"/>
      <c r="Y149" s="84"/>
      <c r="Z149" s="71"/>
      <c r="AA149" s="71"/>
      <c r="AB149" s="71"/>
      <c r="AC149" s="92"/>
      <c r="AD149" s="71"/>
      <c r="AE149" s="633"/>
      <c r="AF149" s="583"/>
      <c r="AG149" s="583"/>
      <c r="AH149" s="583"/>
      <c r="AI149" s="812">
        <v>0.09</v>
      </c>
      <c r="AJ149" s="588"/>
      <c r="AK149" s="814">
        <v>0.04</v>
      </c>
      <c r="AL149" s="815">
        <v>0.04</v>
      </c>
      <c r="AM149" s="815">
        <v>0.04</v>
      </c>
      <c r="AN149" s="815">
        <v>0.04</v>
      </c>
      <c r="AO149" s="812">
        <v>0.04</v>
      </c>
      <c r="AP149" s="588"/>
      <c r="AQ149" s="814">
        <v>0.16</v>
      </c>
      <c r="AR149" s="815">
        <v>0.16</v>
      </c>
      <c r="AS149" s="815">
        <v>0.16</v>
      </c>
      <c r="AT149" s="815">
        <v>0.16</v>
      </c>
      <c r="AU149" s="812">
        <v>0.06</v>
      </c>
      <c r="AV149" s="588"/>
      <c r="AW149" s="816"/>
      <c r="AX149" s="817"/>
      <c r="AY149" s="817"/>
      <c r="AZ149" s="817"/>
      <c r="BA149" s="812">
        <v>0.09</v>
      </c>
      <c r="BB149" s="588"/>
      <c r="BC149" s="816"/>
      <c r="BD149" s="817"/>
      <c r="BE149" s="817"/>
      <c r="BF149" s="817"/>
      <c r="BG149" s="812">
        <v>6.5000000000000002E-2</v>
      </c>
      <c r="BH149" s="588"/>
      <c r="BI149" s="505">
        <f>+BM149</f>
        <v>0.05</v>
      </c>
      <c r="BJ149" s="614">
        <f>+BM149</f>
        <v>0.05</v>
      </c>
      <c r="BK149" s="614">
        <f>+BM149</f>
        <v>0.05</v>
      </c>
      <c r="BL149" s="614">
        <f>+BM149</f>
        <v>0.05</v>
      </c>
      <c r="BM149" s="812">
        <v>0.05</v>
      </c>
      <c r="BN149" s="588"/>
      <c r="BO149" s="756">
        <v>0.08</v>
      </c>
      <c r="BP149" s="775">
        <v>0.08</v>
      </c>
      <c r="BQ149" s="775">
        <v>0.09</v>
      </c>
      <c r="BR149" s="775">
        <v>0.09</v>
      </c>
      <c r="BS149" s="713">
        <f>SUMPRODUCT(BO149:BR149,BI$146:BL$146)/BM$146</f>
        <v>8.5286566209042236E-2</v>
      </c>
      <c r="BT149" s="588"/>
      <c r="BU149" s="756">
        <v>0.09</v>
      </c>
      <c r="BV149" s="775">
        <v>0.09</v>
      </c>
      <c r="BW149" s="775">
        <v>0.08</v>
      </c>
      <c r="BX149" s="775">
        <v>0.08</v>
      </c>
      <c r="BY149" s="713">
        <f>SUMPRODUCT(BU149:BX149,BO$146:BR$146)/BS$146</f>
        <v>8.4709555247431484E-2</v>
      </c>
      <c r="BZ149" s="588"/>
      <c r="CA149" s="634">
        <v>0.05</v>
      </c>
      <c r="CB149" s="588">
        <v>0.05</v>
      </c>
      <c r="CC149" s="588">
        <v>0.05</v>
      </c>
      <c r="CD149" s="588">
        <v>0.06</v>
      </c>
      <c r="CE149" s="713">
        <f>SUMPRODUCT(CA149:CD149,BU$146:BX$146)/BY$146</f>
        <v>5.4278885173983348E-2</v>
      </c>
      <c r="CF149" s="588"/>
      <c r="CG149" s="634">
        <v>0.03</v>
      </c>
      <c r="CH149" s="588">
        <v>5.382E-2</v>
      </c>
      <c r="CI149" s="588">
        <v>5.2900000000000003E-2</v>
      </c>
      <c r="CJ149" s="588">
        <v>0.04</v>
      </c>
      <c r="CK149" s="665">
        <f>SUMPRODUCT(CG149:CJ149,CA$146:CD$146)/CE$146</f>
        <v>4.4077232581273197E-2</v>
      </c>
      <c r="CL149" s="588"/>
      <c r="CM149" s="717">
        <v>3.15E-2</v>
      </c>
      <c r="CN149" s="652">
        <v>5.4399999999999997E-2</v>
      </c>
      <c r="CO149" s="652">
        <v>3.5000000000000003E-2</v>
      </c>
      <c r="CP149" s="652">
        <v>5.1580000000000001E-2</v>
      </c>
      <c r="CQ149" s="713">
        <f>SUMPRODUCT(CM149:CP149,CG$146:CJ$146)/CK$146</f>
        <v>4.3516142889724031E-2</v>
      </c>
      <c r="CR149" s="541"/>
      <c r="CS149" s="778">
        <v>0.06</v>
      </c>
      <c r="CT149" s="779">
        <v>5.5E-2</v>
      </c>
      <c r="CU149" s="779">
        <v>0.03</v>
      </c>
      <c r="CV149" s="779">
        <v>1.4999999999999999E-2</v>
      </c>
      <c r="CW149" s="777">
        <v>0.04</v>
      </c>
      <c r="CX149" s="541"/>
      <c r="CY149" s="778">
        <v>0.02</v>
      </c>
      <c r="CZ149" s="779">
        <v>0.02</v>
      </c>
      <c r="DA149" s="779">
        <v>0.03</v>
      </c>
      <c r="DB149" s="779">
        <v>0.03</v>
      </c>
      <c r="DC149" s="777">
        <v>2.5097260160582731E-2</v>
      </c>
      <c r="DD149" s="541"/>
      <c r="DE149" s="778">
        <v>2.5000000000000001E-2</v>
      </c>
      <c r="DF149" s="779">
        <v>2.5000000000000001E-2</v>
      </c>
      <c r="DG149" s="779">
        <v>0.04</v>
      </c>
      <c r="DH149" s="779">
        <v>0.06</v>
      </c>
      <c r="DI149" s="540">
        <f>SUMPRODUCT(DE149:DH149,CY$146:DB$146)/DC$146</f>
        <v>3.855685449457158E-2</v>
      </c>
      <c r="DJ149" s="541"/>
      <c r="DK149" s="778">
        <v>9.5000000000000001E-2</v>
      </c>
      <c r="DL149" s="796">
        <v>5.5E-2</v>
      </c>
      <c r="DM149" s="796">
        <v>0.04</v>
      </c>
      <c r="DN149" s="796">
        <v>0.03</v>
      </c>
      <c r="DO149" s="540">
        <f>SUMPRODUCT(DK149:DN149,DE$146:DH$146)/DI$146</f>
        <v>5.3418466069624478E-2</v>
      </c>
      <c r="DP149" s="541"/>
      <c r="DQ149" s="795">
        <v>0</v>
      </c>
      <c r="DR149" s="796">
        <v>0.03</v>
      </c>
      <c r="DS149" s="796">
        <f>+DR149</f>
        <v>0.03</v>
      </c>
      <c r="DT149" s="796">
        <f>+DS149</f>
        <v>0.03</v>
      </c>
      <c r="DU149" s="540">
        <f>SUMPRODUCT(DQ149:DT149,DK$146:DN$146)/DO$146</f>
        <v>2.2781128424692779E-2</v>
      </c>
      <c r="DV149" s="541"/>
      <c r="DW149" s="795">
        <v>0.05</v>
      </c>
      <c r="DX149" s="796">
        <f>+DW149</f>
        <v>0.05</v>
      </c>
      <c r="DY149" s="796">
        <f>+DX149</f>
        <v>0.05</v>
      </c>
      <c r="DZ149" s="796">
        <f>+DY149</f>
        <v>0.05</v>
      </c>
      <c r="EA149" s="540">
        <f>SUMPRODUCT(DW149:DZ149,DQ$146:DT$146)/DU$146</f>
        <v>5.0000000000000017E-2</v>
      </c>
      <c r="EB149" s="541"/>
      <c r="EC149" s="795">
        <v>0.05</v>
      </c>
      <c r="ED149" s="796">
        <f t="shared" ref="ED149:EF149" si="217">+EC149</f>
        <v>0.05</v>
      </c>
      <c r="EE149" s="796">
        <f t="shared" si="217"/>
        <v>0.05</v>
      </c>
      <c r="EF149" s="796">
        <f t="shared" si="217"/>
        <v>0.05</v>
      </c>
      <c r="EG149" s="540">
        <f t="shared" ref="EG149" si="218">SUMPRODUCT(EC149:EF149,DW$146:DZ$146)/EA$146</f>
        <v>5.000000000000001E-2</v>
      </c>
    </row>
    <row r="150" spans="1:137" ht="11.25" customHeight="1" outlineLevel="1" x14ac:dyDescent="0.2">
      <c r="A150" s="538" t="s">
        <v>504</v>
      </c>
      <c r="B150" s="14"/>
      <c r="C150" s="14"/>
      <c r="D150" s="14"/>
      <c r="E150" s="92"/>
      <c r="F150" s="71"/>
      <c r="G150" s="92"/>
      <c r="H150" s="71"/>
      <c r="I150" s="92"/>
      <c r="J150" s="71"/>
      <c r="K150" s="92"/>
      <c r="L150" s="71"/>
      <c r="M150" s="84"/>
      <c r="N150" s="71"/>
      <c r="O150" s="71"/>
      <c r="P150" s="71"/>
      <c r="Q150" s="92"/>
      <c r="R150" s="71"/>
      <c r="S150" s="84"/>
      <c r="T150" s="71"/>
      <c r="U150" s="71"/>
      <c r="V150" s="71"/>
      <c r="W150" s="92"/>
      <c r="X150" s="71"/>
      <c r="Y150" s="84"/>
      <c r="Z150" s="71"/>
      <c r="AA150" s="71"/>
      <c r="AB150" s="71"/>
      <c r="AC150" s="92"/>
      <c r="AD150" s="71"/>
      <c r="AE150" s="634"/>
      <c r="AF150" s="588"/>
      <c r="AG150" s="588"/>
      <c r="AH150" s="588"/>
      <c r="AI150" s="666"/>
      <c r="AJ150" s="588"/>
      <c r="AK150" s="814">
        <v>7.0000000000000007E-2</v>
      </c>
      <c r="AL150" s="815">
        <v>0.05</v>
      </c>
      <c r="AM150" s="815">
        <v>0.05</v>
      </c>
      <c r="AN150" s="815">
        <v>0.05</v>
      </c>
      <c r="AO150" s="664"/>
      <c r="AP150" s="588"/>
      <c r="AQ150" s="634"/>
      <c r="AR150" s="588"/>
      <c r="AS150" s="588"/>
      <c r="AT150" s="588"/>
      <c r="AU150" s="664"/>
      <c r="AV150" s="588"/>
      <c r="AW150" s="818">
        <v>0.16</v>
      </c>
      <c r="AX150" s="819">
        <v>0.16</v>
      </c>
      <c r="AY150" s="819">
        <v>0.16</v>
      </c>
      <c r="AZ150" s="819">
        <v>0.152</v>
      </c>
      <c r="BA150" s="664"/>
      <c r="BB150" s="588"/>
      <c r="BC150" s="818">
        <v>0.18</v>
      </c>
      <c r="BD150" s="819">
        <v>0.18</v>
      </c>
      <c r="BE150" s="819">
        <v>0.18</v>
      </c>
      <c r="BF150" s="819">
        <v>0.17249999999999999</v>
      </c>
      <c r="BG150" s="664"/>
      <c r="BH150" s="588"/>
      <c r="BI150" s="707"/>
      <c r="BJ150" s="604"/>
      <c r="BK150" s="604"/>
      <c r="BL150" s="604"/>
      <c r="BM150" s="665"/>
      <c r="BN150" s="588"/>
      <c r="BO150" s="634">
        <v>0.12</v>
      </c>
      <c r="BP150" s="588">
        <v>0.155</v>
      </c>
      <c r="BQ150" s="588">
        <v>0.14215</v>
      </c>
      <c r="BR150" s="588">
        <v>0.18729999999999999</v>
      </c>
      <c r="BS150" s="665">
        <f>SUMPRODUCT(BO150:BR150,BI$146:BL$146)/BM$146</f>
        <v>0.15285881859559988</v>
      </c>
      <c r="BT150" s="588"/>
      <c r="BU150" s="634">
        <v>0.16269</v>
      </c>
      <c r="BV150" s="588">
        <v>0.20005000000000001</v>
      </c>
      <c r="BW150" s="588">
        <v>4.7056500000000003</v>
      </c>
      <c r="BX150" s="588">
        <v>4.1160100000000002</v>
      </c>
      <c r="BY150" s="665">
        <f>SUMPRODUCT(BU150:BX150,BO$146:BR$146)/BS$146</f>
        <v>2.4037166653156032</v>
      </c>
      <c r="BZ150" s="588"/>
      <c r="CA150" s="634">
        <v>3.6089500000000001</v>
      </c>
      <c r="CB150" s="588">
        <v>3.4835500000000001</v>
      </c>
      <c r="CC150" s="588">
        <v>-2.5000000000000001E-2</v>
      </c>
      <c r="CD150" s="588">
        <v>0</v>
      </c>
      <c r="CE150" s="665">
        <f>SUMPRODUCT(CA150:CD150,BU$146:BX$146)/BY$146</f>
        <v>0.61575429681953242</v>
      </c>
      <c r="CF150" s="588"/>
      <c r="CG150" s="634">
        <v>5.0000000000000001E-3</v>
      </c>
      <c r="CH150" s="588">
        <v>1.4999999999999999E-2</v>
      </c>
      <c r="CI150" s="588">
        <v>5.5E-2</v>
      </c>
      <c r="CJ150" s="588">
        <v>3.5000000000000003E-2</v>
      </c>
      <c r="CK150" s="665">
        <f>SUMPRODUCT(CG150:CJ150,CA$146:CD$146)/CE$146</f>
        <v>2.7578914592000209E-2</v>
      </c>
      <c r="CL150" s="588"/>
      <c r="CM150" s="634">
        <v>0.03</v>
      </c>
      <c r="CN150" s="588">
        <v>0.02</v>
      </c>
      <c r="CO150" s="588">
        <v>0.02</v>
      </c>
      <c r="CP150" s="588">
        <v>0.04</v>
      </c>
      <c r="CQ150" s="665">
        <f>SUMPRODUCT(CM150:CP150,CG$146:CJ$146)/CK$146</f>
        <v>2.779261223145045E-2</v>
      </c>
      <c r="CR150" s="541"/>
      <c r="CS150" s="778">
        <v>0.06</v>
      </c>
      <c r="CT150" s="779">
        <v>8.5000000000000006E-2</v>
      </c>
      <c r="CU150" s="779">
        <v>8.5000000000000006E-2</v>
      </c>
      <c r="CV150" s="779">
        <v>7.0000000000000007E-2</v>
      </c>
      <c r="CW150" s="777">
        <v>7.0000000000000007E-2</v>
      </c>
      <c r="CX150" s="541"/>
      <c r="CY150" s="778">
        <v>0.01</v>
      </c>
      <c r="CZ150" s="779">
        <v>0</v>
      </c>
      <c r="DA150" s="779">
        <v>0</v>
      </c>
      <c r="DB150" s="779">
        <v>9.5000000000000001E-2</v>
      </c>
      <c r="DC150" s="777">
        <v>2.763533647876832E-2</v>
      </c>
      <c r="DD150" s="541"/>
      <c r="DE150" s="778">
        <v>0.155</v>
      </c>
      <c r="DF150" s="779">
        <v>0.13500000000000001</v>
      </c>
      <c r="DG150" s="779">
        <v>0.15</v>
      </c>
      <c r="DH150" s="779">
        <v>0.05</v>
      </c>
      <c r="DI150" s="540">
        <f>SUMPRODUCT(DE150:DH150,CY$146:DB$146)/DC$146</f>
        <v>0.11896512712621321</v>
      </c>
      <c r="DJ150" s="541"/>
      <c r="DK150" s="778">
        <v>0</v>
      </c>
      <c r="DL150" s="796">
        <v>0</v>
      </c>
      <c r="DM150" s="796">
        <v>0</v>
      </c>
      <c r="DN150" s="796">
        <v>0</v>
      </c>
      <c r="DO150" s="540">
        <f>SUMPRODUCT(DK150:DN150,DE$146:DH$146)/DI$146</f>
        <v>0</v>
      </c>
      <c r="DP150" s="541"/>
      <c r="DQ150" s="795">
        <v>0</v>
      </c>
      <c r="DR150" s="796">
        <v>0</v>
      </c>
      <c r="DS150" s="796">
        <v>0</v>
      </c>
      <c r="DT150" s="796">
        <v>0</v>
      </c>
      <c r="DU150" s="540">
        <f>SUMPRODUCT(DQ150:DT150,DK$146:DN$146)/DO$146</f>
        <v>0</v>
      </c>
      <c r="DV150" s="541"/>
      <c r="DW150" s="795">
        <v>0</v>
      </c>
      <c r="DX150" s="796">
        <v>0</v>
      </c>
      <c r="DY150" s="796">
        <v>0</v>
      </c>
      <c r="DZ150" s="796">
        <v>0</v>
      </c>
      <c r="EA150" s="540">
        <f>SUMPRODUCT(DW150:DZ150,DQ$146:DT$146)/DU$146</f>
        <v>0</v>
      </c>
      <c r="EB150" s="541"/>
      <c r="EC150" s="795">
        <v>0</v>
      </c>
      <c r="ED150" s="796">
        <v>0</v>
      </c>
      <c r="EE150" s="796">
        <v>0</v>
      </c>
      <c r="EF150" s="796">
        <v>0</v>
      </c>
      <c r="EG150" s="540">
        <f>SUMPRODUCT(EC150:EF150,DW$146:DZ$146)/EA$146</f>
        <v>0</v>
      </c>
    </row>
    <row r="151" spans="1:137" ht="11.25" customHeight="1" outlineLevel="1" x14ac:dyDescent="0.2">
      <c r="A151" s="538" t="s">
        <v>379</v>
      </c>
      <c r="B151" s="14"/>
      <c r="C151" s="14"/>
      <c r="D151" s="14"/>
      <c r="E151" s="92"/>
      <c r="F151" s="71"/>
      <c r="G151" s="92"/>
      <c r="H151" s="71"/>
      <c r="I151" s="92"/>
      <c r="J151" s="71"/>
      <c r="K151" s="92"/>
      <c r="L151" s="71"/>
      <c r="M151" s="84"/>
      <c r="N151" s="71"/>
      <c r="O151" s="71"/>
      <c r="P151" s="71"/>
      <c r="Q151" s="92"/>
      <c r="R151" s="71"/>
      <c r="S151" s="84"/>
      <c r="T151" s="71"/>
      <c r="U151" s="71"/>
      <c r="V151" s="71"/>
      <c r="W151" s="92"/>
      <c r="X151" s="71"/>
      <c r="Y151" s="84"/>
      <c r="Z151" s="71"/>
      <c r="AA151" s="71"/>
      <c r="AB151" s="71"/>
      <c r="AC151" s="92"/>
      <c r="AD151" s="71"/>
      <c r="AE151" s="631"/>
      <c r="AF151" s="593"/>
      <c r="AG151" s="593"/>
      <c r="AH151" s="590"/>
      <c r="AI151" s="660"/>
      <c r="AJ151" s="588"/>
      <c r="AK151" s="631"/>
      <c r="AL151" s="593"/>
      <c r="AM151" s="593"/>
      <c r="AN151" s="590"/>
      <c r="AO151" s="660"/>
      <c r="AP151" s="588"/>
      <c r="AQ151" s="631"/>
      <c r="AR151" s="593"/>
      <c r="AS151" s="593"/>
      <c r="AT151" s="590"/>
      <c r="AU151" s="660"/>
      <c r="AV151" s="588"/>
      <c r="AW151" s="631"/>
      <c r="AX151" s="593"/>
      <c r="AY151" s="593"/>
      <c r="AZ151" s="590"/>
      <c r="BA151" s="660"/>
      <c r="BB151" s="588"/>
      <c r="BC151" s="631"/>
      <c r="BD151" s="593"/>
      <c r="BE151" s="593"/>
      <c r="BF151" s="590"/>
      <c r="BG151" s="660"/>
      <c r="BH151" s="588"/>
      <c r="BI151" s="634"/>
      <c r="BJ151" s="588"/>
      <c r="BK151" s="588"/>
      <c r="BL151" s="588"/>
      <c r="BM151" s="660"/>
      <c r="BN151" s="588"/>
      <c r="BO151" s="634">
        <v>0.05</v>
      </c>
      <c r="BP151" s="588">
        <v>-1.4999999999999999E-2</v>
      </c>
      <c r="BQ151" s="588">
        <v>-2.5000000000000001E-2</v>
      </c>
      <c r="BR151" s="588">
        <v>-1.4999999999999999E-2</v>
      </c>
      <c r="BS151" s="660">
        <v>0</v>
      </c>
      <c r="BT151" s="588"/>
      <c r="BU151" s="634">
        <v>2.5000000000000001E-2</v>
      </c>
      <c r="BV151" s="588">
        <v>7.4999999999999997E-2</v>
      </c>
      <c r="BW151" s="588">
        <v>5.5E-2</v>
      </c>
      <c r="BX151" s="588">
        <v>0</v>
      </c>
      <c r="BY151" s="660">
        <v>3.5000000000000003E-2</v>
      </c>
      <c r="BZ151" s="644"/>
      <c r="CA151" s="634">
        <v>-5.0000000000000001E-3</v>
      </c>
      <c r="CB151" s="588">
        <v>-3.5000000000000003E-2</v>
      </c>
      <c r="CC151" s="588">
        <v>-0.03</v>
      </c>
      <c r="CD151" s="588">
        <v>-5.0000000000000001E-3</v>
      </c>
      <c r="CE151" s="660">
        <v>-0.02</v>
      </c>
      <c r="CF151" s="644"/>
      <c r="CG151" s="634">
        <v>-1.4999999999999999E-2</v>
      </c>
      <c r="CH151" s="588">
        <v>-0.01</v>
      </c>
      <c r="CI151" s="588">
        <v>-0.01</v>
      </c>
      <c r="CJ151" s="588">
        <v>-1.4999999999999999E-2</v>
      </c>
      <c r="CK151" s="660">
        <v>-1.4999999999999999E-2</v>
      </c>
      <c r="CL151" s="644"/>
      <c r="CM151" s="634">
        <v>-5.0000000000000001E-3</v>
      </c>
      <c r="CN151" s="588">
        <v>5.0000000000000001E-3</v>
      </c>
      <c r="CO151" s="588">
        <v>-5.0000000000000001E-3</v>
      </c>
      <c r="CP151" s="590">
        <v>-0.04</v>
      </c>
      <c r="CQ151" s="698">
        <f>SUMPRODUCT(CM151:CP151,CG$146:CJ$146)/CK$146</f>
        <v>-1.2097624088212399E-2</v>
      </c>
      <c r="CR151" s="541"/>
      <c r="CS151" s="778">
        <v>-7.0000000000000007E-2</v>
      </c>
      <c r="CT151" s="779">
        <v>-7.0000000000000007E-2</v>
      </c>
      <c r="CU151" s="779">
        <v>-7.4999999999999997E-2</v>
      </c>
      <c r="CV151" s="779">
        <v>-5.5E-2</v>
      </c>
      <c r="CW151" s="777">
        <v>-6.5000000000000002E-2</v>
      </c>
      <c r="CX151" s="541"/>
      <c r="CY151" s="542">
        <f>+CY152-CY150-CY149</f>
        <v>-1.9325742750400304E-2</v>
      </c>
      <c r="CZ151" s="543">
        <f>+CZ152-CZ150-CZ149</f>
        <v>-9.8795180722892444E-3</v>
      </c>
      <c r="DA151" s="543">
        <f>+DA152-DA150-DA149</f>
        <v>1.3828882463005343E-3</v>
      </c>
      <c r="DB151" s="543">
        <f>+DB152-DB150-DB149</f>
        <v>-1.2835948423178589E-2</v>
      </c>
      <c r="DC151" s="540">
        <f>+DC152-DC150-DC149</f>
        <v>-1.0124368843638556E-2</v>
      </c>
      <c r="DD151" s="541"/>
      <c r="DE151" s="542">
        <f>+DE152-DE150-DE149</f>
        <v>-1.1807780320366286E-2</v>
      </c>
      <c r="DF151" s="543">
        <f>+DF152-DF150-DF149</f>
        <v>-1.4961832061068582E-2</v>
      </c>
      <c r="DG151" s="543">
        <f>+DG152-DG150-DG149</f>
        <v>4.6070751216293407E-3</v>
      </c>
      <c r="DH151" s="543">
        <f>+DH152-DH150-DH149</f>
        <v>2.4166783070261308E-2</v>
      </c>
      <c r="DI151" s="540">
        <f>SUMPRODUCT(DE151:DH151,CY$146:DB$146)/DC$146</f>
        <v>1.5793025425242684E-3</v>
      </c>
      <c r="DJ151" s="541"/>
      <c r="DK151" s="542">
        <f>+DK152-DK150-DK149</f>
        <v>4.9955925563173381E-2</v>
      </c>
      <c r="DL151" s="796">
        <v>3.5000000000000003E-2</v>
      </c>
      <c r="DM151" s="796">
        <v>0.01</v>
      </c>
      <c r="DN151" s="796">
        <v>0.02</v>
      </c>
      <c r="DO151" s="540">
        <f>SUMPRODUCT(DK151:DN151,DE$146:DH$146)/DI$146</f>
        <v>2.8026421685302838E-2</v>
      </c>
      <c r="DP151" s="541"/>
      <c r="DQ151" s="795">
        <v>0</v>
      </c>
      <c r="DR151" s="796">
        <v>0</v>
      </c>
      <c r="DS151" s="796">
        <v>0</v>
      </c>
      <c r="DT151" s="796">
        <v>0</v>
      </c>
      <c r="DU151" s="540">
        <f>SUMPRODUCT(DQ151:DT151,DK$146:DN$146)/DO$146</f>
        <v>0</v>
      </c>
      <c r="DV151" s="541"/>
      <c r="DW151" s="795">
        <v>0</v>
      </c>
      <c r="DX151" s="796">
        <v>0</v>
      </c>
      <c r="DY151" s="796">
        <v>0</v>
      </c>
      <c r="DZ151" s="796">
        <v>0</v>
      </c>
      <c r="EA151" s="540">
        <f>SUMPRODUCT(DW151:DZ151,DQ$146:DT$146)/DU$146</f>
        <v>0</v>
      </c>
      <c r="EB151" s="541"/>
      <c r="EC151" s="795">
        <v>0</v>
      </c>
      <c r="ED151" s="796">
        <v>0</v>
      </c>
      <c r="EE151" s="796">
        <v>0</v>
      </c>
      <c r="EF151" s="796">
        <v>0</v>
      </c>
      <c r="EG151" s="540">
        <f>SUMPRODUCT(EC151:EF151,DW$146:DZ$146)/EA$146</f>
        <v>0</v>
      </c>
    </row>
    <row r="152" spans="1:137" ht="11.25" customHeight="1" outlineLevel="1" x14ac:dyDescent="0.2">
      <c r="A152" s="538" t="s">
        <v>503</v>
      </c>
      <c r="B152" s="14"/>
      <c r="C152" s="14"/>
      <c r="D152" s="14"/>
      <c r="E152" s="92"/>
      <c r="F152" s="71"/>
      <c r="G152" s="92"/>
      <c r="H152" s="71"/>
      <c r="I152" s="92"/>
      <c r="J152" s="71"/>
      <c r="K152" s="92"/>
      <c r="L152" s="71"/>
      <c r="M152" s="84"/>
      <c r="N152" s="71"/>
      <c r="O152" s="71"/>
      <c r="P152" s="71"/>
      <c r="Q152" s="92"/>
      <c r="R152" s="71"/>
      <c r="S152" s="84"/>
      <c r="T152" s="71"/>
      <c r="U152" s="71"/>
      <c r="V152" s="71"/>
      <c r="W152" s="92"/>
      <c r="X152" s="71"/>
      <c r="Y152" s="84"/>
      <c r="Z152" s="71"/>
      <c r="AA152" s="71"/>
      <c r="AB152" s="71"/>
      <c r="AC152" s="92"/>
      <c r="AD152" s="71"/>
      <c r="AE152" s="630" t="s">
        <v>501</v>
      </c>
      <c r="AF152" s="596" t="s">
        <v>501</v>
      </c>
      <c r="AG152" s="596" t="s">
        <v>501</v>
      </c>
      <c r="AH152" s="596" t="s">
        <v>501</v>
      </c>
      <c r="AI152" s="665"/>
      <c r="AJ152" s="588"/>
      <c r="AK152" s="707">
        <f>+AK146/AE146-1</f>
        <v>7.0000000000000062E-2</v>
      </c>
      <c r="AL152" s="604">
        <f>+AL146/AF146-1</f>
        <v>5.0000000000000044E-2</v>
      </c>
      <c r="AM152" s="604">
        <f>+AM146/AG146-1</f>
        <v>5.0000000000000044E-2</v>
      </c>
      <c r="AN152" s="604">
        <f>+AN146/AH146-1</f>
        <v>5.0000000000000044E-2</v>
      </c>
      <c r="AO152" s="665">
        <f>+AO146/AI146-1</f>
        <v>5.4802912852289998E-2</v>
      </c>
      <c r="AP152" s="588"/>
      <c r="AQ152" s="707">
        <f>+AQ146/AK146-1</f>
        <v>0.15999999999999992</v>
      </c>
      <c r="AR152" s="604">
        <f>+AR146/AL146-1</f>
        <v>0.15999999999999992</v>
      </c>
      <c r="AS152" s="604">
        <f>+AS146/AM146-1</f>
        <v>0.15999999999999992</v>
      </c>
      <c r="AT152" s="604">
        <f>+AT146/AN146-1</f>
        <v>0.15999999999999992</v>
      </c>
      <c r="AU152" s="665">
        <f>+AU146/AO146-1</f>
        <v>0.15999999999999992</v>
      </c>
      <c r="AV152" s="588"/>
      <c r="AW152" s="707">
        <f>+AW146/AQ146-1</f>
        <v>0.15999999999999992</v>
      </c>
      <c r="AX152" s="604">
        <f>+AX146/AR146-1</f>
        <v>0.15999999999999992</v>
      </c>
      <c r="AY152" s="604">
        <f>+AY146/AS146-1</f>
        <v>0.15999999999999992</v>
      </c>
      <c r="AZ152" s="604">
        <f>+AZ146/AT146-1</f>
        <v>0.15199999999999991</v>
      </c>
      <c r="BA152" s="665">
        <f>+BA146/AU146-1</f>
        <v>0.15791380158214574</v>
      </c>
      <c r="BB152" s="588"/>
      <c r="BC152" s="707">
        <f>+BC146/AW146-1</f>
        <v>0.17999999999999994</v>
      </c>
      <c r="BD152" s="604">
        <f>+BD146/AX146-1</f>
        <v>0.17999999999999994</v>
      </c>
      <c r="BE152" s="604">
        <f>+BE146/AY146-1</f>
        <v>0.17999999999999994</v>
      </c>
      <c r="BF152" s="604">
        <f>+BF146/AZ146-1</f>
        <v>0.17249999999999988</v>
      </c>
      <c r="BG152" s="665">
        <f>+BG146/BA146-1</f>
        <v>0.17805417787731348</v>
      </c>
      <c r="BH152" s="588"/>
      <c r="BI152" s="634">
        <v>-8.9999999999999998E-4</v>
      </c>
      <c r="BJ152" s="588">
        <v>1.389E-2</v>
      </c>
      <c r="BK152" s="588">
        <v>1.1900000000000001E-2</v>
      </c>
      <c r="BL152" s="588">
        <v>0.15015000000000001</v>
      </c>
      <c r="BM152" s="665">
        <f>+BM146/BG146-1</f>
        <v>4.4957312165223806E-2</v>
      </c>
      <c r="BN152" s="588"/>
      <c r="BO152" s="636">
        <f>+BO151+BO150+BO147</f>
        <v>0.25</v>
      </c>
      <c r="BP152" s="608">
        <f>+BP151+BP150+BP147</f>
        <v>0.22000000000000003</v>
      </c>
      <c r="BQ152" s="608">
        <f>+BQ151+BQ150+BQ147</f>
        <v>0.20715</v>
      </c>
      <c r="BR152" s="608">
        <f>+BR151+BR150+BR147</f>
        <v>0.26229999999999998</v>
      </c>
      <c r="BS152" s="665">
        <f>+BS146/BM146-1</f>
        <v>0.23589276520718228</v>
      </c>
      <c r="BT152" s="588"/>
      <c r="BU152" s="636">
        <f>+BU151+BU150+BU147</f>
        <v>0.27768999999999999</v>
      </c>
      <c r="BV152" s="608">
        <f>+BV151+BV150+BV147</f>
        <v>0.36504999999999999</v>
      </c>
      <c r="BW152" s="608">
        <f>+BW151+BW150+BW147</f>
        <v>4.8406500000000001</v>
      </c>
      <c r="BX152" s="608">
        <f>+BX151+BX150+BX147</f>
        <v>4.1960100000000002</v>
      </c>
      <c r="BY152" s="665">
        <f>+BY146/BS146-1</f>
        <v>2.5250601640959633</v>
      </c>
      <c r="BZ152" s="588"/>
      <c r="CA152" s="636">
        <f>+CA151+CA150+CA147</f>
        <v>3.65395</v>
      </c>
      <c r="CB152" s="608">
        <f>+CB151+CB150+CB147</f>
        <v>3.4985499999999998</v>
      </c>
      <c r="CC152" s="608">
        <f>+CC151+CC150+CC147</f>
        <v>-4.9999999999999975E-3</v>
      </c>
      <c r="CD152" s="608">
        <f>+CD151+CD150+CD147</f>
        <v>5.5E-2</v>
      </c>
      <c r="CE152" s="665">
        <f>+CE146/BY146-1</f>
        <v>0.65241824697055528</v>
      </c>
      <c r="CF152" s="588"/>
      <c r="CG152" s="636">
        <f>+CG151+CG150+CG147</f>
        <v>0.02</v>
      </c>
      <c r="CH152" s="608">
        <f>+CH151+CH150+CH147</f>
        <v>5.8819999999999997E-2</v>
      </c>
      <c r="CI152" s="608">
        <f>+CI151+CI150+CI147</f>
        <v>9.7900000000000001E-2</v>
      </c>
      <c r="CJ152" s="608">
        <f>+CJ151+CJ150+CJ147</f>
        <v>6.0000000000000005E-2</v>
      </c>
      <c r="CK152" s="665">
        <f>+CK146/CE146-1</f>
        <v>5.9083622822077242E-2</v>
      </c>
      <c r="CL152" s="588"/>
      <c r="CM152" s="636">
        <f>+CM151+CM150+CM149</f>
        <v>5.6499999999999995E-2</v>
      </c>
      <c r="CN152" s="608">
        <f>+CN151+CN150+CN149</f>
        <v>7.9399999999999998E-2</v>
      </c>
      <c r="CO152" s="608">
        <f>+CO151+CO150+CO149</f>
        <v>0.05</v>
      </c>
      <c r="CP152" s="608">
        <f>+CP151+CP150+CP149</f>
        <v>5.1580000000000001E-2</v>
      </c>
      <c r="CQ152" s="665">
        <f>+CQ146/CK146-1</f>
        <v>5.9211131032962161E-2</v>
      </c>
      <c r="CR152" s="541"/>
      <c r="CS152" s="542">
        <f>+CS151+CS150+CS149</f>
        <v>4.9999999999999989E-2</v>
      </c>
      <c r="CT152" s="543">
        <f>+CT151+CT150+CT149</f>
        <v>7.0000000000000007E-2</v>
      </c>
      <c r="CU152" s="543">
        <f>+CU151+CU150+CU149</f>
        <v>4.0000000000000008E-2</v>
      </c>
      <c r="CV152" s="543">
        <f>+CV151+CV150+CV149</f>
        <v>3.0000000000000006E-2</v>
      </c>
      <c r="CW152" s="540">
        <f>+CW151+CW150+CW149</f>
        <v>4.5000000000000005E-2</v>
      </c>
      <c r="CX152" s="543"/>
      <c r="CY152" s="542">
        <f>IF(ISERROR(CY146/CS146-1),"-",CY146/CS146-1)</f>
        <v>1.0674257249599695E-2</v>
      </c>
      <c r="CZ152" s="543">
        <f>IF(ISERROR(CZ146/CT146-1),"-",CZ146/CT146-1)</f>
        <v>1.0120481927710756E-2</v>
      </c>
      <c r="DA152" s="543">
        <f>IF(ISERROR(DA146/CU146-1),"-",DA146/CU146-1)</f>
        <v>3.1382888246300533E-2</v>
      </c>
      <c r="DB152" s="543">
        <f>IF(ISERROR(DB146/CV146-1),"-",DB146/CV146-1)</f>
        <v>0.11216405157682141</v>
      </c>
      <c r="DC152" s="540">
        <f>IF(ISERROR(DC146/CW146-1),"-",DC146/CW146-1)</f>
        <v>4.2608227795712494E-2</v>
      </c>
      <c r="DD152" s="541"/>
      <c r="DE152" s="542">
        <f>IF(ISERROR(DE146/CY146-1),"-",DE146/CY146-1)</f>
        <v>0.16819221967963371</v>
      </c>
      <c r="DF152" s="543">
        <f>IF(ISERROR(DF146/CZ146-1),"-",DF146/CZ146-1)</f>
        <v>0.14503816793893143</v>
      </c>
      <c r="DG152" s="543">
        <f>IF(ISERROR(DG146/DA146-1),"-",DG146/DA146-1)</f>
        <v>0.19460707512162934</v>
      </c>
      <c r="DH152" s="543">
        <f>IF(ISERROR(DH146/DB146-1),"-",DH146/DB146-1)</f>
        <v>0.13416678307026131</v>
      </c>
      <c r="DI152" s="540">
        <f>IF(ISERROR(DI146/DC146-1),"-",DI146/DC146-1)</f>
        <v>0.15910128416330904</v>
      </c>
      <c r="DJ152" s="541"/>
      <c r="DK152" s="542">
        <f>IF(ISERROR(DK146/DE146-1),"-",DK146/DE146-1)</f>
        <v>0.14495592556317338</v>
      </c>
      <c r="DL152" s="543">
        <f t="shared" ref="DL152" si="219">+DL151+DL150+DL149</f>
        <v>0.09</v>
      </c>
      <c r="DM152" s="543">
        <f t="shared" ref="DM152" si="220">+DM151+DM150+DM149</f>
        <v>0.05</v>
      </c>
      <c r="DN152" s="543">
        <f t="shared" ref="DN152" si="221">+DN151+DN150+DN149</f>
        <v>0.05</v>
      </c>
      <c r="DO152" s="540">
        <f>IF(ISERROR(DO146/DI146-1),"-",DO146/DI146-1)</f>
        <v>8.144488775492742E-2</v>
      </c>
      <c r="DP152" s="541"/>
      <c r="DQ152" s="542">
        <f>+DQ151+DQ150+DQ149</f>
        <v>0</v>
      </c>
      <c r="DR152" s="543">
        <f>+DR151+DR150+DR149</f>
        <v>0.03</v>
      </c>
      <c r="DS152" s="543">
        <f>+DS151+DS150+DS149</f>
        <v>0.03</v>
      </c>
      <c r="DT152" s="543">
        <f>+DT151+DT150+DT149</f>
        <v>0.03</v>
      </c>
      <c r="DU152" s="540">
        <f>IF(ISERROR(DU146/DO146-1),"-",DU146/DO146-1)</f>
        <v>2.2781128424692598E-2</v>
      </c>
      <c r="DV152" s="541"/>
      <c r="DW152" s="542">
        <f>+DW151+DW150+DW149</f>
        <v>0.05</v>
      </c>
      <c r="DX152" s="543">
        <f>+DX151+DX150+DX149</f>
        <v>0.05</v>
      </c>
      <c r="DY152" s="543">
        <f>+DY151+DY150+DY149</f>
        <v>0.05</v>
      </c>
      <c r="DZ152" s="543">
        <f>+DZ151+DZ150+DZ149</f>
        <v>0.05</v>
      </c>
      <c r="EA152" s="540">
        <f>IF(ISERROR(EA146/DU146-1),"-",EA146/DU146-1)</f>
        <v>5.0000000000000044E-2</v>
      </c>
      <c r="EB152" s="541"/>
      <c r="EC152" s="542">
        <f>+EC151+EC150+EC147</f>
        <v>0.05</v>
      </c>
      <c r="ED152" s="543">
        <f>+ED151+ED150+ED147</f>
        <v>0.05</v>
      </c>
      <c r="EE152" s="543">
        <f>+EE151+EE150+EE147</f>
        <v>0.05</v>
      </c>
      <c r="EF152" s="543">
        <f>+EF151+EF150+EF147</f>
        <v>0.05</v>
      </c>
      <c r="EG152" s="540">
        <f>IF(ISERROR(EG146/EA146-1),"-",EG146/EA146-1)</f>
        <v>5.0000000000000266E-2</v>
      </c>
    </row>
    <row r="153" spans="1:137" ht="11.25" customHeight="1" outlineLevel="1" x14ac:dyDescent="0.2">
      <c r="A153" s="51"/>
      <c r="B153" s="14"/>
      <c r="C153" s="14"/>
      <c r="D153" s="14"/>
      <c r="E153" s="92"/>
      <c r="F153" s="71"/>
      <c r="G153" s="92"/>
      <c r="H153" s="71"/>
      <c r="I153" s="92"/>
      <c r="J153" s="71"/>
      <c r="K153" s="92"/>
      <c r="L153" s="71"/>
      <c r="M153" s="84"/>
      <c r="N153" s="71"/>
      <c r="O153" s="71"/>
      <c r="P153" s="71"/>
      <c r="Q153" s="92"/>
      <c r="R153" s="71"/>
      <c r="S153" s="84"/>
      <c r="T153" s="71"/>
      <c r="U153" s="71"/>
      <c r="V153" s="71"/>
      <c r="W153" s="92"/>
      <c r="X153" s="71"/>
      <c r="Y153" s="84"/>
      <c r="Z153" s="71"/>
      <c r="AA153" s="71"/>
      <c r="AB153" s="71"/>
      <c r="AC153" s="92"/>
      <c r="AD153" s="71"/>
      <c r="AE153" s="84"/>
      <c r="AF153" s="71"/>
      <c r="AG153" s="71"/>
      <c r="AH153" s="71"/>
      <c r="AI153" s="92"/>
      <c r="AJ153" s="71"/>
      <c r="AK153" s="84"/>
      <c r="AL153" s="71"/>
      <c r="AM153" s="71"/>
      <c r="AN153" s="71"/>
      <c r="AO153" s="92"/>
      <c r="AP153" s="71"/>
      <c r="AQ153" s="84"/>
      <c r="AR153" s="71"/>
      <c r="AS153" s="71"/>
      <c r="AT153" s="71"/>
      <c r="AU153" s="92"/>
      <c r="AV153" s="71"/>
      <c r="AW153" s="84"/>
      <c r="AX153" s="71"/>
      <c r="AY153" s="71"/>
      <c r="AZ153" s="71"/>
      <c r="BA153" s="92"/>
      <c r="BB153" s="71"/>
      <c r="BC153" s="84"/>
      <c r="BD153" s="71"/>
      <c r="BE153" s="71"/>
      <c r="BF153" s="71"/>
      <c r="BG153" s="92"/>
      <c r="BH153" s="71"/>
      <c r="BI153" s="84"/>
      <c r="BJ153" s="71"/>
      <c r="BK153" s="71"/>
      <c r="BL153" s="71"/>
      <c r="BM153" s="92"/>
      <c r="BN153" s="71"/>
      <c r="BO153" s="84"/>
      <c r="BP153" s="71"/>
      <c r="BQ153" s="71"/>
      <c r="BR153" s="71"/>
      <c r="BS153" s="92"/>
      <c r="BT153" s="71"/>
      <c r="BU153" s="84"/>
      <c r="BV153" s="71"/>
      <c r="BW153" s="71"/>
      <c r="BX153" s="71"/>
      <c r="BY153" s="92"/>
      <c r="BZ153" s="71"/>
      <c r="CA153" s="84"/>
      <c r="CB153" s="71"/>
      <c r="CC153" s="71"/>
      <c r="CD153" s="71"/>
      <c r="CE153" s="92"/>
      <c r="CF153" s="71"/>
      <c r="CG153" s="84"/>
      <c r="CH153" s="71"/>
      <c r="CI153" s="71"/>
      <c r="CJ153" s="71"/>
      <c r="CK153" s="92"/>
      <c r="CL153" s="71"/>
      <c r="CM153" s="84"/>
      <c r="CN153" s="71"/>
      <c r="CO153" s="71"/>
      <c r="CP153" s="71"/>
      <c r="CQ153" s="92"/>
      <c r="CR153" s="71"/>
      <c r="CS153" s="84"/>
      <c r="CT153" s="71"/>
      <c r="CU153" s="71"/>
      <c r="CV153" s="71"/>
      <c r="CW153" s="92"/>
      <c r="CX153" s="71"/>
      <c r="CY153" s="84"/>
      <c r="CZ153" s="71"/>
      <c r="DA153" s="71"/>
      <c r="DB153" s="71"/>
      <c r="DC153" s="92"/>
      <c r="DD153" s="71"/>
      <c r="DE153" s="84"/>
      <c r="DF153" s="71"/>
      <c r="DG153" s="71"/>
      <c r="DH153" s="347"/>
      <c r="DI153" s="92"/>
      <c r="DJ153" s="71"/>
      <c r="DK153" s="84"/>
      <c r="DL153" s="71"/>
      <c r="DM153" s="71"/>
      <c r="DN153" s="71"/>
      <c r="DO153" s="1173"/>
      <c r="DP153" s="71"/>
      <c r="DQ153" s="84"/>
      <c r="DR153" s="71"/>
      <c r="DS153" s="71"/>
      <c r="DT153" s="71"/>
      <c r="DU153" s="92"/>
      <c r="DV153" s="71"/>
      <c r="DW153" s="84"/>
      <c r="DX153" s="71"/>
      <c r="DY153" s="71"/>
      <c r="DZ153" s="71"/>
      <c r="EA153" s="92"/>
      <c r="EB153" s="71"/>
      <c r="EC153" s="84"/>
      <c r="ED153" s="71"/>
      <c r="EE153" s="71"/>
      <c r="EF153" s="71"/>
      <c r="EG153" s="92"/>
    </row>
    <row r="154" spans="1:137" s="384" customFormat="1" ht="11.25" customHeight="1" outlineLevel="1" x14ac:dyDescent="0.2">
      <c r="A154" s="50" t="s">
        <v>407</v>
      </c>
      <c r="B154" s="343"/>
      <c r="C154" s="343"/>
      <c r="D154" s="343"/>
      <c r="E154" s="163"/>
      <c r="F154" s="344"/>
      <c r="G154" s="163"/>
      <c r="H154" s="344"/>
      <c r="I154" s="163"/>
      <c r="J154" s="344"/>
      <c r="K154" s="163"/>
      <c r="L154" s="344"/>
      <c r="M154" s="475"/>
      <c r="N154" s="344"/>
      <c r="O154" s="344"/>
      <c r="P154" s="344"/>
      <c r="Q154" s="163"/>
      <c r="R154" s="344"/>
      <c r="S154" s="475"/>
      <c r="T154" s="344"/>
      <c r="U154" s="344"/>
      <c r="V154" s="344"/>
      <c r="W154" s="163"/>
      <c r="X154" s="344"/>
      <c r="Y154" s="475"/>
      <c r="Z154" s="344"/>
      <c r="AA154" s="344"/>
      <c r="AB154" s="344"/>
      <c r="AC154" s="163"/>
      <c r="AD154" s="344"/>
      <c r="AE154" s="475"/>
      <c r="AF154" s="344"/>
      <c r="AG154" s="344"/>
      <c r="AH154" s="344"/>
      <c r="AI154" s="163"/>
      <c r="AJ154" s="344"/>
      <c r="AK154" s="475"/>
      <c r="AL154" s="344"/>
      <c r="AM154" s="344"/>
      <c r="AN154" s="344"/>
      <c r="AO154" s="163"/>
      <c r="AP154" s="344"/>
      <c r="AQ154" s="475"/>
      <c r="AR154" s="344"/>
      <c r="AS154" s="344"/>
      <c r="AT154" s="344"/>
      <c r="AU154" s="163"/>
      <c r="AV154" s="344"/>
      <c r="AW154" s="475"/>
      <c r="AX154" s="344"/>
      <c r="AY154" s="344"/>
      <c r="AZ154" s="344"/>
      <c r="BA154" s="163"/>
      <c r="BB154" s="344"/>
      <c r="BC154" s="475"/>
      <c r="BD154" s="344"/>
      <c r="BE154" s="344"/>
      <c r="BF154" s="344"/>
      <c r="BG154" s="163"/>
      <c r="BH154" s="344"/>
      <c r="BI154" s="475"/>
      <c r="BJ154" s="344"/>
      <c r="BK154" s="344"/>
      <c r="BL154" s="344"/>
      <c r="BM154" s="163"/>
      <c r="BN154" s="344"/>
      <c r="BO154" s="839">
        <v>11.61561111139749</v>
      </c>
      <c r="BP154" s="840">
        <v>9.6118083465069901</v>
      </c>
      <c r="BQ154" s="840">
        <v>20.701932230317198</v>
      </c>
      <c r="BR154" s="840">
        <v>26.848261095315323</v>
      </c>
      <c r="BS154" s="163">
        <f>SUM(BO154:BR154)</f>
        <v>68.777612783536995</v>
      </c>
      <c r="BT154" s="344"/>
      <c r="BU154" s="839">
        <v>30.692096298096722</v>
      </c>
      <c r="BV154" s="840">
        <v>10.643677015949153</v>
      </c>
      <c r="BW154" s="840">
        <v>33.162857439360003</v>
      </c>
      <c r="BX154" s="840">
        <v>147.42593173693442</v>
      </c>
      <c r="BY154" s="163">
        <f>SUM(BU154:BX154)</f>
        <v>221.92456249034029</v>
      </c>
      <c r="BZ154" s="344"/>
      <c r="CA154" s="839">
        <v>134.62785873631398</v>
      </c>
      <c r="CB154" s="840">
        <v>135.89510285032705</v>
      </c>
      <c r="CC154" s="840">
        <v>121.17710285032703</v>
      </c>
      <c r="CD154" s="840">
        <v>171.35034696434013</v>
      </c>
      <c r="CE154" s="163">
        <f>SUM(CA154:CD154)</f>
        <v>563.05041140130822</v>
      </c>
      <c r="CF154" s="344"/>
      <c r="CG154" s="839">
        <v>130.11444657920705</v>
      </c>
      <c r="CH154" s="840">
        <v>157.37913185334068</v>
      </c>
      <c r="CI154" s="840">
        <v>161.40513185334069</v>
      </c>
      <c r="CJ154" s="840">
        <v>211.63781712747431</v>
      </c>
      <c r="CK154" s="163">
        <f>SUM(CG154:CJ154)</f>
        <v>660.53652741336282</v>
      </c>
      <c r="CL154" s="344"/>
      <c r="CM154" s="839">
        <v>144.01730929600001</v>
      </c>
      <c r="CN154" s="840">
        <v>184.88239985599998</v>
      </c>
      <c r="CO154" s="840">
        <v>179.55271107200002</v>
      </c>
      <c r="CP154" s="164">
        <f>CQ154-SUM(CM154:CO154)</f>
        <v>216.54757977599996</v>
      </c>
      <c r="CQ154" s="841">
        <v>725</v>
      </c>
      <c r="CR154" s="344"/>
      <c r="CS154" s="475">
        <v>141.6</v>
      </c>
      <c r="CT154" s="344">
        <v>209.5</v>
      </c>
      <c r="CU154" s="344">
        <v>159.19999999999999</v>
      </c>
      <c r="CV154" s="344">
        <v>235.9</v>
      </c>
      <c r="CW154" s="163">
        <f>SUM(CS154:CV154)</f>
        <v>746.2</v>
      </c>
      <c r="CX154" s="344"/>
      <c r="CY154" s="475">
        <v>180.2</v>
      </c>
      <c r="CZ154" s="344">
        <v>232.2</v>
      </c>
      <c r="DA154" s="344">
        <v>193.9</v>
      </c>
      <c r="DB154" s="344">
        <v>180.1</v>
      </c>
      <c r="DC154" s="163">
        <f>SUM(CY154:DB154)</f>
        <v>786.4</v>
      </c>
      <c r="DD154" s="164"/>
      <c r="DE154" s="475">
        <v>154.6</v>
      </c>
      <c r="DF154" s="344">
        <f>157.6</f>
        <v>157.6</v>
      </c>
      <c r="DG154" s="344">
        <v>242.7</v>
      </c>
      <c r="DH154" s="344">
        <v>316.7</v>
      </c>
      <c r="DI154" s="163">
        <f>SUM(DE154:DH154)</f>
        <v>871.59999999999991</v>
      </c>
      <c r="DJ154" s="164"/>
      <c r="DK154" s="475">
        <v>248</v>
      </c>
      <c r="DL154" s="164">
        <f>(DL146-DF146)*DL157+DF154+DL166</f>
        <v>255.1278936252593</v>
      </c>
      <c r="DM154" s="164">
        <f>(DM146-DG146)*DM157+DG154+DM166</f>
        <v>262.01076336357369</v>
      </c>
      <c r="DN154" s="164">
        <f>(DN146-DH146)*DN157+DH154+DN166</f>
        <v>348.95104919699986</v>
      </c>
      <c r="DO154" s="163">
        <f>SUM(DK154:DN154)</f>
        <v>1114.0897061858327</v>
      </c>
      <c r="DP154" s="164"/>
      <c r="DQ154" s="165">
        <f>(DQ146-DK146)*DQ157+DK154+DQ166</f>
        <v>254.05980000413797</v>
      </c>
      <c r="DR154" s="164">
        <f>(DR146-DL146)*DR157+DL154+DR166</f>
        <v>276.22728058385189</v>
      </c>
      <c r="DS154" s="164">
        <f>(DS146-DM146)*DS157+DM154+DS166</f>
        <v>282.64033939381403</v>
      </c>
      <c r="DT154" s="164">
        <f>(DT146-DN146)*DT157+DN154+DT166</f>
        <v>371.40751039399964</v>
      </c>
      <c r="DU154" s="163">
        <f>SUM(DQ154:DT154)</f>
        <v>1184.3349303758037</v>
      </c>
      <c r="DV154" s="164"/>
      <c r="DW154" s="165">
        <f>(DW146-DQ146)*DW157+DQ154+DW166</f>
        <v>284.55230000827601</v>
      </c>
      <c r="DX154" s="164">
        <f>(DX146-DR146)*DX157+DR154+DX166</f>
        <v>308.27551554244451</v>
      </c>
      <c r="DY154" s="164">
        <f>(DY146-DS146)*DY157+DS154+DY166</f>
        <v>313.91782422405436</v>
      </c>
      <c r="DZ154" s="164">
        <f>(DZ146-DT146)*DZ157+DT154+DZ166</f>
        <v>405.82502519099944</v>
      </c>
      <c r="EA154" s="163">
        <f>SUM(DW154:DZ154)</f>
        <v>1312.5706649657743</v>
      </c>
      <c r="EB154" s="164"/>
      <c r="EC154" s="165">
        <f>(EC146-DW146)*EC157+DW154+EC166</f>
        <v>316.42905999172422</v>
      </c>
      <c r="ED154" s="164">
        <f>(ED146-DX146)*ED157+DX154+ED166</f>
        <v>341.82596610807434</v>
      </c>
      <c r="EE154" s="164">
        <f>(EE146-DY146)*EE157+DY154+EE166</f>
        <v>346.57782414309304</v>
      </c>
      <c r="EF154" s="164">
        <f>(EF146-DZ146)*EF157+DZ154+EF166</f>
        <v>435.71724308600039</v>
      </c>
      <c r="EG154" s="163">
        <f>SUM(EC154:EF154)</f>
        <v>1440.550093328892</v>
      </c>
    </row>
    <row r="155" spans="1:137" ht="11.25" customHeight="1" outlineLevel="1" x14ac:dyDescent="0.2">
      <c r="A155" s="538" t="s">
        <v>408</v>
      </c>
      <c r="B155" s="539"/>
      <c r="C155" s="539"/>
      <c r="D155" s="539"/>
      <c r="E155" s="540"/>
      <c r="F155" s="541"/>
      <c r="G155" s="540"/>
      <c r="H155" s="541"/>
      <c r="I155" s="540"/>
      <c r="J155" s="541"/>
      <c r="K155" s="540"/>
      <c r="L155" s="541"/>
      <c r="M155" s="542"/>
      <c r="N155" s="543"/>
      <c r="O155" s="543"/>
      <c r="P155" s="543"/>
      <c r="Q155" s="540"/>
      <c r="R155" s="541"/>
      <c r="S155" s="542"/>
      <c r="T155" s="543"/>
      <c r="U155" s="543"/>
      <c r="V155" s="543"/>
      <c r="W155" s="540"/>
      <c r="X155" s="541"/>
      <c r="Y155" s="542"/>
      <c r="Z155" s="543"/>
      <c r="AA155" s="543"/>
      <c r="AB155" s="543"/>
      <c r="AC155" s="540"/>
      <c r="AD155" s="541"/>
      <c r="AE155" s="542"/>
      <c r="AF155" s="543"/>
      <c r="AG155" s="543"/>
      <c r="AH155" s="543"/>
      <c r="AI155" s="540"/>
      <c r="AJ155" s="541"/>
      <c r="AK155" s="542"/>
      <c r="AL155" s="543"/>
      <c r="AM155" s="543"/>
      <c r="AN155" s="543"/>
      <c r="AO155" s="540"/>
      <c r="AP155" s="541"/>
      <c r="AQ155" s="542"/>
      <c r="AR155" s="543"/>
      <c r="AS155" s="543"/>
      <c r="AT155" s="543"/>
      <c r="AU155" s="540"/>
      <c r="AV155" s="541"/>
      <c r="AW155" s="542"/>
      <c r="AX155" s="543"/>
      <c r="AY155" s="543"/>
      <c r="AZ155" s="543"/>
      <c r="BA155" s="540"/>
      <c r="BB155" s="541"/>
      <c r="BC155" s="542"/>
      <c r="BD155" s="543"/>
      <c r="BE155" s="543"/>
      <c r="BF155" s="543"/>
      <c r="BG155" s="540"/>
      <c r="BH155" s="541"/>
      <c r="BI155" s="542"/>
      <c r="BJ155" s="543"/>
      <c r="BK155" s="543"/>
      <c r="BL155" s="543"/>
      <c r="BM155" s="540"/>
      <c r="BN155" s="541"/>
      <c r="BO155" s="542">
        <f>+BO154/BO146</f>
        <v>6.9516958975311516E-2</v>
      </c>
      <c r="BP155" s="543">
        <f>+BP154/BP146</f>
        <v>5.7971040946975791E-2</v>
      </c>
      <c r="BQ155" s="543">
        <f>+BQ154/BQ146</f>
        <v>0.12266690965754995</v>
      </c>
      <c r="BR155" s="543">
        <f>+BR154/BR146</f>
        <v>0.13084676211072349</v>
      </c>
      <c r="BS155" s="540">
        <f>+BS154/BS146</f>
        <v>9.7301851202056144E-2</v>
      </c>
      <c r="BT155" s="541"/>
      <c r="BU155" s="542">
        <f>+BU154/BU146</f>
        <v>0.14376387113440728</v>
      </c>
      <c r="BV155" s="543">
        <f>+BV154/BV146</f>
        <v>4.702720027482394E-2</v>
      </c>
      <c r="BW155" s="543">
        <f>+BW154/BW146</f>
        <v>3.3643975161900708E-2</v>
      </c>
      <c r="BX155" s="543">
        <f>+BX154/BX146</f>
        <v>0.1382772457615794</v>
      </c>
      <c r="BY155" s="540">
        <f>+BY154/BY146</f>
        <v>8.906618365123789E-2</v>
      </c>
      <c r="BZ155" s="541"/>
      <c r="CA155" s="542">
        <f>+CA154/CA146</f>
        <v>0.13549910656497482</v>
      </c>
      <c r="CB155" s="543">
        <f>+CB154/CB146</f>
        <v>0.13347154620369556</v>
      </c>
      <c r="CC155" s="543">
        <f>+CC154/CC146</f>
        <v>0.12355287168269256</v>
      </c>
      <c r="CD155" s="543">
        <f>+CD154/CD146</f>
        <v>0.15233839227465798</v>
      </c>
      <c r="CE155" s="540">
        <f>+CE154/CE146</f>
        <v>0.13675234100212713</v>
      </c>
      <c r="CF155" s="541"/>
      <c r="CG155" s="542">
        <f>+CG154/CG146</f>
        <v>0.12838871150885622</v>
      </c>
      <c r="CH155" s="543">
        <f>+CH154/CH146</f>
        <v>0.14598555797844462</v>
      </c>
      <c r="CI155" s="543">
        <f>+CI154/CI146</f>
        <v>0.14989489174505968</v>
      </c>
      <c r="CJ155" s="543">
        <f>+CJ154/CJ146</f>
        <v>0.17750548927417709</v>
      </c>
      <c r="CK155" s="540">
        <f>+CK154/CK146</f>
        <v>0.15147957431319653</v>
      </c>
      <c r="CL155" s="541"/>
      <c r="CM155" s="542">
        <f>+CM154/CM146</f>
        <v>0.1345075036959664</v>
      </c>
      <c r="CN155" s="543">
        <f>+CN154/CN146</f>
        <v>0.15888244152936365</v>
      </c>
      <c r="CO155" s="543">
        <f>+CO154/CO146</f>
        <v>0.15880792152450984</v>
      </c>
      <c r="CP155" s="543">
        <f>+CP154/CP146</f>
        <v>0.17271479085724323</v>
      </c>
      <c r="CQ155" s="540">
        <f>+CQ154/CQ146</f>
        <v>0.15696857209093826</v>
      </c>
      <c r="CR155" s="541"/>
      <c r="CS155" s="542">
        <f>+CS154/CS146</f>
        <v>0.12595623554527663</v>
      </c>
      <c r="CT155" s="543">
        <f>+CT154/CT146</f>
        <v>0.16827309236947791</v>
      </c>
      <c r="CU155" s="543">
        <f>+CU154/CU146</f>
        <v>0.13539717639054261</v>
      </c>
      <c r="CV155" s="543">
        <f>+CV154/CV146</f>
        <v>0.1832375330122728</v>
      </c>
      <c r="CW155" s="540">
        <f>+CW154/CW146</f>
        <v>0.15441602516347985</v>
      </c>
      <c r="CX155" s="541"/>
      <c r="CY155" s="542">
        <f>+CY154/CY146</f>
        <v>0.15859883823270549</v>
      </c>
      <c r="CZ155" s="543">
        <f>+CZ154/CZ146</f>
        <v>0.18463740458015268</v>
      </c>
      <c r="DA155" s="543">
        <f>+DA154/DA146</f>
        <v>0.15989115197493198</v>
      </c>
      <c r="DB155" s="543">
        <f>+DB154/DB146</f>
        <v>0.12578572426316526</v>
      </c>
      <c r="DC155" s="540">
        <f>+DC154/DC146</f>
        <v>0.1560843935454419</v>
      </c>
      <c r="DD155" s="543"/>
      <c r="DE155" s="542">
        <f>+DE154/DE146</f>
        <v>0.11647705869057486</v>
      </c>
      <c r="DF155" s="543">
        <f>+DF154/DF146</f>
        <v>0.10944444444444444</v>
      </c>
      <c r="DG155" s="543">
        <f>+DG154/DG146</f>
        <v>0.16752950921515841</v>
      </c>
      <c r="DH155" s="543">
        <f>+DH154/DH146</f>
        <v>0.19502432415789148</v>
      </c>
      <c r="DI155" s="540">
        <f>+DI154/DI146</f>
        <v>0.14924913097827017</v>
      </c>
      <c r="DJ155" s="543"/>
      <c r="DK155" s="542">
        <f>+DK154/DK146</f>
        <v>0.16319010330986378</v>
      </c>
      <c r="DL155" s="543">
        <f>+DL154/DL146</f>
        <v>0.16254325536777478</v>
      </c>
      <c r="DM155" s="543">
        <f>+DM154/DM146</f>
        <v>0.17224688365172958</v>
      </c>
      <c r="DN155" s="543">
        <f>+DN154/DN146</f>
        <v>0.20465196906741256</v>
      </c>
      <c r="DO155" s="540">
        <f>+DO154/DO146</f>
        <v>0.17640478410930399</v>
      </c>
      <c r="DP155" s="543"/>
      <c r="DQ155" s="542">
        <f>+DQ154/DQ146</f>
        <v>0.16717760084499439</v>
      </c>
      <c r="DR155" s="543">
        <f>+DR154/DR146</f>
        <v>0.17085998076552303</v>
      </c>
      <c r="DS155" s="543">
        <f>+DS154/DS146</f>
        <v>0.18039693814082808</v>
      </c>
      <c r="DT155" s="543">
        <f>+DT154/DT146</f>
        <v>0.21147784488049315</v>
      </c>
      <c r="DU155" s="540">
        <f>+DU154/DU146</f>
        <v>0.18335047093514817</v>
      </c>
      <c r="DV155" s="543"/>
      <c r="DW155" s="542">
        <f>+DW154/DW146</f>
        <v>0.17832611073506111</v>
      </c>
      <c r="DX155" s="543">
        <f>+DX154/DX146</f>
        <v>0.18160320920798714</v>
      </c>
      <c r="DY155" s="543">
        <f>+DY154/DY146</f>
        <v>0.19081903386070923</v>
      </c>
      <c r="DZ155" s="543">
        <f>+DZ154/DZ146</f>
        <v>0.22007145744914536</v>
      </c>
      <c r="EA155" s="540">
        <f>+EA154/EA146</f>
        <v>0.19352669778719153</v>
      </c>
      <c r="EB155" s="543"/>
      <c r="EC155" s="542">
        <f>+EC154/EC146</f>
        <v>0.18885996265925153</v>
      </c>
      <c r="ED155" s="543">
        <f>+ED154/ED146</f>
        <v>0.19177864112458659</v>
      </c>
      <c r="EE155" s="543">
        <f>+EE154/EE146</f>
        <v>0.2006398473837834</v>
      </c>
      <c r="EF155" s="543">
        <f>+EF154/EF146</f>
        <v>0.2250299601798654</v>
      </c>
      <c r="EG155" s="540">
        <f>+EG154/EG146</f>
        <v>0.2022820089579459</v>
      </c>
    </row>
    <row r="156" spans="1:137" ht="11.25" customHeight="1" outlineLevel="1" x14ac:dyDescent="0.2">
      <c r="A156" s="538" t="s">
        <v>611</v>
      </c>
      <c r="B156" s="539"/>
      <c r="C156" s="539"/>
      <c r="D156" s="539"/>
      <c r="E156" s="540"/>
      <c r="F156" s="541"/>
      <c r="G156" s="540"/>
      <c r="H156" s="541"/>
      <c r="I156" s="540"/>
      <c r="J156" s="541"/>
      <c r="K156" s="540"/>
      <c r="L156" s="541"/>
      <c r="M156" s="542"/>
      <c r="N156" s="543"/>
      <c r="O156" s="543"/>
      <c r="P156" s="543"/>
      <c r="Q156" s="540"/>
      <c r="R156" s="541"/>
      <c r="S156" s="542"/>
      <c r="T156" s="543"/>
      <c r="U156" s="543"/>
      <c r="V156" s="543"/>
      <c r="W156" s="540"/>
      <c r="X156" s="541"/>
      <c r="Y156" s="542"/>
      <c r="Z156" s="543"/>
      <c r="AA156" s="543"/>
      <c r="AB156" s="543"/>
      <c r="AC156" s="540"/>
      <c r="AD156" s="541"/>
      <c r="AE156" s="542"/>
      <c r="AF156" s="543"/>
      <c r="AG156" s="543"/>
      <c r="AH156" s="543"/>
      <c r="AI156" s="540"/>
      <c r="AJ156" s="541"/>
      <c r="AK156" s="542"/>
      <c r="AL156" s="543"/>
      <c r="AM156" s="543"/>
      <c r="AN156" s="543"/>
      <c r="AO156" s="540"/>
      <c r="AP156" s="541"/>
      <c r="AQ156" s="542"/>
      <c r="AR156" s="543"/>
      <c r="AS156" s="543"/>
      <c r="AT156" s="543"/>
      <c r="AU156" s="540"/>
      <c r="AV156" s="541"/>
      <c r="AW156" s="542"/>
      <c r="AX156" s="543"/>
      <c r="AY156" s="543"/>
      <c r="AZ156" s="543"/>
      <c r="BA156" s="540"/>
      <c r="BB156" s="541"/>
      <c r="BC156" s="542"/>
      <c r="BD156" s="543"/>
      <c r="BE156" s="543"/>
      <c r="BF156" s="543"/>
      <c r="BG156" s="540"/>
      <c r="BH156" s="541"/>
      <c r="BI156" s="542"/>
      <c r="BJ156" s="543"/>
      <c r="BK156" s="543"/>
      <c r="BL156" s="543"/>
      <c r="BM156" s="540"/>
      <c r="BN156" s="541"/>
      <c r="BO156" s="542"/>
      <c r="BP156" s="543"/>
      <c r="BQ156" s="543"/>
      <c r="BR156" s="543"/>
      <c r="BS156" s="540"/>
      <c r="BT156" s="541"/>
      <c r="BU156" s="542">
        <f>+BU151*BU$43</f>
        <v>5.000000000000001E-3</v>
      </c>
      <c r="BV156" s="543">
        <f>+BV151*BV$43</f>
        <v>1.4999999999999999E-2</v>
      </c>
      <c r="BW156" s="543">
        <f>+BW151*BW$43</f>
        <v>1.1000000000000001E-2</v>
      </c>
      <c r="BX156" s="543">
        <f>+BX151*BX$43</f>
        <v>0</v>
      </c>
      <c r="BY156" s="540">
        <f>+BY151*BY$43</f>
        <v>7.000000000000001E-3</v>
      </c>
      <c r="BZ156" s="541"/>
      <c r="CA156" s="542">
        <f>+CA151*CA$43</f>
        <v>-1E-3</v>
      </c>
      <c r="CB156" s="543">
        <f>+CB151*CB$43</f>
        <v>-7.000000000000001E-3</v>
      </c>
      <c r="CC156" s="543">
        <f>+CC151*CC$43</f>
        <v>-6.0000000000000001E-3</v>
      </c>
      <c r="CD156" s="543">
        <f>+CD151*CD$43</f>
        <v>-1E-3</v>
      </c>
      <c r="CE156" s="540">
        <f>+CE151*CE$43</f>
        <v>-4.0000000000000001E-3</v>
      </c>
      <c r="CF156" s="541"/>
      <c r="CG156" s="542">
        <f>+CG151*CG$43</f>
        <v>-3.0000000000000001E-3</v>
      </c>
      <c r="CH156" s="543">
        <f>+CH151*CH$43</f>
        <v>-2E-3</v>
      </c>
      <c r="CI156" s="543">
        <f>+CI151*CI$43</f>
        <v>-2E-3</v>
      </c>
      <c r="CJ156" s="543">
        <f>+CJ151*CJ$43</f>
        <v>-3.0000000000000001E-3</v>
      </c>
      <c r="CK156" s="540">
        <f>+CK151*CK$43</f>
        <v>-3.0000000000000001E-3</v>
      </c>
      <c r="CL156" s="541"/>
      <c r="CM156" s="542">
        <f>+CM151*CM$43</f>
        <v>-1E-3</v>
      </c>
      <c r="CN156" s="543">
        <f>+CN151*CN$43</f>
        <v>1E-3</v>
      </c>
      <c r="CO156" s="543">
        <f>+CO151*CO$43</f>
        <v>-1E-3</v>
      </c>
      <c r="CP156" s="543">
        <f>+CP151*CP$43</f>
        <v>-8.0000000000000002E-3</v>
      </c>
      <c r="CQ156" s="540">
        <f>+CQ151*CQ$43</f>
        <v>-2.4195248176424799E-3</v>
      </c>
      <c r="CR156" s="541"/>
      <c r="CS156" s="542">
        <f>+CS151*CS$43</f>
        <v>-7.000000000000001E-3</v>
      </c>
      <c r="CT156" s="543">
        <f>+CT151*CT$43</f>
        <v>-7.000000000000001E-3</v>
      </c>
      <c r="CU156" s="543">
        <f>+CU151*CU$43</f>
        <v>-7.4999999999999997E-3</v>
      </c>
      <c r="CV156" s="543">
        <f>+CV151*CV$43</f>
        <v>-5.5000000000000005E-3</v>
      </c>
      <c r="CW156" s="540">
        <f>+CW151*CW$43</f>
        <v>-6.5000000000000006E-3</v>
      </c>
      <c r="CX156" s="541"/>
      <c r="CY156" s="542">
        <f>+CY151*CY$43</f>
        <v>-3.865148550080061E-3</v>
      </c>
      <c r="CZ156" s="543">
        <f>+CZ151*CZ$43</f>
        <v>-1.975903614457849E-3</v>
      </c>
      <c r="DA156" s="543">
        <f>+DA151*DA$43</f>
        <v>2.7657764926010685E-4</v>
      </c>
      <c r="DB156" s="543">
        <f>+DB151*DB$43</f>
        <v>-2.567189684635718E-3</v>
      </c>
      <c r="DC156" s="540">
        <f>+DC151*DC$43</f>
        <v>-2.0248737687277112E-3</v>
      </c>
      <c r="DD156" s="541"/>
      <c r="DE156" s="798">
        <f>+DE151*85%</f>
        <v>-1.0036613272311343E-2</v>
      </c>
      <c r="DF156" s="799">
        <v>-7.4999999999999997E-3</v>
      </c>
      <c r="DG156" s="543">
        <f>+DG151*DG$43</f>
        <v>1.1517687804073352E-3</v>
      </c>
      <c r="DH156" s="543">
        <f t="shared" ref="DH156" si="222">+DH151*DH$43</f>
        <v>6.041695767565327E-3</v>
      </c>
      <c r="DI156" s="540">
        <f>+DI151*DI$43</f>
        <v>3.9482563563106711E-4</v>
      </c>
      <c r="DJ156" s="541"/>
      <c r="DK156" s="542">
        <f>+DK151*DK$43</f>
        <v>3.4969147894221369E-3</v>
      </c>
      <c r="DL156" s="543">
        <f>+DL151*DL$43</f>
        <v>7.000000000000001E-3</v>
      </c>
      <c r="DM156" s="543">
        <f>+DM151*DM$43</f>
        <v>2E-3</v>
      </c>
      <c r="DN156" s="543">
        <f>+DN151*DN$43</f>
        <v>4.0000000000000001E-3</v>
      </c>
      <c r="DO156" s="540">
        <f>+DO151*DO$43</f>
        <v>5.6052843370605681E-3</v>
      </c>
      <c r="DP156" s="541"/>
      <c r="DQ156" s="542">
        <f>+DQ151*DQ$43</f>
        <v>0</v>
      </c>
      <c r="DR156" s="543">
        <f>+DR151*DR$43</f>
        <v>0</v>
      </c>
      <c r="DS156" s="543">
        <f>+DS151*DS$43</f>
        <v>0</v>
      </c>
      <c r="DT156" s="543">
        <f>+DT151*DT$43</f>
        <v>0</v>
      </c>
      <c r="DU156" s="540">
        <f>+DU151*DU$43</f>
        <v>0</v>
      </c>
      <c r="DV156" s="541"/>
      <c r="DW156" s="542">
        <f t="shared" ref="DW156:EA156" si="223">+DW151*DW$43</f>
        <v>0</v>
      </c>
      <c r="DX156" s="543">
        <f t="shared" si="223"/>
        <v>0</v>
      </c>
      <c r="DY156" s="543">
        <f t="shared" si="223"/>
        <v>0</v>
      </c>
      <c r="DZ156" s="543">
        <f t="shared" si="223"/>
        <v>0</v>
      </c>
      <c r="EA156" s="540">
        <f t="shared" si="223"/>
        <v>0</v>
      </c>
      <c r="EB156" s="541"/>
      <c r="EC156" s="542">
        <f t="shared" ref="EC156:EG156" si="224">+EC151*EC$43</f>
        <v>0</v>
      </c>
      <c r="ED156" s="543">
        <f t="shared" si="224"/>
        <v>0</v>
      </c>
      <c r="EE156" s="543">
        <f t="shared" si="224"/>
        <v>0</v>
      </c>
      <c r="EF156" s="543">
        <f t="shared" si="224"/>
        <v>0</v>
      </c>
      <c r="EG156" s="540">
        <f t="shared" si="224"/>
        <v>0</v>
      </c>
    </row>
    <row r="157" spans="1:137" ht="11.25" customHeight="1" outlineLevel="1" x14ac:dyDescent="0.2">
      <c r="A157" s="538" t="s">
        <v>609</v>
      </c>
      <c r="B157" s="539"/>
      <c r="C157" s="539"/>
      <c r="D157" s="539"/>
      <c r="E157" s="540"/>
      <c r="F157" s="541"/>
      <c r="G157" s="540"/>
      <c r="H157" s="541"/>
      <c r="I157" s="540"/>
      <c r="J157" s="541"/>
      <c r="K157" s="540"/>
      <c r="L157" s="541"/>
      <c r="M157" s="542"/>
      <c r="N157" s="543"/>
      <c r="O157" s="543"/>
      <c r="P157" s="543"/>
      <c r="Q157" s="540"/>
      <c r="R157" s="541"/>
      <c r="S157" s="542"/>
      <c r="T157" s="543"/>
      <c r="U157" s="543"/>
      <c r="V157" s="543"/>
      <c r="W157" s="540"/>
      <c r="X157" s="541"/>
      <c r="Y157" s="542"/>
      <c r="Z157" s="543"/>
      <c r="AA157" s="543"/>
      <c r="AB157" s="543"/>
      <c r="AC157" s="540"/>
      <c r="AD157" s="541"/>
      <c r="AE157" s="542"/>
      <c r="AF157" s="543"/>
      <c r="AG157" s="543"/>
      <c r="AH157" s="543"/>
      <c r="AI157" s="540"/>
      <c r="AJ157" s="541"/>
      <c r="AK157" s="542"/>
      <c r="AL157" s="543"/>
      <c r="AM157" s="543"/>
      <c r="AN157" s="543"/>
      <c r="AO157" s="540"/>
      <c r="AP157" s="541"/>
      <c r="AQ157" s="542"/>
      <c r="AR157" s="543"/>
      <c r="AS157" s="543"/>
      <c r="AT157" s="543"/>
      <c r="AU157" s="540"/>
      <c r="AV157" s="541"/>
      <c r="AW157" s="542"/>
      <c r="AX157" s="543"/>
      <c r="AY157" s="543"/>
      <c r="AZ157" s="543"/>
      <c r="BA157" s="540"/>
      <c r="BB157" s="541"/>
      <c r="BC157" s="542"/>
      <c r="BD157" s="543"/>
      <c r="BE157" s="543"/>
      <c r="BF157" s="543"/>
      <c r="BG157" s="540"/>
      <c r="BH157" s="541"/>
      <c r="BI157" s="542"/>
      <c r="BJ157" s="543"/>
      <c r="BK157" s="543"/>
      <c r="BL157" s="543"/>
      <c r="BM157" s="540"/>
      <c r="BN157" s="541"/>
      <c r="BO157" s="542"/>
      <c r="BP157" s="543"/>
      <c r="BQ157" s="543"/>
      <c r="BR157" s="543"/>
      <c r="BS157" s="540"/>
      <c r="BT157" s="541"/>
      <c r="BU157" s="542">
        <f>+(BU160-BO154)/(BU146-BO146)</f>
        <v>0.29610879590337896</v>
      </c>
      <c r="BV157" s="543">
        <f>+(BV160-BP154)/(BV146-BP146)</f>
        <v>0.27880273603115363</v>
      </c>
      <c r="BW157" s="543">
        <f>+(BW160-BQ154)/(BW146-BQ146)</f>
        <v>0.15401041675638716</v>
      </c>
      <c r="BX157" s="543">
        <f>+(BX160-BR154)/(BX146-BR146)</f>
        <v>0.14995466398766943</v>
      </c>
      <c r="BY157" s="540">
        <f>+(BY160-BS154)/(BY146-BS146)</f>
        <v>0.1599799527273465</v>
      </c>
      <c r="BZ157" s="541"/>
      <c r="CA157" s="542">
        <f>+(CA160-BU154)/(CA146-BU146)</f>
        <v>0.15616341106573906</v>
      </c>
      <c r="CB157" s="543">
        <f>+(CB160-BV154)/(CB146-BV146)</f>
        <v>6.1742714524534656E-2</v>
      </c>
      <c r="CC157" s="543">
        <f>+(CC160-BW154)/(CC146-BW146)</f>
        <v>-6.3162264324757427</v>
      </c>
      <c r="CD157" s="543">
        <f>+(CD160-BX154)/(CD146-BX146)</f>
        <v>0.40799560160335979</v>
      </c>
      <c r="CE157" s="540">
        <f>+(CE160-BY154)/(CE146-BY146)</f>
        <v>0.13887855151907505</v>
      </c>
      <c r="CF157" s="541"/>
      <c r="CG157" s="542">
        <f>+(CG160-CA154)/(CG146-CA146)</f>
        <v>-0.51038155824338316</v>
      </c>
      <c r="CH157" s="543">
        <f>+(CH160-CB154)/(CH146-CB146)</f>
        <v>0.14240228793723592</v>
      </c>
      <c r="CI157" s="543">
        <f>+(CI160-CC154)/(CI146-CC146)</f>
        <v>0.27101589424713068</v>
      </c>
      <c r="CJ157" s="543">
        <f>+(CJ160-CD154)/(CJ146-CD146)</f>
        <v>0.35819065398002908</v>
      </c>
      <c r="CK157" s="540">
        <f>+(CK160-CE154)/(CK146-CE146)</f>
        <v>0.1997083665979143</v>
      </c>
      <c r="CL157" s="541"/>
      <c r="CM157" s="542">
        <f>+(CM160-CG154)/(CM146-CG146)</f>
        <v>0.31760117072446536</v>
      </c>
      <c r="CN157" s="543">
        <f>+(CN160-CH154)/(CN146-CH146)</f>
        <v>6.5501934930572728E-2</v>
      </c>
      <c r="CO157" s="543">
        <f>+(CO160-CI154)/(CO146-CI146)</f>
        <v>0.41056851711351278</v>
      </c>
      <c r="CP157" s="543">
        <f>+(CP160-CJ154)/(CP146-CJ146)</f>
        <v>0.54874506582944493</v>
      </c>
      <c r="CQ157" s="540">
        <f>+(CQ160-CK154)/(CQ146-CK146)</f>
        <v>0.30846601511109667</v>
      </c>
      <c r="CR157" s="541"/>
      <c r="CS157" s="542">
        <f>+(CS160-CM154)/(CS146-CM146)</f>
        <v>0.16495035708125133</v>
      </c>
      <c r="CT157" s="543">
        <f>+(CT160-CN154)/(CT146-CN146)</f>
        <v>0.45561515813880166</v>
      </c>
      <c r="CU157" s="543">
        <f>+(CU160-CO154)/(CU146-CO146)</f>
        <v>-0.19026709172652928</v>
      </c>
      <c r="CV157" s="543">
        <f>+(CV160-CP154)/(CV146-CP146)</f>
        <v>0.95875205615050119</v>
      </c>
      <c r="CW157" s="540">
        <f>+(CW160-CQ154)/(CW146-CQ146)</f>
        <v>0.31530332475438477</v>
      </c>
      <c r="CX157" s="541"/>
      <c r="CY157" s="542">
        <f>+(CY160-CS154)/(CY146-CS146)</f>
        <v>3.2166666666666663</v>
      </c>
      <c r="CZ157" s="543">
        <f>+(CZ160-CT154)/(CZ146-CT146)</f>
        <v>1.8015873015873136</v>
      </c>
      <c r="DA157" s="543">
        <f>+(DA160-CU154)/(DA146-CU146)</f>
        <v>0.95700964251520182</v>
      </c>
      <c r="DB157" s="543">
        <f>+(DB160-CV154)/(DB146-CV146)</f>
        <v>0.26256163273526484</v>
      </c>
      <c r="DC157" s="540">
        <f>+(DC160-CW154)/(DC146-CW146)</f>
        <v>0.64380893434269137</v>
      </c>
      <c r="DD157" s="541"/>
      <c r="DE157" s="542">
        <f>+(DE160-CY154)/(DE146-CY146)</f>
        <v>-8.0950393183149994E-3</v>
      </c>
      <c r="DF157" s="543">
        <f>+(DF160-CZ154)/(DF146-CZ146)</f>
        <v>0.16490056247488941</v>
      </c>
      <c r="DG157" s="543">
        <f>+(DG160-DA154)/(DG146-DA146)</f>
        <v>0.30806588983050864</v>
      </c>
      <c r="DH157" s="543">
        <f>+(DH160-DB154)/(DH146-DB146)</f>
        <v>0.21656350858927617</v>
      </c>
      <c r="DI157" s="540">
        <f>+(DI160-DC154-DI166)/(DI146-DC146)</f>
        <v>0.15254783510125677</v>
      </c>
      <c r="DJ157" s="541"/>
      <c r="DK157" s="542">
        <f>+(DK160-DE154)/(DK146-DE146)</f>
        <v>0.48544698544698522</v>
      </c>
      <c r="DL157" s="796">
        <v>0.7</v>
      </c>
      <c r="DM157" s="796">
        <v>0.2</v>
      </c>
      <c r="DN157" s="796">
        <v>0.3</v>
      </c>
      <c r="DO157" s="540">
        <f>+(DO160-DI154-DO166)/(DO146-DI146)</f>
        <v>0.44871728022144047</v>
      </c>
      <c r="DP157" s="541"/>
      <c r="DQ157" s="795">
        <v>0.32</v>
      </c>
      <c r="DR157" s="796">
        <f>+DQ157</f>
        <v>0.32</v>
      </c>
      <c r="DS157" s="796">
        <f>+DR157</f>
        <v>0.32</v>
      </c>
      <c r="DT157" s="796">
        <f>+DS157</f>
        <v>0.32</v>
      </c>
      <c r="DU157" s="540">
        <f>+(DU160-DO154-DU166)/(DU146-DO146)</f>
        <v>0.32000000000000456</v>
      </c>
      <c r="DV157" s="541"/>
      <c r="DW157" s="795">
        <f>+DT157</f>
        <v>0.32</v>
      </c>
      <c r="DX157" s="796">
        <f>+DW157</f>
        <v>0.32</v>
      </c>
      <c r="DY157" s="796">
        <f>+DX157</f>
        <v>0.32</v>
      </c>
      <c r="DZ157" s="796">
        <f>+DY157</f>
        <v>0.32</v>
      </c>
      <c r="EA157" s="540">
        <f>+(EA160-DU154-EA166)/(EA146-DU146)</f>
        <v>0.31999999999999967</v>
      </c>
      <c r="EB157" s="541"/>
      <c r="EC157" s="795">
        <f>+DZ157</f>
        <v>0.32</v>
      </c>
      <c r="ED157" s="796">
        <f>+EC157</f>
        <v>0.32</v>
      </c>
      <c r="EE157" s="796">
        <f>+ED157</f>
        <v>0.32</v>
      </c>
      <c r="EF157" s="796">
        <f>+EE157</f>
        <v>0.32</v>
      </c>
      <c r="EG157" s="540">
        <f>+(EG160-EA154-EG166)/(EG146-EA146)</f>
        <v>0.31999999999999812</v>
      </c>
    </row>
    <row r="158" spans="1:137" ht="11.25" customHeight="1" outlineLevel="1" x14ac:dyDescent="0.2">
      <c r="A158" s="51" t="s">
        <v>505</v>
      </c>
      <c r="B158" s="14"/>
      <c r="C158" s="14"/>
      <c r="D158" s="14"/>
      <c r="E158" s="158"/>
      <c r="F158" s="71"/>
      <c r="G158" s="158"/>
      <c r="H158" s="71"/>
      <c r="I158" s="158"/>
      <c r="J158" s="71"/>
      <c r="K158" s="158"/>
      <c r="L158" s="71"/>
      <c r="M158" s="149"/>
      <c r="N158" s="22"/>
      <c r="O158" s="22"/>
      <c r="P158" s="22"/>
      <c r="Q158" s="158"/>
      <c r="R158" s="71"/>
      <c r="S158" s="149"/>
      <c r="T158" s="22"/>
      <c r="U158" s="22"/>
      <c r="V158" s="22"/>
      <c r="W158" s="158"/>
      <c r="X158" s="71"/>
      <c r="Y158" s="149"/>
      <c r="Z158" s="22"/>
      <c r="AA158" s="22"/>
      <c r="AB158" s="22"/>
      <c r="AC158" s="158"/>
      <c r="AD158" s="71"/>
      <c r="AE158" s="149"/>
      <c r="AF158" s="22"/>
      <c r="AG158" s="22"/>
      <c r="AH158" s="22"/>
      <c r="AI158" s="158"/>
      <c r="AJ158" s="71"/>
      <c r="AK158" s="149"/>
      <c r="AL158" s="22"/>
      <c r="AM158" s="22"/>
      <c r="AN158" s="22"/>
      <c r="AO158" s="158"/>
      <c r="AP158" s="71"/>
      <c r="AQ158" s="149"/>
      <c r="AR158" s="22"/>
      <c r="AS158" s="22"/>
      <c r="AT158" s="22"/>
      <c r="AU158" s="158"/>
      <c r="AV158" s="71"/>
      <c r="AW158" s="149"/>
      <c r="AX158" s="22"/>
      <c r="AY158" s="22"/>
      <c r="AZ158" s="22"/>
      <c r="BA158" s="158"/>
      <c r="BB158" s="71"/>
      <c r="BC158" s="149"/>
      <c r="BD158" s="22"/>
      <c r="BE158" s="22"/>
      <c r="BF158" s="22"/>
      <c r="BG158" s="158"/>
      <c r="BH158" s="71"/>
      <c r="BI158" s="149"/>
      <c r="BJ158" s="22"/>
      <c r="BK158" s="22"/>
      <c r="BL158" s="22"/>
      <c r="BM158" s="802"/>
      <c r="BN158" s="71"/>
      <c r="BO158" s="803"/>
      <c r="BP158" s="804"/>
      <c r="BQ158" s="804"/>
      <c r="BR158" s="804"/>
      <c r="BS158" s="802"/>
      <c r="BT158" s="71"/>
      <c r="BU158" s="803">
        <f>+(BU155-BO155)*10000</f>
        <v>742.46912159095757</v>
      </c>
      <c r="BV158" s="804">
        <f>+(BV155-BP155)*10000</f>
        <v>-109.43840672151852</v>
      </c>
      <c r="BW158" s="804">
        <f>+(BW155-BQ155)*10000</f>
        <v>-890.22934495649247</v>
      </c>
      <c r="BX158" s="804">
        <f>+(BX155-BR155)*10000</f>
        <v>74.30483650855912</v>
      </c>
      <c r="BY158" s="802">
        <f>+(BY155-BS155)*10000</f>
        <v>-82.356675508182548</v>
      </c>
      <c r="BZ158" s="71"/>
      <c r="CA158" s="803">
        <f>+(CA155-BU155)*10000</f>
        <v>-82.647645694324538</v>
      </c>
      <c r="CB158" s="804">
        <f>+(CB155-BV155)*10000</f>
        <v>864.44345928871621</v>
      </c>
      <c r="CC158" s="804">
        <f>+(CC155-BW155)*10000</f>
        <v>899.08896520791859</v>
      </c>
      <c r="CD158" s="804">
        <f>+(CD155-BX155)*10000</f>
        <v>140.61146513078577</v>
      </c>
      <c r="CE158" s="802">
        <f>+(CE155-BY155)*10000</f>
        <v>476.86157350889243</v>
      </c>
      <c r="CF158" s="71"/>
      <c r="CG158" s="803">
        <f>+(CG155-CA155)*10000</f>
        <v>-71.103950561186011</v>
      </c>
      <c r="CH158" s="804">
        <f>+(CH155-CB155)*10000</f>
        <v>125.14011774749062</v>
      </c>
      <c r="CI158" s="804">
        <f>+(CI155-CC155)*10000</f>
        <v>263.42020062367118</v>
      </c>
      <c r="CJ158" s="804">
        <f>+(CJ155-CD155)*10000</f>
        <v>251.67096999519106</v>
      </c>
      <c r="CK158" s="802">
        <f>+(CK155-CE155)*10000</f>
        <v>147.27233311069398</v>
      </c>
      <c r="CL158" s="71"/>
      <c r="CM158" s="803">
        <f>+(CM155-CG155)*10000</f>
        <v>61.187921871101722</v>
      </c>
      <c r="CN158" s="804">
        <f>+(CN155-CH155)*10000</f>
        <v>128.96883550919031</v>
      </c>
      <c r="CO158" s="804">
        <f>+(CO155-CI155)*10000</f>
        <v>89.130297794501601</v>
      </c>
      <c r="CP158" s="804">
        <f>+(CP155-CJ155)*10000</f>
        <v>-47.906984169338585</v>
      </c>
      <c r="CQ158" s="802">
        <f>+(CQ155-CK155)*10000</f>
        <v>54.889977777417279</v>
      </c>
      <c r="CR158" s="71"/>
      <c r="CS158" s="803">
        <f>+(CS155-CM155)*10000</f>
        <v>-85.512681506897664</v>
      </c>
      <c r="CT158" s="804">
        <f>+(CT155-CN155)*10000</f>
        <v>93.90650840114256</v>
      </c>
      <c r="CU158" s="804">
        <f>+(CU155-CO155)*10000</f>
        <v>-234.10745133967237</v>
      </c>
      <c r="CV158" s="804">
        <f>+(CV155-CP155)*10000</f>
        <v>105.22742155029574</v>
      </c>
      <c r="CW158" s="805">
        <v>-30</v>
      </c>
      <c r="CX158" s="71"/>
      <c r="CY158" s="803">
        <f>+(CY155-CS155)*10000</f>
        <v>326.42602687428854</v>
      </c>
      <c r="CZ158" s="804">
        <f>+(CZ155-CT155)*10000</f>
        <v>163.64312210674774</v>
      </c>
      <c r="DA158" s="507">
        <v>250</v>
      </c>
      <c r="DB158" s="807">
        <v>-570</v>
      </c>
      <c r="DC158" s="806">
        <v>20</v>
      </c>
      <c r="DD158" s="71"/>
      <c r="DE158" s="803">
        <f>+(DE155-CY155)*10000</f>
        <v>-421.21779542130628</v>
      </c>
      <c r="DF158" s="804">
        <f>+(DF155-CZ155)*10000</f>
        <v>-751.92960135708245</v>
      </c>
      <c r="DG158" s="804">
        <f>+(DG155-DA155)*10000</f>
        <v>76.383572402264349</v>
      </c>
      <c r="DH158" s="804">
        <f>+(DH155-DB155)*10000</f>
        <v>692.38599894726224</v>
      </c>
      <c r="DI158" s="802">
        <f>+(DI155-DC155)*10000</f>
        <v>-68.352625671717348</v>
      </c>
      <c r="DJ158" s="71"/>
      <c r="DK158" s="803">
        <f>+(DK155-DE155)*10000</f>
        <v>467.13044619288922</v>
      </c>
      <c r="DL158" s="804">
        <f>+(DL155-DF155)*10000</f>
        <v>530.98810923330336</v>
      </c>
      <c r="DM158" s="804">
        <f>+(DM155-DG155)*10000</f>
        <v>47.173744365711642</v>
      </c>
      <c r="DN158" s="804">
        <f>+(DN155-DH155)*10000</f>
        <v>96.276449095210879</v>
      </c>
      <c r="DO158" s="802">
        <f>+(DO155-DI155)*10000</f>
        <v>271.55653131033824</v>
      </c>
      <c r="DP158" s="71"/>
      <c r="DQ158" s="803">
        <f>+(DQ155-DK155)*10000</f>
        <v>39.874975351306134</v>
      </c>
      <c r="DR158" s="804">
        <f>+(DR155-DL155)*10000</f>
        <v>83.167253977482474</v>
      </c>
      <c r="DS158" s="804">
        <f>+(DS155-DM155)*10000</f>
        <v>81.500544890985012</v>
      </c>
      <c r="DT158" s="804">
        <f>+(DT155-DN155)*10000</f>
        <v>68.258758130805845</v>
      </c>
      <c r="DU158" s="802">
        <f>+(DU155-DO155)*10000</f>
        <v>69.456868258441773</v>
      </c>
      <c r="DV158" s="71"/>
      <c r="DW158" s="803">
        <f>+(DW155-DQ155)*10000</f>
        <v>111.48509890066715</v>
      </c>
      <c r="DX158" s="804">
        <f>+(DX155-DR155)*10000</f>
        <v>107.43228442464114</v>
      </c>
      <c r="DY158" s="804">
        <f>+(DY155-DS155)*10000</f>
        <v>104.22095719881148</v>
      </c>
      <c r="DZ158" s="804">
        <f>+(DZ155-DT155)*10000</f>
        <v>85.936125686522089</v>
      </c>
      <c r="EA158" s="802">
        <f>+(EA155-DU155)*10000</f>
        <v>101.76226852043364</v>
      </c>
      <c r="EB158" s="71"/>
      <c r="EC158" s="803">
        <f>+(EC155-DW155)*10000</f>
        <v>105.33851924190429</v>
      </c>
      <c r="ED158" s="804">
        <f>+(ED155-DX155)*10000</f>
        <v>101.75431916599447</v>
      </c>
      <c r="EE158" s="804">
        <f>+(EE155-DY155)*10000</f>
        <v>98.208135230741789</v>
      </c>
      <c r="EF158" s="804">
        <f>+(EF155-DZ155)*10000</f>
        <v>49.585027307200434</v>
      </c>
      <c r="EG158" s="802">
        <f>+(EG155-EA155)*10000</f>
        <v>87.553111707543707</v>
      </c>
    </row>
    <row r="159" spans="1:137" ht="11.25" customHeight="1" outlineLevel="1" x14ac:dyDescent="0.2">
      <c r="A159" s="51"/>
      <c r="B159" s="14"/>
      <c r="C159" s="14"/>
      <c r="D159" s="14"/>
      <c r="E159" s="92"/>
      <c r="F159" s="71"/>
      <c r="G159" s="92"/>
      <c r="H159" s="71"/>
      <c r="I159" s="92"/>
      <c r="J159" s="71"/>
      <c r="K159" s="92"/>
      <c r="L159" s="71"/>
      <c r="M159" s="84"/>
      <c r="N159" s="71"/>
      <c r="O159" s="71"/>
      <c r="P159" s="71"/>
      <c r="Q159" s="92"/>
      <c r="R159" s="71"/>
      <c r="S159" s="84"/>
      <c r="T159" s="71"/>
      <c r="U159" s="71"/>
      <c r="V159" s="71"/>
      <c r="W159" s="92"/>
      <c r="X159" s="71"/>
      <c r="Y159" s="84"/>
      <c r="Z159" s="71"/>
      <c r="AA159" s="71"/>
      <c r="AB159" s="71"/>
      <c r="AC159" s="92"/>
      <c r="AD159" s="71"/>
      <c r="AE159" s="84"/>
      <c r="AF159" s="71"/>
      <c r="AG159" s="71"/>
      <c r="AH159" s="71"/>
      <c r="AI159" s="92"/>
      <c r="AJ159" s="71"/>
      <c r="AK159" s="84"/>
      <c r="AL159" s="71"/>
      <c r="AM159" s="71"/>
      <c r="AN159" s="71"/>
      <c r="AO159" s="92"/>
      <c r="AP159" s="71"/>
      <c r="AQ159" s="84"/>
      <c r="AR159" s="71"/>
      <c r="AS159" s="71"/>
      <c r="AT159" s="71"/>
      <c r="AU159" s="92"/>
      <c r="AV159" s="71"/>
      <c r="AW159" s="84"/>
      <c r="AX159" s="71"/>
      <c r="AY159" s="71"/>
      <c r="AZ159" s="71"/>
      <c r="BA159" s="92"/>
      <c r="BB159" s="71"/>
      <c r="BC159" s="84"/>
      <c r="BD159" s="71"/>
      <c r="BE159" s="71"/>
      <c r="BF159" s="71"/>
      <c r="BG159" s="92"/>
      <c r="BH159" s="71"/>
      <c r="BI159" s="84"/>
      <c r="BJ159" s="71"/>
      <c r="BK159" s="71"/>
      <c r="BL159" s="71"/>
      <c r="BM159" s="92"/>
      <c r="BN159" s="71"/>
      <c r="BO159" s="84"/>
      <c r="BP159" s="71"/>
      <c r="BQ159" s="71"/>
      <c r="BR159" s="71"/>
      <c r="BS159" s="92"/>
      <c r="BT159" s="71"/>
      <c r="BU159" s="84"/>
      <c r="BV159" s="71"/>
      <c r="BW159" s="71"/>
      <c r="BX159" s="71"/>
      <c r="BY159" s="92"/>
      <c r="BZ159" s="71"/>
      <c r="CA159" s="84"/>
      <c r="CB159" s="71"/>
      <c r="CC159" s="71"/>
      <c r="CD159" s="71"/>
      <c r="CE159" s="92"/>
      <c r="CF159" s="71"/>
      <c r="CG159" s="84"/>
      <c r="CH159" s="71"/>
      <c r="CI159" s="71"/>
      <c r="CJ159" s="71"/>
      <c r="CK159" s="92"/>
      <c r="CL159" s="71"/>
      <c r="CM159" s="84"/>
      <c r="CN159" s="71"/>
      <c r="CO159" s="71"/>
      <c r="CP159" s="71"/>
      <c r="CQ159" s="92"/>
      <c r="CR159" s="71"/>
      <c r="CS159" s="84"/>
      <c r="CT159" s="71"/>
      <c r="CU159" s="71"/>
      <c r="CV159" s="71"/>
      <c r="CW159" s="92"/>
      <c r="CX159" s="71"/>
      <c r="CY159" s="84"/>
      <c r="CZ159" s="71"/>
      <c r="DA159" s="71"/>
      <c r="DB159" s="71"/>
      <c r="DC159" s="92"/>
      <c r="DD159" s="71"/>
      <c r="DE159" s="84"/>
      <c r="DF159" s="71"/>
      <c r="DG159" s="71"/>
      <c r="DH159" s="71"/>
      <c r="DI159" s="92"/>
      <c r="DJ159" s="71"/>
      <c r="DK159" s="84"/>
      <c r="DL159" s="71"/>
      <c r="DM159" s="71"/>
      <c r="DN159" s="71"/>
      <c r="DO159" s="1172"/>
      <c r="DP159" s="71"/>
      <c r="DQ159" s="84"/>
      <c r="DR159" s="71"/>
      <c r="DS159" s="71"/>
      <c r="DT159" s="71"/>
      <c r="DU159" s="92"/>
      <c r="DV159" s="71"/>
      <c r="DW159" s="84"/>
      <c r="DX159" s="71"/>
      <c r="DY159" s="71"/>
      <c r="DZ159" s="71"/>
      <c r="EA159" s="92"/>
      <c r="EB159" s="71"/>
      <c r="EC159" s="84"/>
      <c r="ED159" s="71"/>
      <c r="EE159" s="71"/>
      <c r="EF159" s="71"/>
      <c r="EG159" s="92"/>
    </row>
    <row r="160" spans="1:137" s="384" customFormat="1" ht="11.25" customHeight="1" outlineLevel="1" x14ac:dyDescent="0.2">
      <c r="A160" s="50" t="s">
        <v>511</v>
      </c>
      <c r="B160" s="343"/>
      <c r="C160" s="343"/>
      <c r="D160" s="343"/>
      <c r="E160" s="476"/>
      <c r="F160" s="344"/>
      <c r="G160" s="476"/>
      <c r="H160" s="344"/>
      <c r="I160" s="476"/>
      <c r="J160" s="344"/>
      <c r="K160" s="476"/>
      <c r="L160" s="344"/>
      <c r="M160" s="475"/>
      <c r="N160" s="344"/>
      <c r="O160" s="344"/>
      <c r="P160" s="344"/>
      <c r="Q160" s="476"/>
      <c r="R160" s="344"/>
      <c r="S160" s="475"/>
      <c r="T160" s="344"/>
      <c r="U160" s="344"/>
      <c r="V160" s="344"/>
      <c r="W160" s="476"/>
      <c r="X160" s="344"/>
      <c r="Y160" s="475"/>
      <c r="Z160" s="344"/>
      <c r="AA160" s="344"/>
      <c r="AB160" s="344"/>
      <c r="AC160" s="476"/>
      <c r="AD160" s="344"/>
      <c r="AE160" s="475"/>
      <c r="AF160" s="344"/>
      <c r="AG160" s="344"/>
      <c r="AH160" s="344"/>
      <c r="AI160" s="476"/>
      <c r="AJ160" s="344"/>
      <c r="AK160" s="475"/>
      <c r="AL160" s="344"/>
      <c r="AM160" s="344"/>
      <c r="AN160" s="344"/>
      <c r="AO160" s="476"/>
      <c r="AP160" s="344"/>
      <c r="AQ160" s="475"/>
      <c r="AR160" s="344"/>
      <c r="AS160" s="344"/>
      <c r="AT160" s="344"/>
      <c r="AU160" s="476"/>
      <c r="AV160" s="344"/>
      <c r="AW160" s="475"/>
      <c r="AX160" s="344"/>
      <c r="AY160" s="344"/>
      <c r="AZ160" s="344"/>
      <c r="BA160" s="476"/>
      <c r="BB160" s="344"/>
      <c r="BC160" s="475"/>
      <c r="BD160" s="344"/>
      <c r="BE160" s="344"/>
      <c r="BF160" s="344"/>
      <c r="BG160" s="476"/>
      <c r="BH160" s="344"/>
      <c r="BI160" s="475"/>
      <c r="BJ160" s="344"/>
      <c r="BK160" s="344"/>
      <c r="BL160" s="344"/>
      <c r="BM160" s="476"/>
      <c r="BN160" s="344"/>
      <c r="BO160" s="475"/>
      <c r="BP160" s="344"/>
      <c r="BQ160" s="344"/>
      <c r="BR160" s="344"/>
      <c r="BS160" s="476"/>
      <c r="BT160" s="344"/>
      <c r="BU160" s="165">
        <f>+BU161*BU146</f>
        <v>25.354855436412812</v>
      </c>
      <c r="BV160" s="164">
        <f>+BV161*BV146</f>
        <v>26.486793058630266</v>
      </c>
      <c r="BW160" s="164">
        <f>+BW161*BW146</f>
        <v>146.51832709400307</v>
      </c>
      <c r="BX160" s="164">
        <f>+BX161*BX146</f>
        <v>155.95522697563939</v>
      </c>
      <c r="BY160" s="163">
        <f>+BY161*BY146</f>
        <v>354.31520256468548</v>
      </c>
      <c r="BZ160" s="344"/>
      <c r="CA160" s="165">
        <f>+CA161*CA146</f>
        <v>152.51212025424232</v>
      </c>
      <c r="CB160" s="164">
        <f>+CB161*CB146</f>
        <v>59.533263914109426</v>
      </c>
      <c r="CC160" s="164">
        <f>+CC161*CC146</f>
        <v>64.292371078418768</v>
      </c>
      <c r="CD160" s="164">
        <f>+CD161*CD146</f>
        <v>171.35034696434013</v>
      </c>
      <c r="CE160" s="163">
        <f>+CE161*CE146</f>
        <v>447.68810221111067</v>
      </c>
      <c r="CF160" s="344"/>
      <c r="CG160" s="165">
        <f>+CG161*CG146</f>
        <v>124.48586177903347</v>
      </c>
      <c r="CH160" s="164">
        <f>+CH161*CH146</f>
        <v>144.42329746176046</v>
      </c>
      <c r="CI160" s="164">
        <f>+CI161*CI146</f>
        <v>147.19937259984135</v>
      </c>
      <c r="CJ160" s="164">
        <f>+CJ161*CJ146</f>
        <v>195.52393521970419</v>
      </c>
      <c r="CK160" s="163">
        <f>+CK161*CK146</f>
        <v>611.63246706033954</v>
      </c>
      <c r="CL160" s="344"/>
      <c r="CM160" s="165">
        <f>+CM161*CM146</f>
        <v>148.30011301590338</v>
      </c>
      <c r="CN160" s="164">
        <f>+CN161*CN146</f>
        <v>162.98589077572262</v>
      </c>
      <c r="CO160" s="164">
        <f>+CO161*CO146</f>
        <v>183.50990969735327</v>
      </c>
      <c r="CP160" s="164">
        <f>+CP161*CP146</f>
        <v>245.38468347816456</v>
      </c>
      <c r="CQ160" s="163">
        <f>+CQ161*CQ146</f>
        <v>740.18059696714386</v>
      </c>
      <c r="CR160" s="344"/>
      <c r="CS160" s="165">
        <f>+CS161*CS146</f>
        <v>152.84200000000001</v>
      </c>
      <c r="CT160" s="164">
        <f>+CT161*CT146</f>
        <v>221.95000000000002</v>
      </c>
      <c r="CU160" s="164">
        <f>+CU161*CU146</f>
        <v>170.958</v>
      </c>
      <c r="CV160" s="164">
        <f>+CV161*CV146</f>
        <v>248.77400000000003</v>
      </c>
      <c r="CW160" s="163">
        <f>+CW161*CW146</f>
        <v>792.36172777224999</v>
      </c>
      <c r="CX160" s="344"/>
      <c r="CY160" s="165">
        <f>+CY161*CY146</f>
        <v>180.2</v>
      </c>
      <c r="CZ160" s="164">
        <f>+CZ161*CZ146</f>
        <v>232.2</v>
      </c>
      <c r="DA160" s="164">
        <f>+DA161*DA146</f>
        <v>194.51365580881102</v>
      </c>
      <c r="DB160" s="164">
        <f>+DB161*DB146</f>
        <v>273.81389976697221</v>
      </c>
      <c r="DC160" s="163">
        <f>+DC161*DC146</f>
        <v>878.76025958116054</v>
      </c>
      <c r="DD160" s="344"/>
      <c r="DE160" s="165">
        <f>+DE161*DE146</f>
        <v>178.65303798626999</v>
      </c>
      <c r="DF160" s="164">
        <f>+DF161*DF146</f>
        <v>262.27786259541983</v>
      </c>
      <c r="DG160" s="164">
        <f>+DG161*DG146</f>
        <v>266.60355000000004</v>
      </c>
      <c r="DH160" s="164">
        <f>+DH161*DH146</f>
        <v>221.70184999999998</v>
      </c>
      <c r="DI160" s="163">
        <f>+DI161*DI146</f>
        <v>931.56409999999983</v>
      </c>
      <c r="DJ160" s="344"/>
      <c r="DK160" s="165">
        <f>+DK161*DK146</f>
        <v>248</v>
      </c>
      <c r="DL160" s="164">
        <f>+DL161*DL146</f>
        <v>255.1278936252593</v>
      </c>
      <c r="DM160" s="164">
        <f>+DM161*DM146</f>
        <v>262.01076336357369</v>
      </c>
      <c r="DN160" s="164">
        <f>+DN161*DN146</f>
        <v>348.95104919699986</v>
      </c>
      <c r="DO160" s="163">
        <f>+DO161*DO146</f>
        <v>1114.0897061858327</v>
      </c>
      <c r="DP160" s="344"/>
      <c r="DQ160" s="165">
        <f>+DQ161*DQ146</f>
        <v>254.05980000413797</v>
      </c>
      <c r="DR160" s="164">
        <f>+DR161*DR146</f>
        <v>276.22728058385189</v>
      </c>
      <c r="DS160" s="164">
        <f>+DS161*DS146</f>
        <v>282.64033939381403</v>
      </c>
      <c r="DT160" s="164">
        <f>+DT161*DT146</f>
        <v>371.40751039399964</v>
      </c>
      <c r="DU160" s="163">
        <f>+DU161*DU146</f>
        <v>1184.3349303758037</v>
      </c>
      <c r="DV160" s="344"/>
      <c r="DW160" s="165">
        <f>+DW161*DW146</f>
        <v>284.55230000827601</v>
      </c>
      <c r="DX160" s="164">
        <f>+DX161*DX146</f>
        <v>308.27551554244451</v>
      </c>
      <c r="DY160" s="164">
        <f>+DY161*DY146</f>
        <v>313.91782422405436</v>
      </c>
      <c r="DZ160" s="164">
        <f>+DZ161*DZ146</f>
        <v>405.82502519099944</v>
      </c>
      <c r="EA160" s="163">
        <f>+EA161*EA146</f>
        <v>1312.5706649657743</v>
      </c>
      <c r="EB160" s="344"/>
      <c r="EC160" s="165">
        <f>+EC161*EC146</f>
        <v>316.42905999172422</v>
      </c>
      <c r="ED160" s="164">
        <f>+ED161*ED146</f>
        <v>341.82596610807434</v>
      </c>
      <c r="EE160" s="164">
        <f>+EE161*EE146</f>
        <v>346.57782414309304</v>
      </c>
      <c r="EF160" s="164">
        <f>+EF161*EF146</f>
        <v>435.71724308600039</v>
      </c>
      <c r="EG160" s="163">
        <f>+EG161*EG146</f>
        <v>1440.550093328892</v>
      </c>
    </row>
    <row r="161" spans="1:137" s="783" customFormat="1" ht="11.25" customHeight="1" outlineLevel="1" x14ac:dyDescent="0.2">
      <c r="A161" s="538" t="s">
        <v>506</v>
      </c>
      <c r="B161" s="539"/>
      <c r="C161" s="539"/>
      <c r="D161" s="539"/>
      <c r="E161" s="776"/>
      <c r="F161" s="541"/>
      <c r="G161" s="776"/>
      <c r="H161" s="541"/>
      <c r="I161" s="776"/>
      <c r="J161" s="541"/>
      <c r="K161" s="776"/>
      <c r="L161" s="541"/>
      <c r="M161" s="782"/>
      <c r="N161" s="541"/>
      <c r="O161" s="541"/>
      <c r="P161" s="541"/>
      <c r="Q161" s="776"/>
      <c r="R161" s="541"/>
      <c r="S161" s="782"/>
      <c r="T161" s="541"/>
      <c r="U161" s="541"/>
      <c r="V161" s="541"/>
      <c r="W161" s="776"/>
      <c r="X161" s="541"/>
      <c r="Y161" s="782"/>
      <c r="Z161" s="541"/>
      <c r="AA161" s="541"/>
      <c r="AB161" s="541"/>
      <c r="AC161" s="776"/>
      <c r="AD161" s="541"/>
      <c r="AE161" s="782"/>
      <c r="AF161" s="541"/>
      <c r="AG161" s="541"/>
      <c r="AH161" s="541"/>
      <c r="AI161" s="776"/>
      <c r="AJ161" s="541"/>
      <c r="AK161" s="782"/>
      <c r="AL161" s="541"/>
      <c r="AM161" s="541"/>
      <c r="AN161" s="541"/>
      <c r="AO161" s="776"/>
      <c r="AP161" s="541"/>
      <c r="AQ161" s="782"/>
      <c r="AR161" s="541"/>
      <c r="AS161" s="541"/>
      <c r="AT161" s="541"/>
      <c r="AU161" s="776"/>
      <c r="AV161" s="541"/>
      <c r="AW161" s="782"/>
      <c r="AX161" s="541"/>
      <c r="AY161" s="541"/>
      <c r="AZ161" s="541"/>
      <c r="BA161" s="776"/>
      <c r="BB161" s="541"/>
      <c r="BC161" s="782"/>
      <c r="BD161" s="541"/>
      <c r="BE161" s="541"/>
      <c r="BF161" s="541"/>
      <c r="BG161" s="776"/>
      <c r="BH161" s="541"/>
      <c r="BI161" s="782"/>
      <c r="BJ161" s="541"/>
      <c r="BK161" s="541"/>
      <c r="BL161" s="541"/>
      <c r="BM161" s="776"/>
      <c r="BN161" s="541"/>
      <c r="BO161" s="782"/>
      <c r="BP161" s="541"/>
      <c r="BQ161" s="541"/>
      <c r="BR161" s="541"/>
      <c r="BS161" s="776"/>
      <c r="BT161" s="541"/>
      <c r="BU161" s="821">
        <f>+BO155+BU162/10000</f>
        <v>0.11876387113440727</v>
      </c>
      <c r="BV161" s="822">
        <f>+BP155+BV162/10000</f>
        <v>0.11702720027482394</v>
      </c>
      <c r="BW161" s="822">
        <f>+BQ155+BW162/10000</f>
        <v>0.1486439751619007</v>
      </c>
      <c r="BX161" s="822">
        <f>+BR155+BX162/10000</f>
        <v>0.14627724576157941</v>
      </c>
      <c r="BY161" s="540">
        <f>+BS155+BY162/10000</f>
        <v>0.14219923449629618</v>
      </c>
      <c r="BZ161" s="541"/>
      <c r="CA161" s="821">
        <f>+BU155+CA162/10000</f>
        <v>0.15349910656497481</v>
      </c>
      <c r="CB161" s="822">
        <f>+BV155+CB162/10000</f>
        <v>5.847154620369556E-2</v>
      </c>
      <c r="CC161" s="822">
        <f>+BW155+CC162/10000</f>
        <v>6.5552871682692568E-2</v>
      </c>
      <c r="CD161" s="822">
        <f>+BX155+CD162/10000</f>
        <v>0.15233839227465798</v>
      </c>
      <c r="CE161" s="540">
        <f>+BY155+CE162/10000</f>
        <v>0.10873341849409171</v>
      </c>
      <c r="CF161" s="541"/>
      <c r="CG161" s="821">
        <f>+CA155+CG162/10000</f>
        <v>0.1228347798040266</v>
      </c>
      <c r="CH161" s="822">
        <f>+CB155+CH162/10000</f>
        <v>0.1339676704068338</v>
      </c>
      <c r="CI161" s="822">
        <f>+CC155+CI162/10000</f>
        <v>0.13670218392338709</v>
      </c>
      <c r="CJ161" s="822">
        <f>+CD155+CJ162/10000</f>
        <v>0.16399040708816956</v>
      </c>
      <c r="CK161" s="540">
        <f>+CE155+CK162/10000</f>
        <v>0.14026449999554727</v>
      </c>
      <c r="CL161" s="541"/>
      <c r="CM161" s="821">
        <f>+CG155+CM162/10000</f>
        <v>0.1385075036959664</v>
      </c>
      <c r="CN161" s="822">
        <f>+CH155+CN162/10000</f>
        <v>0.14006523217707254</v>
      </c>
      <c r="CO161" s="822">
        <f>+CI155+CO162/10000</f>
        <v>0.16230792152450985</v>
      </c>
      <c r="CP161" s="822">
        <f>+CJ155+CP162/10000</f>
        <v>0.19571479085724322</v>
      </c>
      <c r="CQ161" s="540">
        <f>+CK155+CQ162/10000</f>
        <v>0.16025529847634598</v>
      </c>
      <c r="CR161" s="541"/>
      <c r="CS161" s="821">
        <f>+CM155+CS162/10000</f>
        <v>0.13595623554527664</v>
      </c>
      <c r="CT161" s="822">
        <f>+CN155+CT162/10000</f>
        <v>0.17827309236947791</v>
      </c>
      <c r="CU161" s="822">
        <f>+CO155+CU162/10000</f>
        <v>0.14539717639054262</v>
      </c>
      <c r="CV161" s="822">
        <f>+CP155+CV162/10000</f>
        <v>0.19323753301227281</v>
      </c>
      <c r="CW161" s="540">
        <f>+CQ155+CW162/10000</f>
        <v>0.16396857209093826</v>
      </c>
      <c r="CX161" s="541"/>
      <c r="CY161" s="542">
        <f>+CS155+CY162/10000</f>
        <v>0.15859883823270549</v>
      </c>
      <c r="CZ161" s="543">
        <f>+CT155+CZ162/10000</f>
        <v>0.18463740458015268</v>
      </c>
      <c r="DA161" s="543">
        <f>+CU155+DA162/10000</f>
        <v>0.1603971763905426</v>
      </c>
      <c r="DB161" s="543">
        <f>+CV155+DB162/10000</f>
        <v>0.19123753301227281</v>
      </c>
      <c r="DC161" s="810">
        <f>+CW155+DC162/10000</f>
        <v>0.17441602516347984</v>
      </c>
      <c r="DD161" s="543"/>
      <c r="DE161" s="542">
        <f>+CY155+DE162/10000</f>
        <v>0.13459883823270549</v>
      </c>
      <c r="DF161" s="543">
        <f>+CZ155+DF162/10000</f>
        <v>0.18213740458015268</v>
      </c>
      <c r="DG161" s="543">
        <f>+DA155+DG162/10000</f>
        <v>0.18402950921515843</v>
      </c>
      <c r="DH161" s="543">
        <f>+DB155+DH162/10000</f>
        <v>0.13652432415789148</v>
      </c>
      <c r="DI161" s="540">
        <f>+DC155+DI162/10000</f>
        <v>0.15951713214267366</v>
      </c>
      <c r="DJ161" s="543"/>
      <c r="DK161" s="542">
        <f>+DE155+DK162/10000</f>
        <v>0.16319010330986378</v>
      </c>
      <c r="DL161" s="543">
        <f>+DF155+DL162/10000</f>
        <v>0.16254325536777478</v>
      </c>
      <c r="DM161" s="543">
        <f>+DG155+DM162/10000</f>
        <v>0.17224688365172958</v>
      </c>
      <c r="DN161" s="543">
        <f>+DH155+DN162/10000</f>
        <v>0.20465196906741256</v>
      </c>
      <c r="DO161" s="540">
        <f>+DI155+DO162/10000</f>
        <v>0.17640478410930399</v>
      </c>
      <c r="DP161" s="543"/>
      <c r="DQ161" s="542">
        <f>+DK155+DQ162/10000</f>
        <v>0.16717760084499439</v>
      </c>
      <c r="DR161" s="543">
        <f>+DL155+DR162/10000</f>
        <v>0.17085998076552303</v>
      </c>
      <c r="DS161" s="543">
        <f>+DM155+DS162/10000</f>
        <v>0.18039693814082808</v>
      </c>
      <c r="DT161" s="543">
        <f>+DN155+DT162/10000</f>
        <v>0.21147784488049315</v>
      </c>
      <c r="DU161" s="540">
        <f>+DO155+DU162/10000</f>
        <v>0.18335047093514817</v>
      </c>
      <c r="DV161" s="543"/>
      <c r="DW161" s="542">
        <f>+DQ155+DW162/10000</f>
        <v>0.17832611073506111</v>
      </c>
      <c r="DX161" s="543">
        <f>+DR155+DX162/10000</f>
        <v>0.18160320920798714</v>
      </c>
      <c r="DY161" s="543">
        <f>+DS155+DY162/10000</f>
        <v>0.19081903386070923</v>
      </c>
      <c r="DZ161" s="543">
        <f>+DT155+DZ162/10000</f>
        <v>0.22007145744914536</v>
      </c>
      <c r="EA161" s="540">
        <f>+DU155+EA162/10000</f>
        <v>0.19352669778719153</v>
      </c>
      <c r="EB161" s="543"/>
      <c r="EC161" s="542">
        <f>+DW155+EC162/10000</f>
        <v>0.18885996265925153</v>
      </c>
      <c r="ED161" s="543">
        <f>+DX155+ED162/10000</f>
        <v>0.19177864112458659</v>
      </c>
      <c r="EE161" s="543">
        <f>+DY155+EE162/10000</f>
        <v>0.2006398473837834</v>
      </c>
      <c r="EF161" s="543">
        <f>+DZ155+EF162/10000</f>
        <v>0.2250299601798654</v>
      </c>
      <c r="EG161" s="540">
        <f>+EA155+EG162/10000</f>
        <v>0.2022820089579459</v>
      </c>
    </row>
    <row r="162" spans="1:137" ht="11.25" customHeight="1" outlineLevel="1" x14ac:dyDescent="0.2">
      <c r="A162" s="51" t="s">
        <v>233</v>
      </c>
      <c r="B162" s="14"/>
      <c r="C162" s="14"/>
      <c r="D162" s="14"/>
      <c r="E162" s="93"/>
      <c r="F162" s="71"/>
      <c r="G162" s="93"/>
      <c r="H162" s="71"/>
      <c r="I162" s="93"/>
      <c r="J162" s="71"/>
      <c r="K162" s="93"/>
      <c r="L162" s="71"/>
      <c r="M162" s="84"/>
      <c r="N162" s="71"/>
      <c r="O162" s="71"/>
      <c r="P162" s="71"/>
      <c r="Q162" s="93"/>
      <c r="R162" s="71"/>
      <c r="S162" s="84"/>
      <c r="T162" s="71"/>
      <c r="U162" s="71"/>
      <c r="V162" s="71"/>
      <c r="W162" s="93"/>
      <c r="X162" s="71"/>
      <c r="Y162" s="84"/>
      <c r="Z162" s="71"/>
      <c r="AA162" s="71"/>
      <c r="AB162" s="71"/>
      <c r="AC162" s="93"/>
      <c r="AD162" s="71"/>
      <c r="AE162" s="84"/>
      <c r="AF162" s="71"/>
      <c r="AG162" s="71"/>
      <c r="AH162" s="71"/>
      <c r="AI162" s="93"/>
      <c r="AJ162" s="71"/>
      <c r="AK162" s="84"/>
      <c r="AL162" s="71"/>
      <c r="AM162" s="71"/>
      <c r="AN162" s="71"/>
      <c r="AO162" s="93"/>
      <c r="AP162" s="71"/>
      <c r="AQ162" s="84"/>
      <c r="AR162" s="71"/>
      <c r="AS162" s="71"/>
      <c r="AT162" s="71"/>
      <c r="AU162" s="93"/>
      <c r="AV162" s="71"/>
      <c r="AW162" s="84"/>
      <c r="AX162" s="71"/>
      <c r="AY162" s="71"/>
      <c r="AZ162" s="71"/>
      <c r="BA162" s="93"/>
      <c r="BB162" s="71"/>
      <c r="BC162" s="84"/>
      <c r="BD162" s="71"/>
      <c r="BE162" s="71"/>
      <c r="BF162" s="71"/>
      <c r="BG162" s="93"/>
      <c r="BH162" s="71"/>
      <c r="BI162" s="84"/>
      <c r="BJ162" s="71"/>
      <c r="BK162" s="71"/>
      <c r="BL162" s="71"/>
      <c r="BM162" s="93"/>
      <c r="BN162" s="71"/>
      <c r="BO162" s="84"/>
      <c r="BP162" s="71"/>
      <c r="BQ162" s="71"/>
      <c r="BR162" s="71"/>
      <c r="BS162" s="93"/>
      <c r="BT162" s="71"/>
      <c r="BU162" s="510">
        <f>BU158-BU163-BU164</f>
        <v>492.46912159095757</v>
      </c>
      <c r="BV162" s="509">
        <f>BV158-BV163-BV164</f>
        <v>590.5615932784815</v>
      </c>
      <c r="BW162" s="509">
        <f>BW158-BW163-BW164</f>
        <v>259.77065504350753</v>
      </c>
      <c r="BX162" s="509">
        <f>BX158-BX163-BX164</f>
        <v>154.30483650855911</v>
      </c>
      <c r="BY162" s="508">
        <f>BY158-BY163-BY164</f>
        <v>448.97383294240046</v>
      </c>
      <c r="BZ162" s="507"/>
      <c r="CA162" s="510">
        <f>CA158-CA163-CA164</f>
        <v>97.352354305675462</v>
      </c>
      <c r="CB162" s="509">
        <f>CB158-CB163-CB164</f>
        <v>114.44345928871621</v>
      </c>
      <c r="CC162" s="509">
        <f>CC158-CC163-CC164</f>
        <v>319.08896520791859</v>
      </c>
      <c r="CD162" s="509">
        <f>CD158-CD163-CD164</f>
        <v>140.61146513078575</v>
      </c>
      <c r="CE162" s="508">
        <f>CE158-CE163-CE164</f>
        <v>196.67234842853816</v>
      </c>
      <c r="CF162" s="507"/>
      <c r="CG162" s="510">
        <f>CG158-CG163-CG164</f>
        <v>-126.64326760948227</v>
      </c>
      <c r="CH162" s="509">
        <f>CH158-CH163-CH164</f>
        <v>4.9612420313825112</v>
      </c>
      <c r="CI162" s="509">
        <f>CI158-CI163-CI164</f>
        <v>131.49312240694519</v>
      </c>
      <c r="CJ162" s="509">
        <f>CJ158-CJ163-CJ164</f>
        <v>116.52014813511585</v>
      </c>
      <c r="CK162" s="508">
        <f>CK158-CK163-CK164</f>
        <v>35.121589934201324</v>
      </c>
      <c r="CL162" s="507"/>
      <c r="CM162" s="510">
        <f>CM158-CM163-CM164</f>
        <v>101.18792187110172</v>
      </c>
      <c r="CN162" s="509">
        <f>CN158-CN163-CN164</f>
        <v>-59.20325801372087</v>
      </c>
      <c r="CO162" s="509">
        <f>CO158-CO163-CO164</f>
        <v>124.1302977945016</v>
      </c>
      <c r="CP162" s="509">
        <f>CP158-CP163-CP164</f>
        <v>182.09301583066141</v>
      </c>
      <c r="CQ162" s="508">
        <f>CQ158-CQ163-CQ164</f>
        <v>87.757241631494594</v>
      </c>
      <c r="CR162" s="507"/>
      <c r="CS162" s="510">
        <f>CS158-CS163-CS164</f>
        <v>14.487318493102336</v>
      </c>
      <c r="CT162" s="509">
        <f>CT158-CT163-CT164</f>
        <v>193.90650840114256</v>
      </c>
      <c r="CU162" s="509">
        <f>CU158-CU163-CU164</f>
        <v>-134.10745133967237</v>
      </c>
      <c r="CV162" s="509">
        <f>CV158-CV163-CV164</f>
        <v>205.22742155029573</v>
      </c>
      <c r="CW162" s="508">
        <f>CW158-CW163-CW164</f>
        <v>70</v>
      </c>
      <c r="CX162" s="71"/>
      <c r="CY162" s="510">
        <f>CY158-CY163-CY164</f>
        <v>326.42602687428854</v>
      </c>
      <c r="CZ162" s="509">
        <f>CZ158-CZ163-CZ164</f>
        <v>163.64312210674774</v>
      </c>
      <c r="DA162" s="509">
        <f>DA158-DA163-DA164</f>
        <v>250</v>
      </c>
      <c r="DB162" s="509">
        <f>DB158-DB163-DB164</f>
        <v>80</v>
      </c>
      <c r="DC162" s="508">
        <f>DC158-DC163-DC164</f>
        <v>200</v>
      </c>
      <c r="DD162" s="509"/>
      <c r="DE162" s="834">
        <v>-240</v>
      </c>
      <c r="DF162" s="807">
        <v>-25</v>
      </c>
      <c r="DG162" s="509">
        <f>DG158-DG163-DG164</f>
        <v>241.38357240226435</v>
      </c>
      <c r="DH162" s="509">
        <f>DH158-DH163-DH164</f>
        <v>107.38599894726224</v>
      </c>
      <c r="DI162" s="508">
        <f>DI158-DI163-DI164</f>
        <v>34.327385972317664</v>
      </c>
      <c r="DJ162" s="509"/>
      <c r="DK162" s="510">
        <f>DK158-DK163-DK164</f>
        <v>467.13044619288922</v>
      </c>
      <c r="DL162" s="509">
        <f>DL158-DL163-DL164</f>
        <v>530.98810923330336</v>
      </c>
      <c r="DM162" s="509">
        <f>DM158-DM163-DM164</f>
        <v>47.173744365711642</v>
      </c>
      <c r="DN162" s="509">
        <f>DN158-DN163-DN164</f>
        <v>96.276449095210879</v>
      </c>
      <c r="DO162" s="508">
        <f>DO158-DO163-DO164</f>
        <v>271.55653131033824</v>
      </c>
      <c r="DP162" s="509"/>
      <c r="DQ162" s="510">
        <f>DQ158-DQ163-DQ164</f>
        <v>39.874975351306134</v>
      </c>
      <c r="DR162" s="509">
        <f>DR158-DR163-DR164</f>
        <v>83.167253977482474</v>
      </c>
      <c r="DS162" s="509">
        <f>DS158-DS163-DS164</f>
        <v>81.500544890985012</v>
      </c>
      <c r="DT162" s="509">
        <f>DT158-DT163-DT164</f>
        <v>68.258758130805845</v>
      </c>
      <c r="DU162" s="508">
        <f>DU158-DU163-DU164</f>
        <v>69.456868258441773</v>
      </c>
      <c r="DV162" s="509"/>
      <c r="DW162" s="510">
        <f>DW158-DW163-DW164</f>
        <v>111.48509890066715</v>
      </c>
      <c r="DX162" s="509">
        <f>DX158-DX163-DX164</f>
        <v>107.43228442464114</v>
      </c>
      <c r="DY162" s="509">
        <f>DY158-DY163-DY164</f>
        <v>104.22095719881148</v>
      </c>
      <c r="DZ162" s="509">
        <f>DZ158-DZ163-DZ164</f>
        <v>85.936125686522089</v>
      </c>
      <c r="EA162" s="508">
        <f>EA158-EA163-EA164</f>
        <v>101.76226852043364</v>
      </c>
      <c r="EB162" s="509"/>
      <c r="EC162" s="510">
        <f>EC158-EC163-EC164</f>
        <v>105.33851924190429</v>
      </c>
      <c r="ED162" s="509">
        <f>ED158-ED163-ED164</f>
        <v>101.75431916599447</v>
      </c>
      <c r="EE162" s="509">
        <f>EE158-EE163-EE164</f>
        <v>98.208135230741789</v>
      </c>
      <c r="EF162" s="509">
        <f>EF158-EF163-EF164</f>
        <v>49.585027307200434</v>
      </c>
      <c r="EG162" s="508">
        <f>EG158-EG163-EG164</f>
        <v>87.553111707543707</v>
      </c>
    </row>
    <row r="163" spans="1:137" ht="11.25" customHeight="1" outlineLevel="1" x14ac:dyDescent="0.2">
      <c r="A163" s="51" t="s">
        <v>235</v>
      </c>
      <c r="B163" s="14"/>
      <c r="C163" s="14"/>
      <c r="D163" s="14"/>
      <c r="E163" s="93"/>
      <c r="F163" s="71"/>
      <c r="G163" s="93"/>
      <c r="H163" s="71"/>
      <c r="I163" s="93"/>
      <c r="J163" s="71"/>
      <c r="K163" s="93"/>
      <c r="L163" s="71"/>
      <c r="M163" s="84"/>
      <c r="N163" s="71"/>
      <c r="O163" s="71"/>
      <c r="P163" s="71"/>
      <c r="Q163" s="93"/>
      <c r="R163" s="71"/>
      <c r="S163" s="84"/>
      <c r="T163" s="71"/>
      <c r="U163" s="71"/>
      <c r="V163" s="71"/>
      <c r="W163" s="93"/>
      <c r="X163" s="71"/>
      <c r="Y163" s="84"/>
      <c r="Z163" s="71"/>
      <c r="AA163" s="71"/>
      <c r="AB163" s="71"/>
      <c r="AC163" s="93"/>
      <c r="AD163" s="71"/>
      <c r="AE163" s="84"/>
      <c r="AF163" s="71"/>
      <c r="AG163" s="71"/>
      <c r="AH163" s="71"/>
      <c r="AI163" s="93"/>
      <c r="AJ163" s="71"/>
      <c r="AK163" s="84"/>
      <c r="AL163" s="71"/>
      <c r="AM163" s="71"/>
      <c r="AN163" s="71"/>
      <c r="AO163" s="93"/>
      <c r="AP163" s="71"/>
      <c r="AQ163" s="84"/>
      <c r="AR163" s="71"/>
      <c r="AS163" s="71"/>
      <c r="AT163" s="71"/>
      <c r="AU163" s="93"/>
      <c r="AV163" s="71"/>
      <c r="AW163" s="84"/>
      <c r="AX163" s="71"/>
      <c r="AY163" s="71"/>
      <c r="AZ163" s="71"/>
      <c r="BA163" s="93"/>
      <c r="BB163" s="71"/>
      <c r="BC163" s="84"/>
      <c r="BD163" s="71"/>
      <c r="BE163" s="71"/>
      <c r="BF163" s="71"/>
      <c r="BG163" s="93"/>
      <c r="BH163" s="71"/>
      <c r="BI163" s="84"/>
      <c r="BJ163" s="71"/>
      <c r="BK163" s="71"/>
      <c r="BL163" s="71"/>
      <c r="BM163" s="93"/>
      <c r="BN163" s="71"/>
      <c r="BO163" s="84"/>
      <c r="BP163" s="71"/>
      <c r="BQ163" s="71"/>
      <c r="BR163" s="71"/>
      <c r="BS163" s="93"/>
      <c r="BT163" s="71"/>
      <c r="BU163" s="834">
        <v>0</v>
      </c>
      <c r="BV163" s="807">
        <v>0</v>
      </c>
      <c r="BW163" s="807">
        <v>-600</v>
      </c>
      <c r="BX163" s="807">
        <v>-320</v>
      </c>
      <c r="BY163" s="508">
        <f>SUMPRODUCT(BU163:BX163,BU$146:BX$146)/BY$146</f>
        <v>-374.2820458785252</v>
      </c>
      <c r="BZ163" s="507"/>
      <c r="CA163" s="834">
        <v>-150</v>
      </c>
      <c r="CB163" s="807">
        <v>-140</v>
      </c>
      <c r="CC163" s="807">
        <v>-20</v>
      </c>
      <c r="CD163" s="807">
        <v>-200</v>
      </c>
      <c r="CE163" s="508">
        <f>SUMPRODUCT(CA163:CD163,CA$146:CD$146)/CE$146</f>
        <v>-130.21961012511079</v>
      </c>
      <c r="CF163" s="507"/>
      <c r="CG163" s="834">
        <v>-100</v>
      </c>
      <c r="CH163" s="807">
        <v>-75</v>
      </c>
      <c r="CI163" s="807">
        <v>-55</v>
      </c>
      <c r="CJ163" s="807">
        <v>-75</v>
      </c>
      <c r="CK163" s="508">
        <f>SUMPRODUCT(CG163:CJ163,CG$146:CJ$146)/CK$146</f>
        <v>-75.871506865102205</v>
      </c>
      <c r="CL163" s="507"/>
      <c r="CM163" s="834">
        <v>-40</v>
      </c>
      <c r="CN163" s="807">
        <v>-10</v>
      </c>
      <c r="CO163" s="807">
        <v>-35</v>
      </c>
      <c r="CP163" s="807">
        <v>-50</v>
      </c>
      <c r="CQ163" s="508">
        <f>SUMPRODUCT(CM163:CP163,CM$146:CP$146)/CQ$146</f>
        <v>-33.932449785172246</v>
      </c>
      <c r="CR163" s="507"/>
      <c r="CS163" s="834">
        <v>-100</v>
      </c>
      <c r="CT163" s="807">
        <v>-100</v>
      </c>
      <c r="CU163" s="807">
        <v>-100</v>
      </c>
      <c r="CV163" s="807">
        <v>-100</v>
      </c>
      <c r="CW163" s="806">
        <v>-100</v>
      </c>
      <c r="CX163" s="507"/>
      <c r="CY163" s="834">
        <v>0</v>
      </c>
      <c r="CZ163" s="807">
        <v>0</v>
      </c>
      <c r="DA163" s="507">
        <v>0</v>
      </c>
      <c r="DB163" s="807">
        <v>-115</v>
      </c>
      <c r="DC163" s="806">
        <v>-30</v>
      </c>
      <c r="DD163" s="509"/>
      <c r="DE163" s="834">
        <v>-190</v>
      </c>
      <c r="DF163" s="807">
        <v>-205</v>
      </c>
      <c r="DG163" s="507">
        <v>-165</v>
      </c>
      <c r="DH163" s="807">
        <v>-40</v>
      </c>
      <c r="DI163" s="508">
        <f>SUMPRODUCT(DE163:DH163,DE$146:DH$146)/DI$146</f>
        <v>-145.78648606996697</v>
      </c>
      <c r="DJ163" s="509"/>
      <c r="DK163" s="834">
        <v>0</v>
      </c>
      <c r="DL163" s="898">
        <v>0</v>
      </c>
      <c r="DM163" s="898">
        <v>0</v>
      </c>
      <c r="DN163" s="898">
        <v>0</v>
      </c>
      <c r="DO163" s="508">
        <f>SUMPRODUCT(DK163:DN163,DK$146:DN$146)/DO$146</f>
        <v>0</v>
      </c>
      <c r="DP163" s="509"/>
      <c r="DQ163" s="897">
        <v>0</v>
      </c>
      <c r="DR163" s="898">
        <v>0</v>
      </c>
      <c r="DS163" s="898">
        <v>0</v>
      </c>
      <c r="DT163" s="898">
        <v>0</v>
      </c>
      <c r="DU163" s="508">
        <f>SUMPRODUCT(DQ163:DT163,DQ$146:DT$146)/DU$146</f>
        <v>0</v>
      </c>
      <c r="DV163" s="509"/>
      <c r="DW163" s="897">
        <v>0</v>
      </c>
      <c r="DX163" s="898">
        <v>0</v>
      </c>
      <c r="DY163" s="898">
        <v>0</v>
      </c>
      <c r="DZ163" s="898">
        <v>0</v>
      </c>
      <c r="EA163" s="508">
        <f>SUMPRODUCT(DW163:DZ163,DW$146:DZ$146)/EA$146</f>
        <v>0</v>
      </c>
      <c r="EB163" s="509"/>
      <c r="EC163" s="897">
        <v>0</v>
      </c>
      <c r="ED163" s="898">
        <v>0</v>
      </c>
      <c r="EE163" s="898">
        <v>0</v>
      </c>
      <c r="EF163" s="898">
        <v>0</v>
      </c>
      <c r="EG163" s="508">
        <f>SUMPRODUCT(EC163:EF163,EC$146:EF$146)/EG$146</f>
        <v>0</v>
      </c>
    </row>
    <row r="164" spans="1:137" ht="11.25" customHeight="1" outlineLevel="1" x14ac:dyDescent="0.2">
      <c r="A164" s="199" t="s">
        <v>234</v>
      </c>
      <c r="B164" s="14"/>
      <c r="C164" s="14"/>
      <c r="D164" s="14"/>
      <c r="E164" s="196"/>
      <c r="F164" s="71"/>
      <c r="G164" s="196"/>
      <c r="H164" s="71"/>
      <c r="I164" s="196"/>
      <c r="J164" s="71"/>
      <c r="K164" s="196"/>
      <c r="L164" s="71"/>
      <c r="M164" s="419"/>
      <c r="N164" s="222"/>
      <c r="O164" s="222"/>
      <c r="P164" s="222"/>
      <c r="Q164" s="196"/>
      <c r="R164" s="71"/>
      <c r="S164" s="419"/>
      <c r="T164" s="222"/>
      <c r="U164" s="222"/>
      <c r="V164" s="222"/>
      <c r="W164" s="196"/>
      <c r="X164" s="71"/>
      <c r="Y164" s="419"/>
      <c r="Z164" s="222"/>
      <c r="AA164" s="222"/>
      <c r="AB164" s="222"/>
      <c r="AC164" s="196"/>
      <c r="AD164" s="71"/>
      <c r="AE164" s="419"/>
      <c r="AF164" s="222"/>
      <c r="AG164" s="222"/>
      <c r="AH164" s="222"/>
      <c r="AI164" s="196"/>
      <c r="AJ164" s="71"/>
      <c r="AK164" s="419"/>
      <c r="AL164" s="222"/>
      <c r="AM164" s="222"/>
      <c r="AN164" s="222"/>
      <c r="AO164" s="196"/>
      <c r="AP164" s="71"/>
      <c r="AQ164" s="419"/>
      <c r="AR164" s="222"/>
      <c r="AS164" s="222"/>
      <c r="AT164" s="222"/>
      <c r="AU164" s="196"/>
      <c r="AV164" s="71"/>
      <c r="AW164" s="419"/>
      <c r="AX164" s="222"/>
      <c r="AY164" s="222"/>
      <c r="AZ164" s="222"/>
      <c r="BA164" s="196"/>
      <c r="BB164" s="71"/>
      <c r="BC164" s="419"/>
      <c r="BD164" s="222"/>
      <c r="BE164" s="222"/>
      <c r="BF164" s="222"/>
      <c r="BG164" s="196"/>
      <c r="BH164" s="71"/>
      <c r="BI164" s="419"/>
      <c r="BJ164" s="222"/>
      <c r="BK164" s="222"/>
      <c r="BL164" s="222"/>
      <c r="BM164" s="196"/>
      <c r="BN164" s="71"/>
      <c r="BO164" s="419"/>
      <c r="BP164" s="222"/>
      <c r="BQ164" s="222"/>
      <c r="BR164" s="222"/>
      <c r="BS164" s="196"/>
      <c r="BT164" s="71"/>
      <c r="BU164" s="835">
        <v>250</v>
      </c>
      <c r="BV164" s="836">
        <v>-700</v>
      </c>
      <c r="BW164" s="836">
        <v>-550</v>
      </c>
      <c r="BX164" s="836">
        <v>240</v>
      </c>
      <c r="BY164" s="513">
        <f>SUMPRODUCT(BU164:BX164,BU$146:BX$146)/BY$146</f>
        <v>-157.04846257205784</v>
      </c>
      <c r="BZ164" s="507"/>
      <c r="CA164" s="835">
        <v>-30</v>
      </c>
      <c r="CB164" s="836">
        <v>890</v>
      </c>
      <c r="CC164" s="836">
        <v>600</v>
      </c>
      <c r="CD164" s="836">
        <v>200</v>
      </c>
      <c r="CE164" s="513">
        <f>SUMPRODUCT(CA164:CD164,CA$146:CD$146)/CE$146</f>
        <v>410.40883520546504</v>
      </c>
      <c r="CF164" s="507"/>
      <c r="CG164" s="835">
        <f>CG31</f>
        <v>155.53931704829625</v>
      </c>
      <c r="CH164" s="836">
        <f>CH31</f>
        <v>195.17887571610811</v>
      </c>
      <c r="CI164" s="836">
        <f>CI31</f>
        <v>186.92707821672599</v>
      </c>
      <c r="CJ164" s="836">
        <f>CJ31</f>
        <v>210.15082186007521</v>
      </c>
      <c r="CK164" s="513">
        <f>SUMPRODUCT(CG164:CJ164,CG$146:CJ$146)/CK$146</f>
        <v>188.02225004159487</v>
      </c>
      <c r="CL164" s="507"/>
      <c r="CM164" s="835">
        <v>0</v>
      </c>
      <c r="CN164" s="836">
        <f>CN31</f>
        <v>198.17209352291118</v>
      </c>
      <c r="CO164" s="836">
        <v>0</v>
      </c>
      <c r="CP164" s="836">
        <v>-180</v>
      </c>
      <c r="CQ164" s="513">
        <f>SUMPRODUCT(CM164:CP164,CM$146:CP$146)/CQ$146</f>
        <v>1.0651859310949356</v>
      </c>
      <c r="CR164" s="507"/>
      <c r="CS164" s="835">
        <v>0</v>
      </c>
      <c r="CT164" s="836">
        <v>0</v>
      </c>
      <c r="CU164" s="836">
        <v>0</v>
      </c>
      <c r="CV164" s="836">
        <v>0</v>
      </c>
      <c r="CW164" s="837">
        <v>0</v>
      </c>
      <c r="CX164" s="507"/>
      <c r="CY164" s="835">
        <v>0</v>
      </c>
      <c r="CZ164" s="836">
        <v>0</v>
      </c>
      <c r="DA164" s="836">
        <v>0</v>
      </c>
      <c r="DB164" s="836">
        <v>-535</v>
      </c>
      <c r="DC164" s="837">
        <v>-150</v>
      </c>
      <c r="DD164" s="509"/>
      <c r="DE164" s="835">
        <v>0</v>
      </c>
      <c r="DF164" s="836">
        <v>-530</v>
      </c>
      <c r="DG164" s="836">
        <v>0</v>
      </c>
      <c r="DH164" s="836">
        <v>625</v>
      </c>
      <c r="DI164" s="513">
        <f>SUMPRODUCT(DE164:DH164,DE$146:DH$146)/DI$146</f>
        <v>43.106474425931957</v>
      </c>
      <c r="DJ164" s="509"/>
      <c r="DK164" s="835">
        <v>0</v>
      </c>
      <c r="DL164" s="899">
        <v>0</v>
      </c>
      <c r="DM164" s="899">
        <v>0</v>
      </c>
      <c r="DN164" s="899">
        <v>0</v>
      </c>
      <c r="DO164" s="513">
        <f>SUMPRODUCT(DK164:DN164,DK$146:DN$146)/DO$146</f>
        <v>0</v>
      </c>
      <c r="DP164" s="509"/>
      <c r="DQ164" s="900">
        <v>0</v>
      </c>
      <c r="DR164" s="899">
        <v>0</v>
      </c>
      <c r="DS164" s="899">
        <v>0</v>
      </c>
      <c r="DT164" s="899">
        <v>0</v>
      </c>
      <c r="DU164" s="513">
        <f>SUMPRODUCT(DQ164:DT164,DQ$146:DT$146)/DU$146</f>
        <v>0</v>
      </c>
      <c r="DV164" s="509"/>
      <c r="DW164" s="900">
        <v>0</v>
      </c>
      <c r="DX164" s="899">
        <v>0</v>
      </c>
      <c r="DY164" s="899">
        <v>0</v>
      </c>
      <c r="DZ164" s="899">
        <v>0</v>
      </c>
      <c r="EA164" s="513">
        <f>SUMPRODUCT(DW164:DZ164,DW$146:DZ$146)/EA$146</f>
        <v>0</v>
      </c>
      <c r="EB164" s="509"/>
      <c r="EC164" s="900">
        <v>0</v>
      </c>
      <c r="ED164" s="899">
        <v>0</v>
      </c>
      <c r="EE164" s="899">
        <v>0</v>
      </c>
      <c r="EF164" s="899">
        <v>0</v>
      </c>
      <c r="EG164" s="513">
        <f>SUMPRODUCT(EC164:EF164,EC$146:EF$146)/EG$146</f>
        <v>0</v>
      </c>
    </row>
    <row r="165" spans="1:137" ht="11.25" customHeight="1" outlineLevel="2" x14ac:dyDescent="0.2">
      <c r="A165" s="106" t="s">
        <v>587</v>
      </c>
      <c r="B165" s="74"/>
      <c r="C165" s="74"/>
      <c r="D165" s="74"/>
      <c r="E165" s="107"/>
      <c r="F165" s="75"/>
      <c r="G165" s="107"/>
      <c r="H165" s="75"/>
      <c r="I165" s="107"/>
      <c r="J165" s="75"/>
      <c r="K165" s="107"/>
      <c r="L165" s="75"/>
      <c r="M165" s="109"/>
      <c r="N165" s="110"/>
      <c r="O165" s="110"/>
      <c r="P165" s="110"/>
      <c r="Q165" s="107"/>
      <c r="R165" s="75"/>
      <c r="S165" s="109"/>
      <c r="T165" s="110"/>
      <c r="U165" s="110"/>
      <c r="V165" s="110"/>
      <c r="W165" s="107"/>
      <c r="X165" s="75"/>
      <c r="Y165" s="109"/>
      <c r="Z165" s="110"/>
      <c r="AA165" s="110"/>
      <c r="AB165" s="110"/>
      <c r="AC165" s="107"/>
      <c r="AD165" s="75"/>
      <c r="AE165" s="109"/>
      <c r="AF165" s="110"/>
      <c r="AG165" s="110"/>
      <c r="AH165" s="110"/>
      <c r="AI165" s="107"/>
      <c r="AJ165" s="75"/>
      <c r="AK165" s="109"/>
      <c r="AL165" s="110"/>
      <c r="AM165" s="110"/>
      <c r="AN165" s="110"/>
      <c r="AO165" s="107"/>
      <c r="AP165" s="75"/>
      <c r="AQ165" s="109"/>
      <c r="AR165" s="110"/>
      <c r="AS165" s="110"/>
      <c r="AT165" s="110"/>
      <c r="AU165" s="107"/>
      <c r="AV165" s="75"/>
      <c r="AW165" s="109"/>
      <c r="AX165" s="110"/>
      <c r="AY165" s="110"/>
      <c r="AZ165" s="110"/>
      <c r="BA165" s="107"/>
      <c r="BB165" s="75"/>
      <c r="BC165" s="109"/>
      <c r="BD165" s="110"/>
      <c r="BE165" s="110"/>
      <c r="BF165" s="110"/>
      <c r="BG165" s="107"/>
      <c r="BH165" s="75"/>
      <c r="BI165" s="109"/>
      <c r="BJ165" s="110"/>
      <c r="BK165" s="110"/>
      <c r="BL165" s="110"/>
      <c r="BM165" s="107"/>
      <c r="BN165" s="75"/>
      <c r="BO165" s="109"/>
      <c r="BP165" s="110"/>
      <c r="BQ165" s="110"/>
      <c r="BR165" s="110"/>
      <c r="BS165" s="107"/>
      <c r="BT165" s="75"/>
      <c r="BU165" s="109"/>
      <c r="BV165" s="110"/>
      <c r="BW165" s="110"/>
      <c r="BX165" s="110"/>
      <c r="BY165" s="107"/>
      <c r="BZ165" s="75"/>
      <c r="CA165" s="109"/>
      <c r="CB165" s="110"/>
      <c r="CC165" s="110"/>
      <c r="CD165" s="110"/>
      <c r="CE165" s="107"/>
      <c r="CF165" s="75"/>
      <c r="CG165" s="109"/>
      <c r="CH165" s="110"/>
      <c r="CI165" s="110"/>
      <c r="CJ165" s="110"/>
      <c r="CK165" s="107"/>
      <c r="CL165" s="75"/>
      <c r="CM165" s="109"/>
      <c r="CN165" s="110"/>
      <c r="CO165" s="110"/>
      <c r="CP165" s="110"/>
      <c r="CQ165" s="107"/>
      <c r="CR165" s="75"/>
      <c r="CS165" s="109"/>
      <c r="CT165" s="110"/>
      <c r="CU165" s="110"/>
      <c r="CV165" s="110"/>
      <c r="CW165" s="107"/>
      <c r="CX165" s="75"/>
      <c r="CY165" s="109"/>
      <c r="CZ165" s="110"/>
      <c r="DA165" s="110"/>
      <c r="DB165" s="110"/>
      <c r="DC165" s="107"/>
      <c r="DD165" s="75"/>
      <c r="DE165" s="109"/>
      <c r="DF165" s="110"/>
      <c r="DG165" s="110"/>
      <c r="DH165" s="110"/>
      <c r="DI165" s="107"/>
      <c r="DJ165" s="75"/>
      <c r="DK165" s="109"/>
      <c r="DL165" s="110"/>
      <c r="DM165" s="110"/>
      <c r="DN165" s="110"/>
      <c r="DO165" s="107"/>
      <c r="DP165" s="75"/>
      <c r="DQ165" s="109"/>
      <c r="DR165" s="110"/>
      <c r="DS165" s="110"/>
      <c r="DT165" s="110"/>
      <c r="DU165" s="107"/>
      <c r="DV165" s="75"/>
      <c r="DW165" s="109"/>
      <c r="DX165" s="110"/>
      <c r="DY165" s="110"/>
      <c r="DZ165" s="110"/>
      <c r="EA165" s="107"/>
      <c r="EB165" s="75"/>
      <c r="EC165" s="109"/>
      <c r="ED165" s="110"/>
      <c r="EE165" s="110"/>
      <c r="EF165" s="110"/>
      <c r="EG165" s="107"/>
    </row>
    <row r="166" spans="1:137" ht="11.25" customHeight="1" outlineLevel="2" x14ac:dyDescent="0.2">
      <c r="A166" s="460" t="s">
        <v>559</v>
      </c>
      <c r="B166" s="343"/>
      <c r="C166" s="343"/>
      <c r="D166" s="343"/>
      <c r="E166" s="163"/>
      <c r="F166" s="164"/>
      <c r="G166" s="163"/>
      <c r="H166" s="164"/>
      <c r="I166" s="163"/>
      <c r="J166" s="164"/>
      <c r="K166" s="163"/>
      <c r="L166" s="164"/>
      <c r="M166" s="165"/>
      <c r="N166" s="164"/>
      <c r="O166" s="164"/>
      <c r="P166" s="164"/>
      <c r="Q166" s="163"/>
      <c r="R166" s="164"/>
      <c r="S166" s="165"/>
      <c r="T166" s="164"/>
      <c r="U166" s="164"/>
      <c r="V166" s="164"/>
      <c r="W166" s="163"/>
      <c r="X166" s="164"/>
      <c r="Y166" s="165"/>
      <c r="Z166" s="164"/>
      <c r="AA166" s="164"/>
      <c r="AB166" s="164"/>
      <c r="AC166" s="163"/>
      <c r="AD166" s="164"/>
      <c r="AE166" s="165"/>
      <c r="AF166" s="164"/>
      <c r="AG166" s="164"/>
      <c r="AH166" s="164"/>
      <c r="AI166" s="163"/>
      <c r="AJ166" s="164"/>
      <c r="AK166" s="165"/>
      <c r="AL166" s="164"/>
      <c r="AM166" s="164"/>
      <c r="AN166" s="164"/>
      <c r="AO166" s="163"/>
      <c r="AP166" s="164"/>
      <c r="AQ166" s="165"/>
      <c r="AR166" s="164"/>
      <c r="AS166" s="164"/>
      <c r="AT166" s="164"/>
      <c r="AU166" s="163"/>
      <c r="AV166" s="164"/>
      <c r="AW166" s="165"/>
      <c r="AX166" s="164"/>
      <c r="AY166" s="164"/>
      <c r="AZ166" s="164"/>
      <c r="BA166" s="163"/>
      <c r="BB166" s="164"/>
      <c r="BC166" s="165"/>
      <c r="BD166" s="164"/>
      <c r="BE166" s="164"/>
      <c r="BF166" s="164"/>
      <c r="BG166" s="163"/>
      <c r="BH166" s="164"/>
      <c r="BI166" s="165"/>
      <c r="BJ166" s="164"/>
      <c r="BK166" s="164"/>
      <c r="BL166" s="164"/>
      <c r="BM166" s="163"/>
      <c r="BN166" s="164"/>
      <c r="BO166" s="165"/>
      <c r="BP166" s="164"/>
      <c r="BQ166" s="164"/>
      <c r="BR166" s="164"/>
      <c r="BS166" s="163"/>
      <c r="BT166" s="164"/>
      <c r="BU166" s="986"/>
      <c r="BV166" s="985"/>
      <c r="BW166" s="985"/>
      <c r="BX166" s="985"/>
      <c r="BY166" s="869"/>
      <c r="BZ166" s="985"/>
      <c r="CA166" s="986"/>
      <c r="CB166" s="985"/>
      <c r="CC166" s="985"/>
      <c r="CD166" s="985"/>
      <c r="CE166" s="869"/>
      <c r="CF166" s="985"/>
      <c r="CG166" s="986"/>
      <c r="CH166" s="985"/>
      <c r="CI166" s="985"/>
      <c r="CJ166" s="985"/>
      <c r="CK166" s="869"/>
      <c r="CL166" s="985"/>
      <c r="CM166" s="986"/>
      <c r="CN166" s="985"/>
      <c r="CO166" s="985"/>
      <c r="CP166" s="985"/>
      <c r="CQ166" s="869"/>
      <c r="CR166" s="985"/>
      <c r="CS166" s="986"/>
      <c r="CT166" s="985"/>
      <c r="CU166" s="985"/>
      <c r="CV166" s="985"/>
      <c r="CW166" s="869"/>
      <c r="CX166" s="985"/>
      <c r="CY166" s="165"/>
      <c r="CZ166" s="164"/>
      <c r="DA166" s="164"/>
      <c r="DB166" s="164"/>
      <c r="DC166" s="163"/>
      <c r="DD166" s="985"/>
      <c r="DE166" s="1192">
        <f>+DE181+DE182-CY181-CY182</f>
        <v>2</v>
      </c>
      <c r="DF166" s="1193">
        <f>+DF181+DF182-CZ181-CZ182</f>
        <v>4.7145602919258902</v>
      </c>
      <c r="DG166" s="1193">
        <f>+DG181+DG182-DA181-DA182</f>
        <v>6.7270966969069921</v>
      </c>
      <c r="DH166" s="1193">
        <f>+DH181+DH182-DB181-DB182</f>
        <v>9.4400983939996088</v>
      </c>
      <c r="DI166" s="1194">
        <f>+DI181+DI182-DC181-DC182</f>
        <v>22.881755382832491</v>
      </c>
      <c r="DJ166" s="1195"/>
      <c r="DK166" s="1192">
        <f>+DK181+DK182-DE181-DE182</f>
        <v>9.5421000082759129</v>
      </c>
      <c r="DL166" s="1193">
        <f>+DL181+DL182-DF181-DF182</f>
        <v>6.8078936252592221</v>
      </c>
      <c r="DM166" s="1193">
        <f>+DM181+DM182-DG181-DG182</f>
        <v>4.8237633635736596</v>
      </c>
      <c r="DN166" s="1193">
        <f>+DN181+DN182-DH181-DH182</f>
        <v>7.8925491969998092</v>
      </c>
      <c r="DO166" s="1194">
        <f>+DO181+DO182-DI181-DI182</f>
        <v>29.066306194108606</v>
      </c>
      <c r="DP166" s="1195"/>
      <c r="DQ166" s="1192">
        <f>+DQ181+DQ182-DK181-DK182</f>
        <v>6.0598000041379585</v>
      </c>
      <c r="DR166" s="1193">
        <f>+DR181+DR182-DL181-DL182</f>
        <v>6.0312269585925549</v>
      </c>
      <c r="DS166" s="1193">
        <f>+DS181+DS182-DM181-DM182</f>
        <v>6.0266800302403212</v>
      </c>
      <c r="DT166" s="1193">
        <f>+DT181+DT182-DN181-DN182</f>
        <v>6.0875491969997988</v>
      </c>
      <c r="DU166" s="1194">
        <f>+DU181+DU182-DO181-DO182</f>
        <v>24.20525618997064</v>
      </c>
      <c r="DV166" s="1195"/>
      <c r="DW166" s="1192">
        <f>+DW181+DW182-DQ181-DQ182</f>
        <v>6.1773000041379547</v>
      </c>
      <c r="DX166" s="1193">
        <f>+DX181+DX182-DR181-DR182</f>
        <v>6.1812269585925534</v>
      </c>
      <c r="DY166" s="1193">
        <f>+DY181+DY182-DS181-DS182</f>
        <v>6.2091800302403257</v>
      </c>
      <c r="DZ166" s="1193">
        <f>+DZ181+DZ182-DT181-DT182</f>
        <v>6.3175491969998028</v>
      </c>
      <c r="EA166" s="1194">
        <f>+EA181+EA182-DU181-DU182</f>
        <v>24.885256189970633</v>
      </c>
      <c r="EB166" s="1195"/>
      <c r="EC166" s="1192">
        <f>+EC181+EC182-DW181-DW182</f>
        <v>6.345799983448174</v>
      </c>
      <c r="ED166" s="1193">
        <f>+ED181+ED182-DX181-DX182</f>
        <v>6.3900921656297776</v>
      </c>
      <c r="EE166" s="1193">
        <f>+EE181+EE182-DY181-DY182</f>
        <v>6.3382798790387014</v>
      </c>
      <c r="EF166" s="1193">
        <f>+EF181+EF182-DZ181-DZ182</f>
        <v>0.38725401500098044</v>
      </c>
      <c r="EG166" s="1194">
        <f>+EG181+EG182-EA181-EA182</f>
        <v>19.46142604311764</v>
      </c>
    </row>
    <row r="167" spans="1:137" s="384" customFormat="1" ht="11.25" customHeight="1" outlineLevel="2" x14ac:dyDescent="0.2">
      <c r="A167" s="50" t="s">
        <v>582</v>
      </c>
      <c r="B167" s="343"/>
      <c r="C167" s="343"/>
      <c r="D167" s="343"/>
      <c r="E167" s="163"/>
      <c r="F167" s="344"/>
      <c r="G167" s="163"/>
      <c r="H167" s="344"/>
      <c r="I167" s="163"/>
      <c r="J167" s="344"/>
      <c r="K167" s="163"/>
      <c r="L167" s="344"/>
      <c r="M167" s="475"/>
      <c r="N167" s="344"/>
      <c r="O167" s="344"/>
      <c r="P167" s="344"/>
      <c r="Q167" s="163"/>
      <c r="R167" s="344"/>
      <c r="S167" s="475"/>
      <c r="T167" s="344"/>
      <c r="U167" s="344"/>
      <c r="V167" s="344"/>
      <c r="W167" s="163"/>
      <c r="X167" s="344"/>
      <c r="Y167" s="475"/>
      <c r="Z167" s="344"/>
      <c r="AA167" s="344"/>
      <c r="AB167" s="344"/>
      <c r="AC167" s="163"/>
      <c r="AD167" s="344"/>
      <c r="AE167" s="475"/>
      <c r="AF167" s="344"/>
      <c r="AG167" s="344"/>
      <c r="AH167" s="344"/>
      <c r="AI167" s="163"/>
      <c r="AJ167" s="344"/>
      <c r="AK167" s="475"/>
      <c r="AL167" s="344"/>
      <c r="AM167" s="344"/>
      <c r="AN167" s="344"/>
      <c r="AO167" s="163"/>
      <c r="AP167" s="344"/>
      <c r="AQ167" s="475"/>
      <c r="AR167" s="344"/>
      <c r="AS167" s="344"/>
      <c r="AT167" s="344"/>
      <c r="AU167" s="163"/>
      <c r="AV167" s="344"/>
      <c r="AW167" s="475"/>
      <c r="AX167" s="344"/>
      <c r="AY167" s="344"/>
      <c r="AZ167" s="344"/>
      <c r="BA167" s="163"/>
      <c r="BB167" s="344"/>
      <c r="BC167" s="475"/>
      <c r="BD167" s="344"/>
      <c r="BE167" s="344"/>
      <c r="BF167" s="344"/>
      <c r="BG167" s="163"/>
      <c r="BH167" s="344"/>
      <c r="BI167" s="475"/>
      <c r="BJ167" s="344"/>
      <c r="BK167" s="344"/>
      <c r="BL167" s="344"/>
      <c r="BM167" s="163"/>
      <c r="BN167" s="344"/>
      <c r="BO167" s="475"/>
      <c r="BP167" s="344"/>
      <c r="BQ167" s="344"/>
      <c r="BR167" s="344"/>
      <c r="BS167" s="163"/>
      <c r="BT167" s="344"/>
      <c r="BU167" s="984"/>
      <c r="BV167" s="865"/>
      <c r="BW167" s="865"/>
      <c r="BX167" s="865"/>
      <c r="BY167" s="869"/>
      <c r="BZ167" s="864"/>
      <c r="CA167" s="984"/>
      <c r="CB167" s="865"/>
      <c r="CC167" s="865"/>
      <c r="CD167" s="865"/>
      <c r="CE167" s="869"/>
      <c r="CF167" s="864"/>
      <c r="CG167" s="984"/>
      <c r="CH167" s="865"/>
      <c r="CI167" s="865"/>
      <c r="CJ167" s="865"/>
      <c r="CK167" s="869"/>
      <c r="CL167" s="864"/>
      <c r="CM167" s="984"/>
      <c r="CN167" s="865"/>
      <c r="CO167" s="865"/>
      <c r="CP167" s="865"/>
      <c r="CQ167" s="869"/>
      <c r="CR167" s="864"/>
      <c r="CS167" s="984"/>
      <c r="CT167" s="865"/>
      <c r="CU167" s="865"/>
      <c r="CV167" s="865"/>
      <c r="CW167" s="838"/>
      <c r="CX167" s="864"/>
      <c r="CY167" s="1189">
        <f t="shared" ref="CY167:DA167" si="225">+CY169/CS146-1</f>
        <v>1.0674257249599695E-2</v>
      </c>
      <c r="CZ167" s="1076">
        <f t="shared" si="225"/>
        <v>1.0120481927710756E-2</v>
      </c>
      <c r="DA167" s="1076">
        <f t="shared" si="225"/>
        <v>3.1382888246300533E-2</v>
      </c>
      <c r="DB167" s="1076">
        <f>+DB169/CV146-1</f>
        <v>1.7164051576821215E-2</v>
      </c>
      <c r="DC167" s="838"/>
      <c r="DD167" s="985"/>
      <c r="DE167" s="986">
        <f>+DE166/DE146*10000</f>
        <v>15.068183530475402</v>
      </c>
      <c r="DF167" s="985">
        <f>+DF166/DF146*10000</f>
        <v>32.740002027263124</v>
      </c>
      <c r="DG167" s="985">
        <f>+DG166/DG146*10000</f>
        <v>46.435402063277365</v>
      </c>
      <c r="DH167" s="985">
        <f>+DH166/DH146*10000</f>
        <v>58.132264265038543</v>
      </c>
      <c r="DI167" s="869">
        <f>+DI166/DI146*10000</f>
        <v>39.181758904831405</v>
      </c>
      <c r="DJ167" s="985"/>
      <c r="DK167" s="986">
        <f>+DK166/DK146*10000</f>
        <v>62.789366376757997</v>
      </c>
      <c r="DL167" s="985">
        <f>+DL166/DL146*10000</f>
        <v>43.373430334220323</v>
      </c>
      <c r="DM167" s="985">
        <f>+DM166/DM146*10000</f>
        <v>31.711605896739336</v>
      </c>
      <c r="DN167" s="985">
        <f>+DN166/DN146*10000</f>
        <v>46.288032027539863</v>
      </c>
      <c r="DO167" s="869">
        <f>+DO166/DO146*10000</f>
        <v>46.023542274533732</v>
      </c>
      <c r="DP167" s="985"/>
      <c r="DQ167" s="986">
        <f>+DQ166/DQ146*10000</f>
        <v>39.874975351305906</v>
      </c>
      <c r="DR167" s="985">
        <f>+DR166/DR146*10000</f>
        <v>37.306066220523405</v>
      </c>
      <c r="DS167" s="985">
        <f>+DS166/DS146*10000</f>
        <v>38.465656634207321</v>
      </c>
      <c r="DT167" s="985">
        <f>+DT166/DT146*10000</f>
        <v>34.662244266945571</v>
      </c>
      <c r="DU167" s="869">
        <f>+DU166/DU146*10000</f>
        <v>37.472888856945076</v>
      </c>
      <c r="DV167" s="985"/>
      <c r="DW167" s="986">
        <f>+DW166/DW146*10000</f>
        <v>38.712527874473686</v>
      </c>
      <c r="DX167" s="985">
        <f>+DX166/DX146*10000</f>
        <v>36.413227646318852</v>
      </c>
      <c r="DY167" s="985">
        <f>+DY166/DY146*10000</f>
        <v>37.743308694443961</v>
      </c>
      <c r="DZ167" s="985">
        <f>+DZ166/DZ146*10000</f>
        <v>34.258908962947295</v>
      </c>
      <c r="EA167" s="869">
        <f>+EA166/EA146*10000</f>
        <v>36.691064203837449</v>
      </c>
      <c r="EB167" s="985"/>
      <c r="EC167" s="986">
        <f>+EC166/EC146*10000</f>
        <v>37.874762449076115</v>
      </c>
      <c r="ED167" s="985">
        <f>+ED166/ED146*10000</f>
        <v>35.8510854555118</v>
      </c>
      <c r="EE167" s="985">
        <f>+EE166/EE146*10000</f>
        <v>36.693389450127469</v>
      </c>
      <c r="EF167" s="985">
        <f>+EF166/EF146*10000</f>
        <v>2.0000070448890517</v>
      </c>
      <c r="EG167" s="869">
        <f>+EG166/EG146*10000</f>
        <v>27.327729701444937</v>
      </c>
    </row>
    <row r="168" spans="1:137" ht="11.25" customHeight="1" outlineLevel="2" x14ac:dyDescent="0.2">
      <c r="A168" s="50"/>
      <c r="B168" s="14"/>
      <c r="C168" s="14"/>
      <c r="D168" s="14"/>
      <c r="E168" s="93"/>
      <c r="F168" s="71"/>
      <c r="G168" s="93"/>
      <c r="H168" s="71"/>
      <c r="I168" s="93"/>
      <c r="J168" s="71"/>
      <c r="K168" s="93"/>
      <c r="L168" s="71"/>
      <c r="M168" s="84"/>
      <c r="N168" s="71"/>
      <c r="O168" s="71"/>
      <c r="P168" s="71"/>
      <c r="Q168" s="93"/>
      <c r="R168" s="71"/>
      <c r="S168" s="84"/>
      <c r="T168" s="71"/>
      <c r="U168" s="71"/>
      <c r="V168" s="71"/>
      <c r="W168" s="93"/>
      <c r="X168" s="71"/>
      <c r="Y168" s="84"/>
      <c r="Z168" s="71"/>
      <c r="AA168" s="71"/>
      <c r="AB168" s="71"/>
      <c r="AC168" s="93"/>
      <c r="AD168" s="71"/>
      <c r="AE168" s="84"/>
      <c r="AF168" s="71"/>
      <c r="AG168" s="71"/>
      <c r="AH168" s="71"/>
      <c r="AI168" s="93"/>
      <c r="AJ168" s="71"/>
      <c r="AK168" s="84"/>
      <c r="AL168" s="71"/>
      <c r="AM168" s="71"/>
      <c r="AN168" s="71"/>
      <c r="AO168" s="93"/>
      <c r="AP168" s="71"/>
      <c r="AQ168" s="84"/>
      <c r="AR168" s="71"/>
      <c r="AS168" s="71"/>
      <c r="AT168" s="71"/>
      <c r="AU168" s="93"/>
      <c r="AV168" s="71"/>
      <c r="AW168" s="84"/>
      <c r="AX168" s="71"/>
      <c r="AY168" s="71"/>
      <c r="AZ168" s="71"/>
      <c r="BA168" s="93"/>
      <c r="BB168" s="71"/>
      <c r="BC168" s="84"/>
      <c r="BD168" s="71"/>
      <c r="BE168" s="71"/>
      <c r="BF168" s="71"/>
      <c r="BG168" s="93"/>
      <c r="BH168" s="71"/>
      <c r="BI168" s="84"/>
      <c r="BJ168" s="71"/>
      <c r="BK168" s="71"/>
      <c r="BL168" s="71"/>
      <c r="BM168" s="93"/>
      <c r="BN168" s="71"/>
      <c r="BO168" s="84"/>
      <c r="BP168" s="71"/>
      <c r="BQ168" s="71"/>
      <c r="BR168" s="71"/>
      <c r="BS168" s="93"/>
      <c r="BT168" s="71"/>
      <c r="BU168" s="834"/>
      <c r="BV168" s="807"/>
      <c r="BW168" s="807"/>
      <c r="BX168" s="807"/>
      <c r="BY168" s="508"/>
      <c r="BZ168" s="507"/>
      <c r="CA168" s="834"/>
      <c r="CB168" s="807"/>
      <c r="CC168" s="807"/>
      <c r="CD168" s="807"/>
      <c r="CE168" s="508"/>
      <c r="CF168" s="507"/>
      <c r="CG168" s="834"/>
      <c r="CH168" s="807"/>
      <c r="CI168" s="807"/>
      <c r="CJ168" s="807"/>
      <c r="CK168" s="508"/>
      <c r="CL168" s="507"/>
      <c r="CM168" s="834"/>
      <c r="CN168" s="807"/>
      <c r="CO168" s="807"/>
      <c r="CP168" s="807"/>
      <c r="CQ168" s="508"/>
      <c r="CR168" s="507"/>
      <c r="CS168" s="834"/>
      <c r="CT168" s="807"/>
      <c r="CU168" s="807"/>
      <c r="CV168" s="807"/>
      <c r="CW168" s="806"/>
      <c r="CX168" s="507"/>
      <c r="CY168" s="834"/>
      <c r="CZ168" s="807"/>
      <c r="DA168" s="807"/>
      <c r="DB168" s="807">
        <f>+DB150*CV146</f>
        <v>122.30300000000001</v>
      </c>
      <c r="DC168" s="806"/>
      <c r="DD168" s="509"/>
      <c r="DE168" s="1071"/>
      <c r="DF168" s="15"/>
      <c r="DG168" s="1307"/>
      <c r="DH168" s="807">
        <f>+DH150*DB146</f>
        <v>71.59</v>
      </c>
      <c r="DI168" s="925">
        <f>+DH170-DH168</f>
        <v>148.41</v>
      </c>
      <c r="DJ168" s="509"/>
      <c r="DK168" s="834"/>
      <c r="DL168" s="807"/>
      <c r="DM168" s="807"/>
      <c r="DN168" s="807"/>
      <c r="DO168" s="1075"/>
      <c r="DP168" s="509"/>
      <c r="DQ168" s="897"/>
      <c r="DR168" s="898"/>
      <c r="DS168" s="898"/>
      <c r="DT168" s="898"/>
      <c r="DU168" s="508"/>
      <c r="DV168" s="509"/>
      <c r="DW168" s="897"/>
      <c r="DX168" s="898"/>
      <c r="DY168" s="898"/>
      <c r="DZ168" s="898"/>
      <c r="EA168" s="508"/>
      <c r="EB168" s="509"/>
      <c r="EC168" s="897"/>
      <c r="ED168" s="898"/>
      <c r="EE168" s="898"/>
      <c r="EF168" s="898"/>
      <c r="EG168" s="508"/>
    </row>
    <row r="169" spans="1:137" ht="11.25" customHeight="1" outlineLevel="2" x14ac:dyDescent="0.2">
      <c r="A169" s="50" t="s">
        <v>603</v>
      </c>
      <c r="B169" s="14"/>
      <c r="C169" s="14"/>
      <c r="D169" s="14"/>
      <c r="E169" s="93"/>
      <c r="F169" s="71"/>
      <c r="G169" s="93"/>
      <c r="H169" s="71"/>
      <c r="I169" s="93"/>
      <c r="J169" s="71"/>
      <c r="K169" s="93"/>
      <c r="L169" s="71"/>
      <c r="M169" s="84"/>
      <c r="N169" s="71"/>
      <c r="O169" s="71"/>
      <c r="P169" s="71"/>
      <c r="Q169" s="93"/>
      <c r="R169" s="71"/>
      <c r="S169" s="84"/>
      <c r="T169" s="71"/>
      <c r="U169" s="71"/>
      <c r="V169" s="71"/>
      <c r="W169" s="93"/>
      <c r="X169" s="71"/>
      <c r="Y169" s="84"/>
      <c r="Z169" s="71"/>
      <c r="AA169" s="71"/>
      <c r="AB169" s="71"/>
      <c r="AC169" s="93"/>
      <c r="AD169" s="71"/>
      <c r="AE169" s="84"/>
      <c r="AF169" s="71"/>
      <c r="AG169" s="71"/>
      <c r="AH169" s="71"/>
      <c r="AI169" s="93"/>
      <c r="AJ169" s="71"/>
      <c r="AK169" s="84"/>
      <c r="AL169" s="71"/>
      <c r="AM169" s="71"/>
      <c r="AN169" s="71"/>
      <c r="AO169" s="93"/>
      <c r="AP169" s="71"/>
      <c r="AQ169" s="84"/>
      <c r="AR169" s="71"/>
      <c r="AS169" s="71"/>
      <c r="AT169" s="71"/>
      <c r="AU169" s="93"/>
      <c r="AV169" s="71"/>
      <c r="AW169" s="84"/>
      <c r="AX169" s="71"/>
      <c r="AY169" s="71"/>
      <c r="AZ169" s="71"/>
      <c r="BA169" s="93"/>
      <c r="BB169" s="71"/>
      <c r="BC169" s="84"/>
      <c r="BD169" s="71"/>
      <c r="BE169" s="71"/>
      <c r="BF169" s="71"/>
      <c r="BG169" s="93"/>
      <c r="BH169" s="71"/>
      <c r="BI169" s="84"/>
      <c r="BJ169" s="71"/>
      <c r="BK169" s="71"/>
      <c r="BL169" s="71"/>
      <c r="BM169" s="93"/>
      <c r="BN169" s="71"/>
      <c r="BO169" s="84"/>
      <c r="BP169" s="71"/>
      <c r="BQ169" s="71"/>
      <c r="BR169" s="71"/>
      <c r="BS169" s="93"/>
      <c r="BT169" s="71"/>
      <c r="BU169" s="834"/>
      <c r="BV169" s="807"/>
      <c r="BW169" s="807"/>
      <c r="BX169" s="807"/>
      <c r="BY169" s="508"/>
      <c r="BZ169" s="507"/>
      <c r="CA169" s="834"/>
      <c r="CB169" s="807"/>
      <c r="CC169" s="807"/>
      <c r="CD169" s="807"/>
      <c r="CE169" s="508"/>
      <c r="CF169" s="507"/>
      <c r="CG169" s="834"/>
      <c r="CH169" s="807"/>
      <c r="CI169" s="807"/>
      <c r="CJ169" s="807"/>
      <c r="CK169" s="508"/>
      <c r="CL169" s="507"/>
      <c r="CM169" s="834"/>
      <c r="CN169" s="807"/>
      <c r="CO169" s="807"/>
      <c r="CP169" s="807"/>
      <c r="CQ169" s="508"/>
      <c r="CR169" s="507"/>
      <c r="CS169" s="834"/>
      <c r="CT169" s="807"/>
      <c r="CU169" s="807"/>
      <c r="CV169" s="807"/>
      <c r="CW169" s="806"/>
      <c r="CX169" s="507"/>
      <c r="CY169" s="510">
        <f>+CY146</f>
        <v>1136.2</v>
      </c>
      <c r="CZ169" s="509">
        <f>+CZ146</f>
        <v>1257.5999999999999</v>
      </c>
      <c r="DA169" s="509">
        <f>+DA146</f>
        <v>1212.7</v>
      </c>
      <c r="DB169" s="509">
        <f>+DB146-DB168</f>
        <v>1309.4969999999998</v>
      </c>
      <c r="DC169" s="508">
        <f>+SUM(CY169:DB169)</f>
        <v>4915.9969999999994</v>
      </c>
      <c r="DD169" s="509"/>
      <c r="DE169" s="510">
        <f>+DE146-DE170-DE151*CY146</f>
        <v>1164.6160000000002</v>
      </c>
      <c r="DF169" s="509">
        <f>+DF146-DF170-DF151*CZ146</f>
        <v>1289.0399999999997</v>
      </c>
      <c r="DG169" s="509">
        <f>+DG146-DG170-DG151*DA146</f>
        <v>1261.2080000000001</v>
      </c>
      <c r="DH169" s="509">
        <f>+DH146-DH170-DH151*DB146</f>
        <v>1369.298</v>
      </c>
      <c r="DI169" s="508">
        <f>+SUM(DE169:DH169)</f>
        <v>5084.1620000000003</v>
      </c>
      <c r="DJ169" s="509"/>
      <c r="DK169" s="510">
        <f>+DK146-DK170-DK151*DE146</f>
        <v>1203.3935000000001</v>
      </c>
      <c r="DL169" s="509">
        <f>+DL146-DL170-DL151*DF146</f>
        <v>1317.2</v>
      </c>
      <c r="DM169" s="509">
        <f>+DM146-DM170-DM151*DG146</f>
        <v>1294.6480000000001</v>
      </c>
      <c r="DN169" s="509">
        <f>+DN146-DN170-DN151*DH146</f>
        <v>1437.6170000000002</v>
      </c>
      <c r="DO169" s="508">
        <f>+SUM(DK169:DN169)</f>
        <v>5252.8585000000003</v>
      </c>
      <c r="DP169" s="509"/>
      <c r="DQ169" s="510">
        <f>+DQ146-DQ170-DQ151*DK146</f>
        <v>1279.7</v>
      </c>
      <c r="DR169" s="509">
        <f>+DR146-DR170-DR151*DL146</f>
        <v>1384.968313408878</v>
      </c>
      <c r="DS169" s="509">
        <f>+DS146-DS170-DS151*DM146</f>
        <v>1318.0810147777988</v>
      </c>
      <c r="DT169" s="509">
        <f>+DT146-DT170-DT151*DN146</f>
        <v>1478.8815383645349</v>
      </c>
      <c r="DU169" s="508">
        <f>+SUM(DQ169:DT169)</f>
        <v>5461.6308665512115</v>
      </c>
      <c r="DV169" s="509"/>
      <c r="DW169" s="510">
        <f t="shared" ref="DW169:DZ169" si="226">+DW146-DW170-DW151*DQ146</f>
        <v>1326.3443400377123</v>
      </c>
      <c r="DX169" s="509">
        <f t="shared" si="226"/>
        <v>1423.061815284344</v>
      </c>
      <c r="DY169" s="509">
        <f t="shared" si="226"/>
        <v>1352.9804115332345</v>
      </c>
      <c r="DZ169" s="509">
        <f t="shared" si="226"/>
        <v>1515.8462133957476</v>
      </c>
      <c r="EA169" s="508">
        <f t="shared" ref="EA169" si="227">+SUM(DW169:DZ169)</f>
        <v>5618.2327802510381</v>
      </c>
      <c r="EB169" s="509"/>
      <c r="EC169" s="510">
        <f>+EC146-EC170</f>
        <v>1365.7274910433694</v>
      </c>
      <c r="ED169" s="509">
        <f>+ED146-ED170</f>
        <v>1466.7688475769958</v>
      </c>
      <c r="EE169" s="509">
        <f>+EE146-EE170</f>
        <v>1391.4167230132198</v>
      </c>
      <c r="EF169" s="509">
        <f>+EF146-EF170</f>
        <v>1558.8171211551096</v>
      </c>
      <c r="EG169" s="508">
        <f>+SUM(EC169:EF169)</f>
        <v>5782.7301827886949</v>
      </c>
    </row>
    <row r="170" spans="1:137" ht="11.25" customHeight="1" outlineLevel="2" x14ac:dyDescent="0.2">
      <c r="A170" s="153" t="s">
        <v>558</v>
      </c>
      <c r="B170" s="14"/>
      <c r="C170" s="14"/>
      <c r="D170" s="14"/>
      <c r="E170" s="93"/>
      <c r="F170" s="71"/>
      <c r="G170" s="93"/>
      <c r="H170" s="71"/>
      <c r="I170" s="93"/>
      <c r="J170" s="71"/>
      <c r="K170" s="93"/>
      <c r="L170" s="71"/>
      <c r="M170" s="84"/>
      <c r="N170" s="71"/>
      <c r="O170" s="71"/>
      <c r="P170" s="71"/>
      <c r="Q170" s="93"/>
      <c r="R170" s="71"/>
      <c r="S170" s="84"/>
      <c r="T170" s="71"/>
      <c r="U170" s="71"/>
      <c r="V170" s="71"/>
      <c r="W170" s="93"/>
      <c r="X170" s="71"/>
      <c r="Y170" s="84"/>
      <c r="Z170" s="71"/>
      <c r="AA170" s="71"/>
      <c r="AB170" s="71"/>
      <c r="AC170" s="93"/>
      <c r="AD170" s="71"/>
      <c r="AE170" s="84"/>
      <c r="AF170" s="71"/>
      <c r="AG170" s="71"/>
      <c r="AH170" s="71"/>
      <c r="AI170" s="93"/>
      <c r="AJ170" s="71"/>
      <c r="AK170" s="84"/>
      <c r="AL170" s="71"/>
      <c r="AM170" s="71"/>
      <c r="AN170" s="71"/>
      <c r="AO170" s="93"/>
      <c r="AP170" s="71"/>
      <c r="AQ170" s="84"/>
      <c r="AR170" s="71"/>
      <c r="AS170" s="71"/>
      <c r="AT170" s="71"/>
      <c r="AU170" s="93"/>
      <c r="AV170" s="71"/>
      <c r="AW170" s="84"/>
      <c r="AX170" s="71"/>
      <c r="AY170" s="71"/>
      <c r="AZ170" s="71"/>
      <c r="BA170" s="93"/>
      <c r="BB170" s="71"/>
      <c r="BC170" s="84"/>
      <c r="BD170" s="71"/>
      <c r="BE170" s="71"/>
      <c r="BF170" s="71"/>
      <c r="BG170" s="93"/>
      <c r="BH170" s="71"/>
      <c r="BI170" s="84"/>
      <c r="BJ170" s="71"/>
      <c r="BK170" s="71"/>
      <c r="BL170" s="71"/>
      <c r="BM170" s="93"/>
      <c r="BN170" s="71"/>
      <c r="BO170" s="84"/>
      <c r="BP170" s="71"/>
      <c r="BQ170" s="71"/>
      <c r="BR170" s="71"/>
      <c r="BS170" s="93"/>
      <c r="BT170" s="71"/>
      <c r="BU170" s="834"/>
      <c r="BV170" s="807"/>
      <c r="BW170" s="807"/>
      <c r="BX170" s="807"/>
      <c r="BY170" s="508"/>
      <c r="BZ170" s="507"/>
      <c r="CA170" s="834"/>
      <c r="CB170" s="807"/>
      <c r="CC170" s="807"/>
      <c r="CD170" s="807"/>
      <c r="CE170" s="508"/>
      <c r="CF170" s="507"/>
      <c r="CG170" s="834"/>
      <c r="CH170" s="807"/>
      <c r="CI170" s="807"/>
      <c r="CJ170" s="807"/>
      <c r="CK170" s="508"/>
      <c r="CL170" s="507"/>
      <c r="CM170" s="834"/>
      <c r="CN170" s="807"/>
      <c r="CO170" s="807"/>
      <c r="CP170" s="807"/>
      <c r="CQ170" s="508"/>
      <c r="CR170" s="507"/>
      <c r="CS170" s="920">
        <v>132.637</v>
      </c>
      <c r="CT170" s="921">
        <v>132.47499999999999</v>
      </c>
      <c r="CU170" s="921">
        <v>126.465</v>
      </c>
      <c r="CV170" s="921">
        <v>146.999</v>
      </c>
      <c r="CW170" s="163">
        <f>SUM(CS170:CV170)</f>
        <v>538.57600000000002</v>
      </c>
      <c r="CX170" s="71"/>
      <c r="CY170" s="920">
        <v>144.78</v>
      </c>
      <c r="CZ170" s="921">
        <v>146.001</v>
      </c>
      <c r="DA170" s="921">
        <v>152.75029504233635</v>
      </c>
      <c r="DB170" s="921">
        <v>175.70078596634224</v>
      </c>
      <c r="DC170" s="163">
        <f>SUM(CY170:DB170)</f>
        <v>619.23208100867862</v>
      </c>
      <c r="DD170" s="67"/>
      <c r="DE170" s="920">
        <v>176.1</v>
      </c>
      <c r="DF170" s="921">
        <f>+DF150*CZ146</f>
        <v>169.77600000000001</v>
      </c>
      <c r="DG170" s="921">
        <f>+DG150*DA146</f>
        <v>181.905</v>
      </c>
      <c r="DH170" s="921">
        <v>220</v>
      </c>
      <c r="DI170" s="163">
        <f>SUM(DE170:DH170)</f>
        <v>747.78099999999995</v>
      </c>
      <c r="DJ170" s="67"/>
      <c r="DK170" s="920">
        <v>250</v>
      </c>
      <c r="DL170" s="924">
        <v>202</v>
      </c>
      <c r="DM170" s="924">
        <v>212</v>
      </c>
      <c r="DN170" s="924">
        <v>235</v>
      </c>
      <c r="DO170" s="163">
        <f>SUM(DK170:DN170)</f>
        <v>899</v>
      </c>
      <c r="DP170" s="67"/>
      <c r="DQ170" s="923">
        <v>240</v>
      </c>
      <c r="DR170" s="924">
        <v>231.71968659112221</v>
      </c>
      <c r="DS170" s="924">
        <v>248.68803522220159</v>
      </c>
      <c r="DT170" s="924">
        <v>277.36631163546537</v>
      </c>
      <c r="DU170" s="163">
        <f>SUM(DQ170:DT170)</f>
        <v>997.77403344878917</v>
      </c>
      <c r="DV170" s="67"/>
      <c r="DW170" s="923">
        <v>269.34065996228787</v>
      </c>
      <c r="DX170" s="924">
        <v>274.4605847156563</v>
      </c>
      <c r="DY170" s="924">
        <v>292.12709096676588</v>
      </c>
      <c r="DZ170" s="924">
        <v>328.21402910425269</v>
      </c>
      <c r="EA170" s="163">
        <f>SUM(DW170:DZ170)</f>
        <v>1164.1423647489628</v>
      </c>
      <c r="EB170" s="67"/>
      <c r="EC170" s="912">
        <f>+DW170*(1+EC171)</f>
        <v>309.74175895663103</v>
      </c>
      <c r="ED170" s="24">
        <f>+DX170*(1+ED171)</f>
        <v>315.62967242300471</v>
      </c>
      <c r="EE170" s="24">
        <f>+DY170*(1+EE171)</f>
        <v>335.94615461178074</v>
      </c>
      <c r="EF170" s="24">
        <f>+DZ170*(1+EF171)</f>
        <v>377.44613346989058</v>
      </c>
      <c r="EG170" s="163">
        <f>SUM(EC170:EF170)</f>
        <v>1338.7637194613071</v>
      </c>
    </row>
    <row r="171" spans="1:137" ht="11.25" customHeight="1" outlineLevel="2" x14ac:dyDescent="0.2">
      <c r="A171" s="927" t="s">
        <v>548</v>
      </c>
      <c r="B171" s="14"/>
      <c r="C171" s="14"/>
      <c r="D171" s="14"/>
      <c r="E171" s="93"/>
      <c r="F171" s="71"/>
      <c r="G171" s="93"/>
      <c r="H171" s="71"/>
      <c r="I171" s="93"/>
      <c r="J171" s="71"/>
      <c r="K171" s="93"/>
      <c r="L171" s="71"/>
      <c r="M171" s="84"/>
      <c r="N171" s="71"/>
      <c r="O171" s="71"/>
      <c r="P171" s="71"/>
      <c r="Q171" s="93"/>
      <c r="R171" s="71"/>
      <c r="S171" s="84"/>
      <c r="T171" s="71"/>
      <c r="U171" s="71"/>
      <c r="V171" s="71"/>
      <c r="W171" s="93"/>
      <c r="X171" s="71"/>
      <c r="Y171" s="84"/>
      <c r="Z171" s="71"/>
      <c r="AA171" s="71"/>
      <c r="AB171" s="71"/>
      <c r="AC171" s="93"/>
      <c r="AD171" s="71"/>
      <c r="AE171" s="84"/>
      <c r="AF171" s="71"/>
      <c r="AG171" s="71"/>
      <c r="AH171" s="71"/>
      <c r="AI171" s="93"/>
      <c r="AJ171" s="71"/>
      <c r="AK171" s="84"/>
      <c r="AL171" s="71"/>
      <c r="AM171" s="71"/>
      <c r="AN171" s="71"/>
      <c r="AO171" s="93"/>
      <c r="AP171" s="71"/>
      <c r="AQ171" s="84"/>
      <c r="AR171" s="71"/>
      <c r="AS171" s="71"/>
      <c r="AT171" s="71"/>
      <c r="AU171" s="93"/>
      <c r="AV171" s="71"/>
      <c r="AW171" s="84"/>
      <c r="AX171" s="71"/>
      <c r="AY171" s="71"/>
      <c r="AZ171" s="71"/>
      <c r="BA171" s="93"/>
      <c r="BB171" s="71"/>
      <c r="BC171" s="84"/>
      <c r="BD171" s="71"/>
      <c r="BE171" s="71"/>
      <c r="BF171" s="71"/>
      <c r="BG171" s="93"/>
      <c r="BH171" s="71"/>
      <c r="BI171" s="84"/>
      <c r="BJ171" s="71"/>
      <c r="BK171" s="71"/>
      <c r="BL171" s="71"/>
      <c r="BM171" s="93"/>
      <c r="BN171" s="71"/>
      <c r="BO171" s="84"/>
      <c r="BP171" s="71"/>
      <c r="BQ171" s="71"/>
      <c r="BR171" s="71"/>
      <c r="BS171" s="93"/>
      <c r="BT171" s="71"/>
      <c r="BU171" s="834"/>
      <c r="BV171" s="807"/>
      <c r="BW171" s="807"/>
      <c r="BX171" s="807"/>
      <c r="BY171" s="508"/>
      <c r="BZ171" s="507"/>
      <c r="CA171" s="834"/>
      <c r="CB171" s="807"/>
      <c r="CC171" s="807"/>
      <c r="CD171" s="807"/>
      <c r="CE171" s="508"/>
      <c r="CF171" s="507"/>
      <c r="CG171" s="834"/>
      <c r="CH171" s="807"/>
      <c r="CI171" s="807"/>
      <c r="CJ171" s="807"/>
      <c r="CK171" s="508"/>
      <c r="CL171" s="507"/>
      <c r="CM171" s="834"/>
      <c r="CN171" s="807"/>
      <c r="CO171" s="807"/>
      <c r="CP171" s="807"/>
      <c r="CQ171" s="508"/>
      <c r="CR171" s="507"/>
      <c r="CS171" s="834"/>
      <c r="CT171" s="807"/>
      <c r="CU171" s="807"/>
      <c r="CV171" s="807"/>
      <c r="CW171" s="806"/>
      <c r="CX171" s="507"/>
      <c r="CY171" s="542">
        <f>IF(ISERROR(CY170/CS170-1),"-",CY170/CS170-1)</f>
        <v>9.155062312929263E-2</v>
      </c>
      <c r="CZ171" s="543">
        <f>IF(ISERROR(CZ170/CT170-1),"-",CZ170/CT170-1)</f>
        <v>0.10210228344970762</v>
      </c>
      <c r="DA171" s="543">
        <f>IF(ISERROR(DA170/CU170-1),"-",DA170/CU170-1)</f>
        <v>0.20784640052454306</v>
      </c>
      <c r="DB171" s="543">
        <f>IF(ISERROR(DB170/CV170-1),"-",DB170/CV170-1)</f>
        <v>0.19525157291098738</v>
      </c>
      <c r="DC171" s="540">
        <f>IF(ISERROR(DC170/CW170-1),"-",DC170/CW170-1)</f>
        <v>0.14975803045192992</v>
      </c>
      <c r="DD171" s="507"/>
      <c r="DE171" s="542">
        <f>IF(ISERROR(DE170/CY170-1),"-",DE170/CY170-1)</f>
        <v>0.21632822213012837</v>
      </c>
      <c r="DF171" s="543">
        <f>IF(ISERROR(DF170/CZ170-1),"-",DF170/CZ170-1)</f>
        <v>0.16284135040170966</v>
      </c>
      <c r="DG171" s="543">
        <f>IF(ISERROR(DG170/DA170-1),"-",DG170/DA170-1)</f>
        <v>0.19086513024137286</v>
      </c>
      <c r="DH171" s="543">
        <f>IF(ISERROR(DH170/DB170-1),"-",DH170/DB170-1)</f>
        <v>0.25212871866232778</v>
      </c>
      <c r="DI171" s="540">
        <f>IF(ISERROR(DI170/DC170-1),"-",DI170/DC170-1)</f>
        <v>0.20759408779649413</v>
      </c>
      <c r="DJ171" s="507"/>
      <c r="DK171" s="542">
        <f>IF(ISERROR(DK170/DE170-1),"-",DK170/DE170-1)</f>
        <v>0.41964792731402611</v>
      </c>
      <c r="DL171" s="543">
        <f>IF(ISERROR(DL170/DF170-1),"-",DL170/DF170-1)</f>
        <v>0.18980303458674963</v>
      </c>
      <c r="DM171" s="543">
        <f>IF(ISERROR(DM170/DG170-1),"-",DM170/DG170-1)</f>
        <v>0.16544350072840208</v>
      </c>
      <c r="DN171" s="543">
        <f>IF(ISERROR(DN170/DH170-1),"-",DN170/DH170-1)</f>
        <v>6.8181818181818121E-2</v>
      </c>
      <c r="DO171" s="540">
        <f>IF(ISERROR(DO170/DI170-1),"-",DO170/DI170-1)</f>
        <v>0.20222364569305729</v>
      </c>
      <c r="DP171" s="507"/>
      <c r="DQ171" s="542">
        <f>IF(ISERROR(DQ170/DK170-1),"-",DQ170/DK170-1)</f>
        <v>-4.0000000000000036E-2</v>
      </c>
      <c r="DR171" s="543">
        <f>IF(ISERROR(DR170/DL170-1),"-",DR170/DL170-1)</f>
        <v>0.14712716134218917</v>
      </c>
      <c r="DS171" s="543">
        <f>IF(ISERROR(DS170/DM170-1),"-",DS170/DM170-1)</f>
        <v>0.17305676991604524</v>
      </c>
      <c r="DT171" s="543">
        <f>IF(ISERROR(DT170/DN170-1),"-",DT170/DN170-1)</f>
        <v>0.18028217717219297</v>
      </c>
      <c r="DU171" s="540">
        <f>IF(ISERROR(DU170/DO170-1),"-",DU170/DO170-1)</f>
        <v>0.10987100494859758</v>
      </c>
      <c r="DV171" s="507"/>
      <c r="DW171" s="542">
        <f>IF(ISERROR(DW170/DQ170-1),"-",DW170/DQ170-1)</f>
        <v>0.12225274984286605</v>
      </c>
      <c r="DX171" s="543">
        <f>IF(ISERROR(DX170/DR170-1),"-",DX170/DR170-1)</f>
        <v>0.18445087145293759</v>
      </c>
      <c r="DY171" s="543">
        <f>IF(ISERROR(DY170/DS170-1),"-",DY170/DS170-1)</f>
        <v>0.17467288165171158</v>
      </c>
      <c r="DZ171" s="543">
        <f>IF(ISERROR(DZ170/DT170-1),"-",DZ170/DT170-1)</f>
        <v>0.18332333573233295</v>
      </c>
      <c r="EA171" s="540">
        <f>IF(ISERROR(EA170/DU170-1),"-",EA170/DU170-1)</f>
        <v>0.16673948782283321</v>
      </c>
      <c r="EB171" s="507"/>
      <c r="EC171" s="926">
        <v>0.15</v>
      </c>
      <c r="ED171" s="904">
        <v>0.15</v>
      </c>
      <c r="EE171" s="904">
        <v>0.15</v>
      </c>
      <c r="EF171" s="904">
        <v>0.15</v>
      </c>
      <c r="EG171" s="540">
        <f>IF(ISERROR(EG170/EA170-1),"-",EG170/EA170-1)</f>
        <v>0.14999999999999991</v>
      </c>
    </row>
    <row r="172" spans="1:137" ht="11.25" customHeight="1" outlineLevel="2" x14ac:dyDescent="0.2">
      <c r="A172" s="909" t="s">
        <v>540</v>
      </c>
      <c r="B172" s="14"/>
      <c r="C172" s="14"/>
      <c r="D172" s="14"/>
      <c r="E172" s="93"/>
      <c r="F172" s="71"/>
      <c r="G172" s="93"/>
      <c r="H172" s="71"/>
      <c r="I172" s="93"/>
      <c r="J172" s="71"/>
      <c r="K172" s="93"/>
      <c r="L172" s="71"/>
      <c r="M172" s="84"/>
      <c r="N172" s="71"/>
      <c r="O172" s="71"/>
      <c r="P172" s="71"/>
      <c r="Q172" s="93"/>
      <c r="R172" s="71"/>
      <c r="S172" s="84"/>
      <c r="T172" s="71"/>
      <c r="U172" s="71"/>
      <c r="V172" s="71"/>
      <c r="W172" s="93"/>
      <c r="X172" s="71"/>
      <c r="Y172" s="84"/>
      <c r="Z172" s="71"/>
      <c r="AA172" s="71"/>
      <c r="AB172" s="71"/>
      <c r="AC172" s="93"/>
      <c r="AD172" s="71"/>
      <c r="AE172" s="84"/>
      <c r="AF172" s="71"/>
      <c r="AG172" s="71"/>
      <c r="AH172" s="71"/>
      <c r="AI172" s="93"/>
      <c r="AJ172" s="71"/>
      <c r="AK172" s="84"/>
      <c r="AL172" s="71"/>
      <c r="AM172" s="71"/>
      <c r="AN172" s="71"/>
      <c r="AO172" s="93"/>
      <c r="AP172" s="71"/>
      <c r="AQ172" s="84"/>
      <c r="AR172" s="71"/>
      <c r="AS172" s="71"/>
      <c r="AT172" s="71"/>
      <c r="AU172" s="93"/>
      <c r="AV172" s="71"/>
      <c r="AW172" s="84"/>
      <c r="AX172" s="71"/>
      <c r="AY172" s="71"/>
      <c r="AZ172" s="71"/>
      <c r="BA172" s="93"/>
      <c r="BB172" s="71"/>
      <c r="BC172" s="84"/>
      <c r="BD172" s="71"/>
      <c r="BE172" s="71"/>
      <c r="BF172" s="71"/>
      <c r="BG172" s="93"/>
      <c r="BH172" s="71"/>
      <c r="BI172" s="84"/>
      <c r="BJ172" s="71"/>
      <c r="BK172" s="71"/>
      <c r="BL172" s="71"/>
      <c r="BM172" s="93"/>
      <c r="BN172" s="71"/>
      <c r="BO172" s="84"/>
      <c r="BP172" s="71"/>
      <c r="BQ172" s="71"/>
      <c r="BR172" s="71"/>
      <c r="BS172" s="93"/>
      <c r="BT172" s="71"/>
      <c r="BU172" s="834"/>
      <c r="BV172" s="807"/>
      <c r="BW172" s="807"/>
      <c r="BX172" s="807"/>
      <c r="BY172" s="508"/>
      <c r="BZ172" s="507"/>
      <c r="CA172" s="834"/>
      <c r="CB172" s="807"/>
      <c r="CC172" s="807"/>
      <c r="CD172" s="807"/>
      <c r="CE172" s="508"/>
      <c r="CF172" s="507"/>
      <c r="CG172" s="834"/>
      <c r="CH172" s="807"/>
      <c r="CI172" s="807"/>
      <c r="CJ172" s="807"/>
      <c r="CK172" s="508"/>
      <c r="CL172" s="507"/>
      <c r="CM172" s="834"/>
      <c r="CN172" s="807"/>
      <c r="CO172" s="807"/>
      <c r="CP172" s="807"/>
      <c r="CQ172" s="508"/>
      <c r="CR172" s="507"/>
      <c r="CS172" s="834"/>
      <c r="CT172" s="807"/>
      <c r="CU172" s="807"/>
      <c r="CV172" s="807"/>
      <c r="CW172" s="806"/>
      <c r="CX172" s="507"/>
      <c r="CY172" s="834">
        <v>0</v>
      </c>
      <c r="CZ172" s="807">
        <v>0</v>
      </c>
      <c r="DA172" s="807">
        <v>0</v>
      </c>
      <c r="DB172" s="807">
        <v>0</v>
      </c>
      <c r="DC172" s="806">
        <v>0</v>
      </c>
      <c r="DD172" s="509"/>
      <c r="DE172" s="834">
        <v>0</v>
      </c>
      <c r="DF172" s="898">
        <v>5</v>
      </c>
      <c r="DG172" s="898">
        <v>5</v>
      </c>
      <c r="DH172" s="898">
        <v>10</v>
      </c>
      <c r="DI172" s="163">
        <f>SUM(DE172:DH172)</f>
        <v>20</v>
      </c>
      <c r="DJ172" s="509"/>
      <c r="DK172" s="897">
        <v>10</v>
      </c>
      <c r="DL172" s="898">
        <v>10</v>
      </c>
      <c r="DM172" s="898">
        <v>10</v>
      </c>
      <c r="DN172" s="898">
        <v>15</v>
      </c>
      <c r="DO172" s="163">
        <f>SUM(DK172:DN172)</f>
        <v>45</v>
      </c>
      <c r="DP172" s="509"/>
      <c r="DQ172" s="897">
        <v>15</v>
      </c>
      <c r="DR172" s="898">
        <v>15</v>
      </c>
      <c r="DS172" s="898">
        <v>15</v>
      </c>
      <c r="DT172" s="898">
        <v>20</v>
      </c>
      <c r="DU172" s="163">
        <f>SUM(DQ172:DT172)</f>
        <v>65</v>
      </c>
      <c r="DV172" s="509"/>
      <c r="DW172" s="897">
        <v>20</v>
      </c>
      <c r="DX172" s="898">
        <v>20</v>
      </c>
      <c r="DY172" s="898">
        <v>20</v>
      </c>
      <c r="DZ172" s="898">
        <v>25</v>
      </c>
      <c r="EA172" s="163">
        <f>SUM(DW172:DZ172)</f>
        <v>85</v>
      </c>
      <c r="EB172" s="509"/>
      <c r="EC172" s="897">
        <v>25</v>
      </c>
      <c r="ED172" s="898">
        <v>25</v>
      </c>
      <c r="EE172" s="898">
        <v>25</v>
      </c>
      <c r="EF172" s="898">
        <v>25</v>
      </c>
      <c r="EG172" s="163">
        <f>SUM(EC172:EF172)</f>
        <v>100</v>
      </c>
    </row>
    <row r="173" spans="1:137" ht="11.25" customHeight="1" outlineLevel="2" x14ac:dyDescent="0.2">
      <c r="A173" s="909" t="s">
        <v>462</v>
      </c>
      <c r="B173" s="14"/>
      <c r="C173" s="14"/>
      <c r="D173" s="14"/>
      <c r="E173" s="93"/>
      <c r="F173" s="71"/>
      <c r="G173" s="93"/>
      <c r="H173" s="71"/>
      <c r="I173" s="93"/>
      <c r="J173" s="71"/>
      <c r="K173" s="93"/>
      <c r="L173" s="71"/>
      <c r="M173" s="84"/>
      <c r="N173" s="71"/>
      <c r="O173" s="71"/>
      <c r="P173" s="71"/>
      <c r="Q173" s="93"/>
      <c r="R173" s="71"/>
      <c r="S173" s="84"/>
      <c r="T173" s="71"/>
      <c r="U173" s="71"/>
      <c r="V173" s="71"/>
      <c r="W173" s="93"/>
      <c r="X173" s="71"/>
      <c r="Y173" s="84"/>
      <c r="Z173" s="71"/>
      <c r="AA173" s="71"/>
      <c r="AB173" s="71"/>
      <c r="AC173" s="93"/>
      <c r="AD173" s="71"/>
      <c r="AE173" s="84"/>
      <c r="AF173" s="71"/>
      <c r="AG173" s="71"/>
      <c r="AH173" s="71"/>
      <c r="AI173" s="93"/>
      <c r="AJ173" s="71"/>
      <c r="AK173" s="84"/>
      <c r="AL173" s="71"/>
      <c r="AM173" s="71"/>
      <c r="AN173" s="71"/>
      <c r="AO173" s="93"/>
      <c r="AP173" s="71"/>
      <c r="AQ173" s="84"/>
      <c r="AR173" s="71"/>
      <c r="AS173" s="71"/>
      <c r="AT173" s="71"/>
      <c r="AU173" s="93"/>
      <c r="AV173" s="71"/>
      <c r="AW173" s="84"/>
      <c r="AX173" s="71"/>
      <c r="AY173" s="71"/>
      <c r="AZ173" s="71"/>
      <c r="BA173" s="93"/>
      <c r="BB173" s="71"/>
      <c r="BC173" s="84"/>
      <c r="BD173" s="71"/>
      <c r="BE173" s="71"/>
      <c r="BF173" s="71"/>
      <c r="BG173" s="93"/>
      <c r="BH173" s="71"/>
      <c r="BI173" s="84"/>
      <c r="BJ173" s="71"/>
      <c r="BK173" s="71"/>
      <c r="BL173" s="71"/>
      <c r="BM173" s="93"/>
      <c r="BN173" s="71"/>
      <c r="BO173" s="84"/>
      <c r="BP173" s="71"/>
      <c r="BQ173" s="71"/>
      <c r="BR173" s="71"/>
      <c r="BS173" s="93"/>
      <c r="BT173" s="71"/>
      <c r="BU173" s="834"/>
      <c r="BV173" s="807"/>
      <c r="BW173" s="807"/>
      <c r="BX173" s="807"/>
      <c r="BY173" s="508"/>
      <c r="BZ173" s="507"/>
      <c r="CA173" s="834"/>
      <c r="CB173" s="807"/>
      <c r="CC173" s="807"/>
      <c r="CD173" s="807"/>
      <c r="CE173" s="508"/>
      <c r="CF173" s="507"/>
      <c r="CG173" s="834"/>
      <c r="CH173" s="807"/>
      <c r="CI173" s="807"/>
      <c r="CJ173" s="807"/>
      <c r="CK173" s="508"/>
      <c r="CL173" s="507"/>
      <c r="CM173" s="834"/>
      <c r="CN173" s="807"/>
      <c r="CO173" s="807"/>
      <c r="CP173" s="807"/>
      <c r="CQ173" s="508"/>
      <c r="CR173" s="507"/>
      <c r="CS173" s="912">
        <f>+CS170*CS174+CS172*CS174</f>
        <v>73.5</v>
      </c>
      <c r="CT173" s="24">
        <f>+CT170*CT174+CT172*CT174</f>
        <v>65.13</v>
      </c>
      <c r="CU173" s="24">
        <f>+CU170*CU174+CU172*CU174</f>
        <v>60.742000000000004</v>
      </c>
      <c r="CV173" s="24">
        <f>+CV170*CV174+CV172*CV174</f>
        <v>77.468999999999994</v>
      </c>
      <c r="CW173" s="163">
        <f>SUM(CS173:CV173)</f>
        <v>276.84100000000001</v>
      </c>
      <c r="CX173" s="507"/>
      <c r="CY173" s="912">
        <f>+CY170*CY174+CY172*CY174</f>
        <v>74.528999999999996</v>
      </c>
      <c r="CZ173" s="24">
        <f>+CZ170*CZ174+CZ172*CZ174</f>
        <v>75.178000000000011</v>
      </c>
      <c r="DA173" s="24">
        <f>+DA170*DA174+DA172*DA174</f>
        <v>78.25870347788279</v>
      </c>
      <c r="DB173" s="24">
        <f>+DB170*DB174+DB172*DB174</f>
        <v>93.604174631927577</v>
      </c>
      <c r="DC173" s="163">
        <f>SUM(CY173:DB173)</f>
        <v>321.56987810981036</v>
      </c>
      <c r="DD173" s="507"/>
      <c r="DE173" s="912">
        <f>+DE170*DE174+DE172*DE174</f>
        <v>99.74555495613042</v>
      </c>
      <c r="DF173" s="24">
        <f>+DF170*DF174+DF172*DF174</f>
        <v>99.63646778087822</v>
      </c>
      <c r="DG173" s="24">
        <f>+DG170*DG174+DG172*DG174</f>
        <v>106.86248793342169</v>
      </c>
      <c r="DH173" s="24">
        <f>+DH170*DH174+DH172*DH174</f>
        <v>131.88528472407722</v>
      </c>
      <c r="DI173" s="163">
        <f>SUM(DE173:DH173)</f>
        <v>438.12979539450754</v>
      </c>
      <c r="DJ173" s="507"/>
      <c r="DK173" s="912">
        <f>+DK170*DK174+DK172*DK174</f>
        <v>149.73771316634816</v>
      </c>
      <c r="DL173" s="24">
        <f>+DL170*DL174+DL172*DL174</f>
        <v>122.62382765871466</v>
      </c>
      <c r="DM173" s="24">
        <f>+DM170*DM174+DM172*DM174</f>
        <v>128.96297047280498</v>
      </c>
      <c r="DN173" s="24">
        <f>+DN170*DN174+DN172*DN174</f>
        <v>145.85357035225789</v>
      </c>
      <c r="DO173" s="163">
        <f>SUM(DK173:DN173)</f>
        <v>547.1780816501257</v>
      </c>
      <c r="DP173" s="507"/>
      <c r="DQ173" s="912">
        <f>+DQ170*DQ174+DQ172*DQ174</f>
        <v>149.216891759303</v>
      </c>
      <c r="DR173" s="24">
        <f>+DR170*DR174+DR172*DR174</f>
        <v>144.80330756508991</v>
      </c>
      <c r="DS173" s="24">
        <f>+DS170*DS174+DS172*DS174</f>
        <v>155.22372777023662</v>
      </c>
      <c r="DT173" s="24">
        <f>+DT170*DT174+DT172*DT174</f>
        <v>175.56931719950734</v>
      </c>
      <c r="DU173" s="163">
        <f>SUM(DQ173:DT173)</f>
        <v>624.81324429413689</v>
      </c>
      <c r="DV173" s="507"/>
      <c r="DW173" s="912">
        <f>+DW170*DW174+DW172*DW174</f>
        <v>171.33720398898308</v>
      </c>
      <c r="DX173" s="24">
        <f>+DX170*DX174+DX172*DX174</f>
        <v>174.88434657468218</v>
      </c>
      <c r="DY173" s="24">
        <f>+DY170*DY174+DY172*DY174</f>
        <v>185.92295934900991</v>
      </c>
      <c r="DZ173" s="24">
        <f>+DZ170*DZ174+DZ172*DZ174</f>
        <v>211.01510538090577</v>
      </c>
      <c r="EA173" s="163">
        <f>SUM(DW173:DZ173)</f>
        <v>743.15961529358094</v>
      </c>
      <c r="EB173" s="507"/>
      <c r="EC173" s="912">
        <f>+EC170*EC174+EC172*EC174</f>
        <v>198.22211315014857</v>
      </c>
      <c r="ED173" s="24">
        <f>+ED170*ED174+ED172*ED174</f>
        <v>202.30482712370255</v>
      </c>
      <c r="EE173" s="24">
        <f>+EE170*EE174+EE172*EE174</f>
        <v>215.00273181417944</v>
      </c>
      <c r="EF173" s="24">
        <f>+EF170*EF174+EF172*EF174</f>
        <v>240.42706763275774</v>
      </c>
      <c r="EG173" s="163">
        <f>SUM(EC173:EF173)</f>
        <v>855.95673972078828</v>
      </c>
    </row>
    <row r="174" spans="1:137" ht="11.25" customHeight="1" outlineLevel="2" x14ac:dyDescent="0.2">
      <c r="A174" s="928" t="s">
        <v>541</v>
      </c>
      <c r="B174" s="539"/>
      <c r="C174" s="539"/>
      <c r="D174" s="539"/>
      <c r="E174" s="776"/>
      <c r="F174" s="541"/>
      <c r="G174" s="776"/>
      <c r="H174" s="541"/>
      <c r="I174" s="776"/>
      <c r="J174" s="541"/>
      <c r="K174" s="776"/>
      <c r="L174" s="541"/>
      <c r="M174" s="782"/>
      <c r="N174" s="541"/>
      <c r="O174" s="541"/>
      <c r="P174" s="541"/>
      <c r="Q174" s="776"/>
      <c r="R174" s="541"/>
      <c r="S174" s="782"/>
      <c r="T174" s="541"/>
      <c r="U174" s="541"/>
      <c r="V174" s="541"/>
      <c r="W174" s="776"/>
      <c r="X174" s="541"/>
      <c r="Y174" s="782"/>
      <c r="Z174" s="541"/>
      <c r="AA174" s="541"/>
      <c r="AB174" s="541"/>
      <c r="AC174" s="776"/>
      <c r="AD174" s="541"/>
      <c r="AE174" s="782"/>
      <c r="AF174" s="541"/>
      <c r="AG174" s="541"/>
      <c r="AH174" s="541"/>
      <c r="AI174" s="776"/>
      <c r="AJ174" s="541"/>
      <c r="AK174" s="782"/>
      <c r="AL174" s="541"/>
      <c r="AM174" s="541"/>
      <c r="AN174" s="541"/>
      <c r="AO174" s="776"/>
      <c r="AP174" s="541"/>
      <c r="AQ174" s="782"/>
      <c r="AR174" s="541"/>
      <c r="AS174" s="541"/>
      <c r="AT174" s="541"/>
      <c r="AU174" s="776"/>
      <c r="AV174" s="541"/>
      <c r="AW174" s="782"/>
      <c r="AX174" s="541"/>
      <c r="AY174" s="541"/>
      <c r="AZ174" s="541"/>
      <c r="BA174" s="776"/>
      <c r="BB174" s="541"/>
      <c r="BC174" s="782"/>
      <c r="BD174" s="541"/>
      <c r="BE174" s="541"/>
      <c r="BF174" s="541"/>
      <c r="BG174" s="776"/>
      <c r="BH174" s="541"/>
      <c r="BI174" s="782"/>
      <c r="BJ174" s="541"/>
      <c r="BK174" s="541"/>
      <c r="BL174" s="541"/>
      <c r="BM174" s="776"/>
      <c r="BN174" s="541"/>
      <c r="BO174" s="782"/>
      <c r="BP174" s="541"/>
      <c r="BQ174" s="541"/>
      <c r="BR174" s="541"/>
      <c r="BS174" s="776"/>
      <c r="BT174" s="541"/>
      <c r="BU174" s="929"/>
      <c r="BV174" s="930"/>
      <c r="BW174" s="930"/>
      <c r="BX174" s="930"/>
      <c r="BY174" s="931"/>
      <c r="BZ174" s="932"/>
      <c r="CA174" s="929"/>
      <c r="CB174" s="930"/>
      <c r="CC174" s="930"/>
      <c r="CD174" s="930"/>
      <c r="CE174" s="931"/>
      <c r="CF174" s="932"/>
      <c r="CG174" s="929"/>
      <c r="CH174" s="930"/>
      <c r="CI174" s="930"/>
      <c r="CJ174" s="930"/>
      <c r="CK174" s="931"/>
      <c r="CL174" s="932"/>
      <c r="CM174" s="929"/>
      <c r="CN174" s="930"/>
      <c r="CO174" s="930"/>
      <c r="CP174" s="930"/>
      <c r="CQ174" s="931"/>
      <c r="CR174" s="932"/>
      <c r="CS174" s="825">
        <v>0.5541440171294586</v>
      </c>
      <c r="CT174" s="826">
        <v>0.49163993206265333</v>
      </c>
      <c r="CU174" s="826">
        <v>0.48030680425414146</v>
      </c>
      <c r="CV174" s="826">
        <v>0.52700358505840172</v>
      </c>
      <c r="CW174" s="827">
        <v>0.5140240188942693</v>
      </c>
      <c r="CX174" s="541"/>
      <c r="CY174" s="825">
        <v>0.51477414007459588</v>
      </c>
      <c r="CZ174" s="826">
        <v>0.5149142814090315</v>
      </c>
      <c r="DA174" s="826">
        <v>0.51233094807569812</v>
      </c>
      <c r="DB174" s="826">
        <v>0.53274761474236476</v>
      </c>
      <c r="DC174" s="827">
        <v>0.51930429312706039</v>
      </c>
      <c r="DD174" s="828"/>
      <c r="DE174" s="933">
        <v>0.56641428140903138</v>
      </c>
      <c r="DF174" s="934">
        <v>0.57008094807569809</v>
      </c>
      <c r="DG174" s="934">
        <v>0.5717476147423648</v>
      </c>
      <c r="DH174" s="934">
        <v>0.57341428140903139</v>
      </c>
      <c r="DI174" s="935">
        <v>0.57057838734557431</v>
      </c>
      <c r="DJ174" s="828"/>
      <c r="DK174" s="933">
        <v>0.57591428140903134</v>
      </c>
      <c r="DL174" s="934">
        <v>0.57841428140903139</v>
      </c>
      <c r="DM174" s="934">
        <v>0.58091428140903145</v>
      </c>
      <c r="DN174" s="934">
        <v>0.58341428140903151</v>
      </c>
      <c r="DO174" s="935">
        <v>0.57984195347167633</v>
      </c>
      <c r="DP174" s="828"/>
      <c r="DQ174" s="933">
        <v>0.58516428140903143</v>
      </c>
      <c r="DR174" s="934">
        <v>0.58691428140903135</v>
      </c>
      <c r="DS174" s="934">
        <v>0.58866428140903126</v>
      </c>
      <c r="DT174" s="934">
        <v>0.59041428140903129</v>
      </c>
      <c r="DU174" s="935">
        <v>0.58793097228887581</v>
      </c>
      <c r="DV174" s="828"/>
      <c r="DW174" s="933">
        <v>0.59216428140903132</v>
      </c>
      <c r="DX174" s="934">
        <v>0.59391428140903124</v>
      </c>
      <c r="DY174" s="934">
        <v>0.59566428140903116</v>
      </c>
      <c r="DZ174" s="934">
        <v>0.59741428140903119</v>
      </c>
      <c r="EA174" s="935">
        <v>0.59493531233455643</v>
      </c>
      <c r="EB174" s="828"/>
      <c r="EC174" s="933">
        <v>0.59216428140903132</v>
      </c>
      <c r="ED174" s="934">
        <v>0.59391428140903124</v>
      </c>
      <c r="EE174" s="934">
        <v>0.59566428140903116</v>
      </c>
      <c r="EF174" s="934">
        <v>0.59741428140903119</v>
      </c>
      <c r="EG174" s="935">
        <v>0.59493531233455643</v>
      </c>
    </row>
    <row r="175" spans="1:137" ht="11.25" customHeight="1" outlineLevel="2" x14ac:dyDescent="0.2">
      <c r="A175" s="928" t="s">
        <v>153</v>
      </c>
      <c r="B175" s="539"/>
      <c r="C175" s="539"/>
      <c r="D175" s="539"/>
      <c r="E175" s="776"/>
      <c r="F175" s="541"/>
      <c r="G175" s="776"/>
      <c r="H175" s="541"/>
      <c r="I175" s="776"/>
      <c r="J175" s="541"/>
      <c r="K175" s="776"/>
      <c r="L175" s="541"/>
      <c r="M175" s="782"/>
      <c r="N175" s="541"/>
      <c r="O175" s="541"/>
      <c r="P175" s="541"/>
      <c r="Q175" s="776"/>
      <c r="R175" s="541"/>
      <c r="S175" s="782"/>
      <c r="T175" s="541"/>
      <c r="U175" s="541"/>
      <c r="V175" s="541"/>
      <c r="W175" s="776"/>
      <c r="X175" s="541"/>
      <c r="Y175" s="782"/>
      <c r="Z175" s="541"/>
      <c r="AA175" s="541"/>
      <c r="AB175" s="541"/>
      <c r="AC175" s="776"/>
      <c r="AD175" s="541"/>
      <c r="AE175" s="782"/>
      <c r="AF175" s="541"/>
      <c r="AG175" s="541"/>
      <c r="AH175" s="541"/>
      <c r="AI175" s="776"/>
      <c r="AJ175" s="541"/>
      <c r="AK175" s="782"/>
      <c r="AL175" s="541"/>
      <c r="AM175" s="541"/>
      <c r="AN175" s="541"/>
      <c r="AO175" s="776"/>
      <c r="AP175" s="541"/>
      <c r="AQ175" s="782"/>
      <c r="AR175" s="541"/>
      <c r="AS175" s="541"/>
      <c r="AT175" s="541"/>
      <c r="AU175" s="776"/>
      <c r="AV175" s="541"/>
      <c r="AW175" s="782"/>
      <c r="AX175" s="541"/>
      <c r="AY175" s="541"/>
      <c r="AZ175" s="541"/>
      <c r="BA175" s="776"/>
      <c r="BB175" s="541"/>
      <c r="BC175" s="782"/>
      <c r="BD175" s="541"/>
      <c r="BE175" s="541"/>
      <c r="BF175" s="541"/>
      <c r="BG175" s="776"/>
      <c r="BH175" s="541"/>
      <c r="BI175" s="782"/>
      <c r="BJ175" s="541"/>
      <c r="BK175" s="541"/>
      <c r="BL175" s="541"/>
      <c r="BM175" s="776"/>
      <c r="BN175" s="541"/>
      <c r="BO175" s="782"/>
      <c r="BP175" s="541"/>
      <c r="BQ175" s="541"/>
      <c r="BR175" s="541"/>
      <c r="BS175" s="776"/>
      <c r="BT175" s="541"/>
      <c r="BU175" s="929"/>
      <c r="BV175" s="930"/>
      <c r="BW175" s="930"/>
      <c r="BX175" s="930"/>
      <c r="BY175" s="931"/>
      <c r="BZ175" s="932"/>
      <c r="CA175" s="929"/>
      <c r="CB175" s="930"/>
      <c r="CC175" s="930"/>
      <c r="CD175" s="930"/>
      <c r="CE175" s="931"/>
      <c r="CF175" s="932"/>
      <c r="CG175" s="929"/>
      <c r="CH175" s="930"/>
      <c r="CI175" s="930"/>
      <c r="CJ175" s="930"/>
      <c r="CK175" s="931"/>
      <c r="CL175" s="932"/>
      <c r="CM175" s="929"/>
      <c r="CN175" s="930"/>
      <c r="CO175" s="930"/>
      <c r="CP175" s="930"/>
      <c r="CQ175" s="931"/>
      <c r="CR175" s="932"/>
      <c r="CS175" s="821"/>
      <c r="CT175" s="822"/>
      <c r="CU175" s="822"/>
      <c r="CV175" s="822"/>
      <c r="CW175" s="810"/>
      <c r="CX175" s="932"/>
      <c r="CY175" s="821">
        <f>+CY173/CY170</f>
        <v>0.51477414007459588</v>
      </c>
      <c r="CZ175" s="822">
        <f>+CZ173/CZ170</f>
        <v>0.5149142814090315</v>
      </c>
      <c r="DA175" s="822">
        <f>+DA173/DA170</f>
        <v>0.51233094807569812</v>
      </c>
      <c r="DB175" s="822">
        <f>+DB173/DB170</f>
        <v>0.53274761474236476</v>
      </c>
      <c r="DC175" s="810">
        <f>+DC173/DC170</f>
        <v>0.51930429312706028</v>
      </c>
      <c r="DD175" s="932"/>
      <c r="DE175" s="821">
        <f>+DE173/DE170</f>
        <v>0.56641428140903138</v>
      </c>
      <c r="DF175" s="822">
        <f>+DF173/DF170</f>
        <v>0.58687015703561285</v>
      </c>
      <c r="DG175" s="822">
        <f>+DG173/DG170</f>
        <v>0.58746316997015857</v>
      </c>
      <c r="DH175" s="822">
        <f>+DH173/DH170</f>
        <v>0.59947856692762369</v>
      </c>
      <c r="DI175" s="810">
        <f>+DI173/DI170</f>
        <v>0.58590656274297903</v>
      </c>
      <c r="DJ175" s="932"/>
      <c r="DK175" s="821">
        <f>+DK173/DK170</f>
        <v>0.59895085266539261</v>
      </c>
      <c r="DL175" s="822">
        <f>+DL173/DL170</f>
        <v>0.60704865177581513</v>
      </c>
      <c r="DM175" s="822">
        <f>+DM173/DM170</f>
        <v>0.60831589845662726</v>
      </c>
      <c r="DN175" s="822">
        <f>+DN173/DN170</f>
        <v>0.6206534908606719</v>
      </c>
      <c r="DO175" s="810">
        <f>+DO173/DO170</f>
        <v>0.60865192619591291</v>
      </c>
      <c r="DP175" s="932"/>
      <c r="DQ175" s="821">
        <f>+DQ173/DQ170</f>
        <v>0.62173704899709581</v>
      </c>
      <c r="DR175" s="822">
        <f>+DR173/DR170</f>
        <v>0.6249072303494031</v>
      </c>
      <c r="DS175" s="822">
        <f>+DS173/DS170</f>
        <v>0.62417046976765467</v>
      </c>
      <c r="DT175" s="822">
        <f>+DT173/DT170</f>
        <v>0.63298717196143517</v>
      </c>
      <c r="DU175" s="810">
        <f>+DU173/DU170</f>
        <v>0.62620716048751079</v>
      </c>
      <c r="DV175" s="932"/>
      <c r="DW175" s="821">
        <f>+DW173/DW170</f>
        <v>0.63613568041666302</v>
      </c>
      <c r="DX175" s="822">
        <f>+DX173/DX170</f>
        <v>0.63719293885445882</v>
      </c>
      <c r="DY175" s="822">
        <f>+DY173/DY170</f>
        <v>0.63644545507133954</v>
      </c>
      <c r="DZ175" s="822">
        <f>+DZ173/DZ170</f>
        <v>0.64291921328530321</v>
      </c>
      <c r="EA175" s="810">
        <f>+EA173/EA170</f>
        <v>0.6383752003165325</v>
      </c>
      <c r="EB175" s="932"/>
      <c r="EC175" s="821">
        <f>+EC173/EC170</f>
        <v>0.63995928033037008</v>
      </c>
      <c r="ED175" s="822">
        <f>+ED173/ED170</f>
        <v>0.64095630037145246</v>
      </c>
      <c r="EE175" s="822">
        <f>+EE173/EE170</f>
        <v>0.63999164408545328</v>
      </c>
      <c r="EF175" s="822">
        <f>+EF173/EF170</f>
        <v>0.63698378738839811</v>
      </c>
      <c r="EG175" s="810">
        <f>+EG173/EG170</f>
        <v>0.63936356152914642</v>
      </c>
    </row>
    <row r="176" spans="1:137" ht="11.25" customHeight="1" outlineLevel="2" x14ac:dyDescent="0.2">
      <c r="A176" s="910"/>
      <c r="B176" s="14"/>
      <c r="C176" s="14"/>
      <c r="D176" s="14"/>
      <c r="E176" s="93"/>
      <c r="F176" s="71"/>
      <c r="G176" s="93"/>
      <c r="H176" s="71"/>
      <c r="I176" s="93"/>
      <c r="J176" s="71"/>
      <c r="K176" s="93"/>
      <c r="L176" s="71"/>
      <c r="M176" s="84"/>
      <c r="N176" s="71"/>
      <c r="O176" s="71"/>
      <c r="P176" s="71"/>
      <c r="Q176" s="93"/>
      <c r="R176" s="71"/>
      <c r="S176" s="84"/>
      <c r="T176" s="71"/>
      <c r="U176" s="71"/>
      <c r="V176" s="71"/>
      <c r="W176" s="93"/>
      <c r="X176" s="71"/>
      <c r="Y176" s="84"/>
      <c r="Z176" s="71"/>
      <c r="AA176" s="71"/>
      <c r="AB176" s="71"/>
      <c r="AC176" s="93"/>
      <c r="AD176" s="71"/>
      <c r="AE176" s="84"/>
      <c r="AF176" s="71"/>
      <c r="AG176" s="71"/>
      <c r="AH176" s="71"/>
      <c r="AI176" s="93"/>
      <c r="AJ176" s="71"/>
      <c r="AK176" s="84"/>
      <c r="AL176" s="71"/>
      <c r="AM176" s="71"/>
      <c r="AN176" s="71"/>
      <c r="AO176" s="93"/>
      <c r="AP176" s="71"/>
      <c r="AQ176" s="84"/>
      <c r="AR176" s="71"/>
      <c r="AS176" s="71"/>
      <c r="AT176" s="71"/>
      <c r="AU176" s="93"/>
      <c r="AV176" s="71"/>
      <c r="AW176" s="84"/>
      <c r="AX176" s="71"/>
      <c r="AY176" s="71"/>
      <c r="AZ176" s="71"/>
      <c r="BA176" s="93"/>
      <c r="BB176" s="71"/>
      <c r="BC176" s="84"/>
      <c r="BD176" s="71"/>
      <c r="BE176" s="71"/>
      <c r="BF176" s="71"/>
      <c r="BG176" s="93"/>
      <c r="BH176" s="71"/>
      <c r="BI176" s="84"/>
      <c r="BJ176" s="71"/>
      <c r="BK176" s="71"/>
      <c r="BL176" s="71"/>
      <c r="BM176" s="93"/>
      <c r="BN176" s="71"/>
      <c r="BO176" s="84"/>
      <c r="BP176" s="71"/>
      <c r="BQ176" s="71"/>
      <c r="BR176" s="71"/>
      <c r="BS176" s="93"/>
      <c r="BT176" s="71"/>
      <c r="BU176" s="834"/>
      <c r="BV176" s="807"/>
      <c r="BW176" s="807"/>
      <c r="BX176" s="807"/>
      <c r="BY176" s="508"/>
      <c r="BZ176" s="507"/>
      <c r="CA176" s="834"/>
      <c r="CB176" s="807"/>
      <c r="CC176" s="807"/>
      <c r="CD176" s="807"/>
      <c r="CE176" s="508"/>
      <c r="CF176" s="507"/>
      <c r="CG176" s="834"/>
      <c r="CH176" s="807"/>
      <c r="CI176" s="807"/>
      <c r="CJ176" s="807"/>
      <c r="CK176" s="508"/>
      <c r="CL176" s="507"/>
      <c r="CM176" s="834"/>
      <c r="CN176" s="807"/>
      <c r="CO176" s="807"/>
      <c r="CP176" s="807"/>
      <c r="CQ176" s="508"/>
      <c r="CR176" s="507"/>
      <c r="CS176" s="111"/>
      <c r="CT176" s="15"/>
      <c r="CU176" s="15"/>
      <c r="CV176" s="15"/>
      <c r="CW176" s="47"/>
      <c r="CX176" s="507"/>
      <c r="CY176" s="111"/>
      <c r="CZ176" s="15"/>
      <c r="DA176" s="15"/>
      <c r="DB176" s="15"/>
      <c r="DC176" s="47"/>
      <c r="DD176" s="507"/>
      <c r="DE176" s="111"/>
      <c r="DF176" s="15"/>
      <c r="DG176" s="15"/>
      <c r="DH176" s="15"/>
      <c r="DI176" s="47"/>
      <c r="DJ176" s="507"/>
      <c r="DK176" s="111"/>
      <c r="DL176" s="15"/>
      <c r="DM176" s="15"/>
      <c r="DN176" s="15"/>
      <c r="DO176" s="47"/>
      <c r="DP176" s="507"/>
      <c r="DQ176" s="111"/>
      <c r="DR176" s="15"/>
      <c r="DS176" s="15"/>
      <c r="DT176" s="15"/>
      <c r="DU176" s="47"/>
      <c r="DV176" s="507"/>
      <c r="DW176" s="111"/>
      <c r="DX176" s="15"/>
      <c r="DY176" s="15"/>
      <c r="DZ176" s="15"/>
      <c r="EA176" s="47"/>
      <c r="EB176" s="507"/>
      <c r="EC176" s="111"/>
      <c r="ED176" s="15"/>
      <c r="EE176" s="15"/>
      <c r="EF176" s="15"/>
      <c r="EG176" s="950"/>
    </row>
    <row r="177" spans="1:137" ht="11.25" customHeight="1" outlineLevel="2" x14ac:dyDescent="0.2">
      <c r="A177" s="909" t="s">
        <v>555</v>
      </c>
      <c r="B177" s="14"/>
      <c r="C177" s="14"/>
      <c r="D177" s="14"/>
      <c r="E177" s="93"/>
      <c r="F177" s="71"/>
      <c r="G177" s="93"/>
      <c r="H177" s="71"/>
      <c r="I177" s="93"/>
      <c r="J177" s="71"/>
      <c r="K177" s="93"/>
      <c r="L177" s="71"/>
      <c r="M177" s="84"/>
      <c r="N177" s="71"/>
      <c r="O177" s="71"/>
      <c r="P177" s="71"/>
      <c r="Q177" s="93"/>
      <c r="R177" s="71"/>
      <c r="S177" s="84"/>
      <c r="T177" s="71"/>
      <c r="U177" s="71"/>
      <c r="V177" s="71"/>
      <c r="W177" s="93"/>
      <c r="X177" s="71"/>
      <c r="Y177" s="84"/>
      <c r="Z177" s="71"/>
      <c r="AA177" s="71"/>
      <c r="AB177" s="71"/>
      <c r="AC177" s="93"/>
      <c r="AD177" s="71"/>
      <c r="AE177" s="84"/>
      <c r="AF177" s="71"/>
      <c r="AG177" s="71"/>
      <c r="AH177" s="71"/>
      <c r="AI177" s="93"/>
      <c r="AJ177" s="71"/>
      <c r="AK177" s="84"/>
      <c r="AL177" s="71"/>
      <c r="AM177" s="71"/>
      <c r="AN177" s="71"/>
      <c r="AO177" s="93"/>
      <c r="AP177" s="71"/>
      <c r="AQ177" s="84"/>
      <c r="AR177" s="71"/>
      <c r="AS177" s="71"/>
      <c r="AT177" s="71"/>
      <c r="AU177" s="93"/>
      <c r="AV177" s="71"/>
      <c r="AW177" s="84"/>
      <c r="AX177" s="71"/>
      <c r="AY177" s="71"/>
      <c r="AZ177" s="71"/>
      <c r="BA177" s="93"/>
      <c r="BB177" s="71"/>
      <c r="BC177" s="84"/>
      <c r="BD177" s="71"/>
      <c r="BE177" s="71"/>
      <c r="BF177" s="71"/>
      <c r="BG177" s="93"/>
      <c r="BH177" s="71"/>
      <c r="BI177" s="84"/>
      <c r="BJ177" s="71"/>
      <c r="BK177" s="71"/>
      <c r="BL177" s="71"/>
      <c r="BM177" s="93"/>
      <c r="BN177" s="71"/>
      <c r="BO177" s="84"/>
      <c r="BP177" s="71"/>
      <c r="BQ177" s="71"/>
      <c r="BR177" s="71"/>
      <c r="BS177" s="93"/>
      <c r="BT177" s="71"/>
      <c r="BU177" s="834"/>
      <c r="BV177" s="807"/>
      <c r="BW177" s="807"/>
      <c r="BX177" s="807"/>
      <c r="BY177" s="508"/>
      <c r="BZ177" s="507"/>
      <c r="CA177" s="834"/>
      <c r="CB177" s="807"/>
      <c r="CC177" s="807"/>
      <c r="CD177" s="807"/>
      <c r="CE177" s="508"/>
      <c r="CF177" s="507"/>
      <c r="CG177" s="834"/>
      <c r="CH177" s="807"/>
      <c r="CI177" s="807"/>
      <c r="CJ177" s="807"/>
      <c r="CK177" s="508"/>
      <c r="CL177" s="507"/>
      <c r="CM177" s="834"/>
      <c r="CN177" s="807"/>
      <c r="CO177" s="807"/>
      <c r="CP177" s="807"/>
      <c r="CQ177" s="508"/>
      <c r="CR177" s="507"/>
      <c r="CS177" s="920">
        <v>59.929999999999993</v>
      </c>
      <c r="CT177" s="921">
        <v>66.203999999999994</v>
      </c>
      <c r="CU177" s="921">
        <v>69.031000000000006</v>
      </c>
      <c r="CV177" s="921">
        <v>70.367999999999995</v>
      </c>
      <c r="CW177" s="922">
        <v>265.53300000000002</v>
      </c>
      <c r="CX177" s="71"/>
      <c r="CY177" s="920">
        <v>66.559000000000012</v>
      </c>
      <c r="CZ177" s="921">
        <v>71.554999999999993</v>
      </c>
      <c r="DA177" s="921">
        <v>71.648739560987693</v>
      </c>
      <c r="DB177" s="921">
        <v>84.730823430672203</v>
      </c>
      <c r="DC177" s="922">
        <v>294.49356299165999</v>
      </c>
      <c r="DD177" s="67"/>
      <c r="DE177" s="923">
        <v>71.435046690328477</v>
      </c>
      <c r="DF177" s="924">
        <v>71.943619398995338</v>
      </c>
      <c r="DG177" s="924">
        <v>75.383333833573104</v>
      </c>
      <c r="DH177" s="924">
        <v>86.690185392290402</v>
      </c>
      <c r="DI177" s="925">
        <v>305.45218531518731</v>
      </c>
      <c r="DJ177" s="67"/>
      <c r="DK177" s="923">
        <v>83.251789732679612</v>
      </c>
      <c r="DL177" s="924">
        <v>83.473917730264134</v>
      </c>
      <c r="DM177" s="924">
        <v>88.278490501376865</v>
      </c>
      <c r="DN177" s="924">
        <v>99.746428735563484</v>
      </c>
      <c r="DO177" s="925">
        <v>354.75062669988409</v>
      </c>
      <c r="DP177" s="67"/>
      <c r="DQ177" s="923">
        <v>94.576703563592403</v>
      </c>
      <c r="DR177" s="924">
        <v>96.550384531358191</v>
      </c>
      <c r="DS177" s="924">
        <v>103.66020482457753</v>
      </c>
      <c r="DT177" s="924">
        <v>116.3286631635863</v>
      </c>
      <c r="DU177" s="925">
        <v>411.11595608311438</v>
      </c>
      <c r="DV177" s="67"/>
      <c r="DW177" s="923">
        <v>108.59930703142456</v>
      </c>
      <c r="DX177" s="924">
        <v>111.75181154248469</v>
      </c>
      <c r="DY177" s="924">
        <v>118.69949705874211</v>
      </c>
      <c r="DZ177" s="924">
        <v>133.87996040131898</v>
      </c>
      <c r="EA177" s="925">
        <v>472.9305760339704</v>
      </c>
      <c r="EB177" s="509"/>
      <c r="EC177" s="510">
        <f>+(EC174-EC179)*EC170</f>
        <v>119.92094552881346</v>
      </c>
      <c r="ED177" s="509">
        <f>+(ED174-ED179)*ED170</f>
        <v>122.75288724176082</v>
      </c>
      <c r="EE177" s="509">
        <f>+(EE174-EE179)*EE170</f>
        <v>131.24216308353863</v>
      </c>
      <c r="EF177" s="898">
        <f>+(EF174-EF179)*EF170</f>
        <v>148.11525323620441</v>
      </c>
      <c r="EG177" s="93">
        <f>SUM(EC177:EF177)</f>
        <v>522.03124909031726</v>
      </c>
    </row>
    <row r="178" spans="1:137" ht="11.25" customHeight="1" outlineLevel="2" x14ac:dyDescent="0.2">
      <c r="A178" s="982" t="s">
        <v>554</v>
      </c>
      <c r="B178" s="14"/>
      <c r="C178" s="14"/>
      <c r="D178" s="14"/>
      <c r="E178" s="93"/>
      <c r="F178" s="71"/>
      <c r="G178" s="93"/>
      <c r="H178" s="71"/>
      <c r="I178" s="93"/>
      <c r="J178" s="71"/>
      <c r="K178" s="93"/>
      <c r="L178" s="71"/>
      <c r="M178" s="84"/>
      <c r="N178" s="71"/>
      <c r="O178" s="71"/>
      <c r="P178" s="71"/>
      <c r="Q178" s="93"/>
      <c r="R178" s="71"/>
      <c r="S178" s="84"/>
      <c r="T178" s="71"/>
      <c r="U178" s="71"/>
      <c r="V178" s="71"/>
      <c r="W178" s="93"/>
      <c r="X178" s="71"/>
      <c r="Y178" s="84"/>
      <c r="Z178" s="71"/>
      <c r="AA178" s="71"/>
      <c r="AB178" s="71"/>
      <c r="AC178" s="93"/>
      <c r="AD178" s="71"/>
      <c r="AE178" s="84"/>
      <c r="AF178" s="71"/>
      <c r="AG178" s="71"/>
      <c r="AH178" s="71"/>
      <c r="AI178" s="93"/>
      <c r="AJ178" s="71"/>
      <c r="AK178" s="84"/>
      <c r="AL178" s="71"/>
      <c r="AM178" s="71"/>
      <c r="AN178" s="71"/>
      <c r="AO178" s="93"/>
      <c r="AP178" s="71"/>
      <c r="AQ178" s="84"/>
      <c r="AR178" s="71"/>
      <c r="AS178" s="71"/>
      <c r="AT178" s="71"/>
      <c r="AU178" s="93"/>
      <c r="AV178" s="71"/>
      <c r="AW178" s="84"/>
      <c r="AX178" s="71"/>
      <c r="AY178" s="71"/>
      <c r="AZ178" s="71"/>
      <c r="BA178" s="93"/>
      <c r="BB178" s="71"/>
      <c r="BC178" s="84"/>
      <c r="BD178" s="71"/>
      <c r="BE178" s="71"/>
      <c r="BF178" s="71"/>
      <c r="BG178" s="93"/>
      <c r="BH178" s="71"/>
      <c r="BI178" s="84"/>
      <c r="BJ178" s="71"/>
      <c r="BK178" s="71"/>
      <c r="BL178" s="71"/>
      <c r="BM178" s="93"/>
      <c r="BN178" s="71"/>
      <c r="BO178" s="84"/>
      <c r="BP178" s="71"/>
      <c r="BQ178" s="71"/>
      <c r="BR178" s="71"/>
      <c r="BS178" s="93"/>
      <c r="BT178" s="71"/>
      <c r="BU178" s="834"/>
      <c r="BV178" s="807"/>
      <c r="BW178" s="807"/>
      <c r="BX178" s="807"/>
      <c r="BY178" s="508"/>
      <c r="BZ178" s="507"/>
      <c r="CA178" s="834"/>
      <c r="CB178" s="807"/>
      <c r="CC178" s="807"/>
      <c r="CD178" s="807"/>
      <c r="CE178" s="508"/>
      <c r="CF178" s="507"/>
      <c r="CG178" s="834"/>
      <c r="CH178" s="807"/>
      <c r="CI178" s="807"/>
      <c r="CJ178" s="807"/>
      <c r="CK178" s="508"/>
      <c r="CL178" s="507"/>
      <c r="CM178" s="834"/>
      <c r="CN178" s="807"/>
      <c r="CO178" s="807"/>
      <c r="CP178" s="807"/>
      <c r="CQ178" s="508"/>
      <c r="CR178" s="507"/>
      <c r="CS178" s="920"/>
      <c r="CT178" s="921"/>
      <c r="CU178" s="921"/>
      <c r="CV178" s="921"/>
      <c r="CW178" s="810">
        <f>+CW177/CW170</f>
        <v>0.49302791063842427</v>
      </c>
      <c r="CX178" s="71"/>
      <c r="CY178" s="920"/>
      <c r="CZ178" s="921"/>
      <c r="DA178" s="921"/>
      <c r="DB178" s="921"/>
      <c r="DC178" s="810">
        <f>+DC177/DC170</f>
        <v>0.47557865947764522</v>
      </c>
      <c r="DD178" s="67"/>
      <c r="DE178" s="821">
        <f>+DE177/DE170</f>
        <v>0.40565046388602205</v>
      </c>
      <c r="DF178" s="822">
        <f>+DF177/DF170</f>
        <v>0.42375612217860792</v>
      </c>
      <c r="DG178" s="822">
        <f>+DG177/DG170</f>
        <v>0.41441045509234548</v>
      </c>
      <c r="DH178" s="983">
        <f>+DH177/DH170</f>
        <v>0.39404629723768364</v>
      </c>
      <c r="DI178" s="810">
        <f>+DI177/DI170</f>
        <v>0.40847813105065162</v>
      </c>
      <c r="DJ178" s="67"/>
      <c r="DK178" s="821">
        <f>+DK177/DK170</f>
        <v>0.33300715893071847</v>
      </c>
      <c r="DL178" s="822">
        <f>+DL177/DL170</f>
        <v>0.41323721648645612</v>
      </c>
      <c r="DM178" s="822">
        <f>+DM177/DM170</f>
        <v>0.41640797406309843</v>
      </c>
      <c r="DN178" s="983">
        <f>+DN177/DN170</f>
        <v>0.42445288823644034</v>
      </c>
      <c r="DO178" s="810">
        <f>+DO177/DO170</f>
        <v>0.39460581390420923</v>
      </c>
      <c r="DP178" s="67"/>
      <c r="DQ178" s="821">
        <f>+DQ177/DQ170</f>
        <v>0.39406959818163501</v>
      </c>
      <c r="DR178" s="822">
        <f>+DR177/DR170</f>
        <v>0.41666888969052013</v>
      </c>
      <c r="DS178" s="822">
        <f>+DS177/DS170</f>
        <v>0.41682827536096628</v>
      </c>
      <c r="DT178" s="983">
        <f>+DT177/DT170</f>
        <v>0.41940444200907046</v>
      </c>
      <c r="DU178" s="810">
        <f>+DU177/DU170</f>
        <v>0.41203312804413139</v>
      </c>
      <c r="DV178" s="67"/>
      <c r="DW178" s="821">
        <f>+DW177/DW170</f>
        <v>0.40320428058144003</v>
      </c>
      <c r="DX178" s="822">
        <f>+DX177/DX170</f>
        <v>0.40716888969052006</v>
      </c>
      <c r="DY178" s="822">
        <f>+DY177/DY170</f>
        <v>0.40632827536096633</v>
      </c>
      <c r="DZ178" s="983">
        <f>+DZ177/DZ170</f>
        <v>0.40790444200907039</v>
      </c>
      <c r="EA178" s="810">
        <f>+EA177/EA170</f>
        <v>0.40624805896137434</v>
      </c>
      <c r="EB178" s="67"/>
      <c r="EC178" s="821">
        <f>+EC177/EC170</f>
        <v>0.38716428140903136</v>
      </c>
      <c r="ED178" s="822">
        <f>+ED177/ED170</f>
        <v>0.38891428140903128</v>
      </c>
      <c r="EE178" s="822">
        <f>+EE177/EE170</f>
        <v>0.39066428140903126</v>
      </c>
      <c r="EF178" s="983">
        <f>+EF177/EF170</f>
        <v>0.39241428140903123</v>
      </c>
      <c r="EG178" s="810">
        <f>+EG177/EG170</f>
        <v>0.38993531233455642</v>
      </c>
    </row>
    <row r="179" spans="1:137" s="783" customFormat="1" ht="11.25" customHeight="1" outlineLevel="2" x14ac:dyDescent="0.2">
      <c r="A179" s="928" t="s">
        <v>542</v>
      </c>
      <c r="B179" s="539"/>
      <c r="C179" s="539"/>
      <c r="D179" s="539"/>
      <c r="E179" s="776"/>
      <c r="F179" s="541"/>
      <c r="G179" s="776"/>
      <c r="H179" s="541"/>
      <c r="I179" s="776"/>
      <c r="J179" s="541"/>
      <c r="K179" s="776"/>
      <c r="L179" s="541"/>
      <c r="M179" s="782"/>
      <c r="N179" s="541"/>
      <c r="O179" s="541"/>
      <c r="P179" s="541"/>
      <c r="Q179" s="776"/>
      <c r="R179" s="541"/>
      <c r="S179" s="782"/>
      <c r="T179" s="541"/>
      <c r="U179" s="541"/>
      <c r="V179" s="541"/>
      <c r="W179" s="776"/>
      <c r="X179" s="541"/>
      <c r="Y179" s="782"/>
      <c r="Z179" s="541"/>
      <c r="AA179" s="541"/>
      <c r="AB179" s="541"/>
      <c r="AC179" s="776"/>
      <c r="AD179" s="541"/>
      <c r="AE179" s="782"/>
      <c r="AF179" s="541"/>
      <c r="AG179" s="541"/>
      <c r="AH179" s="541"/>
      <c r="AI179" s="776"/>
      <c r="AJ179" s="541"/>
      <c r="AK179" s="782"/>
      <c r="AL179" s="541"/>
      <c r="AM179" s="541"/>
      <c r="AN179" s="541"/>
      <c r="AO179" s="776"/>
      <c r="AP179" s="541"/>
      <c r="AQ179" s="782"/>
      <c r="AR179" s="541"/>
      <c r="AS179" s="541"/>
      <c r="AT179" s="541"/>
      <c r="AU179" s="776"/>
      <c r="AV179" s="541"/>
      <c r="AW179" s="782"/>
      <c r="AX179" s="541"/>
      <c r="AY179" s="541"/>
      <c r="AZ179" s="541"/>
      <c r="BA179" s="776"/>
      <c r="BB179" s="541"/>
      <c r="BC179" s="782"/>
      <c r="BD179" s="541"/>
      <c r="BE179" s="541"/>
      <c r="BF179" s="541"/>
      <c r="BG179" s="776"/>
      <c r="BH179" s="541"/>
      <c r="BI179" s="782"/>
      <c r="BJ179" s="541"/>
      <c r="BK179" s="541"/>
      <c r="BL179" s="541"/>
      <c r="BM179" s="776"/>
      <c r="BN179" s="541"/>
      <c r="BO179" s="782"/>
      <c r="BP179" s="541"/>
      <c r="BQ179" s="541"/>
      <c r="BR179" s="541"/>
      <c r="BS179" s="776"/>
      <c r="BT179" s="541"/>
      <c r="BU179" s="929"/>
      <c r="BV179" s="930"/>
      <c r="BW179" s="930"/>
      <c r="BX179" s="930"/>
      <c r="BY179" s="931"/>
      <c r="BZ179" s="932"/>
      <c r="CA179" s="929"/>
      <c r="CB179" s="930"/>
      <c r="CC179" s="930"/>
      <c r="CD179" s="930"/>
      <c r="CE179" s="931"/>
      <c r="CF179" s="932"/>
      <c r="CG179" s="929"/>
      <c r="CH179" s="930"/>
      <c r="CI179" s="930"/>
      <c r="CJ179" s="930"/>
      <c r="CK179" s="931"/>
      <c r="CL179" s="932"/>
      <c r="CM179" s="929"/>
      <c r="CN179" s="930"/>
      <c r="CO179" s="930"/>
      <c r="CP179" s="930"/>
      <c r="CQ179" s="931"/>
      <c r="CR179" s="932"/>
      <c r="CS179" s="821">
        <v>0.10230931037342526</v>
      </c>
      <c r="CT179" s="822">
        <v>-8.1071900358558081E-3</v>
      </c>
      <c r="CU179" s="822">
        <v>-6.5543826355118032E-2</v>
      </c>
      <c r="CV179" s="822">
        <v>4.8306451064292953E-2</v>
      </c>
      <c r="CW179" s="810">
        <v>2.0996108255845001E-2</v>
      </c>
      <c r="CX179" s="541"/>
      <c r="CY179" s="821">
        <v>5.5049039922641145E-2</v>
      </c>
      <c r="CZ179" s="822">
        <v>2.4814898528092402E-2</v>
      </c>
      <c r="DA179" s="822">
        <v>4.3273002615563369E-2</v>
      </c>
      <c r="DB179" s="822">
        <v>5.0502626681221449E-2</v>
      </c>
      <c r="DC179" s="810">
        <v>4.3725633649415306E-2</v>
      </c>
      <c r="DD179" s="541"/>
      <c r="DE179" s="936">
        <v>0.13871000082759127</v>
      </c>
      <c r="DF179" s="937">
        <v>0.14291205838517801</v>
      </c>
      <c r="DG179" s="937">
        <v>0.14541933938139848</v>
      </c>
      <c r="DH179" s="937">
        <v>0.14400983939996087</v>
      </c>
      <c r="DI179" s="938">
        <v>0.14286043850278152</v>
      </c>
      <c r="DJ179" s="939"/>
      <c r="DK179" s="936">
        <v>0.15421000082759126</v>
      </c>
      <c r="DL179" s="937">
        <v>0.15224539171851129</v>
      </c>
      <c r="DM179" s="937">
        <v>0.15508600604806508</v>
      </c>
      <c r="DN179" s="937">
        <v>0.1555098393999611</v>
      </c>
      <c r="DO179" s="938">
        <v>0.15432970044593181</v>
      </c>
      <c r="DP179" s="939"/>
      <c r="DQ179" s="936">
        <v>0.17346000082759133</v>
      </c>
      <c r="DR179" s="937">
        <v>0.17024539171851122</v>
      </c>
      <c r="DS179" s="937">
        <v>0.17183600604806493</v>
      </c>
      <c r="DT179" s="937">
        <v>0.17100983939996087</v>
      </c>
      <c r="DU179" s="938">
        <v>0.17160849744698878</v>
      </c>
      <c r="DV179" s="939"/>
      <c r="DW179" s="936">
        <v>0.18896000082759121</v>
      </c>
      <c r="DX179" s="937">
        <v>0.18674539171851118</v>
      </c>
      <c r="DY179" s="937">
        <v>0.18933600604806483</v>
      </c>
      <c r="DZ179" s="937">
        <v>0.18950983939996083</v>
      </c>
      <c r="EA179" s="938">
        <v>0.1886872533731821</v>
      </c>
      <c r="EB179" s="940"/>
      <c r="EC179" s="936">
        <v>0.20499999999999999</v>
      </c>
      <c r="ED179" s="937">
        <f>+EC179</f>
        <v>0.20499999999999999</v>
      </c>
      <c r="EE179" s="937">
        <f>+ED179</f>
        <v>0.20499999999999999</v>
      </c>
      <c r="EF179" s="937">
        <f>+EE179</f>
        <v>0.20499999999999999</v>
      </c>
      <c r="EG179" s="810">
        <f>+EF179</f>
        <v>0.20499999999999999</v>
      </c>
    </row>
    <row r="180" spans="1:137" s="783" customFormat="1" ht="11.25" customHeight="1" outlineLevel="2" x14ac:dyDescent="0.2">
      <c r="A180" s="997" t="s">
        <v>556</v>
      </c>
      <c r="B180" s="539"/>
      <c r="C180" s="539"/>
      <c r="D180" s="539"/>
      <c r="E180" s="776"/>
      <c r="F180" s="541"/>
      <c r="G180" s="776"/>
      <c r="H180" s="541"/>
      <c r="I180" s="776"/>
      <c r="J180" s="541"/>
      <c r="K180" s="776"/>
      <c r="L180" s="541"/>
      <c r="M180" s="782"/>
      <c r="N180" s="541"/>
      <c r="O180" s="541"/>
      <c r="P180" s="541"/>
      <c r="Q180" s="776"/>
      <c r="R180" s="541"/>
      <c r="S180" s="782"/>
      <c r="T180" s="541"/>
      <c r="U180" s="541"/>
      <c r="V180" s="541"/>
      <c r="W180" s="776"/>
      <c r="X180" s="541"/>
      <c r="Y180" s="782"/>
      <c r="Z180" s="541"/>
      <c r="AA180" s="541"/>
      <c r="AB180" s="541"/>
      <c r="AC180" s="776"/>
      <c r="AD180" s="541"/>
      <c r="AE180" s="782"/>
      <c r="AF180" s="541"/>
      <c r="AG180" s="541"/>
      <c r="AH180" s="541"/>
      <c r="AI180" s="776"/>
      <c r="AJ180" s="541"/>
      <c r="AK180" s="782"/>
      <c r="AL180" s="541"/>
      <c r="AM180" s="541"/>
      <c r="AN180" s="541"/>
      <c r="AO180" s="776"/>
      <c r="AP180" s="541"/>
      <c r="AQ180" s="782"/>
      <c r="AR180" s="541"/>
      <c r="AS180" s="541"/>
      <c r="AT180" s="541"/>
      <c r="AU180" s="776"/>
      <c r="AV180" s="541"/>
      <c r="AW180" s="782"/>
      <c r="AX180" s="541"/>
      <c r="AY180" s="541"/>
      <c r="AZ180" s="541"/>
      <c r="BA180" s="776"/>
      <c r="BB180" s="541"/>
      <c r="BC180" s="782"/>
      <c r="BD180" s="541"/>
      <c r="BE180" s="541"/>
      <c r="BF180" s="541"/>
      <c r="BG180" s="776"/>
      <c r="BH180" s="541"/>
      <c r="BI180" s="782"/>
      <c r="BJ180" s="541"/>
      <c r="BK180" s="541"/>
      <c r="BL180" s="541"/>
      <c r="BM180" s="776"/>
      <c r="BN180" s="541"/>
      <c r="BO180" s="782"/>
      <c r="BP180" s="541"/>
      <c r="BQ180" s="541"/>
      <c r="BR180" s="541"/>
      <c r="BS180" s="776"/>
      <c r="BT180" s="541"/>
      <c r="BU180" s="929"/>
      <c r="BV180" s="930"/>
      <c r="BW180" s="930"/>
      <c r="BX180" s="930"/>
      <c r="BY180" s="931"/>
      <c r="BZ180" s="932"/>
      <c r="CA180" s="929"/>
      <c r="CB180" s="930"/>
      <c r="CC180" s="930"/>
      <c r="CD180" s="930"/>
      <c r="CE180" s="931"/>
      <c r="CF180" s="932"/>
      <c r="CG180" s="929"/>
      <c r="CH180" s="930"/>
      <c r="CI180" s="930"/>
      <c r="CJ180" s="930"/>
      <c r="CK180" s="931"/>
      <c r="CL180" s="932"/>
      <c r="CM180" s="929"/>
      <c r="CN180" s="930"/>
      <c r="CO180" s="930"/>
      <c r="CP180" s="930"/>
      <c r="CQ180" s="931"/>
      <c r="CR180" s="932"/>
      <c r="CS180" s="821"/>
      <c r="CT180" s="822"/>
      <c r="CU180" s="822"/>
      <c r="CV180" s="822"/>
      <c r="CW180" s="810"/>
      <c r="CX180" s="541"/>
      <c r="CY180" s="821"/>
      <c r="CZ180" s="822"/>
      <c r="DA180" s="822"/>
      <c r="DB180" s="822"/>
      <c r="DC180" s="810"/>
      <c r="DD180" s="541"/>
      <c r="DE180" s="912">
        <f>+DE178*DE172</f>
        <v>0</v>
      </c>
      <c r="DF180" s="24">
        <f>+DF178*DF172</f>
        <v>2.1187806108930394</v>
      </c>
      <c r="DG180" s="24">
        <f>+DG178*DG172</f>
        <v>2.0720522754617274</v>
      </c>
      <c r="DH180" s="24">
        <f>+DH178*DH172</f>
        <v>3.9404629723768365</v>
      </c>
      <c r="DI180" s="163">
        <f>SUM(DE180:DH180)</f>
        <v>8.1312958587316029</v>
      </c>
      <c r="DJ180" s="541"/>
      <c r="DK180" s="912">
        <f>+DK178*DK172</f>
        <v>3.3300715893071846</v>
      </c>
      <c r="DL180" s="24">
        <f>+DL178*DL172</f>
        <v>4.1323721648645613</v>
      </c>
      <c r="DM180" s="24">
        <f>+DM178*DM172</f>
        <v>4.1640797406309842</v>
      </c>
      <c r="DN180" s="24">
        <f>+DN178*DN172</f>
        <v>6.366793323546605</v>
      </c>
      <c r="DO180" s="163">
        <f>SUM(DK180:DN180)</f>
        <v>17.993316818349335</v>
      </c>
      <c r="DP180" s="541"/>
      <c r="DQ180" s="912">
        <f>+DQ178*DQ172</f>
        <v>5.9110439727245252</v>
      </c>
      <c r="DR180" s="24">
        <f>+DR178*DR172</f>
        <v>6.2500333453578021</v>
      </c>
      <c r="DS180" s="24">
        <f>+DS178*DS172</f>
        <v>6.2524241304144939</v>
      </c>
      <c r="DT180" s="24">
        <f>+DT178*DT172</f>
        <v>8.3880888401814087</v>
      </c>
      <c r="DU180" s="163">
        <f>SUM(DQ180:DT180)</f>
        <v>26.801590288678227</v>
      </c>
      <c r="DV180" s="541"/>
      <c r="DW180" s="912">
        <f>+DW178*DW172</f>
        <v>8.0640856116288013</v>
      </c>
      <c r="DX180" s="24">
        <f>+DX178*DX172</f>
        <v>8.1433777938104015</v>
      </c>
      <c r="DY180" s="24">
        <f>+DY178*DY172</f>
        <v>8.1265655072193272</v>
      </c>
      <c r="DZ180" s="24">
        <f>+DZ178*DZ172</f>
        <v>10.19761105022676</v>
      </c>
      <c r="EA180" s="163">
        <f>SUM(DW180:DZ180)</f>
        <v>34.531639962885293</v>
      </c>
      <c r="EB180" s="541"/>
      <c r="EC180" s="912">
        <f>+EC178*EC172</f>
        <v>9.6791070352257833</v>
      </c>
      <c r="ED180" s="24">
        <f>+ED178*ED172</f>
        <v>9.7228570352257826</v>
      </c>
      <c r="EE180" s="24">
        <f>+EE178*EE172</f>
        <v>9.7666070352257819</v>
      </c>
      <c r="EF180" s="24">
        <f>+EF178*EF172</f>
        <v>9.8103570352257812</v>
      </c>
      <c r="EG180" s="163">
        <f>SUM(EC180:EF180)</f>
        <v>38.978928140903129</v>
      </c>
    </row>
    <row r="181" spans="1:137" ht="11.25" customHeight="1" outlineLevel="2" x14ac:dyDescent="0.2">
      <c r="A181" s="997" t="s">
        <v>557</v>
      </c>
      <c r="B181" s="14"/>
      <c r="C181" s="14"/>
      <c r="D181" s="14"/>
      <c r="E181" s="93"/>
      <c r="F181" s="71"/>
      <c r="G181" s="93"/>
      <c r="H181" s="71"/>
      <c r="I181" s="93"/>
      <c r="J181" s="71"/>
      <c r="K181" s="93"/>
      <c r="L181" s="71"/>
      <c r="M181" s="84"/>
      <c r="N181" s="71"/>
      <c r="O181" s="71"/>
      <c r="P181" s="71"/>
      <c r="Q181" s="93"/>
      <c r="R181" s="71"/>
      <c r="S181" s="84"/>
      <c r="T181" s="71"/>
      <c r="U181" s="71"/>
      <c r="V181" s="71"/>
      <c r="W181" s="93"/>
      <c r="X181" s="71"/>
      <c r="Y181" s="84"/>
      <c r="Z181" s="71"/>
      <c r="AA181" s="71"/>
      <c r="AB181" s="71"/>
      <c r="AC181" s="93"/>
      <c r="AD181" s="71"/>
      <c r="AE181" s="84"/>
      <c r="AF181" s="71"/>
      <c r="AG181" s="71"/>
      <c r="AH181" s="71"/>
      <c r="AI181" s="93"/>
      <c r="AJ181" s="71"/>
      <c r="AK181" s="84"/>
      <c r="AL181" s="71"/>
      <c r="AM181" s="71"/>
      <c r="AN181" s="71"/>
      <c r="AO181" s="93"/>
      <c r="AP181" s="71"/>
      <c r="AQ181" s="84"/>
      <c r="AR181" s="71"/>
      <c r="AS181" s="71"/>
      <c r="AT181" s="71"/>
      <c r="AU181" s="93"/>
      <c r="AV181" s="71"/>
      <c r="AW181" s="84"/>
      <c r="AX181" s="71"/>
      <c r="AY181" s="71"/>
      <c r="AZ181" s="71"/>
      <c r="BA181" s="93"/>
      <c r="BB181" s="71"/>
      <c r="BC181" s="84"/>
      <c r="BD181" s="71"/>
      <c r="BE181" s="71"/>
      <c r="BF181" s="71"/>
      <c r="BG181" s="93"/>
      <c r="BH181" s="71"/>
      <c r="BI181" s="84"/>
      <c r="BJ181" s="71"/>
      <c r="BK181" s="71"/>
      <c r="BL181" s="71"/>
      <c r="BM181" s="93"/>
      <c r="BN181" s="71"/>
      <c r="BO181" s="84"/>
      <c r="BP181" s="71"/>
      <c r="BQ181" s="71"/>
      <c r="BR181" s="71"/>
      <c r="BS181" s="93"/>
      <c r="BT181" s="71"/>
      <c r="BU181" s="834"/>
      <c r="BV181" s="807"/>
      <c r="BW181" s="807"/>
      <c r="BX181" s="807"/>
      <c r="BY181" s="508"/>
      <c r="BZ181" s="507"/>
      <c r="CA181" s="834"/>
      <c r="CB181" s="807"/>
      <c r="CC181" s="807"/>
      <c r="CD181" s="807"/>
      <c r="CE181" s="508"/>
      <c r="CF181" s="507"/>
      <c r="CG181" s="834"/>
      <c r="CH181" s="807"/>
      <c r="CI181" s="807"/>
      <c r="CJ181" s="807"/>
      <c r="CK181" s="508"/>
      <c r="CL181" s="507"/>
      <c r="CM181" s="834"/>
      <c r="CN181" s="807"/>
      <c r="CO181" s="807"/>
      <c r="CP181" s="807"/>
      <c r="CQ181" s="508"/>
      <c r="CR181" s="507"/>
      <c r="CS181" s="111"/>
      <c r="CT181" s="15"/>
      <c r="CU181" s="15"/>
      <c r="CV181" s="15"/>
      <c r="CW181" s="47"/>
      <c r="CX181" s="71"/>
      <c r="CY181" s="111"/>
      <c r="CZ181" s="15"/>
      <c r="DA181" s="15"/>
      <c r="DB181" s="15"/>
      <c r="DC181" s="47"/>
      <c r="DD181" s="71"/>
      <c r="DE181" s="912">
        <f>+DE179*DE172</f>
        <v>0</v>
      </c>
      <c r="DF181" s="24">
        <f>+DF179*DF172</f>
        <v>0.71456029192588999</v>
      </c>
      <c r="DG181" s="24">
        <f>+DG179*DG172</f>
        <v>0.72709669690699241</v>
      </c>
      <c r="DH181" s="24">
        <f>+DH179*DH172</f>
        <v>1.4400983939996088</v>
      </c>
      <c r="DI181" s="163">
        <f>SUM(DE181:DH181)</f>
        <v>2.8817553828324911</v>
      </c>
      <c r="DJ181" s="71"/>
      <c r="DK181" s="912">
        <f>+DK179*DK172</f>
        <v>1.5421000082759126</v>
      </c>
      <c r="DL181" s="24">
        <f>+DL179*DL172</f>
        <v>1.5224539171851128</v>
      </c>
      <c r="DM181" s="24">
        <f>+DM179*DM172</f>
        <v>1.5508600604806508</v>
      </c>
      <c r="DN181" s="24">
        <f>+DN179*DN172</f>
        <v>2.3326475909994167</v>
      </c>
      <c r="DO181" s="163">
        <f>SUM(DK181:DN181)</f>
        <v>6.9480615769410932</v>
      </c>
      <c r="DP181" s="71"/>
      <c r="DQ181" s="912">
        <f>+DQ179*DQ172</f>
        <v>2.60190001241387</v>
      </c>
      <c r="DR181" s="24">
        <f>+DR179*DR172</f>
        <v>2.5536808757776681</v>
      </c>
      <c r="DS181" s="24">
        <f>+DS179*DS172</f>
        <v>2.5775400907209738</v>
      </c>
      <c r="DT181" s="24">
        <f>+DT179*DT172</f>
        <v>3.4201967879992172</v>
      </c>
      <c r="DU181" s="163">
        <f>SUM(DQ181:DT181)</f>
        <v>11.15331776691173</v>
      </c>
      <c r="DV181" s="71"/>
      <c r="DW181" s="912">
        <f>+DW179*DW172</f>
        <v>3.7792000165518242</v>
      </c>
      <c r="DX181" s="24">
        <f>+DX179*DX172</f>
        <v>3.7349078343702233</v>
      </c>
      <c r="DY181" s="24">
        <f>+DY179*DY172</f>
        <v>3.7867201209612968</v>
      </c>
      <c r="DZ181" s="24">
        <f>+DZ179*DZ172</f>
        <v>4.7377459849990204</v>
      </c>
      <c r="EA181" s="163">
        <f>SUM(DW181:DZ181)</f>
        <v>16.038573956882363</v>
      </c>
      <c r="EB181" s="71"/>
      <c r="EC181" s="912">
        <f>+EC179*EC172</f>
        <v>5.125</v>
      </c>
      <c r="ED181" s="24">
        <f>+ED179*ED172</f>
        <v>5.125</v>
      </c>
      <c r="EE181" s="24">
        <f>+EE179*EE172</f>
        <v>5.125</v>
      </c>
      <c r="EF181" s="24">
        <f>+EF179*EF172</f>
        <v>5.125</v>
      </c>
      <c r="EG181" s="163">
        <f>SUM(EC181:EF181)</f>
        <v>20.5</v>
      </c>
    </row>
    <row r="182" spans="1:137" ht="11.25" customHeight="1" outlineLevel="2" x14ac:dyDescent="0.2">
      <c r="A182" s="997" t="s">
        <v>547</v>
      </c>
      <c r="B182" s="14"/>
      <c r="C182" s="14"/>
      <c r="D182" s="14"/>
      <c r="E182" s="93"/>
      <c r="F182" s="71"/>
      <c r="G182" s="93"/>
      <c r="H182" s="71"/>
      <c r="I182" s="93"/>
      <c r="J182" s="71"/>
      <c r="K182" s="93"/>
      <c r="L182" s="71"/>
      <c r="M182" s="84"/>
      <c r="N182" s="71"/>
      <c r="O182" s="71"/>
      <c r="P182" s="71"/>
      <c r="Q182" s="93"/>
      <c r="R182" s="71"/>
      <c r="S182" s="84"/>
      <c r="T182" s="71"/>
      <c r="U182" s="71"/>
      <c r="V182" s="71"/>
      <c r="W182" s="93"/>
      <c r="X182" s="71"/>
      <c r="Y182" s="84"/>
      <c r="Z182" s="71"/>
      <c r="AA182" s="71"/>
      <c r="AB182" s="71"/>
      <c r="AC182" s="93"/>
      <c r="AD182" s="71"/>
      <c r="AE182" s="84"/>
      <c r="AF182" s="71"/>
      <c r="AG182" s="71"/>
      <c r="AH182" s="71"/>
      <c r="AI182" s="93"/>
      <c r="AJ182" s="71"/>
      <c r="AK182" s="84"/>
      <c r="AL182" s="71"/>
      <c r="AM182" s="71"/>
      <c r="AN182" s="71"/>
      <c r="AO182" s="93"/>
      <c r="AP182" s="71"/>
      <c r="AQ182" s="84"/>
      <c r="AR182" s="71"/>
      <c r="AS182" s="71"/>
      <c r="AT182" s="71"/>
      <c r="AU182" s="93"/>
      <c r="AV182" s="71"/>
      <c r="AW182" s="84"/>
      <c r="AX182" s="71"/>
      <c r="AY182" s="71"/>
      <c r="AZ182" s="71"/>
      <c r="BA182" s="93"/>
      <c r="BB182" s="71"/>
      <c r="BC182" s="84"/>
      <c r="BD182" s="71"/>
      <c r="BE182" s="71"/>
      <c r="BF182" s="71"/>
      <c r="BG182" s="93"/>
      <c r="BH182" s="71"/>
      <c r="BI182" s="84"/>
      <c r="BJ182" s="71"/>
      <c r="BK182" s="71"/>
      <c r="BL182" s="71"/>
      <c r="BM182" s="93"/>
      <c r="BN182" s="71"/>
      <c r="BO182" s="84"/>
      <c r="BP182" s="71"/>
      <c r="BQ182" s="71"/>
      <c r="BR182" s="71"/>
      <c r="BS182" s="93"/>
      <c r="BT182" s="71"/>
      <c r="BU182" s="834"/>
      <c r="BV182" s="807"/>
      <c r="BW182" s="807"/>
      <c r="BX182" s="807"/>
      <c r="BY182" s="508"/>
      <c r="BZ182" s="507"/>
      <c r="CA182" s="834"/>
      <c r="CB182" s="807"/>
      <c r="CC182" s="807"/>
      <c r="CD182" s="807"/>
      <c r="CE182" s="508"/>
      <c r="CF182" s="507"/>
      <c r="CG182" s="834"/>
      <c r="CH182" s="807"/>
      <c r="CI182" s="807"/>
      <c r="CJ182" s="807"/>
      <c r="CK182" s="508"/>
      <c r="CL182" s="507"/>
      <c r="CM182" s="834"/>
      <c r="CN182" s="807"/>
      <c r="CO182" s="807"/>
      <c r="CP182" s="807"/>
      <c r="CQ182" s="508"/>
      <c r="CR182" s="507"/>
      <c r="CS182" s="834"/>
      <c r="CT182" s="807"/>
      <c r="CU182" s="807"/>
      <c r="CV182" s="807"/>
      <c r="CW182" s="806"/>
      <c r="CX182" s="507"/>
      <c r="CY182" s="834">
        <v>0</v>
      </c>
      <c r="CZ182" s="807">
        <v>0</v>
      </c>
      <c r="DA182" s="807">
        <v>0</v>
      </c>
      <c r="DB182" s="807">
        <v>0</v>
      </c>
      <c r="DC182" s="806">
        <v>0</v>
      </c>
      <c r="DD182" s="509"/>
      <c r="DE182" s="897">
        <v>2</v>
      </c>
      <c r="DF182" s="898">
        <v>4</v>
      </c>
      <c r="DG182" s="898">
        <v>6</v>
      </c>
      <c r="DH182" s="898">
        <v>8</v>
      </c>
      <c r="DI182" s="163">
        <f>SUM(DE182:DH182)</f>
        <v>20</v>
      </c>
      <c r="DJ182" s="509"/>
      <c r="DK182" s="897">
        <v>10</v>
      </c>
      <c r="DL182" s="898">
        <v>10</v>
      </c>
      <c r="DM182" s="898">
        <v>10</v>
      </c>
      <c r="DN182" s="898">
        <v>15</v>
      </c>
      <c r="DO182" s="163">
        <f>SUM(DK182:DN182)</f>
        <v>45</v>
      </c>
      <c r="DP182" s="509"/>
      <c r="DQ182" s="897">
        <v>15</v>
      </c>
      <c r="DR182" s="898">
        <v>15</v>
      </c>
      <c r="DS182" s="898">
        <v>15</v>
      </c>
      <c r="DT182" s="898">
        <v>20</v>
      </c>
      <c r="DU182" s="163">
        <f>SUM(DQ182:DT182)</f>
        <v>65</v>
      </c>
      <c r="DV182" s="509"/>
      <c r="DW182" s="897">
        <v>20</v>
      </c>
      <c r="DX182" s="898">
        <v>20</v>
      </c>
      <c r="DY182" s="898">
        <v>20</v>
      </c>
      <c r="DZ182" s="898">
        <v>25</v>
      </c>
      <c r="EA182" s="163">
        <f>SUM(DW182:DZ182)</f>
        <v>85</v>
      </c>
      <c r="EB182" s="509"/>
      <c r="EC182" s="897">
        <v>25</v>
      </c>
      <c r="ED182" s="898">
        <v>25</v>
      </c>
      <c r="EE182" s="898">
        <v>25</v>
      </c>
      <c r="EF182" s="898">
        <v>25</v>
      </c>
      <c r="EG182" s="163">
        <f>SUM(EC182:EF182)</f>
        <v>100</v>
      </c>
    </row>
    <row r="183" spans="1:137" ht="11.25" customHeight="1" outlineLevel="2" x14ac:dyDescent="0.2">
      <c r="A183" s="909" t="s">
        <v>543</v>
      </c>
      <c r="B183" s="14"/>
      <c r="C183" s="14"/>
      <c r="D183" s="14"/>
      <c r="E183" s="93"/>
      <c r="F183" s="71"/>
      <c r="G183" s="93"/>
      <c r="H183" s="71"/>
      <c r="I183" s="93"/>
      <c r="J183" s="71"/>
      <c r="K183" s="93"/>
      <c r="L183" s="71"/>
      <c r="M183" s="84"/>
      <c r="N183" s="71"/>
      <c r="O183" s="71"/>
      <c r="P183" s="71"/>
      <c r="Q183" s="93"/>
      <c r="R183" s="71"/>
      <c r="S183" s="84"/>
      <c r="T183" s="71"/>
      <c r="U183" s="71"/>
      <c r="V183" s="71"/>
      <c r="W183" s="93"/>
      <c r="X183" s="71"/>
      <c r="Y183" s="84"/>
      <c r="Z183" s="71"/>
      <c r="AA183" s="71"/>
      <c r="AB183" s="71"/>
      <c r="AC183" s="93"/>
      <c r="AD183" s="71"/>
      <c r="AE183" s="84"/>
      <c r="AF183" s="71"/>
      <c r="AG183" s="71"/>
      <c r="AH183" s="71"/>
      <c r="AI183" s="93"/>
      <c r="AJ183" s="71"/>
      <c r="AK183" s="84"/>
      <c r="AL183" s="71"/>
      <c r="AM183" s="71"/>
      <c r="AN183" s="71"/>
      <c r="AO183" s="93"/>
      <c r="AP183" s="71"/>
      <c r="AQ183" s="84"/>
      <c r="AR183" s="71"/>
      <c r="AS183" s="71"/>
      <c r="AT183" s="71"/>
      <c r="AU183" s="93"/>
      <c r="AV183" s="71"/>
      <c r="AW183" s="84"/>
      <c r="AX183" s="71"/>
      <c r="AY183" s="71"/>
      <c r="AZ183" s="71"/>
      <c r="BA183" s="93"/>
      <c r="BB183" s="71"/>
      <c r="BC183" s="84"/>
      <c r="BD183" s="71"/>
      <c r="BE183" s="71"/>
      <c r="BF183" s="71"/>
      <c r="BG183" s="93"/>
      <c r="BH183" s="71"/>
      <c r="BI183" s="84"/>
      <c r="BJ183" s="71"/>
      <c r="BK183" s="71"/>
      <c r="BL183" s="71"/>
      <c r="BM183" s="93"/>
      <c r="BN183" s="71"/>
      <c r="BO183" s="84"/>
      <c r="BP183" s="71"/>
      <c r="BQ183" s="71"/>
      <c r="BR183" s="71"/>
      <c r="BS183" s="93"/>
      <c r="BT183" s="71"/>
      <c r="BU183" s="834"/>
      <c r="BV183" s="807"/>
      <c r="BW183" s="807"/>
      <c r="BX183" s="807"/>
      <c r="BY183" s="508"/>
      <c r="BZ183" s="507"/>
      <c r="CA183" s="834"/>
      <c r="CB183" s="807"/>
      <c r="CC183" s="807"/>
      <c r="CD183" s="807"/>
      <c r="CE183" s="508"/>
      <c r="CF183" s="507"/>
      <c r="CG183" s="834"/>
      <c r="CH183" s="807"/>
      <c r="CI183" s="807"/>
      <c r="CJ183" s="807"/>
      <c r="CK183" s="508"/>
      <c r="CL183" s="507"/>
      <c r="CM183" s="834"/>
      <c r="CN183" s="807"/>
      <c r="CO183" s="807"/>
      <c r="CP183" s="807"/>
      <c r="CQ183" s="508"/>
      <c r="CR183" s="507"/>
      <c r="CS183" s="834"/>
      <c r="CT183" s="807"/>
      <c r="CU183" s="807"/>
      <c r="CV183" s="807"/>
      <c r="CW183" s="806"/>
      <c r="CX183" s="507"/>
      <c r="CY183" s="912">
        <f>+CY173-CY177+CY182</f>
        <v>7.9699999999999847</v>
      </c>
      <c r="CZ183" s="24">
        <f>+CZ173-CZ177+CZ182</f>
        <v>3.6230000000000189</v>
      </c>
      <c r="DA183" s="24">
        <f>+DA173-DA177+DA182</f>
        <v>6.6099639168950972</v>
      </c>
      <c r="DB183" s="24">
        <f>+DB173-DB177+DB182</f>
        <v>8.8733512012553746</v>
      </c>
      <c r="DC183" s="163">
        <f>SUM(CY183:DB183)</f>
        <v>27.076315118150475</v>
      </c>
      <c r="DD183" s="507"/>
      <c r="DE183" s="912">
        <f>+DE173-DE177+DE182-DE180</f>
        <v>30.310508265801943</v>
      </c>
      <c r="DF183" s="24">
        <f>+DF173-DF177+DF182-DF180</f>
        <v>29.574067770989842</v>
      </c>
      <c r="DG183" s="24">
        <f>+DG173-DG177+DG182-DG180</f>
        <v>35.407101824386856</v>
      </c>
      <c r="DH183" s="24">
        <f>+DH173-DH177+DH182-DH180</f>
        <v>49.254636359409986</v>
      </c>
      <c r="DI183" s="163">
        <f>SUM(DE183:DH183)</f>
        <v>144.54631422058861</v>
      </c>
      <c r="DJ183" s="507"/>
      <c r="DK183" s="912">
        <f>+DK173-DK177+DK182-DK180</f>
        <v>73.155851844361365</v>
      </c>
      <c r="DL183" s="24">
        <f>+DL173-DL177+DL182-DL180</f>
        <v>45.017537763585963</v>
      </c>
      <c r="DM183" s="24">
        <f>+DM173-DM177+DM182-DM180</f>
        <v>46.520400230797136</v>
      </c>
      <c r="DN183" s="24">
        <f>+DN173-DN177+DN182-DN180</f>
        <v>54.740348293147804</v>
      </c>
      <c r="DO183" s="163">
        <f>SUM(DK183:DN183)</f>
        <v>219.43413813189227</v>
      </c>
      <c r="DP183" s="507"/>
      <c r="DQ183" s="912">
        <f>+DQ173-DQ177+DQ182-DQ180</f>
        <v>63.729144222986065</v>
      </c>
      <c r="DR183" s="24">
        <f>+DR173-DR177+DR182-DR180</f>
        <v>57.002889688373919</v>
      </c>
      <c r="DS183" s="24">
        <f>+DS173-DS177+DS182-DS180</f>
        <v>60.311098815244591</v>
      </c>
      <c r="DT183" s="24">
        <f>+DT173-DT177+DT182-DT180</f>
        <v>70.852565195739629</v>
      </c>
      <c r="DU183" s="163">
        <f>SUM(DQ183:DT183)</f>
        <v>251.89569792234423</v>
      </c>
      <c r="DV183" s="507"/>
      <c r="DW183" s="912">
        <f>+DW173-DW177+DW182-DW180</f>
        <v>74.673811345929721</v>
      </c>
      <c r="DX183" s="24">
        <f>+DX173-DX177+DX182-DX180</f>
        <v>74.989157238387094</v>
      </c>
      <c r="DY183" s="24">
        <f>+DY173-DY177+DY182-DY180</f>
        <v>79.096896783048479</v>
      </c>
      <c r="DZ183" s="24">
        <f>+DZ173-DZ177+DZ182-DZ180</f>
        <v>91.937533929360029</v>
      </c>
      <c r="EA183" s="163">
        <f>SUM(DW183:DZ183)</f>
        <v>320.69739929672534</v>
      </c>
      <c r="EB183" s="507"/>
      <c r="EC183" s="912">
        <f>+EC173-EC177+EC182-EC180</f>
        <v>93.622060586109328</v>
      </c>
      <c r="ED183" s="24">
        <f>+ED173-ED177+ED182-ED180</f>
        <v>94.829082846715949</v>
      </c>
      <c r="EE183" s="24">
        <f>+EE173-EE177+EE182-EE180</f>
        <v>98.993961695415038</v>
      </c>
      <c r="EF183" s="24">
        <f>+EF173-EF177+EF182-EF180</f>
        <v>107.50145736132755</v>
      </c>
      <c r="EG183" s="163">
        <f>SUM(EC183:EF183)</f>
        <v>394.9465624895679</v>
      </c>
    </row>
    <row r="184" spans="1:137" s="943" customFormat="1" ht="11.25" customHeight="1" outlineLevel="2" x14ac:dyDescent="0.2">
      <c r="A184" s="941" t="s">
        <v>549</v>
      </c>
      <c r="B184" s="942"/>
      <c r="C184" s="942"/>
      <c r="D184" s="942"/>
      <c r="E184" s="906"/>
      <c r="F184" s="809"/>
      <c r="G184" s="906"/>
      <c r="H184" s="809"/>
      <c r="I184" s="906"/>
      <c r="J184" s="809"/>
      <c r="K184" s="906"/>
      <c r="L184" s="809"/>
      <c r="M184" s="808"/>
      <c r="N184" s="809"/>
      <c r="O184" s="809"/>
      <c r="P184" s="809"/>
      <c r="Q184" s="906"/>
      <c r="R184" s="809"/>
      <c r="S184" s="808"/>
      <c r="T184" s="809"/>
      <c r="U184" s="809"/>
      <c r="V184" s="809"/>
      <c r="W184" s="906"/>
      <c r="X184" s="809"/>
      <c r="Y184" s="808"/>
      <c r="Z184" s="809"/>
      <c r="AA184" s="809"/>
      <c r="AB184" s="809"/>
      <c r="AC184" s="906"/>
      <c r="AD184" s="809"/>
      <c r="AE184" s="808"/>
      <c r="AF184" s="809"/>
      <c r="AG184" s="809"/>
      <c r="AH184" s="809"/>
      <c r="AI184" s="906"/>
      <c r="AJ184" s="809"/>
      <c r="AK184" s="808"/>
      <c r="AL184" s="809"/>
      <c r="AM184" s="809"/>
      <c r="AN184" s="809"/>
      <c r="AO184" s="906"/>
      <c r="AP184" s="809"/>
      <c r="AQ184" s="808"/>
      <c r="AR184" s="809"/>
      <c r="AS184" s="809"/>
      <c r="AT184" s="809"/>
      <c r="AU184" s="906"/>
      <c r="AV184" s="809"/>
      <c r="AW184" s="808"/>
      <c r="AX184" s="809"/>
      <c r="AY184" s="809"/>
      <c r="AZ184" s="809"/>
      <c r="BA184" s="906"/>
      <c r="BB184" s="809"/>
      <c r="BC184" s="808"/>
      <c r="BD184" s="809"/>
      <c r="BE184" s="809"/>
      <c r="BF184" s="809"/>
      <c r="BG184" s="906"/>
      <c r="BH184" s="809"/>
      <c r="BI184" s="808"/>
      <c r="BJ184" s="809"/>
      <c r="BK184" s="809"/>
      <c r="BL184" s="809"/>
      <c r="BM184" s="906"/>
      <c r="BN184" s="809"/>
      <c r="BO184" s="808"/>
      <c r="BP184" s="809"/>
      <c r="BQ184" s="809"/>
      <c r="BR184" s="809"/>
      <c r="BS184" s="906"/>
      <c r="BT184" s="809"/>
      <c r="BU184" s="808"/>
      <c r="BV184" s="809"/>
      <c r="BW184" s="809"/>
      <c r="BX184" s="809"/>
      <c r="BY184" s="906"/>
      <c r="BZ184" s="809"/>
      <c r="CA184" s="808"/>
      <c r="CB184" s="809"/>
      <c r="CC184" s="809"/>
      <c r="CD184" s="809"/>
      <c r="CE184" s="906"/>
      <c r="CF184" s="809"/>
      <c r="CG184" s="808"/>
      <c r="CH184" s="809"/>
      <c r="CI184" s="809"/>
      <c r="CJ184" s="809"/>
      <c r="CK184" s="906"/>
      <c r="CL184" s="809"/>
      <c r="CM184" s="808"/>
      <c r="CN184" s="809"/>
      <c r="CO184" s="809"/>
      <c r="CP184" s="809"/>
      <c r="CQ184" s="906"/>
      <c r="CR184" s="809"/>
      <c r="CS184" s="808"/>
      <c r="CT184" s="809"/>
      <c r="CU184" s="809"/>
      <c r="CV184" s="809"/>
      <c r="CW184" s="906"/>
      <c r="CX184" s="809"/>
      <c r="CY184" s="821">
        <f>+CY183/(CY170+CY172)</f>
        <v>5.5049039922641145E-2</v>
      </c>
      <c r="CZ184" s="822">
        <f>+CZ183/(CZ170+CZ172)</f>
        <v>2.4814898528092402E-2</v>
      </c>
      <c r="DA184" s="822">
        <f>+DA183/(DA170+DA172)</f>
        <v>4.3273002615563369E-2</v>
      </c>
      <c r="DB184" s="822">
        <f>+DB183/(DB170+DB172)</f>
        <v>5.0502626681221449E-2</v>
      </c>
      <c r="DC184" s="810">
        <f>+DC183/(DC170+DC172)</f>
        <v>4.3725633649415195E-2</v>
      </c>
      <c r="DD184" s="809"/>
      <c r="DE184" s="821">
        <f>+DE183/(DE170+DE172)</f>
        <v>0.17212100094152155</v>
      </c>
      <c r="DF184" s="822">
        <f>+DF183/(DF170+DF172)</f>
        <v>0.16921126339422943</v>
      </c>
      <c r="DG184" s="822">
        <f>+DG183/(DG170+DG172)</f>
        <v>0.18943902958394296</v>
      </c>
      <c r="DH184" s="822">
        <f>+DH183/(DH170+DH172)</f>
        <v>0.21415059286699994</v>
      </c>
      <c r="DI184" s="810">
        <f>+DI183/(DI170+DI172)</f>
        <v>0.1882650315918063</v>
      </c>
      <c r="DJ184" s="809"/>
      <c r="DK184" s="821">
        <f>+DK183/(DK170+DK172)</f>
        <v>0.28136866093985141</v>
      </c>
      <c r="DL184" s="822">
        <f>+DL183/(DL170+DL172)</f>
        <v>0.21234687624333001</v>
      </c>
      <c r="DM184" s="822">
        <f>+DM183/(DM170+DM172)</f>
        <v>0.20955135239097808</v>
      </c>
      <c r="DN184" s="822">
        <f>+DN183/(DN170+DN172)</f>
        <v>0.21896139317259122</v>
      </c>
      <c r="DO184" s="810">
        <f>+DO183/(DO170+DO172)</f>
        <v>0.23245141751259774</v>
      </c>
      <c r="DP184" s="809"/>
      <c r="DQ184" s="821">
        <f>+DQ183/(DQ170+DQ172)</f>
        <v>0.24991821263916103</v>
      </c>
      <c r="DR184" s="822">
        <f>+DR183/(DR170+DR172)</f>
        <v>0.23104313431964724</v>
      </c>
      <c r="DS184" s="822">
        <f>+DS183/(DS170+DS172)</f>
        <v>0.22872140847961617</v>
      </c>
      <c r="DT184" s="822">
        <f>+DT183/(DT170+DT172)</f>
        <v>0.23826695366419376</v>
      </c>
      <c r="DU184" s="810">
        <f>+DU183/(DU170+DU172)</f>
        <v>0.23701717391882635</v>
      </c>
      <c r="DV184" s="809"/>
      <c r="DW184" s="821">
        <f>+DW183/(DW170+DW172)</f>
        <v>0.25808267443525762</v>
      </c>
      <c r="DX184" s="822">
        <f>+DX183/(DX170+DX172)</f>
        <v>0.25466619687249425</v>
      </c>
      <c r="DY184" s="822">
        <f>+DY183/(DY170+DY172)</f>
        <v>0.25341246906206683</v>
      </c>
      <c r="DZ184" s="822">
        <f>+DZ183/(DZ170+DZ172)</f>
        <v>0.26028845502686493</v>
      </c>
      <c r="EA184" s="810">
        <f>+EA183/(EA170+EA172)</f>
        <v>0.25673406678603455</v>
      </c>
      <c r="EB184" s="809"/>
      <c r="EC184" s="821">
        <f>+EC183/(EC170+EC172)</f>
        <v>0.27968443757338013</v>
      </c>
      <c r="ED184" s="822">
        <f>+ED183/(ED170+ED172)</f>
        <v>0.27839348865930325</v>
      </c>
      <c r="EE184" s="822">
        <f>+EE183/(EE170+EE172)</f>
        <v>0.27426240847998223</v>
      </c>
      <c r="EF184" s="822">
        <f>+EF183/(EF170+EF172)</f>
        <v>0.26712011477026748</v>
      </c>
      <c r="EG184" s="810">
        <f>+EG183/(EG170+EG172)</f>
        <v>0.27450411568443034</v>
      </c>
    </row>
    <row r="185" spans="1:137" s="949" customFormat="1" ht="11.25" customHeight="1" outlineLevel="2" x14ac:dyDescent="0.2">
      <c r="A185" s="944" t="s">
        <v>544</v>
      </c>
      <c r="B185" s="945"/>
      <c r="C185" s="945"/>
      <c r="D185" s="945"/>
      <c r="E185" s="946"/>
      <c r="F185" s="947"/>
      <c r="G185" s="946"/>
      <c r="H185" s="947"/>
      <c r="I185" s="946"/>
      <c r="J185" s="947"/>
      <c r="K185" s="946"/>
      <c r="L185" s="947"/>
      <c r="M185" s="948"/>
      <c r="N185" s="947"/>
      <c r="O185" s="947"/>
      <c r="P185" s="947"/>
      <c r="Q185" s="946"/>
      <c r="R185" s="947"/>
      <c r="S185" s="948"/>
      <c r="T185" s="947"/>
      <c r="U185" s="947"/>
      <c r="V185" s="947"/>
      <c r="W185" s="946"/>
      <c r="X185" s="947"/>
      <c r="Y185" s="948"/>
      <c r="Z185" s="947"/>
      <c r="AA185" s="947"/>
      <c r="AB185" s="947"/>
      <c r="AC185" s="946"/>
      <c r="AD185" s="947"/>
      <c r="AE185" s="948"/>
      <c r="AF185" s="947"/>
      <c r="AG185" s="947"/>
      <c r="AH185" s="947"/>
      <c r="AI185" s="946"/>
      <c r="AJ185" s="947"/>
      <c r="AK185" s="948"/>
      <c r="AL185" s="947"/>
      <c r="AM185" s="947"/>
      <c r="AN185" s="947"/>
      <c r="AO185" s="946"/>
      <c r="AP185" s="947"/>
      <c r="AQ185" s="948"/>
      <c r="AR185" s="947"/>
      <c r="AS185" s="947"/>
      <c r="AT185" s="947"/>
      <c r="AU185" s="946"/>
      <c r="AV185" s="947"/>
      <c r="AW185" s="948"/>
      <c r="AX185" s="947"/>
      <c r="AY185" s="947"/>
      <c r="AZ185" s="947"/>
      <c r="BA185" s="946"/>
      <c r="BB185" s="947"/>
      <c r="BC185" s="948"/>
      <c r="BD185" s="947"/>
      <c r="BE185" s="947"/>
      <c r="BF185" s="947"/>
      <c r="BG185" s="946"/>
      <c r="BH185" s="947"/>
      <c r="BI185" s="948"/>
      <c r="BJ185" s="947"/>
      <c r="BK185" s="947"/>
      <c r="BL185" s="947"/>
      <c r="BM185" s="946"/>
      <c r="BN185" s="947"/>
      <c r="BO185" s="948"/>
      <c r="BP185" s="947"/>
      <c r="BQ185" s="947"/>
      <c r="BR185" s="947"/>
      <c r="BS185" s="946"/>
      <c r="BT185" s="947"/>
      <c r="BU185" s="948"/>
      <c r="BV185" s="947"/>
      <c r="BW185" s="947"/>
      <c r="BX185" s="947"/>
      <c r="BY185" s="946"/>
      <c r="BZ185" s="947"/>
      <c r="CA185" s="948"/>
      <c r="CB185" s="947"/>
      <c r="CC185" s="947"/>
      <c r="CD185" s="947"/>
      <c r="CE185" s="946"/>
      <c r="CF185" s="947"/>
      <c r="CG185" s="948"/>
      <c r="CH185" s="947"/>
      <c r="CI185" s="947"/>
      <c r="CJ185" s="947"/>
      <c r="CK185" s="946"/>
      <c r="CL185" s="947"/>
      <c r="CM185" s="948"/>
      <c r="CN185" s="947"/>
      <c r="CO185" s="947"/>
      <c r="CP185" s="947"/>
      <c r="CQ185" s="946"/>
      <c r="CR185" s="947"/>
      <c r="CS185" s="948"/>
      <c r="CT185" s="947"/>
      <c r="CU185" s="947"/>
      <c r="CV185" s="947"/>
      <c r="CW185" s="946"/>
      <c r="CX185" s="947"/>
      <c r="CY185" s="948">
        <f>+'Pro Forma IS'!CY59</f>
        <v>0.25242470648289933</v>
      </c>
      <c r="CZ185" s="947">
        <f>+'Pro Forma IS'!CZ59</f>
        <v>0.36144210204705179</v>
      </c>
      <c r="DA185" s="947">
        <f>+'Pro Forma IS'!DA59</f>
        <v>0.15544367526746361</v>
      </c>
      <c r="DB185" s="947">
        <f>+'Pro Forma IS'!DB59</f>
        <v>-7.2659391154508909E-2</v>
      </c>
      <c r="DC185" s="946">
        <f>+'Pro Forma IS'!DC59</f>
        <v>0.17535327231647063</v>
      </c>
      <c r="DD185" s="947"/>
      <c r="DE185" s="948">
        <f>+'Pro Forma IS'!DE59</f>
        <v>0.17327409432672602</v>
      </c>
      <c r="DF185" s="947">
        <f>+'Pro Forma IS'!DF59</f>
        <v>0.16995005549389564</v>
      </c>
      <c r="DG185" s="947">
        <f>+'Pro Forma IS'!DG59</f>
        <v>0.21608659906823791</v>
      </c>
      <c r="DH185" s="947">
        <f>+'Pro Forma IS'!DH59</f>
        <v>0.12502553626149135</v>
      </c>
      <c r="DI185" s="946">
        <f>+'Pro Forma IS'!DI59</f>
        <v>0.16717526867453894</v>
      </c>
      <c r="DJ185" s="947"/>
      <c r="DK185" s="948">
        <f>+'Pro Forma IS'!DK59</f>
        <v>0.2054410321133083</v>
      </c>
      <c r="DL185" s="947">
        <f>+'Pro Forma IS'!DL59</f>
        <v>0.20599999999999999</v>
      </c>
      <c r="DM185" s="947">
        <f>+'Pro Forma IS'!DM59</f>
        <v>0.20599999999999999</v>
      </c>
      <c r="DN185" s="947">
        <f>+'Pro Forma IS'!DN59</f>
        <v>0.20599999999999999</v>
      </c>
      <c r="DO185" s="946">
        <f>+'Pro Forma IS'!DO59</f>
        <v>0.20588257630182652</v>
      </c>
      <c r="DP185" s="947"/>
      <c r="DQ185" s="948">
        <f>+'Pro Forma IS'!DQ59</f>
        <v>0.20599999999999999</v>
      </c>
      <c r="DR185" s="947">
        <f>+'Pro Forma IS'!DR59</f>
        <v>0.20599999999999999</v>
      </c>
      <c r="DS185" s="947">
        <f>+'Pro Forma IS'!DS59</f>
        <v>0.20599999999999999</v>
      </c>
      <c r="DT185" s="947">
        <f>+'Pro Forma IS'!DT59</f>
        <v>0.20599999999999999</v>
      </c>
      <c r="DU185" s="946">
        <f>+'Pro Forma IS'!DU59</f>
        <v>0.20599999999999996</v>
      </c>
      <c r="DV185" s="947"/>
      <c r="DW185" s="936">
        <v>0.21</v>
      </c>
      <c r="DX185" s="937">
        <f>+DW185</f>
        <v>0.21</v>
      </c>
      <c r="DY185" s="937">
        <f>+DX185</f>
        <v>0.21</v>
      </c>
      <c r="DZ185" s="937">
        <f>+DY185</f>
        <v>0.21</v>
      </c>
      <c r="EA185" s="938">
        <f>+DZ185</f>
        <v>0.21</v>
      </c>
      <c r="EB185" s="937"/>
      <c r="EC185" s="936">
        <f>+EA185</f>
        <v>0.21</v>
      </c>
      <c r="ED185" s="937">
        <f>+EC185</f>
        <v>0.21</v>
      </c>
      <c r="EE185" s="937">
        <f>+ED185</f>
        <v>0.21</v>
      </c>
      <c r="EF185" s="937">
        <f>+EE185</f>
        <v>0.21</v>
      </c>
      <c r="EG185" s="938">
        <f>+EF185</f>
        <v>0.21</v>
      </c>
    </row>
    <row r="186" spans="1:137" s="949" customFormat="1" ht="11.25" customHeight="1" outlineLevel="2" x14ac:dyDescent="0.2">
      <c r="A186" s="944" t="s">
        <v>178</v>
      </c>
      <c r="B186" s="945"/>
      <c r="C186" s="945"/>
      <c r="D186" s="945"/>
      <c r="E186" s="946"/>
      <c r="F186" s="947"/>
      <c r="G186" s="946"/>
      <c r="H186" s="947"/>
      <c r="I186" s="946"/>
      <c r="J186" s="947"/>
      <c r="K186" s="946"/>
      <c r="L186" s="947"/>
      <c r="M186" s="948"/>
      <c r="N186" s="947"/>
      <c r="O186" s="947"/>
      <c r="P186" s="947"/>
      <c r="Q186" s="946"/>
      <c r="R186" s="947"/>
      <c r="S186" s="948"/>
      <c r="T186" s="947"/>
      <c r="U186" s="947"/>
      <c r="V186" s="947"/>
      <c r="W186" s="946"/>
      <c r="X186" s="947"/>
      <c r="Y186" s="948"/>
      <c r="Z186" s="947"/>
      <c r="AA186" s="947"/>
      <c r="AB186" s="947"/>
      <c r="AC186" s="946"/>
      <c r="AD186" s="947"/>
      <c r="AE186" s="948"/>
      <c r="AF186" s="947"/>
      <c r="AG186" s="947"/>
      <c r="AH186" s="947"/>
      <c r="AI186" s="946"/>
      <c r="AJ186" s="947"/>
      <c r="AK186" s="948"/>
      <c r="AL186" s="947"/>
      <c r="AM186" s="947"/>
      <c r="AN186" s="947"/>
      <c r="AO186" s="946"/>
      <c r="AP186" s="947"/>
      <c r="AQ186" s="948"/>
      <c r="AR186" s="947"/>
      <c r="AS186" s="947"/>
      <c r="AT186" s="947"/>
      <c r="AU186" s="946"/>
      <c r="AV186" s="947"/>
      <c r="AW186" s="948"/>
      <c r="AX186" s="947"/>
      <c r="AY186" s="947"/>
      <c r="AZ186" s="947"/>
      <c r="BA186" s="946"/>
      <c r="BB186" s="947"/>
      <c r="BC186" s="948"/>
      <c r="BD186" s="947"/>
      <c r="BE186" s="947"/>
      <c r="BF186" s="947"/>
      <c r="BG186" s="946"/>
      <c r="BH186" s="947"/>
      <c r="BI186" s="948"/>
      <c r="BJ186" s="947"/>
      <c r="BK186" s="947"/>
      <c r="BL186" s="947"/>
      <c r="BM186" s="946"/>
      <c r="BN186" s="947"/>
      <c r="BO186" s="948"/>
      <c r="BP186" s="947"/>
      <c r="BQ186" s="947"/>
      <c r="BR186" s="947"/>
      <c r="BS186" s="946"/>
      <c r="BT186" s="947"/>
      <c r="BU186" s="948"/>
      <c r="BV186" s="947"/>
      <c r="BW186" s="947"/>
      <c r="BX186" s="947"/>
      <c r="BY186" s="946"/>
      <c r="BZ186" s="947"/>
      <c r="CA186" s="948"/>
      <c r="CB186" s="947"/>
      <c r="CC186" s="947"/>
      <c r="CD186" s="947"/>
      <c r="CE186" s="946"/>
      <c r="CF186" s="947"/>
      <c r="CG186" s="948"/>
      <c r="CH186" s="947"/>
      <c r="CI186" s="947"/>
      <c r="CJ186" s="947"/>
      <c r="CK186" s="946"/>
      <c r="CL186" s="947"/>
      <c r="CM186" s="948"/>
      <c r="CN186" s="947"/>
      <c r="CO186" s="947"/>
      <c r="CP186" s="947"/>
      <c r="CQ186" s="946"/>
      <c r="CR186" s="947"/>
      <c r="CS186" s="948"/>
      <c r="CT186" s="947"/>
      <c r="CU186" s="947"/>
      <c r="CV186" s="947"/>
      <c r="CW186" s="946"/>
      <c r="CX186" s="956"/>
      <c r="CY186" s="962">
        <f>+'Pro Forma IS'!CY41</f>
        <v>697.1</v>
      </c>
      <c r="CZ186" s="963">
        <f>+'Pro Forma IS'!CZ41</f>
        <v>698.9</v>
      </c>
      <c r="DA186" s="963">
        <f>+'Pro Forma IS'!DA41</f>
        <v>701.3</v>
      </c>
      <c r="DB186" s="963">
        <f>+'Pro Forma IS'!DB41</f>
        <v>701.9</v>
      </c>
      <c r="DC186" s="964">
        <f>+'Pro Forma IS'!DC41</f>
        <v>699.8</v>
      </c>
      <c r="DD186" s="965"/>
      <c r="DE186" s="962">
        <f>+'Pro Forma IS'!DE41</f>
        <v>705.7</v>
      </c>
      <c r="DF186" s="963">
        <f>+'Pro Forma IS'!DF41</f>
        <v>705.4</v>
      </c>
      <c r="DG186" s="963">
        <f>+'Pro Forma IS'!DG41</f>
        <v>705.6</v>
      </c>
      <c r="DH186" s="963">
        <f>+'Pro Forma IS'!DH41</f>
        <v>707.6</v>
      </c>
      <c r="DI186" s="964">
        <f>+'Pro Forma IS'!DI41</f>
        <v>706.1</v>
      </c>
      <c r="DJ186" s="965"/>
      <c r="DK186" s="962">
        <f>+'Pro Forma IS'!DK41</f>
        <v>709.5</v>
      </c>
      <c r="DL186" s="963">
        <f>+'Pro Forma IS'!DL41</f>
        <v>710.80000000000007</v>
      </c>
      <c r="DM186" s="963">
        <f>+'Pro Forma IS'!DM41</f>
        <v>713.00000000000011</v>
      </c>
      <c r="DN186" s="963">
        <f>+'Pro Forma IS'!DN41</f>
        <v>715.20000000000016</v>
      </c>
      <c r="DO186" s="964">
        <f>+'Pro Forma IS'!DO41</f>
        <v>711.9</v>
      </c>
      <c r="DP186" s="965"/>
      <c r="DQ186" s="962">
        <f>+'Pro Forma IS'!DQ41</f>
        <v>717.4</v>
      </c>
      <c r="DR186" s="963">
        <f>+'Pro Forma IS'!DR41</f>
        <v>719.6</v>
      </c>
      <c r="DS186" s="963">
        <f>+'Pro Forma IS'!DS41</f>
        <v>721.80000000000007</v>
      </c>
      <c r="DT186" s="963">
        <f>+'Pro Forma IS'!DT41</f>
        <v>724.00000000000011</v>
      </c>
      <c r="DU186" s="964">
        <f>+'Pro Forma IS'!DU41</f>
        <v>720.70000000000016</v>
      </c>
      <c r="DV186" s="947"/>
      <c r="DW186" s="962">
        <f>+DQ186+5</f>
        <v>722.4</v>
      </c>
      <c r="DX186" s="963">
        <f>+DR186+5</f>
        <v>724.6</v>
      </c>
      <c r="DY186" s="963">
        <f>+DS186+5</f>
        <v>726.80000000000007</v>
      </c>
      <c r="DZ186" s="963">
        <f>+DT186+5</f>
        <v>729.00000000000011</v>
      </c>
      <c r="EA186" s="964">
        <f>+DU186+5</f>
        <v>725.70000000000016</v>
      </c>
      <c r="EB186" s="963"/>
      <c r="EC186" s="962">
        <f>+DW186+5</f>
        <v>727.4</v>
      </c>
      <c r="ED186" s="963">
        <f>+DX186+5</f>
        <v>729.6</v>
      </c>
      <c r="EE186" s="963">
        <f>+DY186+5</f>
        <v>731.80000000000007</v>
      </c>
      <c r="EF186" s="963">
        <f>+DZ186+5</f>
        <v>734.00000000000011</v>
      </c>
      <c r="EG186" s="964">
        <f>+EA186+5</f>
        <v>730.70000000000016</v>
      </c>
    </row>
    <row r="187" spans="1:137" s="395" customFormat="1" ht="11.25" customHeight="1" outlineLevel="2" x14ac:dyDescent="0.2">
      <c r="A187" s="951" t="s">
        <v>545</v>
      </c>
      <c r="B187" s="952"/>
      <c r="C187" s="952"/>
      <c r="D187" s="952"/>
      <c r="E187" s="925"/>
      <c r="F187" s="24"/>
      <c r="G187" s="925"/>
      <c r="H187" s="24"/>
      <c r="I187" s="925"/>
      <c r="J187" s="24"/>
      <c r="K187" s="925"/>
      <c r="L187" s="24"/>
      <c r="M187" s="912"/>
      <c r="N187" s="24"/>
      <c r="O187" s="24"/>
      <c r="P187" s="24"/>
      <c r="Q187" s="925"/>
      <c r="R187" s="24"/>
      <c r="S187" s="912"/>
      <c r="T187" s="24"/>
      <c r="U187" s="24"/>
      <c r="V187" s="24"/>
      <c r="W187" s="925"/>
      <c r="X187" s="24"/>
      <c r="Y187" s="912"/>
      <c r="Z187" s="24"/>
      <c r="AA187" s="24"/>
      <c r="AB187" s="24"/>
      <c r="AC187" s="925"/>
      <c r="AD187" s="24"/>
      <c r="AE187" s="912"/>
      <c r="AF187" s="24"/>
      <c r="AG187" s="24"/>
      <c r="AH187" s="24"/>
      <c r="AI187" s="925"/>
      <c r="AJ187" s="24"/>
      <c r="AK187" s="912"/>
      <c r="AL187" s="24"/>
      <c r="AM187" s="24"/>
      <c r="AN187" s="24"/>
      <c r="AO187" s="925"/>
      <c r="AP187" s="24"/>
      <c r="AQ187" s="912"/>
      <c r="AR187" s="24"/>
      <c r="AS187" s="24"/>
      <c r="AT187" s="24"/>
      <c r="AU187" s="925"/>
      <c r="AV187" s="24"/>
      <c r="AW187" s="912"/>
      <c r="AX187" s="24"/>
      <c r="AY187" s="24"/>
      <c r="AZ187" s="24"/>
      <c r="BA187" s="925"/>
      <c r="BB187" s="24"/>
      <c r="BC187" s="912"/>
      <c r="BD187" s="24"/>
      <c r="BE187" s="24"/>
      <c r="BF187" s="24"/>
      <c r="BG187" s="925"/>
      <c r="BH187" s="24"/>
      <c r="BI187" s="912"/>
      <c r="BJ187" s="24"/>
      <c r="BK187" s="24"/>
      <c r="BL187" s="24"/>
      <c r="BM187" s="925"/>
      <c r="BN187" s="24"/>
      <c r="BO187" s="912"/>
      <c r="BP187" s="24"/>
      <c r="BQ187" s="24"/>
      <c r="BR187" s="24"/>
      <c r="BS187" s="925"/>
      <c r="BT187" s="24"/>
      <c r="BU187" s="912"/>
      <c r="BV187" s="24"/>
      <c r="BW187" s="24"/>
      <c r="BX187" s="24"/>
      <c r="BY187" s="925"/>
      <c r="BZ187" s="24"/>
      <c r="CA187" s="912"/>
      <c r="CB187" s="24"/>
      <c r="CC187" s="24"/>
      <c r="CD187" s="24"/>
      <c r="CE187" s="925"/>
      <c r="CF187" s="24"/>
      <c r="CG187" s="912"/>
      <c r="CH187" s="24"/>
      <c r="CI187" s="24"/>
      <c r="CJ187" s="24"/>
      <c r="CK187" s="925"/>
      <c r="CL187" s="24"/>
      <c r="CM187" s="912"/>
      <c r="CN187" s="24"/>
      <c r="CO187" s="24"/>
      <c r="CP187" s="24"/>
      <c r="CQ187" s="925"/>
      <c r="CR187" s="24"/>
      <c r="CS187" s="912"/>
      <c r="CT187" s="24"/>
      <c r="CU187" s="24"/>
      <c r="CV187" s="24"/>
      <c r="CW187" s="925"/>
      <c r="CX187" s="24"/>
      <c r="CY187" s="912">
        <f>+CY183*(1-CY185)</f>
        <v>5.9581750893312817</v>
      </c>
      <c r="CZ187" s="24">
        <f>+CZ183*(1-CZ185)</f>
        <v>2.3134952642835436</v>
      </c>
      <c r="DA187" s="24">
        <f>+DA183*(1-DA185)</f>
        <v>5.5824868322676036</v>
      </c>
      <c r="DB187" s="24">
        <f>+DB183*(1-DB185)</f>
        <v>9.5180834970387203</v>
      </c>
      <c r="DC187" s="163">
        <f>SUM(CY187:DB187)</f>
        <v>23.372240682921149</v>
      </c>
      <c r="DD187" s="24"/>
      <c r="DE187" s="912">
        <f>+DE183*(1-DE185)</f>
        <v>25.058482397462367</v>
      </c>
      <c r="DF187" s="24">
        <f>+DF183*(1-DF185)</f>
        <v>24.547953312129888</v>
      </c>
      <c r="DG187" s="24">
        <f>+DG183*(1-DG185)</f>
        <v>27.756101608292298</v>
      </c>
      <c r="DH187" s="24">
        <f>+DH183*(1-DH185)</f>
        <v>43.096549035210003</v>
      </c>
      <c r="DI187" s="163">
        <f>SUM(DE187:DH187)</f>
        <v>120.45908635309455</v>
      </c>
      <c r="DJ187" s="24"/>
      <c r="DK187" s="912">
        <f>+DK183*(1-DK185)</f>
        <v>58.126638136327493</v>
      </c>
      <c r="DL187" s="24">
        <f>+DL183*(1-DL185)</f>
        <v>35.743924984287254</v>
      </c>
      <c r="DM187" s="24">
        <f>+DM183*(1-DM185)</f>
        <v>36.937197783252927</v>
      </c>
      <c r="DN187" s="24">
        <f>+DN183*(1-DN185)</f>
        <v>43.46383654475936</v>
      </c>
      <c r="DO187" s="163">
        <f>SUM(DK187:DN187)</f>
        <v>174.27159744862706</v>
      </c>
      <c r="DP187" s="24"/>
      <c r="DQ187" s="912">
        <f>+DQ183*(1-DQ185)</f>
        <v>50.600940513050936</v>
      </c>
      <c r="DR187" s="24">
        <f>+DR183*(1-DR185)</f>
        <v>45.260294412568896</v>
      </c>
      <c r="DS187" s="24">
        <f>+DS183*(1-DS185)</f>
        <v>47.887012459304209</v>
      </c>
      <c r="DT187" s="24">
        <f>+DT183*(1-DT185)</f>
        <v>56.256936765417265</v>
      </c>
      <c r="DU187" s="163">
        <f>SUM(DQ187:DT187)</f>
        <v>200.00518415034131</v>
      </c>
      <c r="DV187" s="24"/>
      <c r="DW187" s="912">
        <f>+DW183*(1-DW185)</f>
        <v>58.992310963284481</v>
      </c>
      <c r="DX187" s="24">
        <f>+DX183*(1-DX185)</f>
        <v>59.241434218325807</v>
      </c>
      <c r="DY187" s="24">
        <f>+DY183*(1-DY185)</f>
        <v>62.486548458608304</v>
      </c>
      <c r="DZ187" s="24">
        <f>+DZ183*(1-DZ185)</f>
        <v>72.630651804194429</v>
      </c>
      <c r="EA187" s="163">
        <f>SUM(DW187:DZ187)</f>
        <v>253.35094544441301</v>
      </c>
      <c r="EB187" s="24"/>
      <c r="EC187" s="912">
        <f>+EC183*(1-EC185)</f>
        <v>73.961427863026373</v>
      </c>
      <c r="ED187" s="24">
        <f>+ED183*(1-ED185)</f>
        <v>74.914975448905608</v>
      </c>
      <c r="EE187" s="24">
        <f>+EE183*(1-EE185)</f>
        <v>78.205229739377884</v>
      </c>
      <c r="EF187" s="24">
        <f>+EF183*(1-EF185)</f>
        <v>84.926151315448777</v>
      </c>
      <c r="EG187" s="163">
        <f>SUM(EC187:EF187)</f>
        <v>312.00778436675864</v>
      </c>
    </row>
    <row r="188" spans="1:137" s="957" customFormat="1" ht="11.25" customHeight="1" outlineLevel="2" x14ac:dyDescent="0.2">
      <c r="A188" s="981" t="s">
        <v>546</v>
      </c>
      <c r="B188" s="954"/>
      <c r="C188" s="954"/>
      <c r="D188" s="954"/>
      <c r="E188" s="955"/>
      <c r="F188" s="956"/>
      <c r="G188" s="955"/>
      <c r="H188" s="956"/>
      <c r="I188" s="955"/>
      <c r="J188" s="956"/>
      <c r="K188" s="955"/>
      <c r="L188" s="956"/>
      <c r="M188" s="953"/>
      <c r="N188" s="956"/>
      <c r="O188" s="956"/>
      <c r="P188" s="956"/>
      <c r="Q188" s="955"/>
      <c r="R188" s="956"/>
      <c r="S188" s="953"/>
      <c r="T188" s="956"/>
      <c r="U188" s="956"/>
      <c r="V188" s="956"/>
      <c r="W188" s="955"/>
      <c r="X188" s="956"/>
      <c r="Y188" s="953"/>
      <c r="Z188" s="956"/>
      <c r="AA188" s="956"/>
      <c r="AB188" s="956"/>
      <c r="AC188" s="955"/>
      <c r="AD188" s="956"/>
      <c r="AE188" s="953"/>
      <c r="AF188" s="956"/>
      <c r="AG188" s="956"/>
      <c r="AH188" s="956"/>
      <c r="AI188" s="955"/>
      <c r="AJ188" s="956"/>
      <c r="AK188" s="953"/>
      <c r="AL188" s="956"/>
      <c r="AM188" s="956"/>
      <c r="AN188" s="956"/>
      <c r="AO188" s="955"/>
      <c r="AP188" s="956"/>
      <c r="AQ188" s="953"/>
      <c r="AR188" s="956"/>
      <c r="AS188" s="956"/>
      <c r="AT188" s="956"/>
      <c r="AU188" s="955"/>
      <c r="AV188" s="956"/>
      <c r="AW188" s="953"/>
      <c r="AX188" s="956"/>
      <c r="AY188" s="956"/>
      <c r="AZ188" s="956"/>
      <c r="BA188" s="955"/>
      <c r="BB188" s="956"/>
      <c r="BC188" s="953"/>
      <c r="BD188" s="956"/>
      <c r="BE188" s="956"/>
      <c r="BF188" s="956"/>
      <c r="BG188" s="955"/>
      <c r="BH188" s="956"/>
      <c r="BI188" s="953"/>
      <c r="BJ188" s="956"/>
      <c r="BK188" s="956"/>
      <c r="BL188" s="956"/>
      <c r="BM188" s="955"/>
      <c r="BN188" s="956"/>
      <c r="BO188" s="953"/>
      <c r="BP188" s="956"/>
      <c r="BQ188" s="956"/>
      <c r="BR188" s="956"/>
      <c r="BS188" s="955"/>
      <c r="BT188" s="956"/>
      <c r="BU188" s="953"/>
      <c r="BV188" s="956"/>
      <c r="BW188" s="956"/>
      <c r="BX188" s="956"/>
      <c r="BY188" s="955"/>
      <c r="BZ188" s="956"/>
      <c r="CA188" s="953"/>
      <c r="CB188" s="956"/>
      <c r="CC188" s="956"/>
      <c r="CD188" s="956"/>
      <c r="CE188" s="955"/>
      <c r="CF188" s="956"/>
      <c r="CG188" s="953"/>
      <c r="CH188" s="956"/>
      <c r="CI188" s="956"/>
      <c r="CJ188" s="956"/>
      <c r="CK188" s="955"/>
      <c r="CL188" s="956"/>
      <c r="CM188" s="953"/>
      <c r="CN188" s="956"/>
      <c r="CO188" s="956"/>
      <c r="CP188" s="956"/>
      <c r="CQ188" s="955"/>
      <c r="CR188" s="956"/>
      <c r="CS188" s="953"/>
      <c r="CT188" s="956"/>
      <c r="CU188" s="956"/>
      <c r="CV188" s="956"/>
      <c r="CW188" s="955"/>
      <c r="CY188" s="959">
        <f>+CY187/CY186</f>
        <v>8.5470880638807648E-3</v>
      </c>
      <c r="CZ188" s="960">
        <f>+CZ187/CZ186</f>
        <v>3.3101949696430731E-3</v>
      </c>
      <c r="DA188" s="960">
        <f>+DA187/DA186</f>
        <v>7.9601979641631317E-3</v>
      </c>
      <c r="DB188" s="960">
        <f>+DB187/DB186</f>
        <v>1.3560455188828495E-2</v>
      </c>
      <c r="DC188" s="961">
        <f>+DC187/DC186</f>
        <v>3.3398457677795299E-2</v>
      </c>
      <c r="DD188" s="24"/>
      <c r="DE188" s="959">
        <f>+DE187/DE186</f>
        <v>3.5508689807938733E-2</v>
      </c>
      <c r="DF188" s="960">
        <f>+DF187/DF186</f>
        <v>3.4800047224454053E-2</v>
      </c>
      <c r="DG188" s="960">
        <f>+DG187/DG186</f>
        <v>3.9336878696559378E-2</v>
      </c>
      <c r="DH188" s="960">
        <f>+DH187/DH186</f>
        <v>6.0905241711715664E-2</v>
      </c>
      <c r="DI188" s="961">
        <f>+DI187/DI186</f>
        <v>0.17059777135404977</v>
      </c>
      <c r="DJ188" s="24"/>
      <c r="DK188" s="959">
        <f>+DK187/DK186</f>
        <v>8.1926198923646928E-2</v>
      </c>
      <c r="DL188" s="960">
        <f>+DL187/DL186</f>
        <v>5.0286895025727703E-2</v>
      </c>
      <c r="DM188" s="960">
        <f>+DM187/DM186</f>
        <v>5.1805326484225693E-2</v>
      </c>
      <c r="DN188" s="960">
        <f>+DN187/DN186</f>
        <v>6.0771583535737347E-2</v>
      </c>
      <c r="DO188" s="961">
        <f>+DO187/DO186</f>
        <v>0.24479786128476902</v>
      </c>
      <c r="DP188" s="24"/>
      <c r="DQ188" s="959">
        <f>+DQ187/DQ186</f>
        <v>7.0533789396502566E-2</v>
      </c>
      <c r="DR188" s="960">
        <f>+DR187/DR186</f>
        <v>6.2896462496621591E-2</v>
      </c>
      <c r="DS188" s="960">
        <f>+DS187/DS186</f>
        <v>6.6343879827243282E-2</v>
      </c>
      <c r="DT188" s="960">
        <f>+DT187/DT186</f>
        <v>7.7702951333449247E-2</v>
      </c>
      <c r="DU188" s="961">
        <f>+DU187/DU186</f>
        <v>0.27751517156978112</v>
      </c>
      <c r="DV188" s="956"/>
      <c r="DW188" s="959">
        <f>+DW187/DW186</f>
        <v>8.1661560026695015E-2</v>
      </c>
      <c r="DX188" s="960">
        <f>+DX187/DX186</f>
        <v>8.1757430607681217E-2</v>
      </c>
      <c r="DY188" s="960">
        <f>+DY187/DY186</f>
        <v>8.5974887807661396E-2</v>
      </c>
      <c r="DZ188" s="960">
        <f>+DZ187/DZ186</f>
        <v>9.9630523736892199E-2</v>
      </c>
      <c r="EA188" s="961">
        <f>+EA187/EA186</f>
        <v>0.34911250577981667</v>
      </c>
      <c r="EB188" s="960"/>
      <c r="EC188" s="959">
        <f>+EC187/EC186</f>
        <v>0.10167916945700629</v>
      </c>
      <c r="ED188" s="960">
        <f>+ED187/ED186</f>
        <v>0.10267951678852194</v>
      </c>
      <c r="EE188" s="960">
        <f>+EE187/EE186</f>
        <v>0.10686694416422229</v>
      </c>
      <c r="EF188" s="960">
        <f>+EF187/EF186</f>
        <v>0.11570320342704191</v>
      </c>
      <c r="EG188" s="961">
        <f>+EG187/EG186</f>
        <v>0.42699847319934114</v>
      </c>
    </row>
    <row r="189" spans="1:137" s="957" customFormat="1" ht="11.25" customHeight="1" outlineLevel="2" x14ac:dyDescent="0.2">
      <c r="A189" s="981"/>
      <c r="B189" s="954"/>
      <c r="C189" s="954"/>
      <c r="D189" s="954"/>
      <c r="E189" s="955"/>
      <c r="F189" s="956"/>
      <c r="G189" s="955"/>
      <c r="H189" s="956"/>
      <c r="I189" s="955"/>
      <c r="J189" s="956"/>
      <c r="K189" s="955"/>
      <c r="L189" s="956"/>
      <c r="M189" s="953"/>
      <c r="N189" s="956"/>
      <c r="O189" s="956"/>
      <c r="P189" s="956"/>
      <c r="Q189" s="955"/>
      <c r="R189" s="956"/>
      <c r="S189" s="953"/>
      <c r="T189" s="956"/>
      <c r="U189" s="956"/>
      <c r="V189" s="956"/>
      <c r="W189" s="955"/>
      <c r="X189" s="956"/>
      <c r="Y189" s="953"/>
      <c r="Z189" s="956"/>
      <c r="AA189" s="956"/>
      <c r="AB189" s="956"/>
      <c r="AC189" s="955"/>
      <c r="AD189" s="956"/>
      <c r="AE189" s="953"/>
      <c r="AF189" s="956"/>
      <c r="AG189" s="956"/>
      <c r="AH189" s="956"/>
      <c r="AI189" s="955"/>
      <c r="AJ189" s="956"/>
      <c r="AK189" s="953"/>
      <c r="AL189" s="956"/>
      <c r="AM189" s="956"/>
      <c r="AN189" s="956"/>
      <c r="AO189" s="955"/>
      <c r="AP189" s="956"/>
      <c r="AQ189" s="953"/>
      <c r="AR189" s="956"/>
      <c r="AS189" s="956"/>
      <c r="AT189" s="956"/>
      <c r="AU189" s="955"/>
      <c r="AV189" s="956"/>
      <c r="AW189" s="953"/>
      <c r="AX189" s="956"/>
      <c r="AY189" s="956"/>
      <c r="AZ189" s="956"/>
      <c r="BA189" s="955"/>
      <c r="BB189" s="956"/>
      <c r="BC189" s="953"/>
      <c r="BD189" s="956"/>
      <c r="BE189" s="956"/>
      <c r="BF189" s="956"/>
      <c r="BG189" s="955"/>
      <c r="BH189" s="956"/>
      <c r="BI189" s="953"/>
      <c r="BJ189" s="956"/>
      <c r="BK189" s="956"/>
      <c r="BL189" s="956"/>
      <c r="BM189" s="955"/>
      <c r="BN189" s="956"/>
      <c r="BO189" s="953"/>
      <c r="BP189" s="956"/>
      <c r="BQ189" s="956"/>
      <c r="BR189" s="956"/>
      <c r="BS189" s="955"/>
      <c r="BT189" s="956"/>
      <c r="BU189" s="953"/>
      <c r="BV189" s="956"/>
      <c r="BW189" s="956"/>
      <c r="BX189" s="956"/>
      <c r="BY189" s="955"/>
      <c r="BZ189" s="956"/>
      <c r="CA189" s="953"/>
      <c r="CB189" s="956"/>
      <c r="CC189" s="956"/>
      <c r="CD189" s="956"/>
      <c r="CE189" s="955"/>
      <c r="CF189" s="956"/>
      <c r="CG189" s="953"/>
      <c r="CH189" s="956"/>
      <c r="CI189" s="956"/>
      <c r="CJ189" s="956"/>
      <c r="CK189" s="955"/>
      <c r="CL189" s="956"/>
      <c r="CM189" s="953"/>
      <c r="CN189" s="956"/>
      <c r="CO189" s="956"/>
      <c r="CP189" s="956"/>
      <c r="CQ189" s="955"/>
      <c r="CR189" s="956"/>
      <c r="CS189" s="953"/>
      <c r="CT189" s="956"/>
      <c r="CU189" s="956"/>
      <c r="CV189" s="956"/>
      <c r="CW189" s="955"/>
      <c r="CY189" s="959"/>
      <c r="CZ189" s="960"/>
      <c r="DA189" s="960"/>
      <c r="DB189" s="960"/>
      <c r="DC189" s="961"/>
      <c r="DD189" s="24"/>
      <c r="DE189" s="959"/>
      <c r="DF189" s="960"/>
      <c r="DG189" s="960"/>
      <c r="DH189" s="960"/>
      <c r="DI189" s="961"/>
      <c r="DJ189" s="24"/>
      <c r="DK189" s="959"/>
      <c r="DL189" s="960"/>
      <c r="DM189" s="960"/>
      <c r="DN189" s="960"/>
      <c r="DO189" s="961"/>
      <c r="DP189" s="24"/>
      <c r="DQ189" s="959"/>
      <c r="DR189" s="960"/>
      <c r="DS189" s="960"/>
      <c r="DT189" s="960"/>
      <c r="DU189" s="961"/>
      <c r="DV189" s="956"/>
      <c r="DW189" s="959"/>
      <c r="DX189" s="960"/>
      <c r="DY189" s="960"/>
      <c r="DZ189" s="960"/>
      <c r="EA189" s="961"/>
      <c r="EB189" s="960"/>
      <c r="EC189" s="959"/>
      <c r="ED189" s="960"/>
      <c r="EE189" s="960"/>
      <c r="EF189" s="960"/>
      <c r="EG189" s="961"/>
    </row>
    <row r="190" spans="1:137" ht="11.25" customHeight="1" outlineLevel="2" x14ac:dyDescent="0.2">
      <c r="A190" s="1020" t="s">
        <v>577</v>
      </c>
      <c r="B190" s="14"/>
      <c r="C190" s="14"/>
      <c r="D190" s="14"/>
      <c r="E190" s="93"/>
      <c r="F190" s="71"/>
      <c r="G190" s="93"/>
      <c r="H190" s="71"/>
      <c r="I190" s="93"/>
      <c r="J190" s="71"/>
      <c r="K190" s="93"/>
      <c r="L190" s="71"/>
      <c r="M190" s="84"/>
      <c r="N190" s="71"/>
      <c r="O190" s="71"/>
      <c r="P190" s="71"/>
      <c r="Q190" s="93"/>
      <c r="R190" s="71"/>
      <c r="S190" s="84"/>
      <c r="T190" s="71"/>
      <c r="U190" s="71"/>
      <c r="V190" s="71"/>
      <c r="W190" s="93"/>
      <c r="X190" s="71"/>
      <c r="Y190" s="84"/>
      <c r="Z190" s="71"/>
      <c r="AA190" s="71"/>
      <c r="AB190" s="71"/>
      <c r="AC190" s="93"/>
      <c r="AD190" s="71"/>
      <c r="AE190" s="84"/>
      <c r="AF190" s="71"/>
      <c r="AG190" s="71"/>
      <c r="AH190" s="71"/>
      <c r="AI190" s="93"/>
      <c r="AJ190" s="71"/>
      <c r="AK190" s="84"/>
      <c r="AL190" s="71"/>
      <c r="AM190" s="71"/>
      <c r="AN190" s="71"/>
      <c r="AO190" s="93"/>
      <c r="AP190" s="71"/>
      <c r="AQ190" s="84"/>
      <c r="AR190" s="71"/>
      <c r="AS190" s="71"/>
      <c r="AT190" s="71"/>
      <c r="AU190" s="93"/>
      <c r="AV190" s="71"/>
      <c r="AW190" s="84"/>
      <c r="AX190" s="71"/>
      <c r="AY190" s="71"/>
      <c r="AZ190" s="71"/>
      <c r="BA190" s="93"/>
      <c r="BB190" s="71"/>
      <c r="BC190" s="84"/>
      <c r="BD190" s="71"/>
      <c r="BE190" s="71"/>
      <c r="BF190" s="71"/>
      <c r="BG190" s="93"/>
      <c r="BH190" s="71"/>
      <c r="BI190" s="84"/>
      <c r="BJ190" s="71"/>
      <c r="BK190" s="71"/>
      <c r="BL190" s="71"/>
      <c r="BM190" s="93"/>
      <c r="BN190" s="71"/>
      <c r="BO190" s="84"/>
      <c r="BP190" s="71"/>
      <c r="BQ190" s="71"/>
      <c r="BR190" s="71"/>
      <c r="BS190" s="93"/>
      <c r="BT190" s="71"/>
      <c r="BU190" s="834"/>
      <c r="BV190" s="807"/>
      <c r="BW190" s="807"/>
      <c r="BX190" s="807"/>
      <c r="BY190" s="508"/>
      <c r="BZ190" s="507"/>
      <c r="CA190" s="834"/>
      <c r="CB190" s="807"/>
      <c r="CC190" s="807"/>
      <c r="CD190" s="807"/>
      <c r="CE190" s="508"/>
      <c r="CF190" s="507"/>
      <c r="CG190" s="834"/>
      <c r="CH190" s="807"/>
      <c r="CI190" s="807"/>
      <c r="CJ190" s="807"/>
      <c r="CK190" s="508"/>
      <c r="CL190" s="507"/>
      <c r="CM190" s="834"/>
      <c r="CN190" s="807"/>
      <c r="CO190" s="807"/>
      <c r="CP190" s="807"/>
      <c r="CQ190" s="508"/>
      <c r="CR190" s="507"/>
      <c r="CS190" s="834"/>
      <c r="CT190" s="807"/>
      <c r="CU190" s="807"/>
      <c r="CV190" s="807"/>
      <c r="CW190" s="806"/>
      <c r="CX190" s="507"/>
      <c r="CY190" s="834"/>
      <c r="CZ190" s="807"/>
      <c r="DA190" s="807"/>
      <c r="DB190" s="807"/>
      <c r="DC190" s="966">
        <v>4000</v>
      </c>
      <c r="DD190" s="509"/>
      <c r="DE190" s="897"/>
      <c r="DF190" s="898"/>
      <c r="DG190" s="898"/>
      <c r="DH190" s="898"/>
      <c r="DI190" s="508"/>
      <c r="DJ190" s="509"/>
      <c r="DK190" s="897"/>
      <c r="DL190" s="898"/>
      <c r="DM190" s="898"/>
      <c r="DN190" s="898"/>
      <c r="DO190" s="508"/>
      <c r="DP190" s="509"/>
      <c r="DQ190" s="897"/>
      <c r="DR190" s="898"/>
      <c r="DS190" s="898"/>
      <c r="DT190" s="898"/>
      <c r="DU190" s="508"/>
      <c r="DV190" s="509"/>
      <c r="DW190" s="897"/>
      <c r="DX190" s="898"/>
      <c r="DY190" s="898"/>
      <c r="DZ190" s="898"/>
      <c r="EA190" s="508"/>
      <c r="EB190" s="509"/>
      <c r="EC190" s="897"/>
      <c r="ED190" s="898"/>
      <c r="EE190" s="898"/>
      <c r="EF190" s="898"/>
      <c r="EG190" s="508"/>
    </row>
    <row r="191" spans="1:137" ht="11.25" customHeight="1" outlineLevel="2" x14ac:dyDescent="0.2">
      <c r="A191" s="1003" t="s">
        <v>601</v>
      </c>
      <c r="B191" s="14"/>
      <c r="C191" s="14"/>
      <c r="D191" s="14"/>
      <c r="E191" s="93"/>
      <c r="F191" s="71"/>
      <c r="G191" s="93"/>
      <c r="H191" s="71"/>
      <c r="I191" s="93"/>
      <c r="J191" s="71"/>
      <c r="K191" s="93"/>
      <c r="L191" s="71"/>
      <c r="M191" s="84"/>
      <c r="N191" s="71"/>
      <c r="O191" s="71"/>
      <c r="P191" s="71"/>
      <c r="Q191" s="93"/>
      <c r="R191" s="71"/>
      <c r="S191" s="84"/>
      <c r="T191" s="71"/>
      <c r="U191" s="71"/>
      <c r="V191" s="71"/>
      <c r="W191" s="93"/>
      <c r="X191" s="71"/>
      <c r="Y191" s="84"/>
      <c r="Z191" s="71"/>
      <c r="AA191" s="71"/>
      <c r="AB191" s="71"/>
      <c r="AC191" s="93"/>
      <c r="AD191" s="71"/>
      <c r="AE191" s="84"/>
      <c r="AF191" s="71"/>
      <c r="AG191" s="71"/>
      <c r="AH191" s="71"/>
      <c r="AI191" s="93"/>
      <c r="AJ191" s="71"/>
      <c r="AK191" s="84"/>
      <c r="AL191" s="71"/>
      <c r="AM191" s="71"/>
      <c r="AN191" s="71"/>
      <c r="AO191" s="93"/>
      <c r="AP191" s="71"/>
      <c r="AQ191" s="84"/>
      <c r="AR191" s="71"/>
      <c r="AS191" s="71"/>
      <c r="AT191" s="71"/>
      <c r="AU191" s="93"/>
      <c r="AV191" s="71"/>
      <c r="AW191" s="84"/>
      <c r="AX191" s="71"/>
      <c r="AY191" s="71"/>
      <c r="AZ191" s="71"/>
      <c r="BA191" s="93"/>
      <c r="BB191" s="71"/>
      <c r="BC191" s="84"/>
      <c r="BD191" s="71"/>
      <c r="BE191" s="71"/>
      <c r="BF191" s="71"/>
      <c r="BG191" s="93"/>
      <c r="BH191" s="71"/>
      <c r="BI191" s="84"/>
      <c r="BJ191" s="71"/>
      <c r="BK191" s="71"/>
      <c r="BL191" s="71"/>
      <c r="BM191" s="93"/>
      <c r="BN191" s="71"/>
      <c r="BO191" s="84"/>
      <c r="BP191" s="71"/>
      <c r="BQ191" s="71"/>
      <c r="BR191" s="71"/>
      <c r="BS191" s="93"/>
      <c r="BT191" s="71"/>
      <c r="BU191" s="834"/>
      <c r="BV191" s="807"/>
      <c r="BW191" s="807"/>
      <c r="BX191" s="807"/>
      <c r="BY191" s="508"/>
      <c r="BZ191" s="507"/>
      <c r="CA191" s="834"/>
      <c r="CB191" s="807"/>
      <c r="CC191" s="807"/>
      <c r="CD191" s="807"/>
      <c r="CE191" s="508"/>
      <c r="CF191" s="507"/>
      <c r="CG191" s="834"/>
      <c r="CH191" s="807"/>
      <c r="CI191" s="807"/>
      <c r="CJ191" s="807"/>
      <c r="CK191" s="508"/>
      <c r="CL191" s="507"/>
      <c r="CM191" s="834"/>
      <c r="CN191" s="807"/>
      <c r="CO191" s="807"/>
      <c r="CP191" s="807"/>
      <c r="CQ191" s="508"/>
      <c r="CR191" s="507"/>
      <c r="CS191" s="834"/>
      <c r="CT191" s="807"/>
      <c r="CU191" s="807"/>
      <c r="CV191" s="807"/>
      <c r="CW191" s="806"/>
      <c r="CX191" s="507"/>
      <c r="CY191" s="834"/>
      <c r="CZ191" s="807"/>
      <c r="DA191" s="807"/>
      <c r="DB191" s="807"/>
      <c r="DC191" s="508">
        <f>0.003*(DC190-DC192)</f>
        <v>1.5</v>
      </c>
      <c r="DD191" s="509"/>
      <c r="DE191" s="82">
        <f>0.003*($DC190-DC192)/4</f>
        <v>0.375</v>
      </c>
      <c r="DF191" s="67">
        <f>0.003*($DC190-$DC$192)/4</f>
        <v>0.375</v>
      </c>
      <c r="DG191" s="67">
        <f>0.003*($DC190-$DC$192)/4</f>
        <v>0.375</v>
      </c>
      <c r="DH191" s="67">
        <f>0.003*($DC190-$DC$192)/4</f>
        <v>0.375</v>
      </c>
      <c r="DI191" s="163">
        <f>SUM(DE191:DH191)</f>
        <v>1.5</v>
      </c>
      <c r="DJ191" s="509"/>
      <c r="DK191" s="82">
        <f>0.003*($DC190-$DC$192)/4</f>
        <v>0.375</v>
      </c>
      <c r="DL191" s="67">
        <f>0.003*($DC190-$DC$192)/4</f>
        <v>0.375</v>
      </c>
      <c r="DM191" s="67">
        <f>0.003*($DC190-$DC$192)/4</f>
        <v>0.375</v>
      </c>
      <c r="DN191" s="67">
        <f>0.003*($DC190-$DC$192)/4</f>
        <v>0.375</v>
      </c>
      <c r="DO191" s="163">
        <f>SUM(DK191:DN191)</f>
        <v>1.5</v>
      </c>
      <c r="DP191" s="509"/>
      <c r="DQ191" s="82">
        <f>0.003*($DC190-$DC$192)/4</f>
        <v>0.375</v>
      </c>
      <c r="DR191" s="67">
        <f>0.003*($DC190-$DC$192)/4</f>
        <v>0.375</v>
      </c>
      <c r="DS191" s="67">
        <f>0.003*($DC190-$DC$192)/4</f>
        <v>0.375</v>
      </c>
      <c r="DT191" s="67">
        <f>0.003*($DC190-$DC$192)/4</f>
        <v>0.375</v>
      </c>
      <c r="DU191" s="163">
        <f>SUM(DQ191:DT191)</f>
        <v>1.5</v>
      </c>
      <c r="DV191" s="509"/>
      <c r="DW191" s="82">
        <f>0.003*($DC190-$DC$192)/4</f>
        <v>0.375</v>
      </c>
      <c r="DX191" s="67">
        <f>0.003*($DC190-$DC$192)/4</f>
        <v>0.375</v>
      </c>
      <c r="DY191" s="67">
        <f>0.003*($DC190-$DC$192)/4</f>
        <v>0.375</v>
      </c>
      <c r="DZ191" s="67">
        <f>0.003*($DC190-$DC$192)/4</f>
        <v>0.375</v>
      </c>
      <c r="EA191" s="163">
        <f>SUM(DW191:DZ191)</f>
        <v>1.5</v>
      </c>
      <c r="EB191" s="509"/>
      <c r="EC191" s="82">
        <f>0.003*($DC190-$DC$192)/4</f>
        <v>0.375</v>
      </c>
      <c r="ED191" s="67">
        <f>0.003*($DC190-$DC$192)/4</f>
        <v>0.375</v>
      </c>
      <c r="EE191" s="67">
        <f>0.003*($DC190-$DC$192)/4</f>
        <v>0.375</v>
      </c>
      <c r="EF191" s="67">
        <f>0.003*($DC190-$DC$192)/4</f>
        <v>0.375</v>
      </c>
      <c r="EG191" s="163">
        <f>SUM(EC191:EF191)</f>
        <v>1.5</v>
      </c>
    </row>
    <row r="192" spans="1:137" ht="11.25" customHeight="1" outlineLevel="2" x14ac:dyDescent="0.2">
      <c r="A192" s="1003" t="s">
        <v>579</v>
      </c>
      <c r="B192" s="14"/>
      <c r="C192" s="14"/>
      <c r="D192" s="14"/>
      <c r="E192" s="93"/>
      <c r="F192" s="71"/>
      <c r="G192" s="93"/>
      <c r="H192" s="71"/>
      <c r="I192" s="93"/>
      <c r="J192" s="71"/>
      <c r="K192" s="93"/>
      <c r="L192" s="71"/>
      <c r="M192" s="84"/>
      <c r="N192" s="71"/>
      <c r="O192" s="71"/>
      <c r="P192" s="71"/>
      <c r="Q192" s="93"/>
      <c r="R192" s="71"/>
      <c r="S192" s="84"/>
      <c r="T192" s="71"/>
      <c r="U192" s="71"/>
      <c r="V192" s="71"/>
      <c r="W192" s="93"/>
      <c r="X192" s="71"/>
      <c r="Y192" s="84"/>
      <c r="Z192" s="71"/>
      <c r="AA192" s="71"/>
      <c r="AB192" s="71"/>
      <c r="AC192" s="93"/>
      <c r="AD192" s="71"/>
      <c r="AE192" s="84"/>
      <c r="AF192" s="71"/>
      <c r="AG192" s="71"/>
      <c r="AH192" s="71"/>
      <c r="AI192" s="93"/>
      <c r="AJ192" s="71"/>
      <c r="AK192" s="84"/>
      <c r="AL192" s="71"/>
      <c r="AM192" s="71"/>
      <c r="AN192" s="71"/>
      <c r="AO192" s="93"/>
      <c r="AP192" s="71"/>
      <c r="AQ192" s="84"/>
      <c r="AR192" s="71"/>
      <c r="AS192" s="71"/>
      <c r="AT192" s="71"/>
      <c r="AU192" s="93"/>
      <c r="AV192" s="71"/>
      <c r="AW192" s="84"/>
      <c r="AX192" s="71"/>
      <c r="AY192" s="71"/>
      <c r="AZ192" s="71"/>
      <c r="BA192" s="93"/>
      <c r="BB192" s="71"/>
      <c r="BC192" s="84"/>
      <c r="BD192" s="71"/>
      <c r="BE192" s="71"/>
      <c r="BF192" s="71"/>
      <c r="BG192" s="93"/>
      <c r="BH192" s="71"/>
      <c r="BI192" s="84"/>
      <c r="BJ192" s="71"/>
      <c r="BK192" s="71"/>
      <c r="BL192" s="71"/>
      <c r="BM192" s="93"/>
      <c r="BN192" s="71"/>
      <c r="BO192" s="84"/>
      <c r="BP192" s="71"/>
      <c r="BQ192" s="71"/>
      <c r="BR192" s="71"/>
      <c r="BS192" s="93"/>
      <c r="BT192" s="71"/>
      <c r="BU192" s="834"/>
      <c r="BV192" s="807"/>
      <c r="BW192" s="807"/>
      <c r="BX192" s="807"/>
      <c r="BY192" s="508"/>
      <c r="BZ192" s="507"/>
      <c r="CA192" s="834"/>
      <c r="CB192" s="807"/>
      <c r="CC192" s="807"/>
      <c r="CD192" s="807"/>
      <c r="CE192" s="508"/>
      <c r="CF192" s="507"/>
      <c r="CG192" s="834"/>
      <c r="CH192" s="807"/>
      <c r="CI192" s="807"/>
      <c r="CJ192" s="807"/>
      <c r="CK192" s="508"/>
      <c r="CL192" s="507"/>
      <c r="CM192" s="834"/>
      <c r="CN192" s="807"/>
      <c r="CO192" s="807"/>
      <c r="CP192" s="807"/>
      <c r="CQ192" s="508"/>
      <c r="CR192" s="507"/>
      <c r="CS192" s="834"/>
      <c r="CT192" s="807"/>
      <c r="CU192" s="807"/>
      <c r="CV192" s="807"/>
      <c r="CW192" s="806"/>
      <c r="CX192" s="507"/>
      <c r="CY192" s="834"/>
      <c r="CZ192" s="807"/>
      <c r="DA192" s="807"/>
      <c r="DB192" s="807"/>
      <c r="DC192" s="966">
        <v>3500</v>
      </c>
      <c r="DD192" s="509"/>
      <c r="DE192" s="897"/>
      <c r="DF192" s="898"/>
      <c r="DG192" s="898"/>
      <c r="DH192" s="898"/>
      <c r="DI192" s="508"/>
      <c r="DJ192" s="509"/>
      <c r="DK192" s="897"/>
      <c r="DL192" s="898"/>
      <c r="DM192" s="898"/>
      <c r="DN192" s="898"/>
      <c r="DO192" s="508"/>
      <c r="DP192" s="509"/>
      <c r="DQ192" s="897"/>
      <c r="DR192" s="898"/>
      <c r="DS192" s="898"/>
      <c r="DT192" s="898"/>
      <c r="DU192" s="508"/>
      <c r="DV192" s="509"/>
      <c r="DW192" s="897"/>
      <c r="DX192" s="898"/>
      <c r="DY192" s="898"/>
      <c r="DZ192" s="898"/>
      <c r="EA192" s="508"/>
      <c r="EB192" s="509"/>
      <c r="EC192" s="897"/>
      <c r="ED192" s="898"/>
      <c r="EE192" s="898"/>
      <c r="EF192" s="898"/>
      <c r="EG192" s="508"/>
    </row>
    <row r="193" spans="1:137" ht="11.25" customHeight="1" outlineLevel="2" x14ac:dyDescent="0.2">
      <c r="A193" s="1003" t="s">
        <v>550</v>
      </c>
      <c r="B193" s="14"/>
      <c r="C193" s="14"/>
      <c r="D193" s="14"/>
      <c r="E193" s="93"/>
      <c r="F193" s="71"/>
      <c r="G193" s="93"/>
      <c r="H193" s="71"/>
      <c r="I193" s="93"/>
      <c r="J193" s="71"/>
      <c r="K193" s="93"/>
      <c r="L193" s="71"/>
      <c r="M193" s="84"/>
      <c r="N193" s="71"/>
      <c r="O193" s="71"/>
      <c r="P193" s="71"/>
      <c r="Q193" s="93"/>
      <c r="R193" s="71"/>
      <c r="S193" s="84"/>
      <c r="T193" s="71"/>
      <c r="U193" s="71"/>
      <c r="V193" s="71"/>
      <c r="W193" s="93"/>
      <c r="X193" s="71"/>
      <c r="Y193" s="84"/>
      <c r="Z193" s="71"/>
      <c r="AA193" s="71"/>
      <c r="AB193" s="71"/>
      <c r="AC193" s="93"/>
      <c r="AD193" s="71"/>
      <c r="AE193" s="84"/>
      <c r="AF193" s="71"/>
      <c r="AG193" s="71"/>
      <c r="AH193" s="71"/>
      <c r="AI193" s="93"/>
      <c r="AJ193" s="71"/>
      <c r="AK193" s="84"/>
      <c r="AL193" s="71"/>
      <c r="AM193" s="71"/>
      <c r="AN193" s="71"/>
      <c r="AO193" s="93"/>
      <c r="AP193" s="71"/>
      <c r="AQ193" s="84"/>
      <c r="AR193" s="71"/>
      <c r="AS193" s="71"/>
      <c r="AT193" s="71"/>
      <c r="AU193" s="93"/>
      <c r="AV193" s="71"/>
      <c r="AW193" s="84"/>
      <c r="AX193" s="71"/>
      <c r="AY193" s="71"/>
      <c r="AZ193" s="71"/>
      <c r="BA193" s="93"/>
      <c r="BB193" s="71"/>
      <c r="BC193" s="84"/>
      <c r="BD193" s="71"/>
      <c r="BE193" s="71"/>
      <c r="BF193" s="71"/>
      <c r="BG193" s="93"/>
      <c r="BH193" s="71"/>
      <c r="BI193" s="84"/>
      <c r="BJ193" s="71"/>
      <c r="BK193" s="71"/>
      <c r="BL193" s="71"/>
      <c r="BM193" s="93"/>
      <c r="BN193" s="71"/>
      <c r="BO193" s="84"/>
      <c r="BP193" s="71"/>
      <c r="BQ193" s="71"/>
      <c r="BR193" s="71"/>
      <c r="BS193" s="93"/>
      <c r="BT193" s="71"/>
      <c r="BU193" s="834"/>
      <c r="BV193" s="807"/>
      <c r="BW193" s="807"/>
      <c r="BX193" s="807"/>
      <c r="BY193" s="508"/>
      <c r="BZ193" s="507"/>
      <c r="CA193" s="834"/>
      <c r="CB193" s="807"/>
      <c r="CC193" s="807"/>
      <c r="CD193" s="807"/>
      <c r="CE193" s="508"/>
      <c r="CF193" s="507"/>
      <c r="CG193" s="834"/>
      <c r="CH193" s="807"/>
      <c r="CI193" s="807"/>
      <c r="CJ193" s="807"/>
      <c r="CK193" s="508"/>
      <c r="CL193" s="507"/>
      <c r="CM193" s="834"/>
      <c r="CN193" s="807"/>
      <c r="CO193" s="807"/>
      <c r="CP193" s="807"/>
      <c r="CQ193" s="508"/>
      <c r="CR193" s="507"/>
      <c r="CS193" s="834"/>
      <c r="CT193" s="807"/>
      <c r="CU193" s="807"/>
      <c r="CV193" s="807"/>
      <c r="CW193" s="806"/>
      <c r="CX193" s="507"/>
      <c r="CY193" s="834"/>
      <c r="CZ193" s="807"/>
      <c r="DA193" s="807"/>
      <c r="DB193" s="807"/>
      <c r="DC193" s="508">
        <f>-DC194*$DC$192</f>
        <v>-49</v>
      </c>
      <c r="DD193" s="509"/>
      <c r="DE193" s="510">
        <f>-$DC$194*$DC$192/4</f>
        <v>-12.25</v>
      </c>
      <c r="DF193" s="509">
        <f>-$DC$194*$DC$192/4</f>
        <v>-12.25</v>
      </c>
      <c r="DG193" s="509">
        <f>-$DC$194*$DC$192/4</f>
        <v>-12.25</v>
      </c>
      <c r="DH193" s="968">
        <f>-$DC$194*$DC$192/4</f>
        <v>-12.25</v>
      </c>
      <c r="DI193" s="163">
        <f>SUM(DE193:DH193)</f>
        <v>-49</v>
      </c>
      <c r="DJ193" s="509"/>
      <c r="DK193" s="510">
        <f>-$DC$194*$DC$192/4</f>
        <v>-12.25</v>
      </c>
      <c r="DL193" s="509">
        <f>-$DC$194*$DC$192/4</f>
        <v>-12.25</v>
      </c>
      <c r="DM193" s="509">
        <f>-$DC$194*$DC$192/4</f>
        <v>-12.25</v>
      </c>
      <c r="DN193" s="968">
        <f>-$DC$194*$DC$192/4</f>
        <v>-12.25</v>
      </c>
      <c r="DO193" s="163">
        <f>SUM(DK193:DN193)</f>
        <v>-49</v>
      </c>
      <c r="DP193" s="509"/>
      <c r="DQ193" s="510">
        <f>-$DC$194*$DC$192/4</f>
        <v>-12.25</v>
      </c>
      <c r="DR193" s="509">
        <f>-$DC$194*$DC$192/4</f>
        <v>-12.25</v>
      </c>
      <c r="DS193" s="509">
        <f>-$DC$194*$DC$192/4</f>
        <v>-12.25</v>
      </c>
      <c r="DT193" s="968">
        <f>-$DC$194*$DC$192/4</f>
        <v>-12.25</v>
      </c>
      <c r="DU193" s="163">
        <f>SUM(DQ193:DT193)</f>
        <v>-49</v>
      </c>
      <c r="DV193" s="509"/>
      <c r="DW193" s="510">
        <f>-$DC$194*$DC$192/4</f>
        <v>-12.25</v>
      </c>
      <c r="DX193" s="509">
        <f>-$DC$194*$DC$192/4</f>
        <v>-12.25</v>
      </c>
      <c r="DY193" s="509">
        <f>-$DC$194*$DC$192/4</f>
        <v>-12.25</v>
      </c>
      <c r="DZ193" s="968">
        <f>-$DC$194*$DC$192/4</f>
        <v>-12.25</v>
      </c>
      <c r="EA193" s="163">
        <f>SUM(DW193:DZ193)</f>
        <v>-49</v>
      </c>
      <c r="EB193" s="509"/>
      <c r="EC193" s="510">
        <f>-$DC$194*$DC$192/4</f>
        <v>-12.25</v>
      </c>
      <c r="ED193" s="509">
        <f>-$DC$194*$DC$192/4</f>
        <v>-12.25</v>
      </c>
      <c r="EE193" s="509">
        <f>-$DC$194*$DC$192/4</f>
        <v>-12.25</v>
      </c>
      <c r="EF193" s="968">
        <f>-$DC$194*$DC$192/4</f>
        <v>-12.25</v>
      </c>
      <c r="EG193" s="163">
        <f>SUM(EC193:EF193)</f>
        <v>-49</v>
      </c>
    </row>
    <row r="194" spans="1:137" ht="11.25" customHeight="1" outlineLevel="2" x14ac:dyDescent="0.2">
      <c r="A194" s="1004" t="s">
        <v>602</v>
      </c>
      <c r="B194" s="14"/>
      <c r="C194" s="14"/>
      <c r="D194" s="14"/>
      <c r="E194" s="93"/>
      <c r="F194" s="71"/>
      <c r="G194" s="93"/>
      <c r="H194" s="71"/>
      <c r="I194" s="93"/>
      <c r="J194" s="71"/>
      <c r="K194" s="93"/>
      <c r="L194" s="71"/>
      <c r="M194" s="84"/>
      <c r="N194" s="71"/>
      <c r="O194" s="71"/>
      <c r="P194" s="71"/>
      <c r="Q194" s="93"/>
      <c r="R194" s="71"/>
      <c r="S194" s="84"/>
      <c r="T194" s="71"/>
      <c r="U194" s="71"/>
      <c r="V194" s="71"/>
      <c r="W194" s="93"/>
      <c r="X194" s="71"/>
      <c r="Y194" s="84"/>
      <c r="Z194" s="71"/>
      <c r="AA194" s="71"/>
      <c r="AB194" s="71"/>
      <c r="AC194" s="93"/>
      <c r="AD194" s="71"/>
      <c r="AE194" s="84"/>
      <c r="AF194" s="71"/>
      <c r="AG194" s="71"/>
      <c r="AH194" s="71"/>
      <c r="AI194" s="93"/>
      <c r="AJ194" s="71"/>
      <c r="AK194" s="84"/>
      <c r="AL194" s="71"/>
      <c r="AM194" s="71"/>
      <c r="AN194" s="71"/>
      <c r="AO194" s="93"/>
      <c r="AP194" s="71"/>
      <c r="AQ194" s="84"/>
      <c r="AR194" s="71"/>
      <c r="AS194" s="71"/>
      <c r="AT194" s="71"/>
      <c r="AU194" s="93"/>
      <c r="AV194" s="71"/>
      <c r="AW194" s="84"/>
      <c r="AX194" s="71"/>
      <c r="AY194" s="71"/>
      <c r="AZ194" s="71"/>
      <c r="BA194" s="93"/>
      <c r="BB194" s="71"/>
      <c r="BC194" s="84"/>
      <c r="BD194" s="71"/>
      <c r="BE194" s="71"/>
      <c r="BF194" s="71"/>
      <c r="BG194" s="93"/>
      <c r="BH194" s="71"/>
      <c r="BI194" s="84"/>
      <c r="BJ194" s="71"/>
      <c r="BK194" s="71"/>
      <c r="BL194" s="71"/>
      <c r="BM194" s="93"/>
      <c r="BN194" s="71"/>
      <c r="BO194" s="84"/>
      <c r="BP194" s="71"/>
      <c r="BQ194" s="71"/>
      <c r="BR194" s="71"/>
      <c r="BS194" s="93"/>
      <c r="BT194" s="71"/>
      <c r="BU194" s="834"/>
      <c r="BV194" s="807"/>
      <c r="BW194" s="807"/>
      <c r="BX194" s="807"/>
      <c r="BY194" s="508"/>
      <c r="BZ194" s="507"/>
      <c r="CA194" s="834"/>
      <c r="CB194" s="807"/>
      <c r="CC194" s="807"/>
      <c r="CD194" s="807"/>
      <c r="CE194" s="508"/>
      <c r="CF194" s="507"/>
      <c r="CG194" s="834"/>
      <c r="CH194" s="807"/>
      <c r="CI194" s="807"/>
      <c r="CJ194" s="807"/>
      <c r="CK194" s="508"/>
      <c r="CL194" s="507"/>
      <c r="CM194" s="834"/>
      <c r="CN194" s="807"/>
      <c r="CO194" s="807"/>
      <c r="CP194" s="807"/>
      <c r="CQ194" s="508"/>
      <c r="CR194" s="507"/>
      <c r="CS194" s="834"/>
      <c r="CT194" s="807"/>
      <c r="CU194" s="807"/>
      <c r="CV194" s="807"/>
      <c r="CW194" s="806"/>
      <c r="CX194" s="507"/>
      <c r="CY194" s="834"/>
      <c r="CZ194" s="807"/>
      <c r="DA194" s="807"/>
      <c r="DB194" s="807"/>
      <c r="DC194" s="445">
        <v>1.4E-2</v>
      </c>
      <c r="DD194" s="509"/>
      <c r="DE194" s="510"/>
      <c r="DF194" s="509"/>
      <c r="DG194" s="509"/>
      <c r="DH194" s="968"/>
      <c r="DI194" s="163"/>
      <c r="DJ194" s="509"/>
      <c r="DK194" s="510"/>
      <c r="DL194" s="509"/>
      <c r="DM194" s="509"/>
      <c r="DN194" s="968"/>
      <c r="DO194" s="163"/>
      <c r="DP194" s="509"/>
      <c r="DQ194" s="510"/>
      <c r="DR194" s="509"/>
      <c r="DS194" s="509"/>
      <c r="DT194" s="968"/>
      <c r="DU194" s="163"/>
      <c r="DV194" s="509"/>
      <c r="DW194" s="510"/>
      <c r="DX194" s="509"/>
      <c r="DY194" s="509"/>
      <c r="DZ194" s="968"/>
      <c r="EA194" s="163"/>
      <c r="EB194" s="509"/>
      <c r="EC194" s="510"/>
      <c r="ED194" s="509"/>
      <c r="EE194" s="509"/>
      <c r="EF194" s="968"/>
      <c r="EG194" s="163"/>
    </row>
    <row r="195" spans="1:137" ht="11.25" customHeight="1" outlineLevel="2" x14ac:dyDescent="0.2">
      <c r="A195" s="1004" t="s">
        <v>552</v>
      </c>
      <c r="B195" s="14"/>
      <c r="C195" s="14"/>
      <c r="D195" s="14"/>
      <c r="E195" s="93"/>
      <c r="F195" s="71"/>
      <c r="G195" s="93"/>
      <c r="H195" s="71"/>
      <c r="I195" s="93"/>
      <c r="J195" s="71"/>
      <c r="K195" s="93"/>
      <c r="L195" s="71"/>
      <c r="M195" s="84"/>
      <c r="N195" s="71"/>
      <c r="O195" s="71"/>
      <c r="P195" s="71"/>
      <c r="Q195" s="93"/>
      <c r="R195" s="71"/>
      <c r="S195" s="84"/>
      <c r="T195" s="71"/>
      <c r="U195" s="71"/>
      <c r="V195" s="71"/>
      <c r="W195" s="93"/>
      <c r="X195" s="71"/>
      <c r="Y195" s="84"/>
      <c r="Z195" s="71"/>
      <c r="AA195" s="71"/>
      <c r="AB195" s="71"/>
      <c r="AC195" s="93"/>
      <c r="AD195" s="71"/>
      <c r="AE195" s="84"/>
      <c r="AF195" s="71"/>
      <c r="AG195" s="71"/>
      <c r="AH195" s="71"/>
      <c r="AI195" s="93"/>
      <c r="AJ195" s="71"/>
      <c r="AK195" s="84"/>
      <c r="AL195" s="71"/>
      <c r="AM195" s="71"/>
      <c r="AN195" s="71"/>
      <c r="AO195" s="93"/>
      <c r="AP195" s="71"/>
      <c r="AQ195" s="84"/>
      <c r="AR195" s="71"/>
      <c r="AS195" s="71"/>
      <c r="AT195" s="71"/>
      <c r="AU195" s="93"/>
      <c r="AV195" s="71"/>
      <c r="AW195" s="84"/>
      <c r="AX195" s="71"/>
      <c r="AY195" s="71"/>
      <c r="AZ195" s="71"/>
      <c r="BA195" s="93"/>
      <c r="BB195" s="71"/>
      <c r="BC195" s="84"/>
      <c r="BD195" s="71"/>
      <c r="BE195" s="71"/>
      <c r="BF195" s="71"/>
      <c r="BG195" s="93"/>
      <c r="BH195" s="71"/>
      <c r="BI195" s="84"/>
      <c r="BJ195" s="71"/>
      <c r="BK195" s="71"/>
      <c r="BL195" s="71"/>
      <c r="BM195" s="93"/>
      <c r="BN195" s="71"/>
      <c r="BO195" s="84"/>
      <c r="BP195" s="71"/>
      <c r="BQ195" s="71"/>
      <c r="BR195" s="71"/>
      <c r="BS195" s="93"/>
      <c r="BT195" s="71"/>
      <c r="BU195" s="834"/>
      <c r="BV195" s="807"/>
      <c r="BW195" s="807"/>
      <c r="BX195" s="807"/>
      <c r="BY195" s="508"/>
      <c r="BZ195" s="507"/>
      <c r="CA195" s="834"/>
      <c r="CB195" s="807"/>
      <c r="CC195" s="807"/>
      <c r="CD195" s="807"/>
      <c r="CE195" s="508"/>
      <c r="CF195" s="507"/>
      <c r="CG195" s="834"/>
      <c r="CH195" s="807"/>
      <c r="CI195" s="807"/>
      <c r="CJ195" s="807"/>
      <c r="CK195" s="508"/>
      <c r="CL195" s="507"/>
      <c r="CM195" s="834"/>
      <c r="CN195" s="807"/>
      <c r="CO195" s="807"/>
      <c r="CP195" s="807"/>
      <c r="CQ195" s="508"/>
      <c r="CR195" s="507"/>
      <c r="CS195" s="834"/>
      <c r="CT195" s="807"/>
      <c r="CU195" s="807"/>
      <c r="CV195" s="807"/>
      <c r="CW195" s="806"/>
      <c r="CX195" s="507"/>
      <c r="CY195" s="834"/>
      <c r="CZ195" s="807"/>
      <c r="DA195" s="807"/>
      <c r="DB195" s="807"/>
      <c r="DC195" s="508">
        <f>+(DC193-DC191)*(1-DC185)</f>
        <v>-41.644659748018235</v>
      </c>
      <c r="DD195" s="509"/>
      <c r="DE195" s="510">
        <f>+(DE193-DE191)*(1-DE185)</f>
        <v>-10.437414559125084</v>
      </c>
      <c r="DF195" s="509">
        <f>+(DF193-DF191)*(1-DF185)</f>
        <v>-10.479380549389568</v>
      </c>
      <c r="DG195" s="509">
        <f>+(DG193-DG191)*(1-DG185)</f>
        <v>-9.8969066867634972</v>
      </c>
      <c r="DH195" s="968">
        <f>+(DH193-DH191)*(1-DH185)</f>
        <v>-11.046552604698672</v>
      </c>
      <c r="DI195" s="163">
        <f>SUM(DE195:DH195)</f>
        <v>-41.860254399976824</v>
      </c>
      <c r="DJ195" s="509"/>
      <c r="DK195" s="510">
        <f>+(DK193-DK191)*(1-DK185)</f>
        <v>-10.031306969569483</v>
      </c>
      <c r="DL195" s="509">
        <f>+(DL193-DL191)*(1-DL185)</f>
        <v>-10.02425</v>
      </c>
      <c r="DM195" s="509">
        <f>+(DM193-DM191)*(1-DM185)</f>
        <v>-10.02425</v>
      </c>
      <c r="DN195" s="968">
        <f>+(DN193-DN191)*(1-DN185)</f>
        <v>-10.02425</v>
      </c>
      <c r="DO195" s="163">
        <f>SUM(DK195:DN195)</f>
        <v>-40.104056969569484</v>
      </c>
      <c r="DP195" s="509"/>
      <c r="DQ195" s="510">
        <f>+(DQ193-DQ191)*(1-DQ185)</f>
        <v>-10.02425</v>
      </c>
      <c r="DR195" s="509">
        <f>+(DR193-DR191)*(1-DR185)</f>
        <v>-10.02425</v>
      </c>
      <c r="DS195" s="509">
        <f>+(DS193-DS191)*(1-DS185)</f>
        <v>-10.02425</v>
      </c>
      <c r="DT195" s="968">
        <f>+(DT193-DT191)*(1-DT185)</f>
        <v>-10.02425</v>
      </c>
      <c r="DU195" s="163">
        <f>SUM(DQ195:DT195)</f>
        <v>-40.097000000000001</v>
      </c>
      <c r="DV195" s="509"/>
      <c r="DW195" s="510">
        <f>+(DW193-DW191)*(1-DW185)</f>
        <v>-9.9737500000000008</v>
      </c>
      <c r="DX195" s="509">
        <f>+(DX193-DX191)*(1-DX185)</f>
        <v>-9.9737500000000008</v>
      </c>
      <c r="DY195" s="509">
        <f>+(DY193-DY191)*(1-DY185)</f>
        <v>-9.9737500000000008</v>
      </c>
      <c r="DZ195" s="968">
        <f>+(DZ193-DZ191)*(1-DZ185)</f>
        <v>-9.9737500000000008</v>
      </c>
      <c r="EA195" s="163">
        <f>SUM(DW195:DZ195)</f>
        <v>-39.895000000000003</v>
      </c>
      <c r="EB195" s="509"/>
      <c r="EC195" s="510">
        <f>+(EC193-EC191)*(1-EC185)</f>
        <v>-9.9737500000000008</v>
      </c>
      <c r="ED195" s="509">
        <f>+(ED193-ED191)*(1-ED185)</f>
        <v>-9.9737500000000008</v>
      </c>
      <c r="EE195" s="509">
        <f>+(EE193-EE191)*(1-EE185)</f>
        <v>-9.9737500000000008</v>
      </c>
      <c r="EF195" s="968">
        <f>+(EF193-EF191)*(1-EF185)</f>
        <v>-9.9737500000000008</v>
      </c>
      <c r="EG195" s="163">
        <f>SUM(EC195:EF195)</f>
        <v>-39.895000000000003</v>
      </c>
    </row>
    <row r="196" spans="1:137" ht="11.25" customHeight="1" outlineLevel="2" x14ac:dyDescent="0.2">
      <c r="A196" s="981" t="s">
        <v>551</v>
      </c>
      <c r="B196" s="14"/>
      <c r="C196" s="14"/>
      <c r="D196" s="14"/>
      <c r="E196" s="93"/>
      <c r="F196" s="71"/>
      <c r="G196" s="93"/>
      <c r="H196" s="71"/>
      <c r="I196" s="93"/>
      <c r="J196" s="71"/>
      <c r="K196" s="93"/>
      <c r="L196" s="71"/>
      <c r="M196" s="84"/>
      <c r="N196" s="71"/>
      <c r="O196" s="71"/>
      <c r="P196" s="71"/>
      <c r="Q196" s="93"/>
      <c r="R196" s="71"/>
      <c r="S196" s="84"/>
      <c r="T196" s="71"/>
      <c r="U196" s="71"/>
      <c r="V196" s="71"/>
      <c r="W196" s="93"/>
      <c r="X196" s="71"/>
      <c r="Y196" s="84"/>
      <c r="Z196" s="71"/>
      <c r="AA196" s="71"/>
      <c r="AB196" s="71"/>
      <c r="AC196" s="93"/>
      <c r="AD196" s="71"/>
      <c r="AE196" s="84"/>
      <c r="AF196" s="71"/>
      <c r="AG196" s="71"/>
      <c r="AH196" s="71"/>
      <c r="AI196" s="93"/>
      <c r="AJ196" s="71"/>
      <c r="AK196" s="84"/>
      <c r="AL196" s="71"/>
      <c r="AM196" s="71"/>
      <c r="AN196" s="71"/>
      <c r="AO196" s="93"/>
      <c r="AP196" s="71"/>
      <c r="AQ196" s="84"/>
      <c r="AR196" s="71"/>
      <c r="AS196" s="71"/>
      <c r="AT196" s="71"/>
      <c r="AU196" s="93"/>
      <c r="AV196" s="71"/>
      <c r="AW196" s="84"/>
      <c r="AX196" s="71"/>
      <c r="AY196" s="71"/>
      <c r="AZ196" s="71"/>
      <c r="BA196" s="93"/>
      <c r="BB196" s="71"/>
      <c r="BC196" s="84"/>
      <c r="BD196" s="71"/>
      <c r="BE196" s="71"/>
      <c r="BF196" s="71"/>
      <c r="BG196" s="93"/>
      <c r="BH196" s="71"/>
      <c r="BI196" s="84"/>
      <c r="BJ196" s="71"/>
      <c r="BK196" s="71"/>
      <c r="BL196" s="71"/>
      <c r="BM196" s="93"/>
      <c r="BN196" s="71"/>
      <c r="BO196" s="84"/>
      <c r="BP196" s="71"/>
      <c r="BQ196" s="71"/>
      <c r="BR196" s="71"/>
      <c r="BS196" s="93"/>
      <c r="BT196" s="71"/>
      <c r="BU196" s="834"/>
      <c r="BV196" s="807"/>
      <c r="BW196" s="807"/>
      <c r="BX196" s="807"/>
      <c r="BY196" s="508"/>
      <c r="BZ196" s="507"/>
      <c r="CA196" s="834"/>
      <c r="CB196" s="807"/>
      <c r="CC196" s="807"/>
      <c r="CD196" s="807"/>
      <c r="CE196" s="508"/>
      <c r="CF196" s="507"/>
      <c r="CG196" s="834"/>
      <c r="CH196" s="807"/>
      <c r="CI196" s="807"/>
      <c r="CJ196" s="807"/>
      <c r="CK196" s="508"/>
      <c r="CL196" s="507"/>
      <c r="CM196" s="834"/>
      <c r="CN196" s="807"/>
      <c r="CO196" s="807"/>
      <c r="CP196" s="807"/>
      <c r="CQ196" s="508"/>
      <c r="CR196" s="507"/>
      <c r="CS196" s="834"/>
      <c r="CT196" s="807"/>
      <c r="CU196" s="807"/>
      <c r="CV196" s="807"/>
      <c r="CW196" s="806"/>
      <c r="CX196" s="507"/>
      <c r="CY196" s="834"/>
      <c r="CZ196" s="807"/>
      <c r="DA196" s="807"/>
      <c r="DB196" s="807"/>
      <c r="DC196" s="961">
        <f>+DC195/DC186</f>
        <v>-5.9509373746810854E-2</v>
      </c>
      <c r="DD196" s="509"/>
      <c r="DE196" s="959">
        <f>+DE195/DE186</f>
        <v>-1.4790158082931959E-2</v>
      </c>
      <c r="DF196" s="960">
        <f>+DF195/DF186</f>
        <v>-1.4855940671093802E-2</v>
      </c>
      <c r="DG196" s="960">
        <f>+DG195/DG186</f>
        <v>-1.4026228297567314E-2</v>
      </c>
      <c r="DH196" s="967">
        <f>+DH195/DH186</f>
        <v>-1.5611295371253069E-2</v>
      </c>
      <c r="DI196" s="961">
        <f>SUM(DE196:DH196)</f>
        <v>-5.9283622422846141E-2</v>
      </c>
      <c r="DJ196" s="509"/>
      <c r="DK196" s="959">
        <f>+DK195/DK186</f>
        <v>-1.4138558096644797E-2</v>
      </c>
      <c r="DL196" s="960">
        <f>+DL195/DL186</f>
        <v>-1.4102771525042204E-2</v>
      </c>
      <c r="DM196" s="960">
        <f>+DM195/DM186</f>
        <v>-1.4059256661991582E-2</v>
      </c>
      <c r="DN196" s="967">
        <f>+DN195/DN186</f>
        <v>-1.4016009507829975E-2</v>
      </c>
      <c r="DO196" s="961">
        <f>SUM(DK196:DN196)</f>
        <v>-5.6316595791508557E-2</v>
      </c>
      <c r="DP196" s="509"/>
      <c r="DQ196" s="959">
        <f>+DQ195/DQ186</f>
        <v>-1.397302759966546E-2</v>
      </c>
      <c r="DR196" s="960">
        <f>+DR195/DR186</f>
        <v>-1.3930308504724848E-2</v>
      </c>
      <c r="DS196" s="960">
        <f>+DS195/DS186</f>
        <v>-1.3887849819894707E-2</v>
      </c>
      <c r="DT196" s="967">
        <f>+DT195/DT186</f>
        <v>-1.3845649171270716E-2</v>
      </c>
      <c r="DU196" s="961">
        <f>SUM(DQ196:DT196)</f>
        <v>-5.5636835095555733E-2</v>
      </c>
      <c r="DV196" s="509"/>
      <c r="DW196" s="959">
        <f>+DW195/DW186</f>
        <v>-1.3806409191583612E-2</v>
      </c>
      <c r="DX196" s="960">
        <f>+DX195/DX186</f>
        <v>-1.3764490753519184E-2</v>
      </c>
      <c r="DY196" s="960">
        <f>+DY195/DY186</f>
        <v>-1.3722826086956522E-2</v>
      </c>
      <c r="DZ196" s="967">
        <f>+DZ195/DZ186</f>
        <v>-1.3681412894375857E-2</v>
      </c>
      <c r="EA196" s="961">
        <f>SUM(DW196:DZ196)</f>
        <v>-5.4975138926435171E-2</v>
      </c>
      <c r="EB196" s="509"/>
      <c r="EC196" s="959">
        <f>+EC195/EC186</f>
        <v>-1.3711506736321145E-2</v>
      </c>
      <c r="ED196" s="960">
        <f>+ED195/ED186</f>
        <v>-1.3670161732456141E-2</v>
      </c>
      <c r="EE196" s="960">
        <f>+EE195/EE186</f>
        <v>-1.3629065318393004E-2</v>
      </c>
      <c r="EF196" s="967">
        <f>+EF195/EF186</f>
        <v>-1.3588215258855585E-2</v>
      </c>
      <c r="EG196" s="961">
        <f>SUM(EC196:EF196)</f>
        <v>-5.4598949046025871E-2</v>
      </c>
    </row>
    <row r="197" spans="1:137" ht="11.25" customHeight="1" outlineLevel="2" x14ac:dyDescent="0.2">
      <c r="A197" s="981"/>
      <c r="B197" s="14"/>
      <c r="C197" s="14"/>
      <c r="D197" s="14"/>
      <c r="E197" s="93"/>
      <c r="F197" s="71"/>
      <c r="G197" s="93"/>
      <c r="H197" s="71"/>
      <c r="I197" s="93"/>
      <c r="J197" s="71"/>
      <c r="K197" s="93"/>
      <c r="L197" s="71"/>
      <c r="M197" s="84"/>
      <c r="N197" s="71"/>
      <c r="O197" s="71"/>
      <c r="P197" s="71"/>
      <c r="Q197" s="93"/>
      <c r="R197" s="71"/>
      <c r="S197" s="84"/>
      <c r="T197" s="71"/>
      <c r="U197" s="71"/>
      <c r="V197" s="71"/>
      <c r="W197" s="93"/>
      <c r="X197" s="71"/>
      <c r="Y197" s="84"/>
      <c r="Z197" s="71"/>
      <c r="AA197" s="71"/>
      <c r="AB197" s="71"/>
      <c r="AC197" s="93"/>
      <c r="AD197" s="71"/>
      <c r="AE197" s="84"/>
      <c r="AF197" s="71"/>
      <c r="AG197" s="71"/>
      <c r="AH197" s="71"/>
      <c r="AI197" s="93"/>
      <c r="AJ197" s="71"/>
      <c r="AK197" s="84"/>
      <c r="AL197" s="71"/>
      <c r="AM197" s="71"/>
      <c r="AN197" s="71"/>
      <c r="AO197" s="93"/>
      <c r="AP197" s="71"/>
      <c r="AQ197" s="84"/>
      <c r="AR197" s="71"/>
      <c r="AS197" s="71"/>
      <c r="AT197" s="71"/>
      <c r="AU197" s="93"/>
      <c r="AV197" s="71"/>
      <c r="AW197" s="84"/>
      <c r="AX197" s="71"/>
      <c r="AY197" s="71"/>
      <c r="AZ197" s="71"/>
      <c r="BA197" s="93"/>
      <c r="BB197" s="71"/>
      <c r="BC197" s="84"/>
      <c r="BD197" s="71"/>
      <c r="BE197" s="71"/>
      <c r="BF197" s="71"/>
      <c r="BG197" s="93"/>
      <c r="BH197" s="71"/>
      <c r="BI197" s="84"/>
      <c r="BJ197" s="71"/>
      <c r="BK197" s="71"/>
      <c r="BL197" s="71"/>
      <c r="BM197" s="93"/>
      <c r="BN197" s="71"/>
      <c r="BO197" s="84"/>
      <c r="BP197" s="71"/>
      <c r="BQ197" s="71"/>
      <c r="BR197" s="71"/>
      <c r="BS197" s="93"/>
      <c r="BT197" s="71"/>
      <c r="BU197" s="834"/>
      <c r="BV197" s="807"/>
      <c r="BW197" s="807"/>
      <c r="BX197" s="807"/>
      <c r="BY197" s="508"/>
      <c r="BZ197" s="507"/>
      <c r="CA197" s="834"/>
      <c r="CB197" s="807"/>
      <c r="CC197" s="807"/>
      <c r="CD197" s="807"/>
      <c r="CE197" s="508"/>
      <c r="CF197" s="507"/>
      <c r="CG197" s="834"/>
      <c r="CH197" s="807"/>
      <c r="CI197" s="807"/>
      <c r="CJ197" s="807"/>
      <c r="CK197" s="508"/>
      <c r="CL197" s="507"/>
      <c r="CM197" s="834"/>
      <c r="CN197" s="807"/>
      <c r="CO197" s="807"/>
      <c r="CP197" s="807"/>
      <c r="CQ197" s="508"/>
      <c r="CR197" s="507"/>
      <c r="CS197" s="834"/>
      <c r="CT197" s="807"/>
      <c r="CU197" s="807"/>
      <c r="CV197" s="807"/>
      <c r="CW197" s="806"/>
      <c r="CX197" s="507"/>
      <c r="CY197" s="834"/>
      <c r="CZ197" s="807"/>
      <c r="DA197" s="807"/>
      <c r="DB197" s="807"/>
      <c r="DC197" s="961"/>
      <c r="DD197" s="509"/>
      <c r="DE197" s="959"/>
      <c r="DF197" s="960"/>
      <c r="DG197" s="960"/>
      <c r="DH197" s="960"/>
      <c r="DI197" s="961"/>
      <c r="DJ197" s="509"/>
      <c r="DK197" s="959"/>
      <c r="DL197" s="960"/>
      <c r="DM197" s="960"/>
      <c r="DN197" s="960"/>
      <c r="DO197" s="961"/>
      <c r="DP197" s="509"/>
      <c r="DQ197" s="959"/>
      <c r="DR197" s="960"/>
      <c r="DS197" s="960"/>
      <c r="DT197" s="960"/>
      <c r="DU197" s="961"/>
      <c r="DV197" s="509"/>
      <c r="DW197" s="959"/>
      <c r="DX197" s="960"/>
      <c r="DY197" s="960"/>
      <c r="DZ197" s="960"/>
      <c r="EA197" s="961"/>
      <c r="EB197" s="509"/>
      <c r="EC197" s="959"/>
      <c r="ED197" s="960"/>
      <c r="EE197" s="960"/>
      <c r="EF197" s="960"/>
      <c r="EG197" s="961"/>
    </row>
    <row r="198" spans="1:137" ht="11.25" customHeight="1" outlineLevel="2" x14ac:dyDescent="0.2">
      <c r="A198" s="969" t="s">
        <v>553</v>
      </c>
      <c r="B198" s="970"/>
      <c r="C198" s="970"/>
      <c r="D198" s="970"/>
      <c r="E198" s="971"/>
      <c r="F198" s="972"/>
      <c r="G198" s="971"/>
      <c r="H198" s="972"/>
      <c r="I198" s="971"/>
      <c r="J198" s="972"/>
      <c r="K198" s="971"/>
      <c r="L198" s="972"/>
      <c r="M198" s="973"/>
      <c r="N198" s="972"/>
      <c r="O198" s="972"/>
      <c r="P198" s="972"/>
      <c r="Q198" s="971"/>
      <c r="R198" s="972"/>
      <c r="S198" s="973"/>
      <c r="T198" s="972"/>
      <c r="U198" s="972"/>
      <c r="V198" s="972"/>
      <c r="W198" s="971"/>
      <c r="X198" s="972"/>
      <c r="Y198" s="973"/>
      <c r="Z198" s="972"/>
      <c r="AA198" s="972"/>
      <c r="AB198" s="972"/>
      <c r="AC198" s="971"/>
      <c r="AD198" s="972"/>
      <c r="AE198" s="973"/>
      <c r="AF198" s="972"/>
      <c r="AG198" s="972"/>
      <c r="AH198" s="972"/>
      <c r="AI198" s="971"/>
      <c r="AJ198" s="972"/>
      <c r="AK198" s="973"/>
      <c r="AL198" s="972"/>
      <c r="AM198" s="972"/>
      <c r="AN198" s="972"/>
      <c r="AO198" s="971"/>
      <c r="AP198" s="972"/>
      <c r="AQ198" s="973"/>
      <c r="AR198" s="972"/>
      <c r="AS198" s="972"/>
      <c r="AT198" s="972"/>
      <c r="AU198" s="971"/>
      <c r="AV198" s="972"/>
      <c r="AW198" s="973"/>
      <c r="AX198" s="972"/>
      <c r="AY198" s="972"/>
      <c r="AZ198" s="972"/>
      <c r="BA198" s="971"/>
      <c r="BB198" s="972"/>
      <c r="BC198" s="973"/>
      <c r="BD198" s="972"/>
      <c r="BE198" s="972"/>
      <c r="BF198" s="972"/>
      <c r="BG198" s="971"/>
      <c r="BH198" s="972"/>
      <c r="BI198" s="973"/>
      <c r="BJ198" s="972"/>
      <c r="BK198" s="972"/>
      <c r="BL198" s="972"/>
      <c r="BM198" s="971"/>
      <c r="BN198" s="972"/>
      <c r="BO198" s="973"/>
      <c r="BP198" s="972"/>
      <c r="BQ198" s="972"/>
      <c r="BR198" s="972"/>
      <c r="BS198" s="971"/>
      <c r="BT198" s="972"/>
      <c r="BU198" s="974"/>
      <c r="BV198" s="975"/>
      <c r="BW198" s="975"/>
      <c r="BX198" s="975"/>
      <c r="BY198" s="976"/>
      <c r="BZ198" s="977"/>
      <c r="CA198" s="974"/>
      <c r="CB198" s="975"/>
      <c r="CC198" s="975"/>
      <c r="CD198" s="975"/>
      <c r="CE198" s="976"/>
      <c r="CF198" s="977"/>
      <c r="CG198" s="974"/>
      <c r="CH198" s="975"/>
      <c r="CI198" s="975"/>
      <c r="CJ198" s="975"/>
      <c r="CK198" s="976"/>
      <c r="CL198" s="977"/>
      <c r="CM198" s="974"/>
      <c r="CN198" s="975"/>
      <c r="CO198" s="975"/>
      <c r="CP198" s="975"/>
      <c r="CQ198" s="976"/>
      <c r="CR198" s="977"/>
      <c r="CS198" s="974"/>
      <c r="CT198" s="975"/>
      <c r="CU198" s="975"/>
      <c r="CV198" s="975"/>
      <c r="CW198" s="978"/>
      <c r="CX198" s="977"/>
      <c r="CY198" s="974"/>
      <c r="CZ198" s="975"/>
      <c r="DA198" s="975"/>
      <c r="DB198" s="975"/>
      <c r="DC198" s="1012">
        <f>+DC196+DC188</f>
        <v>-2.6110916069015555E-2</v>
      </c>
      <c r="DD198" s="979"/>
      <c r="DE198" s="994">
        <f>+DE196+DE188</f>
        <v>2.0718531725006775E-2</v>
      </c>
      <c r="DF198" s="995">
        <f>+DF196+DF188</f>
        <v>1.994410655336025E-2</v>
      </c>
      <c r="DG198" s="995">
        <f>+DG196+DG188</f>
        <v>2.5310650398992066E-2</v>
      </c>
      <c r="DH198" s="995">
        <f>+DH196+DH188</f>
        <v>4.5293946340462597E-2</v>
      </c>
      <c r="DI198" s="980">
        <f>+DI196+DI188</f>
        <v>0.11131414893120363</v>
      </c>
      <c r="DJ198" s="979"/>
      <c r="DK198" s="994">
        <f>+DK196+DK188</f>
        <v>6.778764082700213E-2</v>
      </c>
      <c r="DL198" s="995">
        <f>+DL196+DL188</f>
        <v>3.6184123500685499E-2</v>
      </c>
      <c r="DM198" s="995">
        <f>+DM196+DM188</f>
        <v>3.7746069822234107E-2</v>
      </c>
      <c r="DN198" s="995">
        <f>+DN196+DN188</f>
        <v>4.6755574027907372E-2</v>
      </c>
      <c r="DO198" s="980">
        <f>+DO196+DO188</f>
        <v>0.18848126549326047</v>
      </c>
      <c r="DP198" s="979"/>
      <c r="DQ198" s="994">
        <f>+DQ196+DQ188</f>
        <v>5.6560761796837104E-2</v>
      </c>
      <c r="DR198" s="995">
        <f>+DR196+DR188</f>
        <v>4.8966153991896744E-2</v>
      </c>
      <c r="DS198" s="995">
        <f>+DS196+DS188</f>
        <v>5.2456030007348574E-2</v>
      </c>
      <c r="DT198" s="995">
        <f>+DT196+DT188</f>
        <v>6.3857302162178525E-2</v>
      </c>
      <c r="DU198" s="980">
        <f>+DU196+DU188</f>
        <v>0.22187833647422539</v>
      </c>
      <c r="DV198" s="979"/>
      <c r="DW198" s="994">
        <f>+DW196+DW188</f>
        <v>6.78551508351114E-2</v>
      </c>
      <c r="DX198" s="995">
        <f>+DX196+DX188</f>
        <v>6.7992939854162035E-2</v>
      </c>
      <c r="DY198" s="995">
        <f>+DY196+DY188</f>
        <v>7.2252061720704877E-2</v>
      </c>
      <c r="DZ198" s="995">
        <f>+DZ196+DZ188</f>
        <v>8.5949110842516344E-2</v>
      </c>
      <c r="EA198" s="980">
        <f>+EA196+EA188</f>
        <v>0.29413736685338149</v>
      </c>
      <c r="EB198" s="979"/>
      <c r="EC198" s="994">
        <f>+EC196+EC188</f>
        <v>8.7967662720685152E-2</v>
      </c>
      <c r="ED198" s="995">
        <f>+ED196+ED188</f>
        <v>8.9009355056065803E-2</v>
      </c>
      <c r="EE198" s="995">
        <f>+EE196+EE188</f>
        <v>9.3237878845829292E-2</v>
      </c>
      <c r="EF198" s="995">
        <f>+EF196+EF188</f>
        <v>0.10211498816818632</v>
      </c>
      <c r="EG198" s="980">
        <f>+EG196+EG188</f>
        <v>0.37239952415331529</v>
      </c>
    </row>
    <row r="199" spans="1:137" ht="11.25" customHeight="1" outlineLevel="2" x14ac:dyDescent="0.2">
      <c r="A199" s="958"/>
      <c r="B199" s="14"/>
      <c r="C199" s="14"/>
      <c r="D199" s="14"/>
      <c r="E199" s="93"/>
      <c r="F199" s="71"/>
      <c r="G199" s="93"/>
      <c r="H199" s="71"/>
      <c r="I199" s="93"/>
      <c r="J199" s="71"/>
      <c r="K199" s="93"/>
      <c r="L199" s="71"/>
      <c r="M199" s="84"/>
      <c r="N199" s="71"/>
      <c r="O199" s="71"/>
      <c r="P199" s="71"/>
      <c r="Q199" s="93"/>
      <c r="R199" s="71"/>
      <c r="S199" s="84"/>
      <c r="T199" s="71"/>
      <c r="U199" s="71"/>
      <c r="V199" s="71"/>
      <c r="W199" s="93"/>
      <c r="X199" s="71"/>
      <c r="Y199" s="84"/>
      <c r="Z199" s="71"/>
      <c r="AA199" s="71"/>
      <c r="AB199" s="71"/>
      <c r="AC199" s="93"/>
      <c r="AD199" s="71"/>
      <c r="AE199" s="84"/>
      <c r="AF199" s="71"/>
      <c r="AG199" s="71"/>
      <c r="AH199" s="71"/>
      <c r="AI199" s="93"/>
      <c r="AJ199" s="71"/>
      <c r="AK199" s="84"/>
      <c r="AL199" s="71"/>
      <c r="AM199" s="71"/>
      <c r="AN199" s="71"/>
      <c r="AO199" s="93"/>
      <c r="AP199" s="71"/>
      <c r="AQ199" s="84"/>
      <c r="AR199" s="71"/>
      <c r="AS199" s="71"/>
      <c r="AT199" s="71"/>
      <c r="AU199" s="93"/>
      <c r="AV199" s="71"/>
      <c r="AW199" s="84"/>
      <c r="AX199" s="71"/>
      <c r="AY199" s="71"/>
      <c r="AZ199" s="71"/>
      <c r="BA199" s="93"/>
      <c r="BB199" s="71"/>
      <c r="BC199" s="84"/>
      <c r="BD199" s="71"/>
      <c r="BE199" s="71"/>
      <c r="BF199" s="71"/>
      <c r="BG199" s="93"/>
      <c r="BH199" s="71"/>
      <c r="BI199" s="84"/>
      <c r="BJ199" s="71"/>
      <c r="BK199" s="71"/>
      <c r="BL199" s="71"/>
      <c r="BM199" s="93"/>
      <c r="BN199" s="71"/>
      <c r="BO199" s="84"/>
      <c r="BP199" s="71"/>
      <c r="BQ199" s="71"/>
      <c r="BR199" s="71"/>
      <c r="BS199" s="93"/>
      <c r="BT199" s="71"/>
      <c r="BU199" s="834"/>
      <c r="BV199" s="807"/>
      <c r="BW199" s="807"/>
      <c r="BX199" s="807"/>
      <c r="BY199" s="508"/>
      <c r="BZ199" s="507"/>
      <c r="CA199" s="834"/>
      <c r="CB199" s="807"/>
      <c r="CC199" s="807"/>
      <c r="CD199" s="807"/>
      <c r="CE199" s="508"/>
      <c r="CF199" s="507"/>
      <c r="CG199" s="834"/>
      <c r="CH199" s="807"/>
      <c r="CI199" s="807"/>
      <c r="CJ199" s="807"/>
      <c r="CK199" s="508"/>
      <c r="CL199" s="507"/>
      <c r="CM199" s="834"/>
      <c r="CN199" s="807"/>
      <c r="CO199" s="807"/>
      <c r="CP199" s="807"/>
      <c r="CQ199" s="508"/>
      <c r="CR199" s="507"/>
      <c r="CS199" s="834"/>
      <c r="CT199" s="807"/>
      <c r="CU199" s="807"/>
      <c r="CV199" s="807"/>
      <c r="CW199" s="806"/>
      <c r="CX199" s="507"/>
      <c r="CY199" s="834"/>
      <c r="CZ199" s="807"/>
      <c r="DA199" s="807"/>
      <c r="DB199" s="807"/>
      <c r="DC199" s="806"/>
      <c r="DD199" s="509"/>
      <c r="DE199" s="897"/>
      <c r="DF199" s="898"/>
      <c r="DG199" s="898"/>
      <c r="DH199" s="898"/>
      <c r="DI199" s="508"/>
      <c r="DJ199" s="509"/>
      <c r="DK199" s="897"/>
      <c r="DL199" s="898"/>
      <c r="DM199" s="898"/>
      <c r="DN199" s="898"/>
      <c r="DO199" s="508"/>
      <c r="DP199" s="509"/>
      <c r="DQ199" s="897"/>
      <c r="DR199" s="898"/>
      <c r="DS199" s="898"/>
      <c r="DT199" s="898"/>
      <c r="DU199" s="508"/>
      <c r="DV199" s="509"/>
      <c r="DW199" s="897"/>
      <c r="DX199" s="898"/>
      <c r="DY199" s="898"/>
      <c r="DZ199" s="898"/>
      <c r="EA199" s="508"/>
      <c r="EB199" s="509"/>
      <c r="EC199" s="897"/>
      <c r="ED199" s="898"/>
      <c r="EE199" s="898"/>
      <c r="EF199" s="898"/>
      <c r="EG199" s="508"/>
    </row>
    <row r="200" spans="1:137" ht="11.25" customHeight="1" outlineLevel="1" x14ac:dyDescent="0.2">
      <c r="A200" s="106" t="s">
        <v>113</v>
      </c>
      <c r="B200" s="74"/>
      <c r="C200" s="74"/>
      <c r="D200" s="74"/>
      <c r="E200" s="107"/>
      <c r="F200" s="75"/>
      <c r="G200" s="107"/>
      <c r="H200" s="75"/>
      <c r="I200" s="107"/>
      <c r="J200" s="75"/>
      <c r="K200" s="107"/>
      <c r="L200" s="75"/>
      <c r="M200" s="109"/>
      <c r="N200" s="110"/>
      <c r="O200" s="110"/>
      <c r="P200" s="110"/>
      <c r="Q200" s="107"/>
      <c r="R200" s="75"/>
      <c r="S200" s="109"/>
      <c r="T200" s="110"/>
      <c r="U200" s="110"/>
      <c r="V200" s="110"/>
      <c r="W200" s="107"/>
      <c r="X200" s="75"/>
      <c r="Y200" s="109"/>
      <c r="Z200" s="110"/>
      <c r="AA200" s="110"/>
      <c r="AB200" s="110"/>
      <c r="AC200" s="107"/>
      <c r="AD200" s="75"/>
      <c r="AE200" s="109"/>
      <c r="AF200" s="110"/>
      <c r="AG200" s="110"/>
      <c r="AH200" s="110"/>
      <c r="AI200" s="107"/>
      <c r="AJ200" s="75"/>
      <c r="AK200" s="109"/>
      <c r="AL200" s="110"/>
      <c r="AM200" s="110"/>
      <c r="AN200" s="110"/>
      <c r="AO200" s="107"/>
      <c r="AP200" s="75"/>
      <c r="AQ200" s="109"/>
      <c r="AR200" s="110"/>
      <c r="AS200" s="110"/>
      <c r="AT200" s="110"/>
      <c r="AU200" s="107"/>
      <c r="AV200" s="75"/>
      <c r="AW200" s="109"/>
      <c r="AX200" s="110"/>
      <c r="AY200" s="110"/>
      <c r="AZ200" s="110"/>
      <c r="BA200" s="107"/>
      <c r="BB200" s="75"/>
      <c r="BC200" s="109"/>
      <c r="BD200" s="110"/>
      <c r="BE200" s="110"/>
      <c r="BF200" s="110"/>
      <c r="BG200" s="107"/>
      <c r="BH200" s="75"/>
      <c r="BI200" s="109"/>
      <c r="BJ200" s="110"/>
      <c r="BK200" s="110"/>
      <c r="BL200" s="110"/>
      <c r="BM200" s="107"/>
      <c r="BN200" s="75"/>
      <c r="BO200" s="109"/>
      <c r="BP200" s="110"/>
      <c r="BQ200" s="110"/>
      <c r="BR200" s="110"/>
      <c r="BS200" s="107"/>
      <c r="BT200" s="75"/>
      <c r="BU200" s="109"/>
      <c r="BV200" s="110"/>
      <c r="BW200" s="110"/>
      <c r="BX200" s="110"/>
      <c r="BY200" s="107"/>
      <c r="BZ200" s="75"/>
      <c r="CA200" s="109"/>
      <c r="CB200" s="110"/>
      <c r="CC200" s="110"/>
      <c r="CD200" s="110"/>
      <c r="CE200" s="107"/>
      <c r="CF200" s="75"/>
      <c r="CG200" s="109"/>
      <c r="CH200" s="110"/>
      <c r="CI200" s="110"/>
      <c r="CJ200" s="110"/>
      <c r="CK200" s="107"/>
      <c r="CL200" s="75"/>
      <c r="CM200" s="109"/>
      <c r="CN200" s="110"/>
      <c r="CO200" s="110"/>
      <c r="CP200" s="110"/>
      <c r="CQ200" s="107"/>
      <c r="CR200" s="75"/>
      <c r="CS200" s="109"/>
      <c r="CT200" s="110"/>
      <c r="CU200" s="110"/>
      <c r="CV200" s="110"/>
      <c r="CW200" s="107"/>
      <c r="CX200" s="75"/>
      <c r="CY200" s="109"/>
      <c r="CZ200" s="110"/>
      <c r="DA200" s="110"/>
      <c r="DB200" s="110"/>
      <c r="DC200" s="107"/>
      <c r="DD200" s="75"/>
      <c r="DE200" s="109"/>
      <c r="DF200" s="110"/>
      <c r="DG200" s="110"/>
      <c r="DH200" s="110"/>
      <c r="DI200" s="107"/>
      <c r="DJ200" s="75"/>
      <c r="DK200" s="109"/>
      <c r="DL200" s="110"/>
      <c r="DM200" s="110"/>
      <c r="DN200" s="110"/>
      <c r="DO200" s="107"/>
      <c r="DP200" s="75"/>
      <c r="DQ200" s="109"/>
      <c r="DR200" s="110"/>
      <c r="DS200" s="110"/>
      <c r="DT200" s="110"/>
      <c r="DU200" s="107"/>
      <c r="DV200" s="75"/>
      <c r="DW200" s="109"/>
      <c r="DX200" s="110"/>
      <c r="DY200" s="110"/>
      <c r="DZ200" s="110"/>
      <c r="EA200" s="107"/>
      <c r="EB200" s="75"/>
      <c r="EC200" s="109"/>
      <c r="ED200" s="110"/>
      <c r="EE200" s="110"/>
      <c r="EF200" s="110"/>
      <c r="EG200" s="107"/>
    </row>
    <row r="201" spans="1:137" ht="11.25" customHeight="1" outlineLevel="1" x14ac:dyDescent="0.2">
      <c r="A201" s="436" t="s">
        <v>115</v>
      </c>
      <c r="B201" s="14"/>
      <c r="C201" s="14"/>
      <c r="D201" s="14"/>
      <c r="E201" s="92"/>
      <c r="F201" s="71"/>
      <c r="G201" s="92"/>
      <c r="H201" s="71"/>
      <c r="I201" s="92"/>
      <c r="J201" s="71"/>
      <c r="K201" s="92"/>
      <c r="L201" s="71"/>
      <c r="M201" s="84"/>
      <c r="N201" s="71"/>
      <c r="O201" s="71"/>
      <c r="P201" s="71"/>
      <c r="Q201" s="92"/>
      <c r="R201" s="71"/>
      <c r="S201" s="84"/>
      <c r="T201" s="71"/>
      <c r="U201" s="71"/>
      <c r="V201" s="71"/>
      <c r="W201" s="92"/>
      <c r="X201" s="71"/>
      <c r="Y201" s="84"/>
      <c r="Z201" s="71"/>
      <c r="AA201" s="71"/>
      <c r="AB201" s="71"/>
      <c r="AC201" s="92"/>
      <c r="AD201" s="71"/>
      <c r="AE201" s="84"/>
      <c r="AF201" s="71"/>
      <c r="AG201" s="71"/>
      <c r="AH201" s="71"/>
      <c r="AI201" s="92"/>
      <c r="AJ201" s="71"/>
      <c r="AK201" s="84"/>
      <c r="AL201" s="71"/>
      <c r="AM201" s="71"/>
      <c r="AN201" s="71"/>
      <c r="AO201" s="92"/>
      <c r="AP201" s="71"/>
      <c r="AQ201" s="84"/>
      <c r="AR201" s="71"/>
      <c r="AS201" s="71"/>
      <c r="AT201" s="71"/>
      <c r="AU201" s="92"/>
      <c r="AV201" s="71"/>
      <c r="AW201" s="84"/>
      <c r="AX201" s="71"/>
      <c r="AY201" s="71"/>
      <c r="AZ201" s="71"/>
      <c r="BA201" s="92"/>
      <c r="BB201" s="71"/>
      <c r="BC201" s="84"/>
      <c r="BD201" s="71"/>
      <c r="BE201" s="71"/>
      <c r="BF201" s="71"/>
      <c r="BG201" s="91"/>
      <c r="BH201" s="71"/>
      <c r="BI201" s="81"/>
      <c r="BJ201" s="69"/>
      <c r="BK201" s="69"/>
      <c r="BL201" s="69"/>
      <c r="BM201" s="91"/>
      <c r="BN201" s="71"/>
      <c r="BO201" s="81"/>
      <c r="BP201" s="69"/>
      <c r="BQ201" s="69"/>
      <c r="BR201" s="69"/>
      <c r="BS201" s="91"/>
      <c r="BT201" s="71"/>
      <c r="BU201" s="81"/>
      <c r="BV201" s="69"/>
      <c r="BW201" s="69"/>
      <c r="BX201" s="69"/>
      <c r="BY201" s="91"/>
      <c r="BZ201" s="71"/>
      <c r="CA201" s="81"/>
      <c r="CB201" s="69"/>
      <c r="CC201" s="69"/>
      <c r="CD201" s="69"/>
      <c r="CE201" s="91"/>
      <c r="CF201" s="71"/>
      <c r="CG201" s="81"/>
      <c r="CH201" s="69"/>
      <c r="CI201" s="69"/>
      <c r="CJ201" s="69"/>
      <c r="CK201" s="91"/>
      <c r="CL201" s="71"/>
      <c r="CM201" s="81"/>
      <c r="CN201" s="69"/>
      <c r="CO201" s="69"/>
      <c r="CP201" s="69"/>
      <c r="CQ201" s="91"/>
      <c r="CR201" s="71"/>
      <c r="CS201" s="81"/>
      <c r="CT201" s="69"/>
      <c r="CU201" s="69"/>
      <c r="CV201" s="69"/>
      <c r="CW201" s="93"/>
      <c r="CX201" s="71"/>
      <c r="CY201" s="81"/>
      <c r="CZ201" s="69"/>
      <c r="DA201" s="69"/>
      <c r="DB201" s="69"/>
      <c r="DC201" s="91"/>
      <c r="DD201" s="71"/>
      <c r="DE201" s="82"/>
      <c r="DF201" s="67"/>
      <c r="DG201" s="67"/>
      <c r="DH201" s="67"/>
      <c r="DI201" s="93"/>
      <c r="DJ201" s="71"/>
      <c r="DK201" s="82"/>
      <c r="DL201" s="67"/>
      <c r="DM201" s="67"/>
      <c r="DN201" s="67"/>
      <c r="DO201" s="93"/>
      <c r="DP201" s="71"/>
      <c r="DQ201" s="82"/>
      <c r="DR201" s="67"/>
      <c r="DS201" s="67"/>
      <c r="DT201" s="67"/>
      <c r="DU201" s="93"/>
      <c r="DV201" s="71"/>
      <c r="DW201" s="82"/>
      <c r="DX201" s="67"/>
      <c r="DY201" s="67"/>
      <c r="DZ201" s="67"/>
      <c r="EA201" s="93"/>
      <c r="EB201" s="71"/>
      <c r="EC201" s="82"/>
      <c r="ED201" s="67"/>
      <c r="EE201" s="67"/>
      <c r="EF201" s="67"/>
      <c r="EG201" s="93"/>
    </row>
    <row r="202" spans="1:137" ht="11.25" customHeight="1" outlineLevel="1" x14ac:dyDescent="0.2">
      <c r="A202" s="455" t="s">
        <v>391</v>
      </c>
      <c r="B202" s="40"/>
      <c r="C202" s="40"/>
      <c r="D202" s="40"/>
      <c r="E202" s="436"/>
      <c r="F202" s="40"/>
      <c r="G202" s="436"/>
      <c r="H202" s="40"/>
      <c r="I202" s="436"/>
      <c r="J202" s="40"/>
      <c r="K202" s="436"/>
      <c r="L202" s="40"/>
      <c r="M202" s="430"/>
      <c r="N202" s="40"/>
      <c r="O202" s="40"/>
      <c r="P202" s="40"/>
      <c r="Q202" s="436"/>
      <c r="R202" s="40"/>
      <c r="S202" s="430"/>
      <c r="T202" s="40"/>
      <c r="U202" s="40"/>
      <c r="V202" s="40"/>
      <c r="W202" s="436"/>
      <c r="X202" s="40"/>
      <c r="Y202" s="430"/>
      <c r="Z202" s="40"/>
      <c r="AA202" s="40"/>
      <c r="AB202" s="40"/>
      <c r="AC202" s="436"/>
      <c r="AD202" s="40"/>
      <c r="AE202" s="430"/>
      <c r="AF202" s="40"/>
      <c r="AG202" s="40"/>
      <c r="AH202" s="40"/>
      <c r="AI202" s="436"/>
      <c r="AJ202" s="40"/>
      <c r="AK202" s="430"/>
      <c r="AL202" s="40"/>
      <c r="AM202" s="40"/>
      <c r="AN202" s="40"/>
      <c r="AO202" s="436"/>
      <c r="AP202" s="40"/>
      <c r="AQ202" s="430"/>
      <c r="AR202" s="40"/>
      <c r="AS202" s="40"/>
      <c r="AT202" s="40"/>
      <c r="AU202" s="436"/>
      <c r="AV202" s="40"/>
      <c r="AW202" s="430"/>
      <c r="AX202" s="40"/>
      <c r="AY202" s="40"/>
      <c r="AZ202" s="40"/>
      <c r="BA202" s="436"/>
      <c r="BB202" s="40"/>
      <c r="BC202" s="430"/>
      <c r="BD202" s="40"/>
      <c r="BE202" s="40"/>
      <c r="BF202" s="40"/>
      <c r="BG202" s="436"/>
      <c r="BH202" s="40"/>
      <c r="BI202" s="430"/>
      <c r="BJ202" s="40"/>
      <c r="BK202" s="40"/>
      <c r="BL202" s="40"/>
      <c r="BM202" s="436"/>
      <c r="BN202" s="40"/>
      <c r="BO202" s="430"/>
      <c r="BP202" s="40"/>
      <c r="BQ202" s="40"/>
      <c r="BR202" s="40"/>
      <c r="BS202" s="436"/>
      <c r="BT202" s="40"/>
      <c r="BU202" s="430"/>
      <c r="BV202" s="40"/>
      <c r="BW202" s="40"/>
      <c r="BX202" s="40"/>
      <c r="BY202" s="436"/>
      <c r="BZ202" s="40"/>
      <c r="CA202" s="430"/>
      <c r="CB202" s="40"/>
      <c r="CC202" s="40"/>
      <c r="CD202" s="40"/>
      <c r="CE202" s="436"/>
      <c r="CF202" s="40"/>
      <c r="CG202" s="430"/>
      <c r="CH202" s="40"/>
      <c r="CI202" s="40"/>
      <c r="CJ202" s="40"/>
      <c r="CK202" s="436"/>
      <c r="CL202" s="40"/>
      <c r="CM202" s="430"/>
      <c r="CN202" s="40"/>
      <c r="CO202" s="40"/>
      <c r="CP202" s="40"/>
      <c r="CQ202" s="436"/>
      <c r="CR202" s="40"/>
      <c r="CS202" s="441"/>
      <c r="CT202" s="39"/>
      <c r="CU202" s="39"/>
      <c r="CV202" s="39"/>
      <c r="CW202" s="436"/>
      <c r="CX202" s="40"/>
      <c r="CY202" s="441"/>
      <c r="CZ202" s="39"/>
      <c r="DA202" s="39"/>
      <c r="DB202" s="39"/>
      <c r="DC202" s="446"/>
      <c r="DD202" s="40"/>
      <c r="DE202" s="430"/>
      <c r="DF202" s="40"/>
      <c r="DG202" s="40"/>
      <c r="DH202" s="40"/>
      <c r="DI202" s="436"/>
      <c r="DJ202" s="40"/>
      <c r="DK202" s="430"/>
      <c r="DL202" s="40"/>
      <c r="DM202" s="40"/>
      <c r="DN202" s="40"/>
      <c r="DO202" s="436"/>
      <c r="DP202" s="40"/>
      <c r="DQ202" s="430"/>
      <c r="DR202" s="40"/>
      <c r="DS202" s="40"/>
      <c r="DT202" s="40"/>
      <c r="DU202" s="436"/>
      <c r="DV202" s="40"/>
      <c r="DW202" s="430"/>
      <c r="DX202" s="40"/>
      <c r="DY202" s="40"/>
      <c r="DZ202" s="40"/>
      <c r="EA202" s="436"/>
      <c r="EB202" s="40"/>
      <c r="EC202" s="430"/>
      <c r="ED202" s="40"/>
      <c r="EE202" s="40"/>
      <c r="EF202" s="40"/>
      <c r="EG202" s="436"/>
    </row>
    <row r="203" spans="1:137" ht="11.25" customHeight="1" outlineLevel="1" x14ac:dyDescent="0.2">
      <c r="A203" s="452" t="s">
        <v>115</v>
      </c>
      <c r="B203" s="38"/>
      <c r="C203" s="38"/>
      <c r="D203" s="38"/>
      <c r="E203" s="452"/>
      <c r="F203" s="38"/>
      <c r="G203" s="452"/>
      <c r="H203" s="38"/>
      <c r="I203" s="452"/>
      <c r="J203" s="38"/>
      <c r="K203" s="452"/>
      <c r="L203" s="38"/>
      <c r="M203" s="433"/>
      <c r="N203" s="38"/>
      <c r="O203" s="38"/>
      <c r="P203" s="38"/>
      <c r="Q203" s="452"/>
      <c r="R203" s="38"/>
      <c r="S203" s="433"/>
      <c r="T203" s="38"/>
      <c r="U203" s="38"/>
      <c r="V203" s="38"/>
      <c r="W203" s="452"/>
      <c r="X203" s="38"/>
      <c r="Y203" s="433"/>
      <c r="Z203" s="38"/>
      <c r="AA203" s="38"/>
      <c r="AB203" s="38"/>
      <c r="AC203" s="452"/>
      <c r="AD203" s="38"/>
      <c r="AE203" s="433"/>
      <c r="AF203" s="38"/>
      <c r="AG203" s="38"/>
      <c r="AH203" s="38"/>
      <c r="AI203" s="452"/>
      <c r="AJ203" s="38"/>
      <c r="AK203" s="433"/>
      <c r="AL203" s="38"/>
      <c r="AM203" s="38"/>
      <c r="AN203" s="38"/>
      <c r="AO203" s="452"/>
      <c r="AP203" s="38"/>
      <c r="AQ203" s="433"/>
      <c r="AR203" s="38"/>
      <c r="AS203" s="38"/>
      <c r="AT203" s="38"/>
      <c r="AU203" s="452"/>
      <c r="AV203" s="38"/>
      <c r="AW203" s="433"/>
      <c r="AX203" s="38"/>
      <c r="AY203" s="38"/>
      <c r="AZ203" s="38"/>
      <c r="BA203" s="452"/>
      <c r="BB203" s="38"/>
      <c r="BC203" s="433"/>
      <c r="BD203" s="38"/>
      <c r="BE203" s="38"/>
      <c r="BF203" s="38"/>
      <c r="BG203" s="452"/>
      <c r="BH203" s="38"/>
      <c r="BI203" s="433"/>
      <c r="BJ203" s="38"/>
      <c r="BK203" s="38"/>
      <c r="BL203" s="38"/>
      <c r="BM203" s="452"/>
      <c r="BN203" s="38"/>
      <c r="BO203" s="433"/>
      <c r="BP203" s="38"/>
      <c r="BQ203" s="38"/>
      <c r="BR203" s="38"/>
      <c r="BS203" s="452"/>
      <c r="BT203" s="38"/>
      <c r="BU203" s="433"/>
      <c r="BV203" s="38"/>
      <c r="BW203" s="38"/>
      <c r="BX203" s="38"/>
      <c r="BY203" s="452"/>
      <c r="BZ203" s="38"/>
      <c r="CA203" s="433"/>
      <c r="CB203" s="38"/>
      <c r="CC203" s="38"/>
      <c r="CD203" s="38"/>
      <c r="CE203" s="452"/>
      <c r="CF203" s="38"/>
      <c r="CG203" s="433"/>
      <c r="CH203" s="38"/>
      <c r="CI203" s="38"/>
      <c r="CJ203" s="38"/>
      <c r="CK203" s="452"/>
      <c r="CL203" s="38"/>
      <c r="CM203" s="433"/>
      <c r="CN203" s="38"/>
      <c r="CO203" s="38"/>
      <c r="CP203" s="38"/>
      <c r="CQ203" s="452"/>
      <c r="CR203" s="38"/>
      <c r="CS203" s="442" t="s">
        <v>382</v>
      </c>
      <c r="CT203" s="347" t="s">
        <v>382</v>
      </c>
      <c r="CU203" s="347" t="s">
        <v>383</v>
      </c>
      <c r="CV203" s="347" t="s">
        <v>383</v>
      </c>
      <c r="CW203" s="47"/>
      <c r="CX203" s="15"/>
      <c r="CY203" s="442" t="s">
        <v>383</v>
      </c>
      <c r="CZ203" s="347" t="s">
        <v>390</v>
      </c>
      <c r="DA203" s="347" t="s">
        <v>387</v>
      </c>
      <c r="DB203" s="347"/>
      <c r="DC203" s="445"/>
      <c r="DD203" s="44"/>
      <c r="DE203" s="431"/>
      <c r="DF203" s="37"/>
      <c r="DG203" s="37"/>
      <c r="DH203" s="1323">
        <v>0.06</v>
      </c>
      <c r="DI203" s="437"/>
      <c r="DJ203" s="44"/>
      <c r="DK203" s="431"/>
      <c r="DL203" s="37"/>
      <c r="DM203" s="37"/>
      <c r="DN203" s="37"/>
      <c r="DO203" s="437"/>
      <c r="DP203" s="44"/>
      <c r="DQ203" s="431"/>
      <c r="DR203" s="37"/>
      <c r="DS203" s="37"/>
      <c r="DT203" s="37"/>
      <c r="DU203" s="437"/>
      <c r="DV203" s="44"/>
      <c r="DW203" s="431"/>
      <c r="DX203" s="37"/>
      <c r="DY203" s="37"/>
      <c r="DZ203" s="37"/>
      <c r="EA203" s="437"/>
      <c r="EB203" s="44"/>
      <c r="EC203" s="431"/>
      <c r="ED203" s="37"/>
      <c r="EE203" s="37"/>
      <c r="EF203" s="37"/>
      <c r="EG203" s="437"/>
    </row>
    <row r="204" spans="1:137" ht="11.25" customHeight="1" outlineLevel="1" x14ac:dyDescent="0.2">
      <c r="A204" s="452" t="s">
        <v>65</v>
      </c>
      <c r="B204" s="38"/>
      <c r="C204" s="38"/>
      <c r="D204" s="38"/>
      <c r="E204" s="452"/>
      <c r="F204" s="38"/>
      <c r="G204" s="452"/>
      <c r="H204" s="38"/>
      <c r="I204" s="452"/>
      <c r="J204" s="38"/>
      <c r="K204" s="452"/>
      <c r="L204" s="38"/>
      <c r="M204" s="433"/>
      <c r="N204" s="38"/>
      <c r="O204" s="38"/>
      <c r="P204" s="38"/>
      <c r="Q204" s="452"/>
      <c r="R204" s="38"/>
      <c r="S204" s="433"/>
      <c r="T204" s="38"/>
      <c r="U204" s="38"/>
      <c r="V204" s="38"/>
      <c r="W204" s="452"/>
      <c r="X204" s="38"/>
      <c r="Y204" s="433"/>
      <c r="Z204" s="38"/>
      <c r="AA204" s="38"/>
      <c r="AB204" s="38"/>
      <c r="AC204" s="452"/>
      <c r="AD204" s="38"/>
      <c r="AE204" s="433"/>
      <c r="AF204" s="38"/>
      <c r="AG204" s="38"/>
      <c r="AH204" s="38"/>
      <c r="AI204" s="452"/>
      <c r="AJ204" s="38"/>
      <c r="AK204" s="433"/>
      <c r="AL204" s="38"/>
      <c r="AM204" s="38"/>
      <c r="AN204" s="38"/>
      <c r="AO204" s="452"/>
      <c r="AP204" s="38"/>
      <c r="AQ204" s="433"/>
      <c r="AR204" s="38"/>
      <c r="AS204" s="38"/>
      <c r="AT204" s="38"/>
      <c r="AU204" s="452"/>
      <c r="AV204" s="38"/>
      <c r="AW204" s="433"/>
      <c r="AX204" s="38"/>
      <c r="AY204" s="38"/>
      <c r="AZ204" s="38"/>
      <c r="BA204" s="452"/>
      <c r="BB204" s="38"/>
      <c r="BC204" s="433"/>
      <c r="BD204" s="38"/>
      <c r="BE204" s="38"/>
      <c r="BF204" s="38"/>
      <c r="BG204" s="558" t="s">
        <v>481</v>
      </c>
      <c r="BH204" s="554"/>
      <c r="BI204" s="557" t="s">
        <v>477</v>
      </c>
      <c r="BJ204" s="554" t="s">
        <v>481</v>
      </c>
      <c r="BK204" s="554" t="s">
        <v>481</v>
      </c>
      <c r="BL204" s="554" t="s">
        <v>478</v>
      </c>
      <c r="BM204" s="558" t="s">
        <v>481</v>
      </c>
      <c r="BN204" s="554"/>
      <c r="BO204" s="557" t="s">
        <v>481</v>
      </c>
      <c r="BP204" s="554" t="s">
        <v>480</v>
      </c>
      <c r="BQ204" s="554" t="s">
        <v>481</v>
      </c>
      <c r="BR204" s="554" t="s">
        <v>480</v>
      </c>
      <c r="BS204" s="558" t="s">
        <v>477</v>
      </c>
      <c r="BT204" s="554"/>
      <c r="BU204" s="557" t="s">
        <v>477</v>
      </c>
      <c r="BV204" s="554" t="s">
        <v>477</v>
      </c>
      <c r="BW204" s="554" t="s">
        <v>481</v>
      </c>
      <c r="BX204" s="554"/>
      <c r="BY204" s="558"/>
      <c r="BZ204" s="554"/>
      <c r="CA204" s="557" t="s">
        <v>477</v>
      </c>
      <c r="CB204" s="554" t="s">
        <v>477</v>
      </c>
      <c r="CC204" s="554" t="s">
        <v>477</v>
      </c>
      <c r="CD204" s="554" t="s">
        <v>515</v>
      </c>
      <c r="CE204" s="558" t="s">
        <v>516</v>
      </c>
      <c r="CF204" s="554"/>
      <c r="CG204" s="557" t="s">
        <v>477</v>
      </c>
      <c r="CH204" s="554" t="s">
        <v>477</v>
      </c>
      <c r="CI204" s="554" t="s">
        <v>478</v>
      </c>
      <c r="CJ204" s="554" t="s">
        <v>477</v>
      </c>
      <c r="CK204" s="558"/>
      <c r="CL204" s="554"/>
      <c r="CM204" s="557" t="s">
        <v>477</v>
      </c>
      <c r="CN204" s="554"/>
      <c r="CO204" s="554" t="s">
        <v>481</v>
      </c>
      <c r="CP204" s="554"/>
      <c r="CQ204" s="558" t="s">
        <v>64</v>
      </c>
      <c r="CR204" s="38"/>
      <c r="CS204" s="442" t="s">
        <v>477</v>
      </c>
      <c r="CT204" s="347" t="s">
        <v>477</v>
      </c>
      <c r="CU204" s="347" t="s">
        <v>477</v>
      </c>
      <c r="CV204" s="347" t="s">
        <v>207</v>
      </c>
      <c r="CW204" s="47"/>
      <c r="CX204" s="15"/>
      <c r="CY204" s="442"/>
      <c r="CZ204" s="347" t="s">
        <v>382</v>
      </c>
      <c r="DA204" s="347" t="s">
        <v>382</v>
      </c>
      <c r="DB204" s="347"/>
      <c r="DC204" s="445"/>
      <c r="DD204" s="44"/>
      <c r="DE204" s="431"/>
      <c r="DF204" s="1157" t="s">
        <v>383</v>
      </c>
      <c r="DG204" s="553" t="s">
        <v>474</v>
      </c>
      <c r="DH204" s="553" t="s">
        <v>475</v>
      </c>
      <c r="DI204" s="437"/>
      <c r="DJ204" s="44"/>
      <c r="DK204" s="431"/>
      <c r="DL204" s="37"/>
      <c r="DM204" s="37"/>
      <c r="DN204" s="37"/>
      <c r="DO204" s="437"/>
      <c r="DP204" s="44"/>
      <c r="DQ204" s="431"/>
      <c r="DR204" s="37"/>
      <c r="DS204" s="37"/>
      <c r="DT204" s="37"/>
      <c r="DU204" s="437"/>
      <c r="DV204" s="44"/>
      <c r="DW204" s="431"/>
      <c r="DX204" s="37"/>
      <c r="DY204" s="37"/>
      <c r="DZ204" s="37"/>
      <c r="EA204" s="437"/>
      <c r="EB204" s="44"/>
      <c r="EC204" s="431"/>
      <c r="ED204" s="37"/>
      <c r="EE204" s="37"/>
      <c r="EF204" s="37"/>
      <c r="EG204" s="437"/>
    </row>
    <row r="205" spans="1:137" ht="11.25" customHeight="1" outlineLevel="1" x14ac:dyDescent="0.2">
      <c r="A205" s="452" t="s">
        <v>173</v>
      </c>
      <c r="B205" s="38"/>
      <c r="C205" s="38"/>
      <c r="D205" s="38"/>
      <c r="E205" s="452"/>
      <c r="F205" s="38"/>
      <c r="G205" s="452"/>
      <c r="H205" s="38"/>
      <c r="I205" s="452"/>
      <c r="J205" s="38"/>
      <c r="K205" s="452"/>
      <c r="L205" s="38"/>
      <c r="M205" s="433"/>
      <c r="N205" s="38"/>
      <c r="O205" s="38"/>
      <c r="P205" s="38"/>
      <c r="Q205" s="452"/>
      <c r="R205" s="38"/>
      <c r="S205" s="433"/>
      <c r="T205" s="38"/>
      <c r="U205" s="38"/>
      <c r="V205" s="38"/>
      <c r="W205" s="452"/>
      <c r="X205" s="38"/>
      <c r="Y205" s="433"/>
      <c r="Z205" s="38"/>
      <c r="AA205" s="38"/>
      <c r="AB205" s="38"/>
      <c r="AC205" s="452"/>
      <c r="AD205" s="38"/>
      <c r="AE205" s="433"/>
      <c r="AF205" s="38"/>
      <c r="AG205" s="38"/>
      <c r="AH205" s="38"/>
      <c r="AI205" s="452"/>
      <c r="AJ205" s="38"/>
      <c r="AK205" s="433"/>
      <c r="AL205" s="38"/>
      <c r="AM205" s="38"/>
      <c r="AN205" s="38"/>
      <c r="AO205" s="452"/>
      <c r="AP205" s="38"/>
      <c r="AQ205" s="433"/>
      <c r="AR205" s="38"/>
      <c r="AS205" s="38"/>
      <c r="AT205" s="38"/>
      <c r="AU205" s="452"/>
      <c r="AV205" s="38"/>
      <c r="AW205" s="433"/>
      <c r="AX205" s="38"/>
      <c r="AY205" s="38"/>
      <c r="AZ205" s="38"/>
      <c r="BA205" s="558"/>
      <c r="BB205" s="554"/>
      <c r="BC205" s="557"/>
      <c r="BD205" s="554"/>
      <c r="BE205" s="554"/>
      <c r="BF205" s="554"/>
      <c r="BG205" s="558" t="s">
        <v>477</v>
      </c>
      <c r="BH205" s="554"/>
      <c r="BI205" s="557" t="s">
        <v>478</v>
      </c>
      <c r="BJ205" s="554" t="s">
        <v>517</v>
      </c>
      <c r="BK205" s="554" t="s">
        <v>517</v>
      </c>
      <c r="BL205" s="554" t="s">
        <v>14</v>
      </c>
      <c r="BM205" s="558" t="s">
        <v>479</v>
      </c>
      <c r="BN205" s="554"/>
      <c r="BO205" s="557" t="s">
        <v>477</v>
      </c>
      <c r="BP205" s="554" t="s">
        <v>481</v>
      </c>
      <c r="BQ205" s="554" t="s">
        <v>517</v>
      </c>
      <c r="BR205" s="554"/>
      <c r="BS205" s="558" t="s">
        <v>477</v>
      </c>
      <c r="BT205" s="38"/>
      <c r="BU205" s="557" t="s">
        <v>477</v>
      </c>
      <c r="BV205" s="554" t="s">
        <v>481</v>
      </c>
      <c r="BW205" s="554" t="s">
        <v>481</v>
      </c>
      <c r="BX205" s="554"/>
      <c r="BY205" s="558"/>
      <c r="BZ205" s="554"/>
      <c r="CA205" s="557"/>
      <c r="CB205" s="554"/>
      <c r="CC205" s="554"/>
      <c r="CD205" s="554"/>
      <c r="CE205" s="558"/>
      <c r="CF205" s="554"/>
      <c r="CG205" s="557"/>
      <c r="CH205" s="554" t="s">
        <v>488</v>
      </c>
      <c r="CI205" s="554"/>
      <c r="CJ205" s="554"/>
      <c r="CK205" s="558"/>
      <c r="CL205" s="554"/>
      <c r="CM205" s="557"/>
      <c r="CN205" s="554"/>
      <c r="CO205" s="554"/>
      <c r="CP205" s="554"/>
      <c r="CQ205" s="558" t="s">
        <v>64</v>
      </c>
      <c r="CR205" s="38"/>
      <c r="CS205" s="442"/>
      <c r="CT205" s="347"/>
      <c r="CU205" s="347"/>
      <c r="CV205" s="347"/>
      <c r="CW205" s="47"/>
      <c r="CX205" s="15"/>
      <c r="CY205" s="442"/>
      <c r="CZ205" s="347"/>
      <c r="DA205" s="347"/>
      <c r="DB205" s="347"/>
      <c r="DC205" s="445"/>
      <c r="DD205" s="44"/>
      <c r="DE205" s="431"/>
      <c r="DF205" s="37"/>
      <c r="DG205" s="553"/>
      <c r="DH205" s="553"/>
      <c r="DI205" s="437"/>
      <c r="DJ205" s="44"/>
      <c r="DK205" s="431"/>
      <c r="DL205" s="37"/>
      <c r="DM205" s="37"/>
      <c r="DN205" s="37"/>
      <c r="DO205" s="437"/>
      <c r="DP205" s="44"/>
      <c r="DQ205" s="431"/>
      <c r="DR205" s="37"/>
      <c r="DS205" s="37"/>
      <c r="DT205" s="37"/>
      <c r="DU205" s="437"/>
      <c r="DV205" s="44"/>
      <c r="DW205" s="431"/>
      <c r="DX205" s="37"/>
      <c r="DY205" s="37"/>
      <c r="DZ205" s="37"/>
      <c r="EA205" s="437"/>
      <c r="EB205" s="44"/>
      <c r="EC205" s="431"/>
      <c r="ED205" s="37"/>
      <c r="EE205" s="37"/>
      <c r="EF205" s="37"/>
      <c r="EG205" s="437"/>
    </row>
    <row r="206" spans="1:137" ht="11.25" customHeight="1" outlineLevel="1" x14ac:dyDescent="0.2">
      <c r="A206" s="452" t="s">
        <v>136</v>
      </c>
      <c r="B206" s="38"/>
      <c r="C206" s="38"/>
      <c r="D206" s="38"/>
      <c r="E206" s="452"/>
      <c r="F206" s="38"/>
      <c r="G206" s="452"/>
      <c r="H206" s="38"/>
      <c r="I206" s="452"/>
      <c r="J206" s="38"/>
      <c r="K206" s="452"/>
      <c r="L206" s="38"/>
      <c r="M206" s="433"/>
      <c r="N206" s="38"/>
      <c r="O206" s="38"/>
      <c r="P206" s="38"/>
      <c r="Q206" s="452"/>
      <c r="R206" s="38"/>
      <c r="S206" s="433"/>
      <c r="T206" s="38"/>
      <c r="U206" s="38"/>
      <c r="V206" s="38"/>
      <c r="W206" s="452"/>
      <c r="X206" s="38"/>
      <c r="Y206" s="433"/>
      <c r="Z206" s="38"/>
      <c r="AA206" s="38"/>
      <c r="AB206" s="38"/>
      <c r="AC206" s="452"/>
      <c r="AD206" s="38"/>
      <c r="AE206" s="433"/>
      <c r="AF206" s="38"/>
      <c r="AG206" s="38"/>
      <c r="AH206" s="38"/>
      <c r="AI206" s="452"/>
      <c r="AJ206" s="38"/>
      <c r="AK206" s="433"/>
      <c r="AL206" s="38"/>
      <c r="AM206" s="38"/>
      <c r="AN206" s="38"/>
      <c r="AO206" s="452"/>
      <c r="AP206" s="38"/>
      <c r="AQ206" s="433"/>
      <c r="AR206" s="38"/>
      <c r="AS206" s="38"/>
      <c r="AT206" s="38"/>
      <c r="AU206" s="452"/>
      <c r="AV206" s="38"/>
      <c r="AW206" s="433"/>
      <c r="AX206" s="38"/>
      <c r="AY206" s="38"/>
      <c r="AZ206" s="38"/>
      <c r="BA206" s="558"/>
      <c r="BB206" s="554"/>
      <c r="BC206" s="557"/>
      <c r="BD206" s="554"/>
      <c r="BE206" s="554"/>
      <c r="BF206" s="554"/>
      <c r="BG206" s="558"/>
      <c r="BH206" s="554"/>
      <c r="BI206" s="557"/>
      <c r="BJ206" s="554" t="s">
        <v>521</v>
      </c>
      <c r="BK206" s="554" t="s">
        <v>14</v>
      </c>
      <c r="BL206" s="554"/>
      <c r="BM206" s="558"/>
      <c r="BN206" s="554"/>
      <c r="BO206" s="557" t="s">
        <v>480</v>
      </c>
      <c r="BP206" s="554" t="s">
        <v>515</v>
      </c>
      <c r="BQ206" s="554" t="s">
        <v>486</v>
      </c>
      <c r="BR206" s="554" t="s">
        <v>480</v>
      </c>
      <c r="BS206" s="558"/>
      <c r="BT206" s="38"/>
      <c r="BU206" s="557" t="s">
        <v>522</v>
      </c>
      <c r="BV206" s="554" t="s">
        <v>481</v>
      </c>
      <c r="BW206" s="554"/>
      <c r="BX206" s="554" t="s">
        <v>520</v>
      </c>
      <c r="BY206" s="558"/>
      <c r="BZ206" s="554"/>
      <c r="CA206" s="557" t="s">
        <v>478</v>
      </c>
      <c r="CB206" s="554" t="s">
        <v>480</v>
      </c>
      <c r="CC206" s="554" t="s">
        <v>481</v>
      </c>
      <c r="CD206" s="554" t="s">
        <v>480</v>
      </c>
      <c r="CE206" s="558" t="s">
        <v>516</v>
      </c>
      <c r="CF206" s="554"/>
      <c r="CG206" s="557" t="s">
        <v>478</v>
      </c>
      <c r="CH206" s="554"/>
      <c r="CI206" s="554"/>
      <c r="CJ206" s="554" t="s">
        <v>477</v>
      </c>
      <c r="CK206" s="558"/>
      <c r="CL206" s="554"/>
      <c r="CM206" s="557" t="s">
        <v>481</v>
      </c>
      <c r="CN206" s="554"/>
      <c r="CO206" s="554" t="s">
        <v>478</v>
      </c>
      <c r="CP206" s="554" t="s">
        <v>477</v>
      </c>
      <c r="CQ206" s="558"/>
      <c r="CR206" s="38"/>
      <c r="CS206" s="442" t="s">
        <v>477</v>
      </c>
      <c r="CT206" s="347" t="s">
        <v>477</v>
      </c>
      <c r="CU206" s="347"/>
      <c r="CV206" s="347" t="s">
        <v>482</v>
      </c>
      <c r="CW206" s="47"/>
      <c r="CX206" s="15"/>
      <c r="CY206" s="442"/>
      <c r="CZ206" s="347" t="s">
        <v>382</v>
      </c>
      <c r="DA206" s="347" t="s">
        <v>382</v>
      </c>
      <c r="DB206" s="347"/>
      <c r="DC206" s="445"/>
      <c r="DD206" s="44"/>
      <c r="DE206" s="431"/>
      <c r="DF206" s="1157" t="s">
        <v>382</v>
      </c>
      <c r="DG206" s="553" t="s">
        <v>475</v>
      </c>
      <c r="DH206" s="553" t="s">
        <v>474</v>
      </c>
      <c r="DI206" s="437"/>
      <c r="DJ206" s="44"/>
      <c r="DK206" s="431"/>
      <c r="DL206" s="37"/>
      <c r="DM206" s="37"/>
      <c r="DN206" s="37"/>
      <c r="DO206" s="437"/>
      <c r="DP206" s="44"/>
      <c r="DQ206" s="431"/>
      <c r="DR206" s="37"/>
      <c r="DS206" s="37"/>
      <c r="DT206" s="37"/>
      <c r="DU206" s="437"/>
      <c r="DV206" s="44"/>
      <c r="DW206" s="431"/>
      <c r="DX206" s="37"/>
      <c r="DY206" s="37"/>
      <c r="DZ206" s="37"/>
      <c r="EA206" s="437"/>
      <c r="EB206" s="44"/>
      <c r="EC206" s="431"/>
      <c r="ED206" s="37"/>
      <c r="EE206" s="37"/>
      <c r="EF206" s="37"/>
      <c r="EG206" s="437"/>
    </row>
    <row r="207" spans="1:137" ht="11.25" customHeight="1" outlineLevel="1" x14ac:dyDescent="0.2">
      <c r="A207" s="452" t="s">
        <v>176</v>
      </c>
      <c r="B207" s="38"/>
      <c r="C207" s="38"/>
      <c r="D207" s="38"/>
      <c r="E207" s="452"/>
      <c r="F207" s="38"/>
      <c r="G207" s="452"/>
      <c r="H207" s="38"/>
      <c r="I207" s="452"/>
      <c r="J207" s="38"/>
      <c r="K207" s="452"/>
      <c r="L207" s="38"/>
      <c r="M207" s="433"/>
      <c r="N207" s="38"/>
      <c r="O207" s="38"/>
      <c r="P207" s="38"/>
      <c r="Q207" s="452"/>
      <c r="R207" s="38"/>
      <c r="S207" s="433"/>
      <c r="T207" s="38"/>
      <c r="U207" s="38"/>
      <c r="V207" s="38"/>
      <c r="W207" s="452"/>
      <c r="X207" s="38"/>
      <c r="Y207" s="433"/>
      <c r="Z207" s="38"/>
      <c r="AA207" s="38"/>
      <c r="AB207" s="38"/>
      <c r="AC207" s="452"/>
      <c r="AD207" s="38"/>
      <c r="AE207" s="433"/>
      <c r="AF207" s="38"/>
      <c r="AG207" s="38"/>
      <c r="AH207" s="38"/>
      <c r="AI207" s="452"/>
      <c r="AJ207" s="38"/>
      <c r="AK207" s="433"/>
      <c r="AL207" s="38"/>
      <c r="AM207" s="38"/>
      <c r="AN207" s="38"/>
      <c r="AO207" s="452"/>
      <c r="AP207" s="38"/>
      <c r="AQ207" s="433"/>
      <c r="AR207" s="38"/>
      <c r="AS207" s="38"/>
      <c r="AT207" s="38"/>
      <c r="AU207" s="452"/>
      <c r="AV207" s="38"/>
      <c r="AW207" s="433"/>
      <c r="AX207" s="38"/>
      <c r="AY207" s="38"/>
      <c r="AZ207" s="38"/>
      <c r="BA207" s="558"/>
      <c r="BB207" s="554"/>
      <c r="BC207" s="557"/>
      <c r="BD207" s="554"/>
      <c r="BE207" s="554"/>
      <c r="BF207" s="554"/>
      <c r="BG207" s="558"/>
      <c r="BH207" s="554"/>
      <c r="BI207" s="557"/>
      <c r="BJ207" s="554"/>
      <c r="BK207" s="554"/>
      <c r="BL207" s="554"/>
      <c r="BM207" s="558"/>
      <c r="BN207" s="554"/>
      <c r="BO207" s="557"/>
      <c r="BP207" s="554"/>
      <c r="BQ207" s="554"/>
      <c r="BR207" s="554"/>
      <c r="BS207" s="558"/>
      <c r="BT207" s="38"/>
      <c r="BU207" s="557"/>
      <c r="BV207" s="554"/>
      <c r="BW207" s="554"/>
      <c r="BX207" s="554"/>
      <c r="BY207" s="558"/>
      <c r="BZ207" s="554"/>
      <c r="CA207" s="557"/>
      <c r="CB207" s="554"/>
      <c r="CC207" s="554"/>
      <c r="CD207" s="554"/>
      <c r="CE207" s="558"/>
      <c r="CF207" s="554"/>
      <c r="CG207" s="557"/>
      <c r="CH207" s="554"/>
      <c r="CI207" s="554"/>
      <c r="CJ207" s="554"/>
      <c r="CK207" s="558"/>
      <c r="CL207" s="554"/>
      <c r="CM207" s="557"/>
      <c r="CN207" s="554"/>
      <c r="CO207" s="554"/>
      <c r="CP207" s="554"/>
      <c r="CQ207" s="558"/>
      <c r="CR207" s="38"/>
      <c r="CS207" s="442" t="s">
        <v>389</v>
      </c>
      <c r="CT207" s="347" t="s">
        <v>388</v>
      </c>
      <c r="CU207" s="347" t="s">
        <v>384</v>
      </c>
      <c r="CV207" s="347" t="s">
        <v>384</v>
      </c>
      <c r="CW207" s="47"/>
      <c r="CX207" s="15"/>
      <c r="CY207" s="442"/>
      <c r="CZ207" s="347"/>
      <c r="DA207" s="347"/>
      <c r="DB207" s="347"/>
      <c r="DC207" s="445"/>
      <c r="DD207" s="44"/>
      <c r="DE207" s="431"/>
      <c r="DF207" s="37"/>
      <c r="DG207" s="553"/>
      <c r="DH207" s="553"/>
      <c r="DI207" s="437"/>
      <c r="DJ207" s="44"/>
      <c r="DK207" s="431"/>
      <c r="DL207" s="37"/>
      <c r="DM207" s="37"/>
      <c r="DN207" s="37"/>
      <c r="DO207" s="437"/>
      <c r="DP207" s="44"/>
      <c r="DQ207" s="431"/>
      <c r="DR207" s="37"/>
      <c r="DS207" s="37"/>
      <c r="DT207" s="37"/>
      <c r="DU207" s="437"/>
      <c r="DV207" s="44"/>
      <c r="DW207" s="431"/>
      <c r="DX207" s="37"/>
      <c r="DY207" s="37"/>
      <c r="DZ207" s="37"/>
      <c r="EA207" s="437"/>
      <c r="EB207" s="44"/>
      <c r="EC207" s="431"/>
      <c r="ED207" s="37"/>
      <c r="EE207" s="37"/>
      <c r="EF207" s="37"/>
      <c r="EG207" s="437"/>
    </row>
    <row r="208" spans="1:137" ht="11.25" customHeight="1" outlineLevel="1" x14ac:dyDescent="0.2">
      <c r="A208" s="452" t="s">
        <v>639</v>
      </c>
      <c r="B208" s="38"/>
      <c r="C208" s="38"/>
      <c r="D208" s="38"/>
      <c r="E208" s="452"/>
      <c r="F208" s="38"/>
      <c r="G208" s="452"/>
      <c r="H208" s="38"/>
      <c r="I208" s="452"/>
      <c r="J208" s="38"/>
      <c r="K208" s="452"/>
      <c r="L208" s="38"/>
      <c r="M208" s="433"/>
      <c r="N208" s="38"/>
      <c r="O208" s="38"/>
      <c r="P208" s="38"/>
      <c r="Q208" s="452"/>
      <c r="R208" s="38"/>
      <c r="S208" s="433"/>
      <c r="T208" s="38"/>
      <c r="U208" s="38"/>
      <c r="V208" s="38"/>
      <c r="W208" s="452"/>
      <c r="X208" s="38"/>
      <c r="Y208" s="433"/>
      <c r="Z208" s="38"/>
      <c r="AA208" s="38"/>
      <c r="AB208" s="38"/>
      <c r="AC208" s="452"/>
      <c r="AD208" s="38"/>
      <c r="AE208" s="433"/>
      <c r="AF208" s="38"/>
      <c r="AG208" s="38"/>
      <c r="AH208" s="38"/>
      <c r="AI208" s="452"/>
      <c r="AJ208" s="38"/>
      <c r="AK208" s="433"/>
      <c r="AL208" s="38"/>
      <c r="AM208" s="38"/>
      <c r="AN208" s="38"/>
      <c r="AO208" s="452"/>
      <c r="AP208" s="38"/>
      <c r="AQ208" s="433"/>
      <c r="AR208" s="38"/>
      <c r="AS208" s="38"/>
      <c r="AT208" s="38"/>
      <c r="AU208" s="452"/>
      <c r="AV208" s="38"/>
      <c r="AW208" s="433"/>
      <c r="AX208" s="38"/>
      <c r="AY208" s="38"/>
      <c r="AZ208" s="38"/>
      <c r="BA208" s="452"/>
      <c r="BB208" s="38"/>
      <c r="BC208" s="433"/>
      <c r="BD208" s="38"/>
      <c r="BE208" s="38"/>
      <c r="BF208" s="38"/>
      <c r="BG208" s="452"/>
      <c r="BH208" s="38"/>
      <c r="BI208" s="433"/>
      <c r="BJ208" s="38"/>
      <c r="BK208" s="38"/>
      <c r="BL208" s="38"/>
      <c r="BM208" s="452"/>
      <c r="BN208" s="38"/>
      <c r="BO208" s="433"/>
      <c r="BP208" s="38"/>
      <c r="BQ208" s="38"/>
      <c r="BR208" s="38"/>
      <c r="BS208" s="452"/>
      <c r="BT208" s="38"/>
      <c r="BU208" s="557"/>
      <c r="BV208" s="554" t="s">
        <v>14</v>
      </c>
      <c r="BW208" s="554" t="s">
        <v>14</v>
      </c>
      <c r="BX208" s="554" t="s">
        <v>478</v>
      </c>
      <c r="BY208" s="558"/>
      <c r="BZ208" s="554"/>
      <c r="CA208" s="557" t="s">
        <v>478</v>
      </c>
      <c r="CB208" s="554" t="s">
        <v>478</v>
      </c>
      <c r="CC208" s="554" t="s">
        <v>478</v>
      </c>
      <c r="CD208" s="554" t="s">
        <v>481</v>
      </c>
      <c r="CE208" s="558" t="s">
        <v>478</v>
      </c>
      <c r="CF208" s="554"/>
      <c r="CG208" s="557" t="s">
        <v>478</v>
      </c>
      <c r="CH208" s="554" t="s">
        <v>488</v>
      </c>
      <c r="CI208" s="554" t="s">
        <v>478</v>
      </c>
      <c r="CJ208" s="554" t="s">
        <v>478</v>
      </c>
      <c r="CK208" s="558"/>
      <c r="CL208" s="554"/>
      <c r="CM208" s="557" t="s">
        <v>478</v>
      </c>
      <c r="CN208" s="554"/>
      <c r="CO208" s="554" t="s">
        <v>481</v>
      </c>
      <c r="CP208" s="554" t="s">
        <v>481</v>
      </c>
      <c r="CQ208" s="558" t="s">
        <v>475</v>
      </c>
      <c r="CR208" s="38"/>
      <c r="CS208" s="442" t="s">
        <v>481</v>
      </c>
      <c r="CT208" s="347" t="s">
        <v>481</v>
      </c>
      <c r="CU208" s="347" t="s">
        <v>481</v>
      </c>
      <c r="CV208" s="347" t="s">
        <v>524</v>
      </c>
      <c r="CW208" s="47"/>
      <c r="CX208" s="15"/>
      <c r="CY208" s="442" t="s">
        <v>64</v>
      </c>
      <c r="CZ208" s="347" t="s">
        <v>383</v>
      </c>
      <c r="DA208" s="347" t="s">
        <v>383</v>
      </c>
      <c r="DB208" s="347"/>
      <c r="DC208" s="445"/>
      <c r="DD208" s="44"/>
      <c r="DE208" s="431"/>
      <c r="DF208" s="1157" t="s">
        <v>383</v>
      </c>
      <c r="DG208" s="553" t="s">
        <v>64</v>
      </c>
      <c r="DH208" s="553" t="s">
        <v>64</v>
      </c>
      <c r="DI208" s="437"/>
      <c r="DJ208" s="44"/>
      <c r="DK208" s="431"/>
      <c r="DL208" s="37"/>
      <c r="DM208" s="37"/>
      <c r="DN208" s="37"/>
      <c r="DO208" s="437"/>
      <c r="DP208" s="44"/>
      <c r="DQ208" s="431"/>
      <c r="DR208" s="37"/>
      <c r="DS208" s="37"/>
      <c r="DT208" s="37"/>
      <c r="DU208" s="437"/>
      <c r="DV208" s="44"/>
      <c r="DW208" s="431"/>
      <c r="DX208" s="37"/>
      <c r="DY208" s="37"/>
      <c r="DZ208" s="37"/>
      <c r="EA208" s="437"/>
      <c r="EB208" s="44"/>
      <c r="EC208" s="431"/>
      <c r="ED208" s="37"/>
      <c r="EE208" s="37"/>
      <c r="EF208" s="37"/>
      <c r="EG208" s="437"/>
    </row>
    <row r="209" spans="1:137" ht="11.25" customHeight="1" outlineLevel="1" x14ac:dyDescent="0.2">
      <c r="A209" s="452"/>
      <c r="B209" s="38"/>
      <c r="C209" s="38"/>
      <c r="D209" s="38"/>
      <c r="E209" s="452"/>
      <c r="F209" s="38"/>
      <c r="G209" s="452"/>
      <c r="H209" s="38"/>
      <c r="I209" s="452"/>
      <c r="J209" s="38"/>
      <c r="K209" s="452"/>
      <c r="L209" s="38"/>
      <c r="M209" s="433"/>
      <c r="N209" s="38"/>
      <c r="O209" s="38"/>
      <c r="P209" s="38"/>
      <c r="Q209" s="452"/>
      <c r="R209" s="38"/>
      <c r="S209" s="433"/>
      <c r="T209" s="38"/>
      <c r="U209" s="38"/>
      <c r="V209" s="38"/>
      <c r="W209" s="452"/>
      <c r="X209" s="38"/>
      <c r="Y209" s="433"/>
      <c r="Z209" s="38"/>
      <c r="AA209" s="38"/>
      <c r="AB209" s="38"/>
      <c r="AC209" s="452"/>
      <c r="AD209" s="38"/>
      <c r="AE209" s="433"/>
      <c r="AF209" s="38"/>
      <c r="AG209" s="38"/>
      <c r="AH209" s="38"/>
      <c r="AI209" s="452"/>
      <c r="AJ209" s="38"/>
      <c r="AK209" s="433"/>
      <c r="AL209" s="38"/>
      <c r="AM209" s="38"/>
      <c r="AN209" s="38"/>
      <c r="AO209" s="452"/>
      <c r="AP209" s="38"/>
      <c r="AQ209" s="433"/>
      <c r="AR209" s="38"/>
      <c r="AS209" s="38"/>
      <c r="AT209" s="38"/>
      <c r="AU209" s="452"/>
      <c r="AV209" s="38"/>
      <c r="AW209" s="433"/>
      <c r="AX209" s="38"/>
      <c r="AY209" s="38"/>
      <c r="AZ209" s="38"/>
      <c r="BA209" s="452"/>
      <c r="BB209" s="38"/>
      <c r="BC209" s="433"/>
      <c r="BD209" s="38"/>
      <c r="BE209" s="38"/>
      <c r="BF209" s="38"/>
      <c r="BG209" s="452"/>
      <c r="BH209" s="38"/>
      <c r="BI209" s="433"/>
      <c r="BJ209" s="38"/>
      <c r="BK209" s="38"/>
      <c r="BL209" s="38"/>
      <c r="BM209" s="452"/>
      <c r="BN209" s="38"/>
      <c r="BO209" s="433"/>
      <c r="BP209" s="38"/>
      <c r="BQ209" s="38"/>
      <c r="BR209" s="38"/>
      <c r="BS209" s="452"/>
      <c r="BT209" s="38"/>
      <c r="BU209" s="557"/>
      <c r="BV209" s="554"/>
      <c r="BW209" s="554"/>
      <c r="BX209" s="554"/>
      <c r="BY209" s="558"/>
      <c r="BZ209" s="554"/>
      <c r="CA209" s="557"/>
      <c r="CB209" s="554"/>
      <c r="CC209" s="554"/>
      <c r="CD209" s="554"/>
      <c r="CE209" s="558"/>
      <c r="CF209" s="554"/>
      <c r="CG209" s="557"/>
      <c r="CH209" s="554"/>
      <c r="CI209" s="554"/>
      <c r="CJ209" s="554"/>
      <c r="CK209" s="558"/>
      <c r="CL209" s="554"/>
      <c r="CM209" s="557"/>
      <c r="CN209" s="554"/>
      <c r="CO209" s="554"/>
      <c r="CP209" s="554"/>
      <c r="CQ209" s="558"/>
      <c r="CR209" s="38"/>
      <c r="CS209" s="442"/>
      <c r="CT209" s="347"/>
      <c r="CU209" s="347"/>
      <c r="CV209" s="347"/>
      <c r="CW209" s="47"/>
      <c r="CX209" s="15"/>
      <c r="CY209" s="442"/>
      <c r="CZ209" s="347"/>
      <c r="DA209" s="347"/>
      <c r="DB209" s="347"/>
      <c r="DC209" s="445"/>
      <c r="DD209" s="44"/>
      <c r="DE209" s="431"/>
      <c r="DF209" s="37"/>
      <c r="DG209" s="37"/>
      <c r="DH209" s="37"/>
      <c r="DI209" s="437"/>
      <c r="DJ209" s="44"/>
      <c r="DK209" s="431"/>
      <c r="DL209" s="37"/>
      <c r="DM209" s="37"/>
      <c r="DN209" s="37"/>
      <c r="DO209" s="437"/>
      <c r="DP209" s="44"/>
      <c r="DQ209" s="431"/>
      <c r="DR209" s="37"/>
      <c r="DS209" s="37"/>
      <c r="DT209" s="37"/>
      <c r="DU209" s="437"/>
      <c r="DV209" s="44"/>
      <c r="DW209" s="431"/>
      <c r="DX209" s="37"/>
      <c r="DY209" s="37"/>
      <c r="DZ209" s="37"/>
      <c r="EA209" s="437"/>
      <c r="EB209" s="44"/>
      <c r="EC209" s="431"/>
      <c r="ED209" s="37"/>
      <c r="EE209" s="37"/>
      <c r="EF209" s="37"/>
      <c r="EG209" s="437"/>
    </row>
    <row r="210" spans="1:137" ht="11.25" customHeight="1" outlineLevel="1" x14ac:dyDescent="0.2">
      <c r="A210" s="436" t="s">
        <v>11</v>
      </c>
      <c r="E210" s="153"/>
      <c r="G210" s="153"/>
      <c r="I210" s="153"/>
      <c r="K210" s="153"/>
      <c r="M210" s="150"/>
      <c r="Q210" s="153"/>
      <c r="S210" s="150"/>
      <c r="W210" s="153"/>
      <c r="Y210" s="150"/>
      <c r="AC210" s="153"/>
      <c r="AE210" s="150"/>
      <c r="AI210" s="153"/>
      <c r="AK210" s="150"/>
      <c r="AO210" s="153"/>
      <c r="AQ210" s="150"/>
      <c r="AU210" s="153"/>
      <c r="AW210" s="150"/>
      <c r="BA210" s="153"/>
      <c r="BC210" s="150"/>
      <c r="BG210" s="153"/>
      <c r="BI210" s="150"/>
      <c r="BM210" s="153"/>
      <c r="BO210" s="150"/>
      <c r="BS210" s="153"/>
      <c r="BU210" s="503">
        <v>5.0000000000000001E-3</v>
      </c>
      <c r="BV210" s="387">
        <v>5.0000000000000001E-3</v>
      </c>
      <c r="BW210" s="387">
        <v>5.0000000000000001E-3</v>
      </c>
      <c r="BX210" s="387"/>
      <c r="BY210" s="896"/>
      <c r="BZ210" s="387"/>
      <c r="CA210" s="503"/>
      <c r="CB210" s="387">
        <v>0</v>
      </c>
      <c r="CC210" s="387" t="s">
        <v>12</v>
      </c>
      <c r="CD210" s="387"/>
      <c r="CE210" s="896" t="s">
        <v>12</v>
      </c>
      <c r="CF210" s="387"/>
      <c r="CG210" s="503" t="s">
        <v>12</v>
      </c>
      <c r="CH210" s="387"/>
      <c r="CI210" s="387"/>
      <c r="CJ210" s="387"/>
      <c r="CK210" s="896"/>
      <c r="CL210" s="387"/>
      <c r="CM210" s="503"/>
      <c r="CN210" s="387" t="s">
        <v>525</v>
      </c>
      <c r="CO210" s="387" t="s">
        <v>525</v>
      </c>
      <c r="CP210" s="387" t="s">
        <v>449</v>
      </c>
      <c r="CQ210" s="896">
        <v>0</v>
      </c>
      <c r="CR210" s="1161"/>
      <c r="CS210" s="1071">
        <v>0</v>
      </c>
      <c r="CT210" s="1162">
        <v>5.0000000000000001E-3</v>
      </c>
      <c r="CU210" s="1162">
        <v>5.0000000000000001E-3</v>
      </c>
      <c r="CV210" s="1162" t="s">
        <v>449</v>
      </c>
      <c r="CW210" s="1163">
        <v>5.0000000000000001E-3</v>
      </c>
      <c r="CX210" s="1162"/>
      <c r="CY210" s="1071">
        <v>5.0000000000000001E-3</v>
      </c>
      <c r="CZ210" s="1162">
        <v>0</v>
      </c>
      <c r="DA210" s="347">
        <v>5.0000000000000001E-3</v>
      </c>
      <c r="DB210" s="347" t="s">
        <v>449</v>
      </c>
      <c r="DC210" s="445">
        <v>5.0000000000000001E-3</v>
      </c>
      <c r="DE210" s="503">
        <v>5.0000000000000001E-3</v>
      </c>
      <c r="DF210" s="1164">
        <v>5.0000000000000001E-3</v>
      </c>
      <c r="DG210" s="387">
        <v>3.0000000000000001E-3</v>
      </c>
      <c r="DI210" s="1146">
        <v>5.0000000000000001E-3</v>
      </c>
      <c r="DK210" s="1170">
        <v>0</v>
      </c>
      <c r="DL210" s="1164"/>
      <c r="DM210" s="1164"/>
      <c r="DN210" s="1168"/>
      <c r="DO210" s="1146"/>
      <c r="DQ210" s="150"/>
      <c r="DU210" s="153"/>
      <c r="DW210" s="150"/>
      <c r="EA210" s="153"/>
      <c r="EC210" s="150"/>
      <c r="EG210" s="153"/>
    </row>
    <row r="211" spans="1:137" ht="11.25" customHeight="1" x14ac:dyDescent="0.2">
      <c r="A211" s="892"/>
      <c r="B211" s="14"/>
      <c r="C211" s="14"/>
      <c r="D211" s="14"/>
      <c r="E211" s="416"/>
      <c r="F211" s="416"/>
      <c r="G211" s="416"/>
      <c r="H211" s="416"/>
      <c r="I211" s="416"/>
      <c r="J211" s="416"/>
      <c r="K211" s="416"/>
      <c r="L211" s="416"/>
      <c r="M211" s="416"/>
      <c r="N211" s="416"/>
      <c r="O211" s="416"/>
      <c r="P211" s="416"/>
      <c r="Q211" s="416"/>
      <c r="R211" s="416"/>
      <c r="S211" s="416"/>
      <c r="T211" s="416"/>
      <c r="U211" s="416"/>
      <c r="V211" s="416"/>
      <c r="W211" s="416"/>
      <c r="X211" s="416"/>
      <c r="Y211" s="416"/>
      <c r="Z211" s="416"/>
      <c r="AA211" s="416"/>
      <c r="AB211" s="416"/>
      <c r="AC211" s="416"/>
      <c r="AD211" s="416"/>
      <c r="AE211" s="416"/>
      <c r="AF211" s="416"/>
      <c r="AG211" s="416"/>
      <c r="AH211" s="416"/>
      <c r="AI211" s="416"/>
      <c r="AJ211" s="416"/>
      <c r="AK211" s="416"/>
      <c r="AL211" s="416"/>
      <c r="AM211" s="416"/>
      <c r="AN211" s="416"/>
      <c r="AO211" s="416"/>
      <c r="AP211" s="416"/>
      <c r="AQ211" s="416"/>
      <c r="AR211" s="416"/>
      <c r="AS211" s="416"/>
      <c r="AT211" s="416"/>
      <c r="AU211" s="416"/>
      <c r="AV211" s="416"/>
      <c r="AW211" s="416"/>
      <c r="AX211" s="416"/>
      <c r="AY211" s="416"/>
      <c r="AZ211" s="416"/>
      <c r="BA211" s="416"/>
      <c r="BB211" s="416"/>
      <c r="BC211" s="416"/>
      <c r="BD211" s="416"/>
      <c r="BE211" s="416"/>
      <c r="BF211" s="416"/>
      <c r="BG211" s="420"/>
      <c r="BH211" s="416"/>
      <c r="BI211" s="420"/>
      <c r="BJ211" s="420"/>
      <c r="BK211" s="420"/>
      <c r="BL211" s="420"/>
      <c r="BM211" s="420"/>
      <c r="BN211" s="416"/>
      <c r="BO211" s="420"/>
      <c r="BP211" s="420"/>
      <c r="BQ211" s="420"/>
      <c r="BR211" s="420"/>
      <c r="BS211" s="420"/>
      <c r="BT211" s="71"/>
      <c r="BU211" s="420"/>
      <c r="BV211" s="420"/>
      <c r="BW211" s="420"/>
      <c r="BX211" s="420"/>
      <c r="BY211" s="420"/>
      <c r="BZ211" s="71"/>
      <c r="CA211" s="420"/>
      <c r="CB211" s="420"/>
      <c r="CC211" s="420"/>
      <c r="CD211" s="420"/>
      <c r="CE211" s="420"/>
      <c r="CF211" s="71"/>
      <c r="CG211" s="420"/>
      <c r="CH211" s="420"/>
      <c r="CI211" s="420"/>
      <c r="CJ211" s="420"/>
      <c r="CK211" s="420"/>
      <c r="CL211" s="71"/>
      <c r="CM211" s="420"/>
      <c r="CN211" s="420"/>
      <c r="CO211" s="420"/>
      <c r="CP211" s="420"/>
      <c r="CQ211" s="420"/>
      <c r="CR211" s="71"/>
      <c r="CS211" s="893"/>
      <c r="CT211" s="893"/>
      <c r="CU211" s="893"/>
      <c r="CV211" s="893"/>
      <c r="CW211" s="144"/>
      <c r="CX211" s="15"/>
      <c r="CY211" s="893"/>
      <c r="CZ211" s="893"/>
      <c r="DA211" s="893"/>
      <c r="DB211" s="893"/>
      <c r="DC211" s="144"/>
      <c r="DD211" s="71"/>
      <c r="DE211" s="138"/>
      <c r="DF211" s="138"/>
      <c r="DG211" s="138"/>
      <c r="DH211" s="138"/>
      <c r="DI211" s="138"/>
      <c r="DJ211" s="71"/>
      <c r="DK211" s="138"/>
      <c r="DL211" s="138"/>
      <c r="DM211" s="138"/>
      <c r="DN211" s="138"/>
      <c r="DO211" s="138"/>
      <c r="DP211" s="71"/>
      <c r="DQ211" s="138"/>
      <c r="DR211" s="138"/>
      <c r="DS211" s="138"/>
      <c r="DT211" s="138"/>
      <c r="DU211" s="138"/>
      <c r="DV211" s="71"/>
      <c r="DW211" s="138"/>
      <c r="DX211" s="138"/>
      <c r="DY211" s="138"/>
      <c r="DZ211" s="138"/>
      <c r="EA211" s="138"/>
      <c r="EB211" s="71"/>
      <c r="EC211" s="138"/>
      <c r="ED211" s="138"/>
      <c r="EE211" s="138"/>
      <c r="EF211" s="138"/>
      <c r="EG211" s="138"/>
    </row>
    <row r="212" spans="1:137" ht="11.25" customHeight="1" x14ac:dyDescent="0.2">
      <c r="A212" s="106" t="s">
        <v>163</v>
      </c>
      <c r="B212" s="74"/>
      <c r="C212" s="74"/>
      <c r="D212" s="74"/>
      <c r="E212" s="107"/>
      <c r="F212" s="75"/>
      <c r="G212" s="107"/>
      <c r="H212" s="75"/>
      <c r="I212" s="107"/>
      <c r="J212" s="75"/>
      <c r="K212" s="107"/>
      <c r="L212" s="75"/>
      <c r="M212" s="109"/>
      <c r="N212" s="110"/>
      <c r="O212" s="110"/>
      <c r="P212" s="110"/>
      <c r="Q212" s="107"/>
      <c r="R212" s="75"/>
      <c r="S212" s="109"/>
      <c r="T212" s="110"/>
      <c r="U212" s="110"/>
      <c r="V212" s="110"/>
      <c r="W212" s="107"/>
      <c r="X212" s="75"/>
      <c r="Y212" s="109"/>
      <c r="Z212" s="110"/>
      <c r="AA212" s="110"/>
      <c r="AB212" s="110"/>
      <c r="AC212" s="107"/>
      <c r="AD212" s="75"/>
      <c r="AE212" s="109"/>
      <c r="AF212" s="110"/>
      <c r="AG212" s="110"/>
      <c r="AH212" s="110"/>
      <c r="AI212" s="107"/>
      <c r="AJ212" s="75"/>
      <c r="AK212" s="109"/>
      <c r="AL212" s="110"/>
      <c r="AM212" s="110"/>
      <c r="AN212" s="110"/>
      <c r="AO212" s="107"/>
      <c r="AP212" s="75"/>
      <c r="AQ212" s="109"/>
      <c r="AR212" s="110"/>
      <c r="AS212" s="110"/>
      <c r="AT212" s="110"/>
      <c r="AU212" s="107"/>
      <c r="AV212" s="75"/>
      <c r="AW212" s="109"/>
      <c r="AX212" s="110"/>
      <c r="AY212" s="110"/>
      <c r="AZ212" s="110"/>
      <c r="BA212" s="107"/>
      <c r="BB212" s="75"/>
      <c r="BC212" s="109"/>
      <c r="BD212" s="110"/>
      <c r="BE212" s="110"/>
      <c r="BF212" s="110"/>
      <c r="BG212" s="107"/>
      <c r="BH212" s="75"/>
      <c r="BI212" s="109"/>
      <c r="BJ212" s="110"/>
      <c r="BK212" s="110"/>
      <c r="BL212" s="110"/>
      <c r="BM212" s="107"/>
      <c r="BN212" s="75"/>
      <c r="BO212" s="109"/>
      <c r="BP212" s="110"/>
      <c r="BQ212" s="110"/>
      <c r="BR212" s="110"/>
      <c r="BS212" s="107"/>
      <c r="BT212" s="75"/>
      <c r="BU212" s="109"/>
      <c r="BV212" s="110"/>
      <c r="BW212" s="110"/>
      <c r="BX212" s="110"/>
      <c r="BY212" s="107"/>
      <c r="BZ212" s="75"/>
      <c r="CA212" s="109"/>
      <c r="CB212" s="110"/>
      <c r="CC212" s="110"/>
      <c r="CD212" s="110"/>
      <c r="CE212" s="107"/>
      <c r="CF212" s="75"/>
      <c r="CG212" s="109"/>
      <c r="CH212" s="110"/>
      <c r="CI212" s="110"/>
      <c r="CJ212" s="110"/>
      <c r="CK212" s="107"/>
      <c r="CL212" s="75"/>
      <c r="CM212" s="109"/>
      <c r="CN212" s="110"/>
      <c r="CO212" s="110"/>
      <c r="CP212" s="110"/>
      <c r="CQ212" s="107"/>
      <c r="CR212" s="75"/>
      <c r="CS212" s="109"/>
      <c r="CT212" s="110"/>
      <c r="CU212" s="110"/>
      <c r="CV212" s="110"/>
      <c r="CW212" s="107"/>
      <c r="CX212" s="75"/>
      <c r="CY212" s="109"/>
      <c r="CZ212" s="110"/>
      <c r="DA212" s="110"/>
      <c r="DB212" s="110"/>
      <c r="DC212" s="107"/>
      <c r="DD212" s="75"/>
      <c r="DE212" s="109"/>
      <c r="DF212" s="110"/>
      <c r="DG212" s="110"/>
      <c r="DH212" s="110"/>
      <c r="DI212" s="107"/>
      <c r="DJ212" s="75"/>
      <c r="DK212" s="109"/>
      <c r="DL212" s="110"/>
      <c r="DM212" s="110"/>
      <c r="DN212" s="110"/>
      <c r="DO212" s="107"/>
      <c r="DP212" s="75"/>
      <c r="DQ212" s="109"/>
      <c r="DR212" s="110"/>
      <c r="DS212" s="110"/>
      <c r="DT212" s="110"/>
      <c r="DU212" s="107"/>
      <c r="DV212" s="75"/>
      <c r="DW212" s="109"/>
      <c r="DX212" s="110"/>
      <c r="DY212" s="110"/>
      <c r="DZ212" s="110"/>
      <c r="EA212" s="107"/>
      <c r="EB212" s="75"/>
      <c r="EC212" s="109"/>
      <c r="ED212" s="110"/>
      <c r="EE212" s="110"/>
      <c r="EF212" s="110"/>
      <c r="EG212" s="107"/>
    </row>
    <row r="213" spans="1:137" s="384" customFormat="1" ht="11.25" customHeight="1" outlineLevel="1" x14ac:dyDescent="0.2">
      <c r="A213" s="129" t="s">
        <v>380</v>
      </c>
      <c r="B213" s="343"/>
      <c r="C213" s="343"/>
      <c r="D213" s="343"/>
      <c r="E213" s="404"/>
      <c r="F213" s="344"/>
      <c r="G213" s="404"/>
      <c r="H213" s="344"/>
      <c r="I213" s="404"/>
      <c r="J213" s="344"/>
      <c r="K213" s="404"/>
      <c r="L213" s="344"/>
      <c r="M213" s="406"/>
      <c r="N213" s="407"/>
      <c r="O213" s="407"/>
      <c r="P213" s="407"/>
      <c r="Q213" s="404"/>
      <c r="R213" s="344"/>
      <c r="S213" s="406"/>
      <c r="T213" s="407"/>
      <c r="U213" s="407"/>
      <c r="V213" s="407"/>
      <c r="W213" s="404"/>
      <c r="X213" s="344"/>
      <c r="Y213" s="406"/>
      <c r="Z213" s="407"/>
      <c r="AA213" s="407"/>
      <c r="AB213" s="407"/>
      <c r="AC213" s="404"/>
      <c r="AD213" s="344"/>
      <c r="AE213" s="850">
        <v>0</v>
      </c>
      <c r="AF213" s="770">
        <v>30</v>
      </c>
      <c r="AG213" s="770">
        <v>125</v>
      </c>
      <c r="AH213" s="770">
        <v>190</v>
      </c>
      <c r="AI213" s="844">
        <f>+SUM(AE213:AH213)</f>
        <v>345</v>
      </c>
      <c r="AJ213" s="770"/>
      <c r="AK213" s="850">
        <v>127.12102500000002</v>
      </c>
      <c r="AL213" s="770">
        <v>142.08758</v>
      </c>
      <c r="AM213" s="770">
        <v>150.76378</v>
      </c>
      <c r="AN213" s="770">
        <v>226.66431500000004</v>
      </c>
      <c r="AO213" s="844">
        <f>+SUM(AK213:AN213)</f>
        <v>646.63670000000002</v>
      </c>
      <c r="AP213" s="845"/>
      <c r="AQ213" s="850">
        <v>127.72389999999996</v>
      </c>
      <c r="AR213" s="770">
        <v>240.25738599999994</v>
      </c>
      <c r="AS213" s="770">
        <v>349.06677200000013</v>
      </c>
      <c r="AT213" s="770">
        <v>406.68707399999994</v>
      </c>
      <c r="AU213" s="844">
        <f>+SUM(AQ213:AT213)</f>
        <v>1123.735132</v>
      </c>
      <c r="AV213" s="770"/>
      <c r="AW213" s="850">
        <v>373.45537999999999</v>
      </c>
      <c r="AX213" s="770">
        <v>390.517448</v>
      </c>
      <c r="AY213" s="770">
        <v>415.59763440000006</v>
      </c>
      <c r="AZ213" s="770">
        <v>525.513198784</v>
      </c>
      <c r="BA213" s="844">
        <f>+SUM(AW213:AZ213)</f>
        <v>1705.083661184</v>
      </c>
      <c r="BB213" s="770"/>
      <c r="BC213" s="850">
        <v>402.53512840000008</v>
      </c>
      <c r="BD213" s="770">
        <v>477.22824863999995</v>
      </c>
      <c r="BE213" s="770">
        <v>461.69326859200004</v>
      </c>
      <c r="BF213" s="770">
        <v>454.06362807424</v>
      </c>
      <c r="BG213" s="851">
        <v>1795.52027370624</v>
      </c>
      <c r="BH213" s="770"/>
      <c r="BI213" s="850">
        <v>376.6</v>
      </c>
      <c r="BJ213" s="770">
        <v>388.5</v>
      </c>
      <c r="BK213" s="770">
        <v>402.9</v>
      </c>
      <c r="BL213" s="770">
        <v>489</v>
      </c>
      <c r="BM213" s="849">
        <f>SUM(BI213:BL213)</f>
        <v>1657</v>
      </c>
      <c r="BN213" s="846"/>
      <c r="BO213" s="847">
        <v>431.8</v>
      </c>
      <c r="BP213" s="848">
        <v>428.3</v>
      </c>
      <c r="BQ213" s="848">
        <v>443</v>
      </c>
      <c r="BR213" s="848">
        <f>1824.6-SUM(BO213:BQ213)</f>
        <v>521.5</v>
      </c>
      <c r="BS213" s="849">
        <f>SUM(BO213:BR213)</f>
        <v>1824.6</v>
      </c>
      <c r="BT213" s="846"/>
      <c r="BU213" s="847">
        <v>463.5</v>
      </c>
      <c r="BV213" s="848">
        <v>504.7</v>
      </c>
      <c r="BW213" s="848">
        <v>492.6</v>
      </c>
      <c r="BX213" s="848">
        <f>2011.2-SUM(BU213:BW213)</f>
        <v>550.39999999999986</v>
      </c>
      <c r="BY213" s="849">
        <f>SUM(BU213:BX213)</f>
        <v>2011.2</v>
      </c>
      <c r="BZ213" s="846"/>
      <c r="CA213" s="847">
        <v>464.7</v>
      </c>
      <c r="CB213" s="848">
        <v>498.8</v>
      </c>
      <c r="CC213" s="848">
        <v>488.9</v>
      </c>
      <c r="CD213" s="848">
        <f>2022.9-SUM(CA213:CC213)</f>
        <v>570.5</v>
      </c>
      <c r="CE213" s="849">
        <f>SUM(CA213:CD213)</f>
        <v>2022.9</v>
      </c>
      <c r="CF213" s="344"/>
      <c r="CG213" s="406">
        <v>479.8</v>
      </c>
      <c r="CH213" s="407">
        <v>514.70000000000005</v>
      </c>
      <c r="CI213" s="407">
        <v>510.2</v>
      </c>
      <c r="CJ213" s="407">
        <f>2094.9-SUM(CG213:CI213)</f>
        <v>590.20000000000005</v>
      </c>
      <c r="CK213" s="404">
        <f>SUM(CG213:CJ213)</f>
        <v>2094.9</v>
      </c>
      <c r="CL213" s="344"/>
      <c r="CM213" s="406">
        <v>509.7</v>
      </c>
      <c r="CN213" s="407">
        <v>528.1</v>
      </c>
      <c r="CO213" s="407">
        <v>528.4</v>
      </c>
      <c r="CP213" s="407">
        <f>2193.1-SUM(CM213:CO213)</f>
        <v>626.90000000000009</v>
      </c>
      <c r="CQ213" s="404">
        <f>SUM(CM213:CP213)</f>
        <v>2193.1</v>
      </c>
      <c r="CR213" s="344"/>
      <c r="CS213" s="406">
        <v>662.4</v>
      </c>
      <c r="CT213" s="407">
        <v>687.6</v>
      </c>
      <c r="CU213" s="407">
        <v>652.20000000000005</v>
      </c>
      <c r="CV213" s="407">
        <f>2736.8-SUM(CS213:CU213)</f>
        <v>734.60000000000014</v>
      </c>
      <c r="CW213" s="404">
        <f>SUM(CS213:CV213)</f>
        <v>2736.8</v>
      </c>
      <c r="CX213" s="344"/>
      <c r="CY213" s="406">
        <v>655.9</v>
      </c>
      <c r="CZ213" s="407">
        <v>714.6</v>
      </c>
      <c r="DA213" s="407">
        <v>675.6</v>
      </c>
      <c r="DB213" s="407">
        <v>739.3</v>
      </c>
      <c r="DC213" s="404">
        <f>SUM(CY213:DB213)</f>
        <v>2785.3999999999996</v>
      </c>
      <c r="DD213" s="344"/>
      <c r="DE213" s="406">
        <v>655.5</v>
      </c>
      <c r="DF213" s="407">
        <v>702.6</v>
      </c>
      <c r="DG213" s="407">
        <v>694</v>
      </c>
      <c r="DH213" s="407">
        <v>758.8</v>
      </c>
      <c r="DI213" s="404">
        <f>SUM(DE213:DH213)</f>
        <v>2810.8999999999996</v>
      </c>
      <c r="DJ213" s="344"/>
      <c r="DK213" s="406">
        <v>672.6</v>
      </c>
      <c r="DL213" s="401">
        <f>DF213*(1+DL218)</f>
        <v>727.19099999999992</v>
      </c>
      <c r="DM213" s="401">
        <f>DG213*(1+DM218)</f>
        <v>700.94</v>
      </c>
      <c r="DN213" s="401">
        <f>DH213*(1+DN218)</f>
        <v>789.15199999999993</v>
      </c>
      <c r="DO213" s="404">
        <f>SUM(DK213:DN213)</f>
        <v>2889.8829999999998</v>
      </c>
      <c r="DP213" s="344"/>
      <c r="DQ213" s="400">
        <f>DK213*(1+DQ218)</f>
        <v>692.77800000000002</v>
      </c>
      <c r="DR213" s="401">
        <f>DL213*(1+DR218)</f>
        <v>749.00672999999995</v>
      </c>
      <c r="DS213" s="401">
        <f>DM213*(1+DS218)</f>
        <v>721.96820000000002</v>
      </c>
      <c r="DT213" s="401">
        <f>DN213*(1+DT218)</f>
        <v>812.82655999999997</v>
      </c>
      <c r="DU213" s="404">
        <f>SUM(DQ213:DT213)</f>
        <v>2976.5794899999996</v>
      </c>
      <c r="DV213" s="344"/>
      <c r="DW213" s="400">
        <f>DQ213*(1+DW218)</f>
        <v>713.56134000000009</v>
      </c>
      <c r="DX213" s="401">
        <f>DR213*(1+DX218)</f>
        <v>771.47693189999995</v>
      </c>
      <c r="DY213" s="401">
        <f>DS213*(1+DY218)</f>
        <v>743.62724600000001</v>
      </c>
      <c r="DZ213" s="401">
        <f>DT213*(1+DZ218)</f>
        <v>837.21135679999998</v>
      </c>
      <c r="EA213" s="404">
        <f>SUM(DW213:DZ213)</f>
        <v>3065.8768746999999</v>
      </c>
      <c r="EB213" s="344"/>
      <c r="EC213" s="400">
        <f t="shared" ref="EC213:EF213" si="228">DW213*(1+EC218)</f>
        <v>734.96818020000012</v>
      </c>
      <c r="ED213" s="401">
        <f t="shared" si="228"/>
        <v>794.62123985699998</v>
      </c>
      <c r="EE213" s="401">
        <f t="shared" si="228"/>
        <v>765.93606338000006</v>
      </c>
      <c r="EF213" s="401">
        <f t="shared" si="228"/>
        <v>862.32769750399996</v>
      </c>
      <c r="EG213" s="404">
        <f t="shared" ref="EG213" si="229">SUM(EC213:EF213)</f>
        <v>3157.8531809410001</v>
      </c>
    </row>
    <row r="214" spans="1:137" ht="11.25" customHeight="1" outlineLevel="1" x14ac:dyDescent="0.2">
      <c r="A214" s="538" t="s">
        <v>619</v>
      </c>
      <c r="B214" s="539"/>
      <c r="C214" s="539"/>
      <c r="D214" s="539"/>
      <c r="E214" s="777"/>
      <c r="F214" s="541"/>
      <c r="G214" s="777"/>
      <c r="H214" s="541"/>
      <c r="I214" s="777"/>
      <c r="J214" s="541"/>
      <c r="K214" s="777"/>
      <c r="L214" s="541"/>
      <c r="M214" s="778"/>
      <c r="N214" s="779"/>
      <c r="O214" s="779"/>
      <c r="P214" s="779"/>
      <c r="Q214" s="777"/>
      <c r="R214" s="541"/>
      <c r="S214" s="778"/>
      <c r="T214" s="779"/>
      <c r="U214" s="779"/>
      <c r="V214" s="779"/>
      <c r="W214" s="777"/>
      <c r="X214" s="541"/>
      <c r="Y214" s="778"/>
      <c r="Z214" s="779"/>
      <c r="AA214" s="779"/>
      <c r="AB214" s="779"/>
      <c r="AC214" s="777"/>
      <c r="AD214" s="541"/>
      <c r="AE214" s="706"/>
      <c r="AF214" s="580"/>
      <c r="AG214" s="775"/>
      <c r="AH214" s="775"/>
      <c r="AI214" s="811"/>
      <c r="AJ214" s="600"/>
      <c r="AK214" s="756">
        <v>0.04</v>
      </c>
      <c r="AL214" s="775">
        <v>0.04</v>
      </c>
      <c r="AM214" s="775">
        <v>-0.01</v>
      </c>
      <c r="AN214" s="775">
        <v>0.02</v>
      </c>
      <c r="AO214" s="812">
        <v>0.04</v>
      </c>
      <c r="AP214" s="588"/>
      <c r="AQ214" s="756">
        <v>0.05</v>
      </c>
      <c r="AR214" s="775">
        <v>0.05</v>
      </c>
      <c r="AS214" s="775">
        <v>0.1</v>
      </c>
      <c r="AT214" s="775">
        <v>9.5000000000000001E-2</v>
      </c>
      <c r="AU214" s="812">
        <v>0.09</v>
      </c>
      <c r="AV214" s="725"/>
      <c r="AW214" s="505">
        <f>+BA214</f>
        <v>0.05</v>
      </c>
      <c r="AX214" s="614">
        <f>+BA214</f>
        <v>0.05</v>
      </c>
      <c r="AY214" s="614">
        <f>+BA214</f>
        <v>0.05</v>
      </c>
      <c r="AZ214" s="614">
        <f>+BA214</f>
        <v>0.05</v>
      </c>
      <c r="BA214" s="812">
        <v>0.05</v>
      </c>
      <c r="BB214" s="725"/>
      <c r="BC214" s="505">
        <f>+BG214</f>
        <v>5.0000000000000001E-3</v>
      </c>
      <c r="BD214" s="614">
        <f>+BG214</f>
        <v>5.0000000000000001E-3</v>
      </c>
      <c r="BE214" s="614">
        <f>+BG214</f>
        <v>5.0000000000000001E-3</v>
      </c>
      <c r="BF214" s="614">
        <f>+BG214</f>
        <v>5.0000000000000001E-3</v>
      </c>
      <c r="BG214" s="812">
        <v>5.0000000000000001E-3</v>
      </c>
      <c r="BH214" s="725"/>
      <c r="BI214" s="756">
        <v>-0.05</v>
      </c>
      <c r="BJ214" s="580">
        <v>-0.11</v>
      </c>
      <c r="BK214" s="580">
        <v>-0.13</v>
      </c>
      <c r="BL214" s="580">
        <v>-0.04</v>
      </c>
      <c r="BM214" s="673">
        <v>-8.5000000000000006E-2</v>
      </c>
      <c r="BN214" s="541"/>
      <c r="BO214" s="778">
        <v>0.02</v>
      </c>
      <c r="BP214" s="779">
        <v>0.02</v>
      </c>
      <c r="BQ214" s="779">
        <v>0.06</v>
      </c>
      <c r="BR214" s="779">
        <v>7.4999999999999997E-2</v>
      </c>
      <c r="BS214" s="540">
        <v>4.4999999999999998E-2</v>
      </c>
      <c r="BT214" s="541"/>
      <c r="BU214" s="778">
        <v>5.5E-2</v>
      </c>
      <c r="BV214" s="779">
        <v>6.5000000000000002E-2</v>
      </c>
      <c r="BW214" s="779">
        <v>4.4999999999999998E-2</v>
      </c>
      <c r="BX214" s="779">
        <v>2.5000000000000001E-2</v>
      </c>
      <c r="BY214" s="540">
        <v>4.4999999999999998E-2</v>
      </c>
      <c r="BZ214" s="541"/>
      <c r="CA214" s="778">
        <v>5.0000000000000001E-3</v>
      </c>
      <c r="CB214" s="779">
        <v>0.05</v>
      </c>
      <c r="CC214" s="779">
        <v>0.03</v>
      </c>
      <c r="CD214" s="779">
        <v>0.04</v>
      </c>
      <c r="CE214" s="540">
        <v>3.5000000000000003E-2</v>
      </c>
      <c r="CF214" s="541"/>
      <c r="CG214" s="778">
        <v>2.5000000000000001E-2</v>
      </c>
      <c r="CH214" s="779">
        <v>2.5000000000000001E-2</v>
      </c>
      <c r="CI214" s="779">
        <v>3.5000000000000003E-2</v>
      </c>
      <c r="CJ214" s="779">
        <v>0.03</v>
      </c>
      <c r="CK214" s="540">
        <v>0.03</v>
      </c>
      <c r="CL214" s="541"/>
      <c r="CM214" s="1066">
        <f>+CM215-CM$24</f>
        <v>0.06</v>
      </c>
      <c r="CN214" s="645">
        <f t="shared" ref="CN214:CP214" si="230">+CN215-CN24</f>
        <v>0.02</v>
      </c>
      <c r="CO214" s="645">
        <f t="shared" si="230"/>
        <v>0.02</v>
      </c>
      <c r="CP214" s="645">
        <f t="shared" si="230"/>
        <v>2.5000000000000001E-2</v>
      </c>
      <c r="CQ214" s="540">
        <f>SUMPRODUCT(CM214:CP214,CG$213:CJ$213)/CK$213</f>
        <v>3.0569955606472861E-2</v>
      </c>
      <c r="CR214" s="541"/>
      <c r="CS214" s="1066">
        <f>+CS215-CS24</f>
        <v>-2.5000000000000001E-2</v>
      </c>
      <c r="CT214" s="645">
        <f t="shared" ref="CT214" si="231">+CT215-CT24</f>
        <v>0.01</v>
      </c>
      <c r="CU214" s="645">
        <f t="shared" ref="CU214" si="232">+CU215-CU24</f>
        <v>-5.0000000000000001E-3</v>
      </c>
      <c r="CV214" s="645">
        <f t="shared" ref="CV214" si="233">+CV215-CV24</f>
        <v>2.5000000000000001E-2</v>
      </c>
      <c r="CW214" s="540">
        <f>SUMPRODUCT(CS214:CV214,CM$213:CP$213)/CQ$213</f>
        <v>2.5393278920249895E-3</v>
      </c>
      <c r="CX214" s="541"/>
      <c r="CY214" s="1066">
        <f>+CY215-CY24</f>
        <v>0.01</v>
      </c>
      <c r="CZ214" s="645">
        <f t="shared" ref="CZ214" si="234">+CZ215-CZ24</f>
        <v>0.04</v>
      </c>
      <c r="DA214" s="645">
        <f t="shared" ref="DA214" si="235">+DA215-DA24</f>
        <v>3.4999999999999996E-2</v>
      </c>
      <c r="DB214" s="645">
        <f t="shared" ref="DB214" si="236">+DB215-DB24</f>
        <v>0</v>
      </c>
      <c r="DC214" s="540">
        <f>SUMPRODUCT(CY214:DB214,CS$213:CV$213)/CW$213</f>
        <v>2.0810800935399006E-2</v>
      </c>
      <c r="DD214" s="541"/>
      <c r="DE214" s="1066">
        <f>+DE215-DE24</f>
        <v>5.0000000000000001E-3</v>
      </c>
      <c r="DF214" s="645">
        <f t="shared" ref="DF214:DH214" si="237">+DF215-DF24</f>
        <v>-8.0000000000000002E-3</v>
      </c>
      <c r="DG214" s="645">
        <f t="shared" si="237"/>
        <v>0.01</v>
      </c>
      <c r="DH214" s="645">
        <f t="shared" si="237"/>
        <v>-5.0000000000000001E-3</v>
      </c>
      <c r="DI214" s="540">
        <f>SUMPRODUCT(DE214:DH214,CY$213:DB$213)/DC$213</f>
        <v>2.2337904789258273E-4</v>
      </c>
      <c r="DJ214" s="541"/>
      <c r="DK214" s="1066">
        <f>+DK215-DK24</f>
        <v>-0.03</v>
      </c>
      <c r="DL214" s="645">
        <f t="shared" ref="DL214" si="238">+DL215-DL24</f>
        <v>0</v>
      </c>
      <c r="DM214" s="645">
        <f t="shared" ref="DM214" si="239">+DM215-DM24</f>
        <v>0</v>
      </c>
      <c r="DN214" s="645">
        <f t="shared" ref="DN214" si="240">+DN215-DN24</f>
        <v>0.02</v>
      </c>
      <c r="DO214" s="540">
        <f>SUMPRODUCT(DK214:DN214,DE$213:DH$213)/DI$213</f>
        <v>-1.596997402967021E-3</v>
      </c>
      <c r="DP214" s="541"/>
      <c r="DQ214" s="1066">
        <f>+DQ215-DQ24</f>
        <v>0.03</v>
      </c>
      <c r="DR214" s="645">
        <f t="shared" ref="DR214" si="241">+DR215-DR24</f>
        <v>0.03</v>
      </c>
      <c r="DS214" s="645">
        <f t="shared" ref="DS214" si="242">+DS215-DS24</f>
        <v>0.03</v>
      </c>
      <c r="DT214" s="645">
        <f t="shared" ref="DT214" si="243">+DT215-DT24</f>
        <v>0.03</v>
      </c>
      <c r="DU214" s="540">
        <f>SUMPRODUCT(DQ214:DT214,DK$213:DN$213)/DO$213</f>
        <v>3.0000000000000002E-2</v>
      </c>
      <c r="DV214" s="541"/>
      <c r="DW214" s="1066">
        <f>+DW215-DW24</f>
        <v>0.03</v>
      </c>
      <c r="DX214" s="645">
        <f t="shared" ref="DX214:DZ214" si="244">+DX215-DX24</f>
        <v>0.03</v>
      </c>
      <c r="DY214" s="645">
        <f t="shared" si="244"/>
        <v>0.03</v>
      </c>
      <c r="DZ214" s="645">
        <f t="shared" si="244"/>
        <v>0.03</v>
      </c>
      <c r="EA214" s="540">
        <f>SUMPRODUCT(DW214:DZ214,DQ$213:DT$213)/DU$213</f>
        <v>3.0000000000000006E-2</v>
      </c>
      <c r="EB214" s="541"/>
      <c r="EC214" s="1066">
        <f t="shared" ref="EC214:EF214" si="245">+EC215-EC24</f>
        <v>0.03</v>
      </c>
      <c r="ED214" s="645">
        <f t="shared" si="245"/>
        <v>0.03</v>
      </c>
      <c r="EE214" s="645">
        <f t="shared" si="245"/>
        <v>0.03</v>
      </c>
      <c r="EF214" s="645">
        <f t="shared" si="245"/>
        <v>0.03</v>
      </c>
      <c r="EG214" s="540">
        <f t="shared" ref="EG214:EG217" si="246">SUMPRODUCT(EC214:EF214,DW$213:DZ$213)/EA$213</f>
        <v>0.03</v>
      </c>
    </row>
    <row r="215" spans="1:137" ht="11.25" customHeight="1" outlineLevel="1" x14ac:dyDescent="0.2">
      <c r="A215" s="538" t="s">
        <v>620</v>
      </c>
      <c r="B215" s="539"/>
      <c r="C215" s="539"/>
      <c r="D215" s="539"/>
      <c r="E215" s="777"/>
      <c r="F215" s="541"/>
      <c r="G215" s="777"/>
      <c r="H215" s="541"/>
      <c r="I215" s="777"/>
      <c r="J215" s="541"/>
      <c r="K215" s="777"/>
      <c r="L215" s="541"/>
      <c r="M215" s="778"/>
      <c r="N215" s="779"/>
      <c r="O215" s="779"/>
      <c r="P215" s="779"/>
      <c r="Q215" s="777"/>
      <c r="R215" s="541"/>
      <c r="S215" s="778"/>
      <c r="T215" s="779"/>
      <c r="U215" s="779"/>
      <c r="V215" s="779"/>
      <c r="W215" s="777"/>
      <c r="X215" s="541"/>
      <c r="Y215" s="778"/>
      <c r="Z215" s="779"/>
      <c r="AA215" s="779"/>
      <c r="AB215" s="779"/>
      <c r="AC215" s="777"/>
      <c r="AD215" s="541"/>
      <c r="AE215" s="706"/>
      <c r="AF215" s="580"/>
      <c r="AG215" s="775"/>
      <c r="AH215" s="775"/>
      <c r="AI215" s="811"/>
      <c r="AJ215" s="600"/>
      <c r="AK215" s="756">
        <v>0.04</v>
      </c>
      <c r="AL215" s="775">
        <v>0.04</v>
      </c>
      <c r="AM215" s="775">
        <v>-0.01</v>
      </c>
      <c r="AN215" s="775">
        <v>0.02</v>
      </c>
      <c r="AO215" s="812">
        <v>0.04</v>
      </c>
      <c r="AP215" s="588"/>
      <c r="AQ215" s="756">
        <v>0.05</v>
      </c>
      <c r="AR215" s="775">
        <v>0.05</v>
      </c>
      <c r="AS215" s="775">
        <v>0.1</v>
      </c>
      <c r="AT215" s="775">
        <v>9.5000000000000001E-2</v>
      </c>
      <c r="AU215" s="812">
        <v>0.09</v>
      </c>
      <c r="AV215" s="725"/>
      <c r="AW215" s="505">
        <f>+BA215</f>
        <v>0.05</v>
      </c>
      <c r="AX215" s="614">
        <f>+BA215</f>
        <v>0.05</v>
      </c>
      <c r="AY215" s="614">
        <f>+BA215</f>
        <v>0.05</v>
      </c>
      <c r="AZ215" s="614">
        <f>+BA215</f>
        <v>0.05</v>
      </c>
      <c r="BA215" s="812">
        <v>0.05</v>
      </c>
      <c r="BB215" s="725"/>
      <c r="BC215" s="505">
        <f>+BG215</f>
        <v>5.0000000000000001E-3</v>
      </c>
      <c r="BD215" s="614">
        <f>+BG215</f>
        <v>5.0000000000000001E-3</v>
      </c>
      <c r="BE215" s="614">
        <f>+BG215</f>
        <v>5.0000000000000001E-3</v>
      </c>
      <c r="BF215" s="614">
        <f>+BG215</f>
        <v>5.0000000000000001E-3</v>
      </c>
      <c r="BG215" s="812">
        <v>5.0000000000000001E-3</v>
      </c>
      <c r="BH215" s="725"/>
      <c r="BI215" s="756">
        <v>-0.05</v>
      </c>
      <c r="BJ215" s="580">
        <v>-0.11</v>
      </c>
      <c r="BK215" s="580">
        <v>-0.13</v>
      </c>
      <c r="BL215" s="580">
        <v>-0.04</v>
      </c>
      <c r="BM215" s="673">
        <v>-8.5000000000000006E-2</v>
      </c>
      <c r="BN215" s="541"/>
      <c r="BO215" s="778">
        <v>0.02</v>
      </c>
      <c r="BP215" s="779">
        <v>0.02</v>
      </c>
      <c r="BQ215" s="779">
        <v>0.06</v>
      </c>
      <c r="BR215" s="779">
        <v>7.4999999999999997E-2</v>
      </c>
      <c r="BS215" s="540">
        <v>4.4999999999999998E-2</v>
      </c>
      <c r="BT215" s="541"/>
      <c r="BU215" s="778">
        <v>5.5E-2</v>
      </c>
      <c r="BV215" s="779">
        <v>6.5000000000000002E-2</v>
      </c>
      <c r="BW215" s="779">
        <v>4.4999999999999998E-2</v>
      </c>
      <c r="BX215" s="779">
        <v>2.5000000000000001E-2</v>
      </c>
      <c r="BY215" s="540">
        <v>4.4999999999999998E-2</v>
      </c>
      <c r="BZ215" s="541"/>
      <c r="CA215" s="778">
        <v>5.0000000000000001E-3</v>
      </c>
      <c r="CB215" s="779">
        <v>0.05</v>
      </c>
      <c r="CC215" s="779">
        <v>0.03</v>
      </c>
      <c r="CD215" s="779">
        <v>0.04</v>
      </c>
      <c r="CE215" s="540">
        <v>3.5000000000000003E-2</v>
      </c>
      <c r="CF215" s="541"/>
      <c r="CG215" s="778">
        <v>2.5000000000000001E-2</v>
      </c>
      <c r="CH215" s="779">
        <v>2.5000000000000001E-2</v>
      </c>
      <c r="CI215" s="779">
        <v>3.5000000000000003E-2</v>
      </c>
      <c r="CJ215" s="779">
        <v>0.03</v>
      </c>
      <c r="CK215" s="540">
        <v>0.03</v>
      </c>
      <c r="CL215" s="541"/>
      <c r="CM215" s="778">
        <v>0.06</v>
      </c>
      <c r="CN215" s="779">
        <v>0.02</v>
      </c>
      <c r="CO215" s="779">
        <v>0.02</v>
      </c>
      <c r="CP215" s="779">
        <v>2.5000000000000001E-2</v>
      </c>
      <c r="CQ215" s="540">
        <f>SUMPRODUCT(CM215:CP215,CG$213:CJ$213)/CK$213</f>
        <v>3.0569955606472861E-2</v>
      </c>
      <c r="CR215" s="541"/>
      <c r="CS215" s="778">
        <v>-5.0000000000000001E-3</v>
      </c>
      <c r="CT215" s="779">
        <v>0.01</v>
      </c>
      <c r="CU215" s="779">
        <v>-5.0000000000000001E-3</v>
      </c>
      <c r="CV215" s="779">
        <v>5.0000000000000001E-3</v>
      </c>
      <c r="CW215" s="540">
        <f>SUMPRODUCT(CS215:CV215,CM$213:CP$213)/CQ$213</f>
        <v>1.4705211800647489E-3</v>
      </c>
      <c r="CX215" s="541"/>
      <c r="CY215" s="778">
        <v>5.0000000000000001E-3</v>
      </c>
      <c r="CZ215" s="779">
        <v>0.04</v>
      </c>
      <c r="DA215" s="779">
        <v>0.03</v>
      </c>
      <c r="DB215" s="779">
        <v>5.0000000000000001E-3</v>
      </c>
      <c r="DC215" s="540">
        <f>SUMPRODUCT(CY215:DB215,CS$213:CV$213)/CW$213</f>
        <v>1.9751169248757673E-2</v>
      </c>
      <c r="DD215" s="541"/>
      <c r="DE215" s="778">
        <v>0</v>
      </c>
      <c r="DF215" s="779">
        <v>-0.01</v>
      </c>
      <c r="DG215" s="779">
        <v>0.01</v>
      </c>
      <c r="DH215" s="779">
        <v>-5.0000000000000001E-3</v>
      </c>
      <c r="DI215" s="540">
        <f>SUMPRODUCT(DE215:DH215,CY$213:DB$213)/DC$213</f>
        <v>-1.4671142385294757E-3</v>
      </c>
      <c r="DJ215" s="541"/>
      <c r="DK215" s="778">
        <v>-0.03</v>
      </c>
      <c r="DL215" s="796">
        <v>0</v>
      </c>
      <c r="DM215" s="796">
        <v>0</v>
      </c>
      <c r="DN215" s="796">
        <v>0.02</v>
      </c>
      <c r="DO215" s="540">
        <f>SUMPRODUCT(DK215:DN215,DE$213:DH$213)/DI$213</f>
        <v>-1.596997402967021E-3</v>
      </c>
      <c r="DP215" s="541"/>
      <c r="DQ215" s="795">
        <v>0.03</v>
      </c>
      <c r="DR215" s="796">
        <f t="shared" ref="DR215:DT215" si="247">+DQ215</f>
        <v>0.03</v>
      </c>
      <c r="DS215" s="796">
        <f t="shared" si="247"/>
        <v>0.03</v>
      </c>
      <c r="DT215" s="796">
        <f t="shared" si="247"/>
        <v>0.03</v>
      </c>
      <c r="DU215" s="540">
        <f>SUMPRODUCT(DQ215:DT215,DK$213:DN$213)/DO$213</f>
        <v>3.0000000000000002E-2</v>
      </c>
      <c r="DV215" s="541"/>
      <c r="DW215" s="795">
        <v>0.03</v>
      </c>
      <c r="DX215" s="796">
        <f t="shared" ref="DX215" si="248">+DW215</f>
        <v>0.03</v>
      </c>
      <c r="DY215" s="796">
        <f t="shared" ref="DY215" si="249">+DX215</f>
        <v>0.03</v>
      </c>
      <c r="DZ215" s="796">
        <f t="shared" ref="DZ215" si="250">+DY215</f>
        <v>0.03</v>
      </c>
      <c r="EA215" s="540">
        <f>SUMPRODUCT(DW215:DZ215,DQ$213:DT$213)/DU$213</f>
        <v>3.0000000000000006E-2</v>
      </c>
      <c r="EB215" s="541"/>
      <c r="EC215" s="795">
        <v>0.03</v>
      </c>
      <c r="ED215" s="796">
        <f t="shared" ref="ED215" si="251">+EC215</f>
        <v>0.03</v>
      </c>
      <c r="EE215" s="796">
        <f t="shared" ref="EE215" si="252">+ED215</f>
        <v>0.03</v>
      </c>
      <c r="EF215" s="796">
        <f t="shared" ref="EF215" si="253">+EE215</f>
        <v>0.03</v>
      </c>
      <c r="EG215" s="540">
        <f t="shared" si="246"/>
        <v>0.03</v>
      </c>
    </row>
    <row r="216" spans="1:137" ht="11.25" customHeight="1" outlineLevel="1" x14ac:dyDescent="0.2">
      <c r="A216" s="538" t="s">
        <v>504</v>
      </c>
      <c r="B216" s="539"/>
      <c r="C216" s="539"/>
      <c r="D216" s="539"/>
      <c r="E216" s="540"/>
      <c r="F216" s="541"/>
      <c r="G216" s="540"/>
      <c r="H216" s="541"/>
      <c r="I216" s="540"/>
      <c r="J216" s="541"/>
      <c r="K216" s="540"/>
      <c r="L216" s="541"/>
      <c r="M216" s="795"/>
      <c r="N216" s="796"/>
      <c r="O216" s="796"/>
      <c r="P216" s="796"/>
      <c r="Q216" s="540"/>
      <c r="R216" s="541"/>
      <c r="S216" s="795"/>
      <c r="T216" s="796"/>
      <c r="U216" s="796"/>
      <c r="V216" s="796"/>
      <c r="W216" s="540"/>
      <c r="X216" s="541"/>
      <c r="Y216" s="795"/>
      <c r="Z216" s="796"/>
      <c r="AA216" s="796"/>
      <c r="AB216" s="796"/>
      <c r="AC216" s="540"/>
      <c r="AD216" s="541"/>
      <c r="AE216" s="634"/>
      <c r="AF216" s="588"/>
      <c r="AG216" s="588"/>
      <c r="AH216" s="588"/>
      <c r="AI216" s="664"/>
      <c r="AJ216" s="813"/>
      <c r="AK216" s="634"/>
      <c r="AL216" s="588"/>
      <c r="AM216" s="588"/>
      <c r="AN216" s="588"/>
      <c r="AO216" s="664"/>
      <c r="AP216" s="588"/>
      <c r="AQ216" s="634"/>
      <c r="AR216" s="588"/>
      <c r="AS216" s="588"/>
      <c r="AT216" s="588"/>
      <c r="AU216" s="664"/>
      <c r="AV216" s="813"/>
      <c r="AW216" s="634"/>
      <c r="AX216" s="588"/>
      <c r="AY216" s="588"/>
      <c r="AZ216" s="588"/>
      <c r="BA216" s="664"/>
      <c r="BB216" s="813"/>
      <c r="BC216" s="634"/>
      <c r="BD216" s="588"/>
      <c r="BE216" s="588"/>
      <c r="BF216" s="588"/>
      <c r="BG216" s="664"/>
      <c r="BH216" s="813"/>
      <c r="BI216" s="707"/>
      <c r="BJ216" s="588"/>
      <c r="BK216" s="588"/>
      <c r="BL216" s="590"/>
      <c r="BM216" s="678"/>
      <c r="BN216" s="541"/>
      <c r="BO216" s="778">
        <v>7.6574614976102032E-2</v>
      </c>
      <c r="BP216" s="779">
        <v>9.7445302445302473E-2</v>
      </c>
      <c r="BQ216" s="779">
        <v>6.4528418962521844E-2</v>
      </c>
      <c r="BR216" s="779">
        <v>1.4999999999999999E-2</v>
      </c>
      <c r="BS216" s="540">
        <v>6.5000000000000002E-2</v>
      </c>
      <c r="BT216" s="541"/>
      <c r="BU216" s="778">
        <v>0.01</v>
      </c>
      <c r="BV216" s="779">
        <v>4.4999999999999998E-2</v>
      </c>
      <c r="BW216" s="779">
        <v>2.5000000000000001E-2</v>
      </c>
      <c r="BX216" s="779">
        <v>3.5000000000000003E-2</v>
      </c>
      <c r="BY216" s="540">
        <v>2.5000000000000001E-2</v>
      </c>
      <c r="BZ216" s="541"/>
      <c r="CA216" s="778">
        <v>1.4999999999999999E-2</v>
      </c>
      <c r="CB216" s="779">
        <v>-0.01</v>
      </c>
      <c r="CC216" s="779">
        <v>5.0000000000000001E-3</v>
      </c>
      <c r="CD216" s="779">
        <v>0.01</v>
      </c>
      <c r="CE216" s="540">
        <v>5.0000000000000001E-3</v>
      </c>
      <c r="CF216" s="541"/>
      <c r="CG216" s="778">
        <v>0.01</v>
      </c>
      <c r="CH216" s="779">
        <v>0.01</v>
      </c>
      <c r="CI216" s="779">
        <v>5.0000000000000001E-3</v>
      </c>
      <c r="CJ216" s="779">
        <v>0</v>
      </c>
      <c r="CK216" s="540">
        <v>0.01</v>
      </c>
      <c r="CL216" s="541"/>
      <c r="CM216" s="778">
        <v>0</v>
      </c>
      <c r="CN216" s="779">
        <v>0</v>
      </c>
      <c r="CO216" s="779">
        <v>0.02</v>
      </c>
      <c r="CP216" s="779">
        <v>8.5000000000000006E-2</v>
      </c>
      <c r="CQ216" s="540">
        <f>SUMPRODUCT(CM216:CP216,CG$213:CJ$213)/CK$213</f>
        <v>2.8818082008687768E-2</v>
      </c>
      <c r="CR216" s="541"/>
      <c r="CS216" s="778">
        <v>0.39</v>
      </c>
      <c r="CT216" s="779">
        <v>0.375</v>
      </c>
      <c r="CU216" s="779">
        <v>0.32</v>
      </c>
      <c r="CV216" s="779">
        <v>0.22500000000000001</v>
      </c>
      <c r="CW216" s="540">
        <f>SUMPRODUCT(CS216:CV216,CM$213:CP$213)/CQ$213</f>
        <v>0.322356937668141</v>
      </c>
      <c r="CX216" s="541"/>
      <c r="CY216" s="778">
        <v>5.0000000000000001E-3</v>
      </c>
      <c r="CZ216" s="779">
        <v>5.0000000000000001E-3</v>
      </c>
      <c r="DA216" s="779">
        <v>0</v>
      </c>
      <c r="DB216" s="779">
        <v>0</v>
      </c>
      <c r="DC216" s="540">
        <f>SUMPRODUCT(CY216:DB216,CS$213:CV$213)/CW$213</f>
        <v>2.4663840982168954E-3</v>
      </c>
      <c r="DD216" s="541"/>
      <c r="DE216" s="778">
        <v>0</v>
      </c>
      <c r="DF216" s="779">
        <v>0</v>
      </c>
      <c r="DG216" s="779">
        <v>0</v>
      </c>
      <c r="DH216" s="779">
        <v>0</v>
      </c>
      <c r="DI216" s="540">
        <f>SUMPRODUCT(DE216:DH216,CY$213:DB$213)/DC$213</f>
        <v>0</v>
      </c>
      <c r="DJ216" s="541"/>
      <c r="DK216" s="778">
        <v>0</v>
      </c>
      <c r="DL216" s="796">
        <v>0</v>
      </c>
      <c r="DM216" s="796">
        <v>0</v>
      </c>
      <c r="DN216" s="796">
        <v>0</v>
      </c>
      <c r="DO216" s="540">
        <f>SUMPRODUCT(DK216:DN216,DE$213:DH$213)/DI$213</f>
        <v>0</v>
      </c>
      <c r="DP216" s="541"/>
      <c r="DQ216" s="795">
        <v>0</v>
      </c>
      <c r="DR216" s="796">
        <v>0</v>
      </c>
      <c r="DS216" s="796">
        <v>0</v>
      </c>
      <c r="DT216" s="796">
        <v>0</v>
      </c>
      <c r="DU216" s="540">
        <f>SUMPRODUCT(DQ216:DT216,DK$213:DN$213)/DO$213</f>
        <v>0</v>
      </c>
      <c r="DV216" s="541"/>
      <c r="DW216" s="795">
        <v>0</v>
      </c>
      <c r="DX216" s="796">
        <v>0</v>
      </c>
      <c r="DY216" s="796">
        <v>0</v>
      </c>
      <c r="DZ216" s="796">
        <v>0</v>
      </c>
      <c r="EA216" s="540">
        <f>SUMPRODUCT(DW216:DZ216,DQ$213:DT$213)/DU$213</f>
        <v>0</v>
      </c>
      <c r="EB216" s="541"/>
      <c r="EC216" s="795">
        <v>0</v>
      </c>
      <c r="ED216" s="796">
        <v>0</v>
      </c>
      <c r="EE216" s="796">
        <v>0</v>
      </c>
      <c r="EF216" s="796">
        <v>0</v>
      </c>
      <c r="EG216" s="540">
        <f t="shared" si="246"/>
        <v>0</v>
      </c>
    </row>
    <row r="217" spans="1:137" ht="11.25" customHeight="1" outlineLevel="1" x14ac:dyDescent="0.2">
      <c r="A217" s="538" t="s">
        <v>379</v>
      </c>
      <c r="B217" s="539"/>
      <c r="C217" s="539"/>
      <c r="D217" s="539"/>
      <c r="E217" s="777"/>
      <c r="F217" s="541"/>
      <c r="G217" s="777"/>
      <c r="H217" s="541"/>
      <c r="I217" s="777"/>
      <c r="J217" s="541"/>
      <c r="K217" s="777"/>
      <c r="L217" s="541"/>
      <c r="M217" s="778"/>
      <c r="N217" s="779"/>
      <c r="O217" s="779"/>
      <c r="P217" s="779"/>
      <c r="Q217" s="777"/>
      <c r="R217" s="541"/>
      <c r="S217" s="778"/>
      <c r="T217" s="779"/>
      <c r="U217" s="779"/>
      <c r="V217" s="779"/>
      <c r="W217" s="777"/>
      <c r="X217" s="541"/>
      <c r="Y217" s="778"/>
      <c r="Z217" s="779"/>
      <c r="AA217" s="779"/>
      <c r="AB217" s="779"/>
      <c r="AC217" s="777"/>
      <c r="AD217" s="541"/>
      <c r="AE217" s="631"/>
      <c r="AF217" s="593"/>
      <c r="AG217" s="593"/>
      <c r="AH217" s="590"/>
      <c r="AI217" s="660"/>
      <c r="AJ217" s="644"/>
      <c r="AK217" s="631"/>
      <c r="AL217" s="593"/>
      <c r="AM217" s="593"/>
      <c r="AN217" s="590"/>
      <c r="AO217" s="660"/>
      <c r="AP217" s="588"/>
      <c r="AQ217" s="631"/>
      <c r="AR217" s="593"/>
      <c r="AS217" s="593"/>
      <c r="AT217" s="590"/>
      <c r="AU217" s="660"/>
      <c r="AV217" s="644"/>
      <c r="AW217" s="631"/>
      <c r="AX217" s="593"/>
      <c r="AY217" s="593"/>
      <c r="AZ217" s="590"/>
      <c r="BA217" s="660"/>
      <c r="BB217" s="644"/>
      <c r="BC217" s="631"/>
      <c r="BD217" s="593"/>
      <c r="BE217" s="593"/>
      <c r="BF217" s="590"/>
      <c r="BG217" s="660"/>
      <c r="BH217" s="644"/>
      <c r="BI217" s="634"/>
      <c r="BJ217" s="588"/>
      <c r="BK217" s="588"/>
      <c r="BL217" s="590"/>
      <c r="BM217" s="660"/>
      <c r="BN217" s="541"/>
      <c r="BO217" s="542">
        <f>+BO218-BO216-BO214</f>
        <v>4.9999999999999989E-2</v>
      </c>
      <c r="BP217" s="543">
        <f>+BP218-BP216-BP214</f>
        <v>-1.4999999999999996E-2</v>
      </c>
      <c r="BQ217" s="543">
        <f>+BQ218-BQ216-BQ214</f>
        <v>-2.4999999999999994E-2</v>
      </c>
      <c r="BR217" s="543">
        <f>+BR218-BR216-BR214</f>
        <v>-2.353783231083853E-2</v>
      </c>
      <c r="BS217" s="540">
        <f>+BS218-BS216-BS214</f>
        <v>-8.8533494266748308E-3</v>
      </c>
      <c r="BT217" s="541"/>
      <c r="BU217" s="542">
        <f>+BU218-BU216-BU214</f>
        <v>8.4136174154700386E-3</v>
      </c>
      <c r="BV217" s="543">
        <f>+BV218-BV216-BV214</f>
        <v>6.8379640438944622E-2</v>
      </c>
      <c r="BW217" s="543">
        <f>+BW218-BW216-BW214</f>
        <v>4.196388261851032E-2</v>
      </c>
      <c r="BX217" s="543">
        <f>+BX218-BX216-BX214</f>
        <v>-4.5829338446791781E-3</v>
      </c>
      <c r="BY217" s="540">
        <f>+BY218-BY216-BY214</f>
        <v>3.2268990463663341E-2</v>
      </c>
      <c r="BZ217" s="541"/>
      <c r="CA217" s="542">
        <f>+CA218-CA216-CA214</f>
        <v>-1.7411003236245986E-2</v>
      </c>
      <c r="CB217" s="543">
        <f>+CB218-CB216-CB214</f>
        <v>-5.1690112938379183E-2</v>
      </c>
      <c r="CC217" s="543">
        <f>+CC218-CC216-CC214</f>
        <v>-4.2511165245635446E-2</v>
      </c>
      <c r="CD217" s="543">
        <f>+CD218-CD216-CD214</f>
        <v>-1.3481104651162437E-2</v>
      </c>
      <c r="CE217" s="540">
        <f>+CE218-CE216-CE214</f>
        <v>-3.4182577565632331E-2</v>
      </c>
      <c r="CF217" s="541"/>
      <c r="CG217" s="542">
        <f>+CG218-CG216-CG214</f>
        <v>-2.505917796427809E-3</v>
      </c>
      <c r="CH217" s="543">
        <f>+CH218-CH216-CH214</f>
        <v>-3.1234963913392144E-3</v>
      </c>
      <c r="CI217" s="543">
        <f>+CI218-CI216-CI214</f>
        <v>3.5671916547351037E-3</v>
      </c>
      <c r="CJ217" s="543">
        <f>+CJ218-CJ216-CJ214</f>
        <v>4.5311130587204762E-3</v>
      </c>
      <c r="CK217" s="540">
        <f>+CK218-CK216-CK214</f>
        <v>-4.4075337386919253E-3</v>
      </c>
      <c r="CL217" s="541"/>
      <c r="CM217" s="542">
        <f>+CM218-CM216-CM214</f>
        <v>2.3176323468110938E-3</v>
      </c>
      <c r="CN217" s="543">
        <f>+CN218-CN216-CN214</f>
        <v>6.0345832523800609E-3</v>
      </c>
      <c r="CO217" s="543">
        <f>+CO218-CO216-CO214</f>
        <v>-4.3277146217170701E-3</v>
      </c>
      <c r="CP217" s="543">
        <f>+CP218-CP216-CP214</f>
        <v>-4.7817688919010413E-2</v>
      </c>
      <c r="CQ217" s="540">
        <f>SUMPRODUCT(CM217:CP217,CG$213:CJ$213)/CK$213</f>
        <v>-1.2512291756169754E-2</v>
      </c>
      <c r="CR217" s="541"/>
      <c r="CS217" s="542">
        <f>+CS218-CS216-CS215</f>
        <v>-8.5412007062978246E-2</v>
      </c>
      <c r="CT217" s="543">
        <f>+CT218-CT216-CT215</f>
        <v>-8.2973868585495256E-2</v>
      </c>
      <c r="CU217" s="543">
        <f>+CU218-CU216-CU215</f>
        <v>-8.0707797123391212E-2</v>
      </c>
      <c r="CV217" s="543">
        <f>+CV218-CV216-CV215</f>
        <v>-5.8202265114053263E-2</v>
      </c>
      <c r="CW217" s="540">
        <f>SUMPRODUCT(CS217:CV217,CM$213:CP$213)/CQ$213</f>
        <v>-7.5913547033878967E-2</v>
      </c>
      <c r="CX217" s="541"/>
      <c r="CY217" s="542">
        <f>+CY218-CY216-CY215</f>
        <v>-1.9812801932367112E-2</v>
      </c>
      <c r="CZ217" s="543">
        <f>+CZ218-CZ216-CZ215</f>
        <v>-5.7329842931937575E-3</v>
      </c>
      <c r="DA217" s="543">
        <f>+DA218-DA216-DA215</f>
        <v>5.8785648574055938E-3</v>
      </c>
      <c r="DB217" s="543">
        <f>+DB218-DB216-DB215</f>
        <v>1.3980397495233542E-3</v>
      </c>
      <c r="DC217" s="540">
        <f>SUMPRODUCT(CY217:DB217,CS$213:CV$213)/CW$213</f>
        <v>-4.4595878398129996E-3</v>
      </c>
      <c r="DD217" s="541"/>
      <c r="DE217" s="542">
        <f>+DE218-DE216-DE215</f>
        <v>-6.098490623570596E-4</v>
      </c>
      <c r="DF217" s="543">
        <f>+DF218-DF216-DF215</f>
        <v>-6.7926112510495826E-3</v>
      </c>
      <c r="DG217" s="543">
        <f>+DG218-DG216-DG215</f>
        <v>1.7235050325636443E-2</v>
      </c>
      <c r="DH217" s="543">
        <f>+DH218-DH216-DH215</f>
        <v>3.1376301907209629E-2</v>
      </c>
      <c r="DI217" s="540">
        <f>SUMPRODUCT(DE217:DH217,CY$213:DB$213)/DC$213</f>
        <v>1.0621993250520585E-2</v>
      </c>
      <c r="DJ217" s="541"/>
      <c r="DK217" s="542">
        <f>+DK218-DK216-DK215</f>
        <v>5.6086956521739201E-2</v>
      </c>
      <c r="DL217" s="796">
        <v>3.5000000000000003E-2</v>
      </c>
      <c r="DM217" s="796">
        <v>0.01</v>
      </c>
      <c r="DN217" s="796">
        <v>0.02</v>
      </c>
      <c r="DO217" s="540">
        <f>SUMPRODUCT(DK217:DN217,DE$213:DH$213)/DI$213</f>
        <v>2.9695826959336889E-2</v>
      </c>
      <c r="DP217" s="541"/>
      <c r="DQ217" s="795">
        <v>0</v>
      </c>
      <c r="DR217" s="796">
        <v>0</v>
      </c>
      <c r="DS217" s="796">
        <v>0</v>
      </c>
      <c r="DT217" s="796">
        <v>0</v>
      </c>
      <c r="DU217" s="540">
        <f>SUMPRODUCT(DQ217:DT217,DK$213:DN$213)/DO$213</f>
        <v>0</v>
      </c>
      <c r="DV217" s="541"/>
      <c r="DW217" s="795">
        <v>0</v>
      </c>
      <c r="DX217" s="796">
        <v>0</v>
      </c>
      <c r="DY217" s="796">
        <v>0</v>
      </c>
      <c r="DZ217" s="796">
        <v>0</v>
      </c>
      <c r="EA217" s="540">
        <f>SUMPRODUCT(DW217:DZ217,DQ$213:DT$213)/DU$213</f>
        <v>0</v>
      </c>
      <c r="EB217" s="541"/>
      <c r="EC217" s="795">
        <v>0</v>
      </c>
      <c r="ED217" s="796">
        <v>0</v>
      </c>
      <c r="EE217" s="796">
        <v>0</v>
      </c>
      <c r="EF217" s="796">
        <v>0</v>
      </c>
      <c r="EG217" s="540">
        <f t="shared" si="246"/>
        <v>0</v>
      </c>
    </row>
    <row r="218" spans="1:137" ht="11.25" customHeight="1" outlineLevel="1" x14ac:dyDescent="0.2">
      <c r="A218" s="538" t="s">
        <v>503</v>
      </c>
      <c r="B218" s="539"/>
      <c r="C218" s="539"/>
      <c r="D218" s="539"/>
      <c r="E218" s="540"/>
      <c r="F218" s="541"/>
      <c r="G218" s="540"/>
      <c r="H218" s="541"/>
      <c r="I218" s="540"/>
      <c r="J218" s="541"/>
      <c r="K218" s="540"/>
      <c r="L218" s="541"/>
      <c r="M218" s="542"/>
      <c r="N218" s="543"/>
      <c r="O218" s="543"/>
      <c r="P218" s="543"/>
      <c r="Q218" s="540"/>
      <c r="R218" s="541"/>
      <c r="S218" s="542"/>
      <c r="T218" s="543"/>
      <c r="U218" s="543"/>
      <c r="V218" s="543"/>
      <c r="W218" s="540"/>
      <c r="X218" s="541"/>
      <c r="Y218" s="542"/>
      <c r="Z218" s="543"/>
      <c r="AA218" s="543"/>
      <c r="AB218" s="543"/>
      <c r="AC218" s="540"/>
      <c r="AD218" s="541"/>
      <c r="AE218" s="630" t="s">
        <v>501</v>
      </c>
      <c r="AF218" s="596" t="s">
        <v>501</v>
      </c>
      <c r="AG218" s="596" t="s">
        <v>501</v>
      </c>
      <c r="AH218" s="596" t="s">
        <v>501</v>
      </c>
      <c r="AI218" s="665"/>
      <c r="AJ218" s="588"/>
      <c r="AK218" s="630" t="s">
        <v>501</v>
      </c>
      <c r="AL218" s="604">
        <f>+AL213/AF213-1</f>
        <v>3.7362526666666671</v>
      </c>
      <c r="AM218" s="604">
        <f>+AM213/AG213-1</f>
        <v>0.20611023999999989</v>
      </c>
      <c r="AN218" s="604">
        <f>+AN213/AH213-1</f>
        <v>0.19297007894736873</v>
      </c>
      <c r="AO218" s="665">
        <f>+AO213/AI213-1</f>
        <v>0.87430927536231895</v>
      </c>
      <c r="AP218" s="588"/>
      <c r="AQ218" s="707">
        <f>+AQ213/AK213-1</f>
        <v>4.7425278391197701E-3</v>
      </c>
      <c r="AR218" s="604">
        <f>+AR213/AL213-1</f>
        <v>0.69091053560064819</v>
      </c>
      <c r="AS218" s="604">
        <f>+AS213/AM213-1</f>
        <v>1.3153224998736444</v>
      </c>
      <c r="AT218" s="604">
        <f>+AT213/AN213-1</f>
        <v>0.79422629450956972</v>
      </c>
      <c r="AU218" s="665">
        <f>+AU213/AO213-1</f>
        <v>0.73781527092415256</v>
      </c>
      <c r="AV218" s="588"/>
      <c r="AW218" s="707">
        <f>+AW213/AQ213-1</f>
        <v>1.9239271585036168</v>
      </c>
      <c r="AX218" s="604">
        <f>+AX213/AR213-1</f>
        <v>0.62541287284296065</v>
      </c>
      <c r="AY218" s="604">
        <f>+AY213/AS213-1</f>
        <v>0.19059637793310191</v>
      </c>
      <c r="AZ218" s="604">
        <f>+AZ213/AT213-1</f>
        <v>0.29218072660947203</v>
      </c>
      <c r="BA218" s="665">
        <f>+BA213/AU213-1</f>
        <v>0.51733590294478748</v>
      </c>
      <c r="BB218" s="588"/>
      <c r="BC218" s="707">
        <f>+BC213/AW213-1</f>
        <v>7.7866727746699116E-2</v>
      </c>
      <c r="BD218" s="604">
        <f>+BD213/AX213-1</f>
        <v>0.22204078482045175</v>
      </c>
      <c r="BE218" s="604">
        <f>+BE213/AY213-1</f>
        <v>0.11091409184402212</v>
      </c>
      <c r="BF218" s="604">
        <f>+BF213/AZ213-1</f>
        <v>-0.13596151509627008</v>
      </c>
      <c r="BG218" s="665">
        <f>+BG213/BA213-1</f>
        <v>5.303939893450238E-2</v>
      </c>
      <c r="BH218" s="588"/>
      <c r="BI218" s="707">
        <f>+BI213/BC213-1</f>
        <v>-6.4429478498155501E-2</v>
      </c>
      <c r="BJ218" s="604">
        <f>+BJ213/BD213-1</f>
        <v>-0.18592413356262283</v>
      </c>
      <c r="BK218" s="604">
        <f>+BK213/BE213-1</f>
        <v>-0.12734270259408065</v>
      </c>
      <c r="BL218" s="604">
        <f>+BL213/BF213-1</f>
        <v>7.6941577712205333E-2</v>
      </c>
      <c r="BM218" s="665">
        <f>+BM213/BG213-1</f>
        <v>-7.7147707956709444E-2</v>
      </c>
      <c r="BN218" s="541"/>
      <c r="BO218" s="542">
        <f>IF(ISERROR(BO213/BI213-1),"-",BO213/BI213-1)</f>
        <v>0.14657461497610202</v>
      </c>
      <c r="BP218" s="543">
        <f>IF(ISERROR(BP213/BJ213-1),"-",BP213/BJ213-1)</f>
        <v>0.10244530244530248</v>
      </c>
      <c r="BQ218" s="543">
        <f>IF(ISERROR(BQ213/BK213-1),"-",BQ213/BK213-1)</f>
        <v>9.9528418962521847E-2</v>
      </c>
      <c r="BR218" s="543">
        <f>IF(ISERROR(BR213/BL213-1),"-",BR213/BL213-1)</f>
        <v>6.6462167689161467E-2</v>
      </c>
      <c r="BS218" s="540">
        <f>IF(ISERROR(BS213/BM213-1),"-",BS213/BM213-1)</f>
        <v>0.10114665057332517</v>
      </c>
      <c r="BT218" s="541"/>
      <c r="BU218" s="542">
        <f>IF(ISERROR(BU213/BO213-1),"-",BU213/BO213-1)</f>
        <v>7.3413617415470034E-2</v>
      </c>
      <c r="BV218" s="543">
        <f>IF(ISERROR(BV213/BP213-1),"-",BV213/BP213-1)</f>
        <v>0.17837964043894461</v>
      </c>
      <c r="BW218" s="543">
        <f>IF(ISERROR(BW213/BQ213-1),"-",BW213/BQ213-1)</f>
        <v>0.11196388261851031</v>
      </c>
      <c r="BX218" s="543">
        <f>IF(ISERROR(BX213/BR213-1),"-",BX213/BR213-1)</f>
        <v>5.5417066155320827E-2</v>
      </c>
      <c r="BY218" s="540">
        <f>IF(ISERROR(BY213/BS213-1),"-",BY213/BS213-1)</f>
        <v>0.10226899046366333</v>
      </c>
      <c r="BZ218" s="541"/>
      <c r="CA218" s="542">
        <f>IF(ISERROR(CA213/BU213-1),"-",CA213/BU213-1)</f>
        <v>2.5889967637540146E-3</v>
      </c>
      <c r="CB218" s="543">
        <f>IF(ISERROR(CB213/BV213-1),"-",CB213/BV213-1)</f>
        <v>-1.1690112938379182E-2</v>
      </c>
      <c r="CC218" s="543">
        <f>IF(ISERROR(CC213/BW213-1),"-",CC213/BW213-1)</f>
        <v>-7.5111652456354427E-3</v>
      </c>
      <c r="CD218" s="543">
        <f>IF(ISERROR(CD213/BX213-1),"-",CD213/BX213-1)</f>
        <v>3.6518895348837566E-2</v>
      </c>
      <c r="CE218" s="540">
        <f>IF(ISERROR(CE213/BY213-1),"-",CE213/BY213-1)</f>
        <v>5.8174224343676695E-3</v>
      </c>
      <c r="CF218" s="541"/>
      <c r="CG218" s="542">
        <f>IF(ISERROR(CG213/CA213-1),"-",CG213/CA213-1)</f>
        <v>3.2494082203572194E-2</v>
      </c>
      <c r="CH218" s="543">
        <f>IF(ISERROR(CH213/CB213-1),"-",CH213/CB213-1)</f>
        <v>3.1876503608660789E-2</v>
      </c>
      <c r="CI218" s="543">
        <f>IF(ISERROR(CI213/CC213-1),"-",CI213/CC213-1)</f>
        <v>4.3567191654735105E-2</v>
      </c>
      <c r="CJ218" s="543">
        <f>IF(ISERROR(CJ213/CD213-1),"-",CJ213/CD213-1)</f>
        <v>3.4531113058720475E-2</v>
      </c>
      <c r="CK218" s="540">
        <f>IF(ISERROR(CK213/CE213-1),"-",CK213/CE213-1)</f>
        <v>3.5592466261308076E-2</v>
      </c>
      <c r="CL218" s="541"/>
      <c r="CM218" s="542">
        <f>IF(ISERROR(CM213/CG213-1),"-",CM213/CG213-1)</f>
        <v>6.2317632346811092E-2</v>
      </c>
      <c r="CN218" s="543">
        <f>IF(ISERROR(CN213/CH213-1),"-",CN213/CH213-1)</f>
        <v>2.6034583252380061E-2</v>
      </c>
      <c r="CO218" s="543">
        <f>IF(ISERROR(CO213/CI213-1),"-",CO213/CI213-1)</f>
        <v>3.5672285378282931E-2</v>
      </c>
      <c r="CP218" s="543">
        <f>IF(ISERROR(CP213/CJ213-1),"-",CP213/CJ213-1)</f>
        <v>6.2182311080989594E-2</v>
      </c>
      <c r="CQ218" s="540">
        <f>IF(ISERROR(CQ213/CK213-1),"-",CQ213/CK213-1)</f>
        <v>4.6875745858990792E-2</v>
      </c>
      <c r="CR218" s="541"/>
      <c r="CS218" s="542">
        <f>IF(ISERROR(CS213/CM213-1),"-",CS213/CM213-1)</f>
        <v>0.29958799293702176</v>
      </c>
      <c r="CT218" s="543">
        <f>IF(ISERROR(CT213/CN213-1),"-",CT213/CN213-1)</f>
        <v>0.30202613141450474</v>
      </c>
      <c r="CU218" s="543">
        <f>IF(ISERROR(CU213/CO213-1),"-",CU213/CO213-1)</f>
        <v>0.23429220287660879</v>
      </c>
      <c r="CV218" s="543">
        <f>IF(ISERROR(CV213/CP213-1),"-",CV213/CP213-1)</f>
        <v>0.17179773488594674</v>
      </c>
      <c r="CW218" s="540">
        <f>IF(ISERROR(CW213/CQ213-1),"-",CW213/CQ213-1)</f>
        <v>0.24791391181432698</v>
      </c>
      <c r="CX218" s="543"/>
      <c r="CY218" s="542">
        <f>IF(ISERROR(CY213/CS213-1),"-",CY213/CS213-1)</f>
        <v>-9.8128019323671101E-3</v>
      </c>
      <c r="CZ218" s="543">
        <f>IF(ISERROR(CZ213/CT213-1),"-",CZ213/CT213-1)</f>
        <v>3.9267015706806241E-2</v>
      </c>
      <c r="DA218" s="543">
        <f>IF(ISERROR(DA213/CU213-1),"-",DA213/CU213-1)</f>
        <v>3.5878564857405593E-2</v>
      </c>
      <c r="DB218" s="543">
        <f>IF(ISERROR(DB213/CV213-1),"-",DB213/CV213-1)</f>
        <v>6.3980397495233543E-3</v>
      </c>
      <c r="DC218" s="540">
        <f>IF(ISERROR(DC213/CW213-1),"-",DC213/CW213-1)</f>
        <v>1.7757965507161355E-2</v>
      </c>
      <c r="DD218" s="541"/>
      <c r="DE218" s="542">
        <f>IF(ISERROR(DE213/CY213-1),"-",DE213/CY213-1)</f>
        <v>-6.098490623570596E-4</v>
      </c>
      <c r="DF218" s="543">
        <f>IF(ISERROR(DF213/CZ213-1),"-",DF213/CZ213-1)</f>
        <v>-1.6792611251049583E-2</v>
      </c>
      <c r="DG218" s="543">
        <f>IF(ISERROR(DG213/DA213-1),"-",DG213/DA213-1)</f>
        <v>2.7235050325636445E-2</v>
      </c>
      <c r="DH218" s="543">
        <f>IF(ISERROR(DH213/DB213-1),"-",DH213/DB213-1)</f>
        <v>2.6376301907209632E-2</v>
      </c>
      <c r="DI218" s="540">
        <f>IF(ISERROR(DI213/DC213-1),"-",DI213/DC213-1)</f>
        <v>9.1548790119910795E-3</v>
      </c>
      <c r="DJ218" s="541"/>
      <c r="DK218" s="542">
        <f>IF(ISERROR(DK213/DE213-1),"-",DK213/DE213-1)</f>
        <v>2.6086956521739202E-2</v>
      </c>
      <c r="DL218" s="543">
        <f>+DL217+DL216+DL215</f>
        <v>3.5000000000000003E-2</v>
      </c>
      <c r="DM218" s="543">
        <f>+DM217+DM216+DM215</f>
        <v>0.01</v>
      </c>
      <c r="DN218" s="543">
        <f>+DN217+DN216+DN215</f>
        <v>0.04</v>
      </c>
      <c r="DO218" s="540">
        <f>IF(ISERROR(DO213/DI213-1),"-",DO213/DI213-1)</f>
        <v>2.8098829556369997E-2</v>
      </c>
      <c r="DP218" s="541"/>
      <c r="DQ218" s="542">
        <f>+DQ217+DQ216+DQ215</f>
        <v>0.03</v>
      </c>
      <c r="DR218" s="543">
        <f>+DR217+DR216+DR215</f>
        <v>0.03</v>
      </c>
      <c r="DS218" s="543">
        <f>+DS217+DS216+DS215</f>
        <v>0.03</v>
      </c>
      <c r="DT218" s="543">
        <f>+DT217+DT216+DT215</f>
        <v>0.03</v>
      </c>
      <c r="DU218" s="540">
        <f>IF(ISERROR(DU213/DO213-1),"-",DU213/DO213-1)</f>
        <v>3.0000000000000027E-2</v>
      </c>
      <c r="DV218" s="541"/>
      <c r="DW218" s="542">
        <f>+DW217+DW216+DW215</f>
        <v>0.03</v>
      </c>
      <c r="DX218" s="543">
        <f>+DX217+DX216+DX215</f>
        <v>0.03</v>
      </c>
      <c r="DY218" s="543">
        <f>+DY217+DY216+DY215</f>
        <v>0.03</v>
      </c>
      <c r="DZ218" s="543">
        <f>+DZ217+DZ216+DZ215</f>
        <v>0.03</v>
      </c>
      <c r="EA218" s="540">
        <f>IF(ISERROR(EA213/DU213-1),"-",EA213/DU213-1)</f>
        <v>3.0000000000000027E-2</v>
      </c>
      <c r="EB218" s="541"/>
      <c r="EC218" s="542">
        <f t="shared" ref="EC218:EF218" si="254">+EC217+EC216+EC215</f>
        <v>0.03</v>
      </c>
      <c r="ED218" s="543">
        <f t="shared" si="254"/>
        <v>0.03</v>
      </c>
      <c r="EE218" s="543">
        <f t="shared" si="254"/>
        <v>0.03</v>
      </c>
      <c r="EF218" s="543">
        <f t="shared" si="254"/>
        <v>0.03</v>
      </c>
      <c r="EG218" s="540">
        <f t="shared" ref="EG218" si="255">IF(ISERROR(EG213/EA213-1),"-",EG213/EA213-1)</f>
        <v>3.0000000000000027E-2</v>
      </c>
    </row>
    <row r="219" spans="1:137" ht="11.25" customHeight="1" outlineLevel="1" x14ac:dyDescent="0.2">
      <c r="A219" s="51"/>
      <c r="B219" s="14"/>
      <c r="C219" s="14"/>
      <c r="D219" s="14"/>
      <c r="E219" s="92"/>
      <c r="F219" s="71"/>
      <c r="G219" s="92"/>
      <c r="H219" s="71"/>
      <c r="I219" s="92"/>
      <c r="J219" s="71"/>
      <c r="K219" s="92"/>
      <c r="L219" s="71"/>
      <c r="M219" s="84"/>
      <c r="N219" s="71"/>
      <c r="O219" s="71"/>
      <c r="P219" s="71"/>
      <c r="Q219" s="92"/>
      <c r="R219" s="71"/>
      <c r="S219" s="84"/>
      <c r="T219" s="71"/>
      <c r="U219" s="71"/>
      <c r="V219" s="71"/>
      <c r="W219" s="92"/>
      <c r="X219" s="71"/>
      <c r="Y219" s="84"/>
      <c r="Z219" s="71"/>
      <c r="AA219" s="71"/>
      <c r="AB219" s="71"/>
      <c r="AC219" s="92"/>
      <c r="AD219" s="71"/>
      <c r="AE219" s="84"/>
      <c r="AF219" s="71"/>
      <c r="AG219" s="71"/>
      <c r="AH219" s="71"/>
      <c r="AI219" s="92"/>
      <c r="AJ219" s="71"/>
      <c r="AK219" s="84"/>
      <c r="AL219" s="71"/>
      <c r="AM219" s="71"/>
      <c r="AN219" s="71"/>
      <c r="AO219" s="92"/>
      <c r="AP219" s="71"/>
      <c r="AQ219" s="84"/>
      <c r="AR219" s="71"/>
      <c r="AS219" s="71"/>
      <c r="AT219" s="71"/>
      <c r="AU219" s="92"/>
      <c r="AV219" s="71"/>
      <c r="AW219" s="84"/>
      <c r="AX219" s="71"/>
      <c r="AY219" s="71"/>
      <c r="AZ219" s="71"/>
      <c r="BA219" s="92"/>
      <c r="BB219" s="71"/>
      <c r="BC219" s="84"/>
      <c r="BD219" s="71"/>
      <c r="BE219" s="71"/>
      <c r="BF219" s="71"/>
      <c r="BG219" s="92"/>
      <c r="BH219" s="71"/>
      <c r="BI219" s="84"/>
      <c r="BJ219" s="71"/>
      <c r="BK219" s="71"/>
      <c r="BL219" s="71"/>
      <c r="BM219" s="92"/>
      <c r="BN219" s="71"/>
      <c r="BO219" s="84"/>
      <c r="BP219" s="71"/>
      <c r="BQ219" s="71"/>
      <c r="BR219" s="71"/>
      <c r="BS219" s="92"/>
      <c r="BT219" s="71"/>
      <c r="BU219" s="84"/>
      <c r="BV219" s="71"/>
      <c r="BW219" s="71"/>
      <c r="BX219" s="71"/>
      <c r="BY219" s="92"/>
      <c r="BZ219" s="71"/>
      <c r="CA219" s="84"/>
      <c r="CB219" s="71"/>
      <c r="CC219" s="71"/>
      <c r="CD219" s="71"/>
      <c r="CE219" s="92"/>
      <c r="CF219" s="71"/>
      <c r="CG219" s="84"/>
      <c r="CH219" s="71"/>
      <c r="CI219" s="71"/>
      <c r="CJ219" s="71"/>
      <c r="CK219" s="92"/>
      <c r="CL219" s="71"/>
      <c r="CM219" s="84"/>
      <c r="CN219" s="71"/>
      <c r="CO219" s="71"/>
      <c r="CP219" s="71"/>
      <c r="CQ219" s="92"/>
      <c r="CR219" s="71"/>
      <c r="CS219" s="84"/>
      <c r="CT219" s="71"/>
      <c r="CU219" s="71"/>
      <c r="CV219" s="71"/>
      <c r="CW219" s="1172"/>
      <c r="CX219" s="71"/>
      <c r="CY219" s="84"/>
      <c r="CZ219" s="71"/>
      <c r="DA219" s="71"/>
      <c r="DB219" s="71"/>
      <c r="DC219" s="1172"/>
      <c r="DD219" s="71"/>
      <c r="DE219" s="84"/>
      <c r="DF219" s="71"/>
      <c r="DG219" s="71"/>
      <c r="DH219" s="71"/>
      <c r="DI219" s="1172"/>
      <c r="DJ219" s="71"/>
      <c r="DK219" s="84"/>
      <c r="DL219" s="71"/>
      <c r="DM219" s="71"/>
      <c r="DN219" s="71"/>
      <c r="DO219" s="1172"/>
      <c r="DP219" s="71"/>
      <c r="DQ219" s="84"/>
      <c r="DR219" s="71"/>
      <c r="DS219" s="71"/>
      <c r="DT219" s="71"/>
      <c r="DU219" s="1172"/>
      <c r="DV219" s="71"/>
      <c r="DW219" s="84"/>
      <c r="DX219" s="71"/>
      <c r="DY219" s="71"/>
      <c r="DZ219" s="71"/>
      <c r="EA219" s="1172"/>
      <c r="EB219" s="71"/>
      <c r="EC219" s="84"/>
      <c r="ED219" s="71"/>
      <c r="EE219" s="71"/>
      <c r="EF219" s="71"/>
      <c r="EG219" s="1172"/>
    </row>
    <row r="220" spans="1:137" s="384" customFormat="1" ht="11.25" customHeight="1" outlineLevel="1" x14ac:dyDescent="0.2">
      <c r="A220" s="50" t="s">
        <v>407</v>
      </c>
      <c r="B220" s="343"/>
      <c r="C220" s="343"/>
      <c r="D220" s="343"/>
      <c r="E220" s="163"/>
      <c r="F220" s="344"/>
      <c r="G220" s="163"/>
      <c r="H220" s="344"/>
      <c r="I220" s="163"/>
      <c r="J220" s="344"/>
      <c r="K220" s="163"/>
      <c r="L220" s="344"/>
      <c r="M220" s="475"/>
      <c r="N220" s="344"/>
      <c r="O220" s="344"/>
      <c r="P220" s="344"/>
      <c r="Q220" s="163"/>
      <c r="R220" s="344"/>
      <c r="S220" s="475"/>
      <c r="T220" s="344"/>
      <c r="U220" s="344"/>
      <c r="V220" s="344"/>
      <c r="W220" s="163"/>
      <c r="X220" s="344"/>
      <c r="Y220" s="475"/>
      <c r="Z220" s="344"/>
      <c r="AA220" s="344"/>
      <c r="AB220" s="344"/>
      <c r="AC220" s="163"/>
      <c r="AD220" s="344"/>
      <c r="AE220" s="475"/>
      <c r="AF220" s="344"/>
      <c r="AG220" s="344"/>
      <c r="AH220" s="344"/>
      <c r="AI220" s="163"/>
      <c r="AJ220" s="344"/>
      <c r="AK220" s="475"/>
      <c r="AL220" s="344"/>
      <c r="AM220" s="344"/>
      <c r="AN220" s="344"/>
      <c r="AO220" s="163"/>
      <c r="AP220" s="344"/>
      <c r="AQ220" s="475"/>
      <c r="AR220" s="344"/>
      <c r="AS220" s="344"/>
      <c r="AT220" s="344"/>
      <c r="AU220" s="163"/>
      <c r="AV220" s="344"/>
      <c r="AW220" s="475"/>
      <c r="AX220" s="344"/>
      <c r="AY220" s="344"/>
      <c r="AZ220" s="344"/>
      <c r="BA220" s="163"/>
      <c r="BB220" s="344"/>
      <c r="BC220" s="475"/>
      <c r="BD220" s="344"/>
      <c r="BE220" s="344"/>
      <c r="BF220" s="344"/>
      <c r="BG220" s="163">
        <v>177.3</v>
      </c>
      <c r="BH220" s="344"/>
      <c r="BI220" s="475">
        <v>30.1</v>
      </c>
      <c r="BJ220" s="344">
        <v>35.799999999999997</v>
      </c>
      <c r="BK220" s="344">
        <v>126.3</v>
      </c>
      <c r="BL220" s="344">
        <v>23.7</v>
      </c>
      <c r="BM220" s="163">
        <v>215.89999999999998</v>
      </c>
      <c r="BN220" s="344"/>
      <c r="BO220" s="475">
        <v>36.6</v>
      </c>
      <c r="BP220" s="344">
        <v>46.2</v>
      </c>
      <c r="BQ220" s="344">
        <v>57.3</v>
      </c>
      <c r="BR220" s="344">
        <v>63.2</v>
      </c>
      <c r="BS220" s="163">
        <v>203.3</v>
      </c>
      <c r="BT220" s="344"/>
      <c r="BU220" s="475">
        <v>49.5</v>
      </c>
      <c r="BV220" s="344">
        <v>55</v>
      </c>
      <c r="BW220" s="344">
        <v>71.5</v>
      </c>
      <c r="BX220" s="344">
        <v>60.1</v>
      </c>
      <c r="BY220" s="163">
        <f>SUM(BU220:BX220)</f>
        <v>236.1</v>
      </c>
      <c r="BZ220" s="344"/>
      <c r="CA220" s="475">
        <v>58.9</v>
      </c>
      <c r="CB220" s="344">
        <v>71.599999999999994</v>
      </c>
      <c r="CC220" s="344">
        <v>76</v>
      </c>
      <c r="CD220" s="344">
        <v>86.6</v>
      </c>
      <c r="CE220" s="163">
        <f>SUM(CA220:CD220)</f>
        <v>293.10000000000002</v>
      </c>
      <c r="CF220" s="344"/>
      <c r="CG220" s="475">
        <v>62.9</v>
      </c>
      <c r="CH220" s="344">
        <v>78.8</v>
      </c>
      <c r="CI220" s="344">
        <v>82.2</v>
      </c>
      <c r="CJ220" s="344">
        <v>81</v>
      </c>
      <c r="CK220" s="163">
        <f>SUM(CG220:CJ220)</f>
        <v>304.89999999999998</v>
      </c>
      <c r="CL220" s="344"/>
      <c r="CM220" s="475">
        <v>75.5</v>
      </c>
      <c r="CN220" s="344">
        <v>77.900000000000006</v>
      </c>
      <c r="CO220" s="344">
        <v>91.2</v>
      </c>
      <c r="CP220" s="344">
        <v>59.8</v>
      </c>
      <c r="CQ220" s="163">
        <v>304.40000000000003</v>
      </c>
      <c r="CR220" s="344"/>
      <c r="CS220" s="475">
        <v>60.1</v>
      </c>
      <c r="CT220" s="344">
        <v>97.3</v>
      </c>
      <c r="CU220" s="344">
        <v>96.8</v>
      </c>
      <c r="CV220" s="344">
        <v>116.2</v>
      </c>
      <c r="CW220" s="163">
        <f>SUM(CS220:CV220)</f>
        <v>370.4</v>
      </c>
      <c r="CX220" s="344"/>
      <c r="CY220" s="475">
        <v>95.1</v>
      </c>
      <c r="CZ220" s="344">
        <v>109.2</v>
      </c>
      <c r="DA220" s="344">
        <v>101.3</v>
      </c>
      <c r="DB220" s="344">
        <v>113.8</v>
      </c>
      <c r="DC220" s="163">
        <f>SUM(CY220:DB220)</f>
        <v>419.40000000000003</v>
      </c>
      <c r="DD220" s="164"/>
      <c r="DE220" s="475">
        <v>89.4</v>
      </c>
      <c r="DF220" s="344">
        <v>109.8</v>
      </c>
      <c r="DG220" s="344">
        <v>102.2</v>
      </c>
      <c r="DH220" s="344">
        <v>99.3</v>
      </c>
      <c r="DI220" s="163">
        <f>SUM(DE220:DH220)</f>
        <v>400.7</v>
      </c>
      <c r="DJ220" s="164"/>
      <c r="DK220" s="475">
        <v>50.9</v>
      </c>
      <c r="DL220" s="164">
        <f>(DL213-DF213)*DL223+DF220</f>
        <v>107.3409</v>
      </c>
      <c r="DM220" s="164">
        <f>(DM213-DG213)*DM223+DG220</f>
        <v>101.506</v>
      </c>
      <c r="DN220" s="164">
        <f>(DN213-DH213)*DN223+DH220</f>
        <v>129.65199999999999</v>
      </c>
      <c r="DO220" s="163">
        <f>SUM(DK220:DN220)</f>
        <v>389.39889999999997</v>
      </c>
      <c r="DP220" s="164"/>
      <c r="DQ220" s="165">
        <f>(DQ213-DK213)*DQ223+DK220</f>
        <v>56.953399999999995</v>
      </c>
      <c r="DR220" s="164">
        <f>(DR213-DL213)*DR223+DL220</f>
        <v>113.88561900000002</v>
      </c>
      <c r="DS220" s="164">
        <f>(DS213-DM213)*DS223+DM220</f>
        <v>107.81446</v>
      </c>
      <c r="DT220" s="164">
        <f>(DT213-DN213)*DT223+DN220</f>
        <v>136.754368</v>
      </c>
      <c r="DU220" s="163">
        <f>SUM(DQ220:DT220)</f>
        <v>415.407847</v>
      </c>
      <c r="DV220" s="164"/>
      <c r="DW220" s="165">
        <f>(DW213-DQ213)*DW223+DQ220</f>
        <v>63.188402000000018</v>
      </c>
      <c r="DX220" s="164">
        <f>(DX213-DR213)*DX223+DR220</f>
        <v>120.62667957000002</v>
      </c>
      <c r="DY220" s="164">
        <f>(DY213-DS213)*DY223+DS220</f>
        <v>114.3121738</v>
      </c>
      <c r="DZ220" s="164">
        <f>(DZ213-DT213)*DZ223+DT220</f>
        <v>144.06980704</v>
      </c>
      <c r="EA220" s="163">
        <f>SUM(DW220:DZ220)</f>
        <v>442.19706241000006</v>
      </c>
      <c r="EB220" s="164"/>
      <c r="EC220" s="165">
        <f t="shared" ref="EC220:EF220" si="256">(EC213-DW213)*EC223+DW220</f>
        <v>69.610454060000023</v>
      </c>
      <c r="ED220" s="164">
        <f t="shared" si="256"/>
        <v>127.56997195710002</v>
      </c>
      <c r="EE220" s="164">
        <f t="shared" si="256"/>
        <v>121.00481901400001</v>
      </c>
      <c r="EF220" s="164">
        <f t="shared" si="256"/>
        <v>151.60470925120001</v>
      </c>
      <c r="EG220" s="163">
        <f t="shared" ref="EG220" si="257">SUM(EC220:EF220)</f>
        <v>469.78995428230007</v>
      </c>
    </row>
    <row r="221" spans="1:137" ht="11.25" customHeight="1" outlineLevel="1" x14ac:dyDescent="0.2">
      <c r="A221" s="538" t="s">
        <v>513</v>
      </c>
      <c r="B221" s="539"/>
      <c r="C221" s="539"/>
      <c r="D221" s="539"/>
      <c r="E221" s="540"/>
      <c r="F221" s="541"/>
      <c r="G221" s="540"/>
      <c r="H221" s="541"/>
      <c r="I221" s="540"/>
      <c r="J221" s="541"/>
      <c r="K221" s="540"/>
      <c r="L221" s="541"/>
      <c r="M221" s="542"/>
      <c r="N221" s="543"/>
      <c r="O221" s="543"/>
      <c r="P221" s="543"/>
      <c r="Q221" s="540"/>
      <c r="R221" s="541"/>
      <c r="S221" s="542"/>
      <c r="T221" s="543"/>
      <c r="U221" s="543"/>
      <c r="V221" s="543"/>
      <c r="W221" s="540"/>
      <c r="X221" s="541"/>
      <c r="Y221" s="542"/>
      <c r="Z221" s="543"/>
      <c r="AA221" s="543"/>
      <c r="AB221" s="543"/>
      <c r="AC221" s="540"/>
      <c r="AD221" s="541"/>
      <c r="AE221" s="542"/>
      <c r="AF221" s="543"/>
      <c r="AG221" s="543"/>
      <c r="AH221" s="543"/>
      <c r="AI221" s="540"/>
      <c r="AJ221" s="541"/>
      <c r="AK221" s="542"/>
      <c r="AL221" s="543"/>
      <c r="AM221" s="543"/>
      <c r="AN221" s="543"/>
      <c r="AO221" s="540"/>
      <c r="AP221" s="541"/>
      <c r="AQ221" s="542"/>
      <c r="AR221" s="543"/>
      <c r="AS221" s="543"/>
      <c r="AT221" s="543"/>
      <c r="AU221" s="540"/>
      <c r="AV221" s="541"/>
      <c r="AW221" s="542"/>
      <c r="AX221" s="543"/>
      <c r="AY221" s="543"/>
      <c r="AZ221" s="543"/>
      <c r="BA221" s="540"/>
      <c r="BB221" s="541"/>
      <c r="BC221" s="542"/>
      <c r="BD221" s="543"/>
      <c r="BE221" s="543"/>
      <c r="BF221" s="543"/>
      <c r="BG221" s="540">
        <f>+BG220/BG213</f>
        <v>9.8745752190268821E-2</v>
      </c>
      <c r="BH221" s="541"/>
      <c r="BI221" s="542">
        <f>+BI220/BI213</f>
        <v>7.9925650557620811E-2</v>
      </c>
      <c r="BJ221" s="543">
        <f>+BJ220/BJ213</f>
        <v>9.2149292149292142E-2</v>
      </c>
      <c r="BK221" s="543">
        <f>+BK220/BK213</f>
        <v>0.31347728965003724</v>
      </c>
      <c r="BL221" s="543">
        <f>+BL220/BL213</f>
        <v>4.8466257668711654E-2</v>
      </c>
      <c r="BM221" s="540">
        <f>+BM220/BM213</f>
        <v>0.13029571514785757</v>
      </c>
      <c r="BN221" s="541"/>
      <c r="BO221" s="542">
        <f>+BO220/BO213</f>
        <v>8.4761463640574339E-2</v>
      </c>
      <c r="BP221" s="543">
        <f>+BP220/BP213</f>
        <v>0.10786831660051366</v>
      </c>
      <c r="BQ221" s="543">
        <f>+BQ220/BQ213</f>
        <v>0.1293453724604966</v>
      </c>
      <c r="BR221" s="543">
        <f>+BR220/BR213</f>
        <v>0.12118887823585811</v>
      </c>
      <c r="BS221" s="540">
        <f>+BS220/BS213</f>
        <v>0.11142168146443057</v>
      </c>
      <c r="BT221" s="541"/>
      <c r="BU221" s="542">
        <f>+BU220/BU213</f>
        <v>0.10679611650485436</v>
      </c>
      <c r="BV221" s="543">
        <f>+BV220/BV213</f>
        <v>0.10897562908658609</v>
      </c>
      <c r="BW221" s="543">
        <f>+BW220/BW213</f>
        <v>0.14514819326025172</v>
      </c>
      <c r="BX221" s="543">
        <f>+BX220/BX213</f>
        <v>0.1091933139534884</v>
      </c>
      <c r="BY221" s="540">
        <f>+BY220/BY213</f>
        <v>0.11739260143198089</v>
      </c>
      <c r="BZ221" s="541"/>
      <c r="CA221" s="542">
        <f>+CA220/CA213</f>
        <v>0.12674843985366904</v>
      </c>
      <c r="CB221" s="543">
        <f>+CB220/CB213</f>
        <v>0.14354450681635925</v>
      </c>
      <c r="CC221" s="543">
        <f>+CC220/CC213</f>
        <v>0.15545101247698917</v>
      </c>
      <c r="CD221" s="543">
        <f>+CD220/CD213</f>
        <v>0.15179666958808063</v>
      </c>
      <c r="CE221" s="540">
        <f>+CE220/CE213</f>
        <v>0.14489099807207476</v>
      </c>
      <c r="CF221" s="541"/>
      <c r="CG221" s="542">
        <f>+CG220/CG213</f>
        <v>0.1310962901208837</v>
      </c>
      <c r="CH221" s="543">
        <f>+CH220/CH213</f>
        <v>0.15309889255877207</v>
      </c>
      <c r="CI221" s="543">
        <f>+CI220/CI213</f>
        <v>0.16111328890631127</v>
      </c>
      <c r="CJ221" s="543">
        <f>+CJ220/CJ213</f>
        <v>0.13724161301253812</v>
      </c>
      <c r="CK221" s="540">
        <f>+CK220/CK213</f>
        <v>0.14554394004487087</v>
      </c>
      <c r="CL221" s="541"/>
      <c r="CM221" s="542">
        <f>+CM220/CM213</f>
        <v>0.14812634883264666</v>
      </c>
      <c r="CN221" s="543">
        <f>+CN220/CN213</f>
        <v>0.14750994129899642</v>
      </c>
      <c r="CO221" s="543">
        <f>+CO220/CO213</f>
        <v>0.17259651778955337</v>
      </c>
      <c r="CP221" s="543">
        <f>+CP220/CP213</f>
        <v>9.5390014356356662E-2</v>
      </c>
      <c r="CQ221" s="540">
        <f>+CQ220/CQ213</f>
        <v>0.1387989603757239</v>
      </c>
      <c r="CR221" s="541"/>
      <c r="CS221" s="542">
        <f>+CS220/CS213</f>
        <v>9.0730676328502416E-2</v>
      </c>
      <c r="CT221" s="543">
        <f>+CT220/CT213</f>
        <v>0.14150668993600929</v>
      </c>
      <c r="CU221" s="543">
        <f>+CU220/CU213</f>
        <v>0.14842072983747315</v>
      </c>
      <c r="CV221" s="543">
        <f>+CV220/CV213</f>
        <v>0.15818132316907157</v>
      </c>
      <c r="CW221" s="540">
        <f>+CW220/CW213</f>
        <v>0.13534054370067231</v>
      </c>
      <c r="CX221" s="541"/>
      <c r="CY221" s="542">
        <f>+CY220/CY213</f>
        <v>0.14499161457539259</v>
      </c>
      <c r="CZ221" s="543">
        <f>+CZ220/CZ213</f>
        <v>0.1528127623845508</v>
      </c>
      <c r="DA221" s="543">
        <f>+DA220/DA213</f>
        <v>0.14994079336885729</v>
      </c>
      <c r="DB221" s="543">
        <f>+DB220/DB213</f>
        <v>0.1539293926687407</v>
      </c>
      <c r="DC221" s="540">
        <f>+DC220/DC213</f>
        <v>0.15057083363251242</v>
      </c>
      <c r="DD221" s="543"/>
      <c r="DE221" s="542">
        <f>+DE220/DE213</f>
        <v>0.13638443935926775</v>
      </c>
      <c r="DF221" s="543">
        <f>+DF220/DF213</f>
        <v>0.15627668659265584</v>
      </c>
      <c r="DG221" s="543">
        <f>+DG220/DG213</f>
        <v>0.14726224783861672</v>
      </c>
      <c r="DH221" s="543">
        <f>+DH220/DH213</f>
        <v>0.13086452293094361</v>
      </c>
      <c r="DI221" s="540">
        <f>+DI220/DI213</f>
        <v>0.14255220747803196</v>
      </c>
      <c r="DJ221" s="543"/>
      <c r="DK221" s="542">
        <f>+DK220/DK213</f>
        <v>7.5676479333928029E-2</v>
      </c>
      <c r="DL221" s="543">
        <f>+DL220/DL213</f>
        <v>0.14761032521029552</v>
      </c>
      <c r="DM221" s="543">
        <f>+DM220/DM213</f>
        <v>0.14481410677090761</v>
      </c>
      <c r="DN221" s="543">
        <f>+DN220/DN213</f>
        <v>0.16429281051052269</v>
      </c>
      <c r="DO221" s="540">
        <f>+DO220/DO213</f>
        <v>0.13474555890324971</v>
      </c>
      <c r="DP221" s="543"/>
      <c r="DQ221" s="542">
        <f>+DQ220/DQ213</f>
        <v>8.2210174110609741E-2</v>
      </c>
      <c r="DR221" s="543">
        <f>+DR220/DR213</f>
        <v>0.1520488594274714</v>
      </c>
      <c r="DS221" s="543">
        <f>+DS220/DS213</f>
        <v>0.14933408424359965</v>
      </c>
      <c r="DT221" s="543">
        <f>+DT220/DT213</f>
        <v>0.16824544709759484</v>
      </c>
      <c r="DU221" s="540">
        <f>+DU220/DU213</f>
        <v>0.13955879505169877</v>
      </c>
      <c r="DV221" s="543"/>
      <c r="DW221" s="542">
        <f>+DW220/DW213</f>
        <v>8.8553567097679378E-2</v>
      </c>
      <c r="DX221" s="543">
        <f>+DX220/DX213</f>
        <v>0.15635811594900137</v>
      </c>
      <c r="DY221" s="543">
        <f>+DY220/DY213</f>
        <v>0.15372241188698993</v>
      </c>
      <c r="DZ221" s="543">
        <f>+DZ220/DZ213</f>
        <v>0.17208295834717946</v>
      </c>
      <c r="EA221" s="540">
        <f>+EA220/EA213</f>
        <v>0.14423183985601823</v>
      </c>
      <c r="EB221" s="543"/>
      <c r="EC221" s="542">
        <f t="shared" ref="EC221:EG221" si="258">+EC220/EC213</f>
        <v>9.4712201065708143E-2</v>
      </c>
      <c r="ED221" s="543">
        <f t="shared" si="258"/>
        <v>0.16054186014466151</v>
      </c>
      <c r="EE221" s="543">
        <f t="shared" si="258"/>
        <v>0.15798292416212617</v>
      </c>
      <c r="EF221" s="543">
        <f t="shared" si="258"/>
        <v>0.1758086974244461</v>
      </c>
      <c r="EG221" s="540">
        <f t="shared" si="258"/>
        <v>0.14876877655924101</v>
      </c>
    </row>
    <row r="222" spans="1:137" ht="11.25" customHeight="1" outlineLevel="1" x14ac:dyDescent="0.2">
      <c r="A222" s="538" t="s">
        <v>611</v>
      </c>
      <c r="B222" s="539"/>
      <c r="C222" s="539"/>
      <c r="D222" s="539"/>
      <c r="E222" s="540"/>
      <c r="F222" s="541"/>
      <c r="G222" s="540"/>
      <c r="H222" s="541"/>
      <c r="I222" s="540"/>
      <c r="J222" s="541"/>
      <c r="K222" s="540"/>
      <c r="L222" s="541"/>
      <c r="M222" s="542"/>
      <c r="N222" s="543"/>
      <c r="O222" s="543"/>
      <c r="P222" s="543"/>
      <c r="Q222" s="540"/>
      <c r="R222" s="541"/>
      <c r="S222" s="542"/>
      <c r="T222" s="543"/>
      <c r="U222" s="543"/>
      <c r="V222" s="543"/>
      <c r="W222" s="540"/>
      <c r="X222" s="541"/>
      <c r="Y222" s="542"/>
      <c r="Z222" s="543"/>
      <c r="AA222" s="543"/>
      <c r="AB222" s="543"/>
      <c r="AC222" s="540"/>
      <c r="AD222" s="541"/>
      <c r="AE222" s="542"/>
      <c r="AF222" s="543"/>
      <c r="AG222" s="543"/>
      <c r="AH222" s="543"/>
      <c r="AI222" s="540"/>
      <c r="AJ222" s="541"/>
      <c r="AK222" s="542"/>
      <c r="AL222" s="543"/>
      <c r="AM222" s="543"/>
      <c r="AN222" s="543"/>
      <c r="AO222" s="540"/>
      <c r="AP222" s="541"/>
      <c r="AQ222" s="542"/>
      <c r="AR222" s="543"/>
      <c r="AS222" s="543"/>
      <c r="AT222" s="543"/>
      <c r="AU222" s="540"/>
      <c r="AV222" s="541"/>
      <c r="AW222" s="542"/>
      <c r="AX222" s="543"/>
      <c r="AY222" s="543"/>
      <c r="AZ222" s="543"/>
      <c r="BA222" s="540"/>
      <c r="BB222" s="541"/>
      <c r="BC222" s="542"/>
      <c r="BD222" s="543"/>
      <c r="BE222" s="543"/>
      <c r="BF222" s="543"/>
      <c r="BG222" s="540"/>
      <c r="BH222" s="541"/>
      <c r="BI222" s="542"/>
      <c r="BJ222" s="543"/>
      <c r="BK222" s="543"/>
      <c r="BL222" s="543"/>
      <c r="BM222" s="540"/>
      <c r="BN222" s="541"/>
      <c r="BO222" s="542"/>
      <c r="BP222" s="543"/>
      <c r="BQ222" s="543"/>
      <c r="BR222" s="543"/>
      <c r="BS222" s="540"/>
      <c r="BT222" s="541"/>
      <c r="BU222" s="542">
        <f>+BU217*BU$43</f>
        <v>1.6827234830940078E-3</v>
      </c>
      <c r="BV222" s="543">
        <f>+BV217*BV$43</f>
        <v>1.3675928087788926E-2</v>
      </c>
      <c r="BW222" s="543">
        <f>+BW217*BW$43</f>
        <v>8.3927765237020637E-3</v>
      </c>
      <c r="BX222" s="543">
        <f>+BX217*BX$43</f>
        <v>-9.1658676893583563E-4</v>
      </c>
      <c r="BY222" s="540">
        <f>+BY217*BY$43</f>
        <v>6.4537980927326689E-3</v>
      </c>
      <c r="BZ222" s="541"/>
      <c r="CA222" s="542">
        <f>+CA217*CA$43</f>
        <v>-3.4822006472491973E-3</v>
      </c>
      <c r="CB222" s="543">
        <f>+CB217*CB$43</f>
        <v>-1.0338022587675837E-2</v>
      </c>
      <c r="CC222" s="543">
        <f>+CC217*CC$43</f>
        <v>-8.5022330491270892E-3</v>
      </c>
      <c r="CD222" s="543">
        <f>+CD217*CD$43</f>
        <v>-2.6962209302324874E-3</v>
      </c>
      <c r="CE222" s="540">
        <f>+CE217*CE$43</f>
        <v>-6.8365155131264663E-3</v>
      </c>
      <c r="CF222" s="541"/>
      <c r="CG222" s="542">
        <f>+CG217*CG$43</f>
        <v>-5.0118355928556186E-4</v>
      </c>
      <c r="CH222" s="543">
        <f>+CH217*CH$43</f>
        <v>-6.2469927826784295E-4</v>
      </c>
      <c r="CI222" s="543">
        <f>+CI217*CI$43</f>
        <v>7.1343833094702081E-4</v>
      </c>
      <c r="CJ222" s="543">
        <f>+CJ217*CJ$43</f>
        <v>9.0622261174409531E-4</v>
      </c>
      <c r="CK222" s="540">
        <f>+CK217*CK$43</f>
        <v>-8.815067477383851E-4</v>
      </c>
      <c r="CL222" s="541"/>
      <c r="CM222" s="542">
        <f>+CM217*CM$43</f>
        <v>4.6352646936221876E-4</v>
      </c>
      <c r="CN222" s="543">
        <f>+CN217*CN$43</f>
        <v>1.2069166504760122E-3</v>
      </c>
      <c r="CO222" s="543">
        <f>+CO217*CO$43</f>
        <v>-8.6554292434341405E-4</v>
      </c>
      <c r="CP222" s="543">
        <f>+CP217*CP$43</f>
        <v>-9.5635377838020827E-3</v>
      </c>
      <c r="CQ222" s="540">
        <f>+CQ217*CQ$43</f>
        <v>-2.5024583512339507E-3</v>
      </c>
      <c r="CR222" s="541"/>
      <c r="CS222" s="542">
        <f>+CS217*CS$43</f>
        <v>-8.5412007062978246E-3</v>
      </c>
      <c r="CT222" s="543">
        <f>+CT217*CT$43</f>
        <v>-8.2973868585495252E-3</v>
      </c>
      <c r="CU222" s="543">
        <f>+CU217*CU$43</f>
        <v>-8.0707797123391219E-3</v>
      </c>
      <c r="CV222" s="543">
        <f>+CV217*CV$43</f>
        <v>-5.8202265114053265E-3</v>
      </c>
      <c r="CW222" s="540">
        <f>+CW217*CW$43</f>
        <v>-7.5913547033878972E-3</v>
      </c>
      <c r="CX222" s="541"/>
      <c r="CY222" s="542">
        <f>+CY217*CY$43</f>
        <v>-3.9625603864734222E-3</v>
      </c>
      <c r="CZ222" s="543">
        <f>+CZ217*CZ$43</f>
        <v>-1.1465968586387516E-3</v>
      </c>
      <c r="DA222" s="543">
        <f>+DA217*DA$43</f>
        <v>1.1757129714811188E-3</v>
      </c>
      <c r="DB222" s="543">
        <f>+DB217*DB$43</f>
        <v>2.7960794990467084E-4</v>
      </c>
      <c r="DC222" s="540">
        <f>+DC217*DC$43</f>
        <v>-8.9191756796260001E-4</v>
      </c>
      <c r="DD222" s="541"/>
      <c r="DE222" s="542">
        <f>+DE217*DE$43</f>
        <v>-9.1477359353558932E-5</v>
      </c>
      <c r="DF222" s="543">
        <f>+DF217*DF$43</f>
        <v>-1.0188916876574374E-3</v>
      </c>
      <c r="DG222" s="543">
        <f>+DG217*DG$43</f>
        <v>4.3087625814091108E-3</v>
      </c>
      <c r="DH222" s="543">
        <f>+DH217*DH$43</f>
        <v>7.8440754768024073E-3</v>
      </c>
      <c r="DI222" s="540">
        <f>+DI217*DI$43</f>
        <v>2.6554983126301462E-3</v>
      </c>
      <c r="DJ222" s="541"/>
      <c r="DK222" s="542">
        <f>+DK217*DK$43</f>
        <v>3.9260869565217443E-3</v>
      </c>
      <c r="DL222" s="543">
        <f>+DL217*DL$43</f>
        <v>7.000000000000001E-3</v>
      </c>
      <c r="DM222" s="543">
        <f>+DM217*DM$43</f>
        <v>2E-3</v>
      </c>
      <c r="DN222" s="543">
        <f>+DN217*DN$43</f>
        <v>4.0000000000000001E-3</v>
      </c>
      <c r="DO222" s="540">
        <f>+DO217*DO$43</f>
        <v>5.9391653918673785E-3</v>
      </c>
      <c r="DP222" s="541"/>
      <c r="DQ222" s="542">
        <f>+DQ217*DQ$43</f>
        <v>0</v>
      </c>
      <c r="DR222" s="543">
        <f>+DR217*DR$43</f>
        <v>0</v>
      </c>
      <c r="DS222" s="543">
        <f>+DS217*DS$43</f>
        <v>0</v>
      </c>
      <c r="DT222" s="543">
        <f>+DT217*DT$43</f>
        <v>0</v>
      </c>
      <c r="DU222" s="540">
        <f>+DU217*DU$43</f>
        <v>0</v>
      </c>
      <c r="DV222" s="543"/>
      <c r="DW222" s="542">
        <f>+DW217*DW$43</f>
        <v>0</v>
      </c>
      <c r="DX222" s="543">
        <f>+DX217*DX$43</f>
        <v>0</v>
      </c>
      <c r="DY222" s="543">
        <f>+DY217*DY$43</f>
        <v>0</v>
      </c>
      <c r="DZ222" s="543">
        <f>+DZ217*DZ$43</f>
        <v>0</v>
      </c>
      <c r="EA222" s="540">
        <f>+EA217*EA$43</f>
        <v>0</v>
      </c>
      <c r="EB222" s="543"/>
      <c r="EC222" s="542">
        <f t="shared" ref="EC222:EG222" si="259">+EC217*EC$43</f>
        <v>0</v>
      </c>
      <c r="ED222" s="543">
        <f t="shared" si="259"/>
        <v>0</v>
      </c>
      <c r="EE222" s="543">
        <f t="shared" si="259"/>
        <v>0</v>
      </c>
      <c r="EF222" s="543">
        <f t="shared" si="259"/>
        <v>0</v>
      </c>
      <c r="EG222" s="540">
        <f t="shared" si="259"/>
        <v>0</v>
      </c>
    </row>
    <row r="223" spans="1:137" ht="11.25" customHeight="1" outlineLevel="1" x14ac:dyDescent="0.2">
      <c r="A223" s="538" t="s">
        <v>609</v>
      </c>
      <c r="B223" s="539"/>
      <c r="C223" s="539"/>
      <c r="D223" s="539"/>
      <c r="E223" s="540"/>
      <c r="F223" s="541"/>
      <c r="G223" s="540"/>
      <c r="H223" s="541"/>
      <c r="I223" s="540"/>
      <c r="J223" s="541"/>
      <c r="K223" s="540"/>
      <c r="L223" s="541"/>
      <c r="M223" s="542"/>
      <c r="N223" s="543"/>
      <c r="O223" s="543"/>
      <c r="P223" s="543"/>
      <c r="Q223" s="540"/>
      <c r="R223" s="541"/>
      <c r="S223" s="542"/>
      <c r="T223" s="543"/>
      <c r="U223" s="543"/>
      <c r="V223" s="543"/>
      <c r="W223" s="540"/>
      <c r="X223" s="541"/>
      <c r="Y223" s="542"/>
      <c r="Z223" s="543"/>
      <c r="AA223" s="543"/>
      <c r="AB223" s="543"/>
      <c r="AC223" s="540"/>
      <c r="AD223" s="541"/>
      <c r="AE223" s="542"/>
      <c r="AF223" s="543"/>
      <c r="AG223" s="543"/>
      <c r="AH223" s="543"/>
      <c r="AI223" s="540"/>
      <c r="AJ223" s="541"/>
      <c r="AK223" s="542"/>
      <c r="AL223" s="543"/>
      <c r="AM223" s="543"/>
      <c r="AN223" s="543"/>
      <c r="AO223" s="540"/>
      <c r="AP223" s="541"/>
      <c r="AQ223" s="542"/>
      <c r="AR223" s="543"/>
      <c r="AS223" s="543"/>
      <c r="AT223" s="543"/>
      <c r="AU223" s="540"/>
      <c r="AV223" s="541"/>
      <c r="AW223" s="542"/>
      <c r="AX223" s="543"/>
      <c r="AY223" s="543"/>
      <c r="AZ223" s="543"/>
      <c r="BA223" s="540"/>
      <c r="BB223" s="541"/>
      <c r="BC223" s="542"/>
      <c r="BD223" s="543"/>
      <c r="BE223" s="543"/>
      <c r="BF223" s="543"/>
      <c r="BG223" s="540"/>
      <c r="BH223" s="541"/>
      <c r="BI223" s="542"/>
      <c r="BJ223" s="543"/>
      <c r="BK223" s="543"/>
      <c r="BL223" s="543"/>
      <c r="BM223" s="540"/>
      <c r="BN223" s="541"/>
      <c r="BO223" s="542"/>
      <c r="BP223" s="543"/>
      <c r="BQ223" s="543"/>
      <c r="BR223" s="543"/>
      <c r="BS223" s="540"/>
      <c r="BT223" s="541"/>
      <c r="BU223" s="542">
        <f>+(BU226-BO220)/(BU213-BO213)</f>
        <v>0.48685136900335052</v>
      </c>
      <c r="BV223" s="543">
        <f>+(BV226-BP220)/(BV213-BP213)</f>
        <v>0.12438336895653464</v>
      </c>
      <c r="BW223" s="543">
        <f>+(BW226-BQ220)/(BW213-BQ213)</f>
        <v>0.32797440471856087</v>
      </c>
      <c r="BX223" s="543">
        <f>+(BX226-BR220)/(BX213-BR213)</f>
        <v>-4.329555082988662E-2</v>
      </c>
      <c r="BY223" s="540">
        <f>+(BY226-BS220)/(BY213-BS213)</f>
        <v>0.21381396442262979</v>
      </c>
      <c r="BZ223" s="541"/>
      <c r="CA223" s="542">
        <f>+(CA226-BU220)/(CA213-BU213)</f>
        <v>8.2390461165049338</v>
      </c>
      <c r="CB223" s="543">
        <f>+(CB226-BV220)/(CB213-BV213)</f>
        <v>-2.6386514895574926</v>
      </c>
      <c r="CC223" s="543">
        <f>+(CC226-BW220)/(CC213-BW213)</f>
        <v>-1.04406802295595</v>
      </c>
      <c r="CD223" s="543">
        <f>+(CD226-BX220)/(CD213-BX213)</f>
        <v>1.3155863487793509</v>
      </c>
      <c r="CE223" s="540">
        <f>+(CE226-BY220)/(CE213-BY213)</f>
        <v>4.7856233706627327</v>
      </c>
      <c r="CF223" s="541"/>
      <c r="CG223" s="542">
        <f>+(CG226-CA220)/(CG213-CA213)</f>
        <v>0.19029810872784142</v>
      </c>
      <c r="CH223" s="543">
        <f>+(CH226-CB220)/(CH213-CB213)</f>
        <v>0.43488412945786836</v>
      </c>
      <c r="CI223" s="543">
        <f>+(CI226-CC220)/(CI213-CC213)</f>
        <v>0.32312237397933702</v>
      </c>
      <c r="CJ223" s="543">
        <f>+(CJ226-CD220)/(CJ213-CD213)</f>
        <v>-0.26017541163019203</v>
      </c>
      <c r="CK223" s="540">
        <f>+(CK226-CE220)/(CK213-CE213)</f>
        <v>0.15943891473874158</v>
      </c>
      <c r="CL223" s="541"/>
      <c r="CM223" s="542">
        <f>+(CM226-CG220)/(CM213-CG213)</f>
        <v>0.42089227674295754</v>
      </c>
      <c r="CN223" s="543">
        <f>+(CN226-CH220)/(CN213-CH213)</f>
        <v>-6.3658570127795702E-2</v>
      </c>
      <c r="CO223" s="543">
        <f>+(CO226-CI220)/(CO213-CI213)</f>
        <v>0.45144295923598199</v>
      </c>
      <c r="CP223" s="543">
        <f>+(CP226-CJ220)/(CP213-CJ213)</f>
        <v>0.45325387459291916</v>
      </c>
      <c r="CQ223" s="540">
        <f>+(CQ226-CK220)/(CQ213-CK213)</f>
        <v>0.32420789116503418</v>
      </c>
      <c r="CR223" s="541"/>
      <c r="CS223" s="542">
        <f>+(CS226-CM220)/(CS213-CM213)</f>
        <v>-1.8883474350064568E-2</v>
      </c>
      <c r="CT223" s="543">
        <f>+(CT226-CN220)/(CT213-CN213)</f>
        <v>0.13673251183191179</v>
      </c>
      <c r="CU223" s="543">
        <f>+(CU226-CO220)/(CU213-CO213)</f>
        <v>0.14362155817727551</v>
      </c>
      <c r="CV223" s="543">
        <f>+(CV226-CP220)/(CV213-CP213)</f>
        <v>0.44666113784753569</v>
      </c>
      <c r="CW223" s="540">
        <f>+(CW226-CQ220)/(CW213-CQ213)</f>
        <v>0.16648408084657179</v>
      </c>
      <c r="CX223" s="541"/>
      <c r="CY223" s="542">
        <f>+(CY220-CS220)/(CY213-CS213)</f>
        <v>-5.3846153846153832</v>
      </c>
      <c r="CZ223" s="543">
        <f>+(CZ220-CT220)/(CZ213-CT213)</f>
        <v>0.44074074074074093</v>
      </c>
      <c r="DA223" s="543">
        <f>+(DA220-CU220)/(DA213-CU213)</f>
        <v>0.19230769230769248</v>
      </c>
      <c r="DB223" s="543">
        <f>+(DB220-CV220)/(DB213-CV213)</f>
        <v>-0.51063829787236137</v>
      </c>
      <c r="DC223" s="540">
        <f>+(DC220-CW220)/(DC213-CW213)</f>
        <v>1.0082304526749095</v>
      </c>
      <c r="DD223" s="543"/>
      <c r="DE223" s="542">
        <f>+(DE220-CY220)/(DE213-CY213)</f>
        <v>14.250000000000782</v>
      </c>
      <c r="DF223" s="543">
        <f>+(DF220-CZ220)/(DF213-CZ213)</f>
        <v>-4.9999999999999524E-2</v>
      </c>
      <c r="DG223" s="543">
        <f>+(DG220-DA220)/(DG213-DA213)</f>
        <v>4.8913043478261239E-2</v>
      </c>
      <c r="DH223" s="543">
        <f>+(DH220-DB220)/(DH213-DB213)</f>
        <v>-0.74358974358974361</v>
      </c>
      <c r="DI223" s="540">
        <f>+(DI220-DC220)/(DI213-DC213)</f>
        <v>-0.73333333333333517</v>
      </c>
      <c r="DJ223" s="541"/>
      <c r="DK223" s="542">
        <f>+(DK220-DE220)/(DK213-DE213)</f>
        <v>-2.2514619883040909</v>
      </c>
      <c r="DL223" s="796">
        <v>-0.1</v>
      </c>
      <c r="DM223" s="796">
        <v>-0.1</v>
      </c>
      <c r="DN223" s="796">
        <v>1</v>
      </c>
      <c r="DO223" s="540">
        <f>+(DO220-DI220)/(DO213-DI213)</f>
        <v>-0.14308268867984242</v>
      </c>
      <c r="DP223" s="541"/>
      <c r="DQ223" s="795">
        <v>0.3</v>
      </c>
      <c r="DR223" s="796">
        <f>+DQ223</f>
        <v>0.3</v>
      </c>
      <c r="DS223" s="796">
        <f>+DR223</f>
        <v>0.3</v>
      </c>
      <c r="DT223" s="796">
        <f>+DS223</f>
        <v>0.3</v>
      </c>
      <c r="DU223" s="540">
        <f>+(DU220-DO220)/(DU213-DO213)</f>
        <v>0.30000000000000104</v>
      </c>
      <c r="DV223" s="541"/>
      <c r="DW223" s="795">
        <v>0.3</v>
      </c>
      <c r="DX223" s="796">
        <f t="shared" ref="DX223:DZ223" si="260">+DW223</f>
        <v>0.3</v>
      </c>
      <c r="DY223" s="796">
        <f t="shared" si="260"/>
        <v>0.3</v>
      </c>
      <c r="DZ223" s="796">
        <f t="shared" si="260"/>
        <v>0.3</v>
      </c>
      <c r="EA223" s="540">
        <f t="shared" ref="EA223" si="261">+(EA220-DU220)/(EA213-DU213)</f>
        <v>0.2999999999999996</v>
      </c>
      <c r="EB223" s="541"/>
      <c r="EC223" s="795">
        <v>0.3</v>
      </c>
      <c r="ED223" s="796">
        <f t="shared" ref="ED223" si="262">+EC223</f>
        <v>0.3</v>
      </c>
      <c r="EE223" s="796">
        <f t="shared" ref="EE223" si="263">+ED223</f>
        <v>0.3</v>
      </c>
      <c r="EF223" s="796">
        <f t="shared" ref="EF223" si="264">+EE223</f>
        <v>0.3</v>
      </c>
      <c r="EG223" s="540">
        <f t="shared" ref="EG223" si="265">+(EG220-EA220)/(EG213-EA213)</f>
        <v>0.29999999999999949</v>
      </c>
    </row>
    <row r="224" spans="1:137" ht="11.25" customHeight="1" outlineLevel="1" x14ac:dyDescent="0.2">
      <c r="A224" s="51" t="s">
        <v>505</v>
      </c>
      <c r="B224" s="14"/>
      <c r="C224" s="14"/>
      <c r="D224" s="14"/>
      <c r="E224" s="158"/>
      <c r="F224" s="71"/>
      <c r="G224" s="158"/>
      <c r="H224" s="71"/>
      <c r="I224" s="158"/>
      <c r="J224" s="71"/>
      <c r="K224" s="158"/>
      <c r="L224" s="71"/>
      <c r="M224" s="149"/>
      <c r="N224" s="22"/>
      <c r="O224" s="22"/>
      <c r="P224" s="22"/>
      <c r="Q224" s="158"/>
      <c r="R224" s="71"/>
      <c r="S224" s="149"/>
      <c r="T224" s="22"/>
      <c r="U224" s="22"/>
      <c r="V224" s="22"/>
      <c r="W224" s="158"/>
      <c r="X224" s="71"/>
      <c r="Y224" s="149"/>
      <c r="Z224" s="22"/>
      <c r="AA224" s="22"/>
      <c r="AB224" s="22"/>
      <c r="AC224" s="158"/>
      <c r="AD224" s="71"/>
      <c r="AE224" s="149"/>
      <c r="AF224" s="22"/>
      <c r="AG224" s="22"/>
      <c r="AH224" s="22"/>
      <c r="AI224" s="158"/>
      <c r="AJ224" s="71"/>
      <c r="AK224" s="149"/>
      <c r="AL224" s="22"/>
      <c r="AM224" s="22"/>
      <c r="AN224" s="22"/>
      <c r="AO224" s="158"/>
      <c r="AP224" s="71"/>
      <c r="AQ224" s="149"/>
      <c r="AR224" s="22"/>
      <c r="AS224" s="22"/>
      <c r="AT224" s="22"/>
      <c r="AU224" s="158"/>
      <c r="AV224" s="71"/>
      <c r="AW224" s="149"/>
      <c r="AX224" s="22"/>
      <c r="AY224" s="22"/>
      <c r="AZ224" s="22"/>
      <c r="BA224" s="158"/>
      <c r="BB224" s="71"/>
      <c r="BC224" s="149"/>
      <c r="BD224" s="22"/>
      <c r="BE224" s="22"/>
      <c r="BF224" s="22"/>
      <c r="BG224" s="158"/>
      <c r="BH224" s="71"/>
      <c r="BI224" s="149"/>
      <c r="BJ224" s="22"/>
      <c r="BK224" s="22"/>
      <c r="BL224" s="22"/>
      <c r="BM224" s="802">
        <f>+(BM221-BG221)*10000</f>
        <v>315.49962957588747</v>
      </c>
      <c r="BN224" s="71"/>
      <c r="BO224" s="803">
        <f>+(BO221-BI221)*10000</f>
        <v>48.35813082953527</v>
      </c>
      <c r="BP224" s="804">
        <f>+(BP221-BJ221)*10000</f>
        <v>157.19024451221517</v>
      </c>
      <c r="BQ224" s="804">
        <f>+(BQ221-BK221)*10000</f>
        <v>-1841.3191718954065</v>
      </c>
      <c r="BR224" s="804">
        <f>+(BR221-BL221)*10000</f>
        <v>727.22620567146453</v>
      </c>
      <c r="BS224" s="548">
        <v>-190</v>
      </c>
      <c r="BT224" s="71"/>
      <c r="BU224" s="84">
        <v>220</v>
      </c>
      <c r="BV224" s="71">
        <v>10</v>
      </c>
      <c r="BW224" s="71">
        <v>160</v>
      </c>
      <c r="BX224" s="804">
        <f>+(BX221-BR221)*10000</f>
        <v>-119.95564282369712</v>
      </c>
      <c r="BY224" s="548">
        <v>60</v>
      </c>
      <c r="BZ224" s="71"/>
      <c r="CA224" s="84">
        <v>200</v>
      </c>
      <c r="CB224" s="71">
        <v>350</v>
      </c>
      <c r="CC224" s="71">
        <v>100</v>
      </c>
      <c r="CD224" s="804">
        <f>+(CD221-BX221)*10000</f>
        <v>426.03355634592236</v>
      </c>
      <c r="CE224" s="548">
        <v>280</v>
      </c>
      <c r="CF224" s="71"/>
      <c r="CG224" s="84">
        <v>40</v>
      </c>
      <c r="CH224" s="71">
        <v>90</v>
      </c>
      <c r="CI224" s="71">
        <v>60</v>
      </c>
      <c r="CJ224" s="804">
        <f>+(CJ221-CD221)*10000</f>
        <v>-145.55056575542514</v>
      </c>
      <c r="CK224" s="548">
        <v>10</v>
      </c>
      <c r="CL224" s="71"/>
      <c r="CM224" s="84">
        <v>170</v>
      </c>
      <c r="CN224" s="71">
        <v>-50</v>
      </c>
      <c r="CO224" s="71">
        <v>110</v>
      </c>
      <c r="CP224" s="549">
        <v>-420</v>
      </c>
      <c r="CQ224" s="548">
        <v>-70</v>
      </c>
      <c r="CR224" s="71"/>
      <c r="CS224" s="84">
        <v>-570</v>
      </c>
      <c r="CT224" s="71">
        <v>-60</v>
      </c>
      <c r="CU224" s="71">
        <v>-240</v>
      </c>
      <c r="CV224" s="549">
        <v>630</v>
      </c>
      <c r="CW224" s="548">
        <v>-40</v>
      </c>
      <c r="CX224" s="71"/>
      <c r="CY224" s="803">
        <f>+(CY221-CS221)*10000</f>
        <v>542.60938246890169</v>
      </c>
      <c r="CZ224" s="804">
        <f>+(CZ221-CT221)*10000</f>
        <v>113.06072448541509</v>
      </c>
      <c r="DA224" s="804">
        <f>+(DA221-CU221)*10000</f>
        <v>15.20063531384147</v>
      </c>
      <c r="DB224" s="804">
        <f>+(DB221-CV221)*10000</f>
        <v>-42.519305003308752</v>
      </c>
      <c r="DC224" s="802">
        <f>+(DC221-CW221)*10000</f>
        <v>152.30289931840113</v>
      </c>
      <c r="DD224" s="71"/>
      <c r="DE224" s="803">
        <f>+(DE221-CY221)*10000</f>
        <v>-86.071752161248355</v>
      </c>
      <c r="DF224" s="804">
        <f>+(DF221-CZ221)*10000</f>
        <v>34.639242081050405</v>
      </c>
      <c r="DG224" s="804">
        <f>+(DG221-DA221)*10000</f>
        <v>-26.785455302405779</v>
      </c>
      <c r="DH224" s="804">
        <f>+(DH221-DB221)*10000</f>
        <v>-230.6486973779709</v>
      </c>
      <c r="DI224" s="802">
        <f>+(DI221-DC221)*10000</f>
        <v>-80.186261544804566</v>
      </c>
      <c r="DJ224" s="71"/>
      <c r="DK224" s="803">
        <f>+(DK221-DE221)*10000</f>
        <v>-607.07960025339719</v>
      </c>
      <c r="DL224" s="804">
        <f>+(DL221-DF221)*10000</f>
        <v>-86.663613823603214</v>
      </c>
      <c r="DM224" s="804">
        <f>+(DM221-DG221)*10000</f>
        <v>-24.481410677091031</v>
      </c>
      <c r="DN224" s="804">
        <f>+(DN221-DH221)*10000</f>
        <v>334.2828757957908</v>
      </c>
      <c r="DO224" s="802">
        <f>+(DO221-DI221)*10000</f>
        <v>-78.066485747822483</v>
      </c>
      <c r="DP224" s="71"/>
      <c r="DQ224" s="803">
        <f>+(DQ221-DK221)*10000</f>
        <v>65.336947766817119</v>
      </c>
      <c r="DR224" s="804">
        <f>+(DR221-DL221)*10000</f>
        <v>44.385342171758822</v>
      </c>
      <c r="DS224" s="804">
        <f>+(DS221-DM221)*10000</f>
        <v>45.199774726920324</v>
      </c>
      <c r="DT224" s="804">
        <f>+(DT221-DN221)*10000</f>
        <v>39.526365870721506</v>
      </c>
      <c r="DU224" s="802">
        <f>+(DU221-DO221)*10000</f>
        <v>48.132361484490573</v>
      </c>
      <c r="DV224" s="71"/>
      <c r="DW224" s="803">
        <f>+(DW221-DQ221)*10000</f>
        <v>63.433929870696375</v>
      </c>
      <c r="DX224" s="804">
        <f>+(DX221-DR221)*10000</f>
        <v>43.092565215299693</v>
      </c>
      <c r="DY224" s="804">
        <f>+(DY221-DS221)*10000</f>
        <v>43.883276433902829</v>
      </c>
      <c r="DZ224" s="804">
        <f>+(DZ221-DT221)*10000</f>
        <v>38.375112495846189</v>
      </c>
      <c r="EA224" s="802">
        <f>+(EA221-DU221)*10000</f>
        <v>46.730448043194592</v>
      </c>
      <c r="EB224" s="71"/>
      <c r="EC224" s="803">
        <f t="shared" ref="EC224:EG224" si="266">+(EC221-DW221)*10000</f>
        <v>61.586339680287651</v>
      </c>
      <c r="ED224" s="804">
        <f t="shared" si="266"/>
        <v>41.837441956601438</v>
      </c>
      <c r="EE224" s="804">
        <f t="shared" si="266"/>
        <v>42.605122751362416</v>
      </c>
      <c r="EF224" s="804">
        <f t="shared" si="266"/>
        <v>37.257390772666433</v>
      </c>
      <c r="EG224" s="802">
        <f t="shared" si="266"/>
        <v>45.369367032227771</v>
      </c>
    </row>
    <row r="225" spans="1:137" ht="11.25" customHeight="1" outlineLevel="1" x14ac:dyDescent="0.2">
      <c r="A225" s="51"/>
      <c r="B225" s="14"/>
      <c r="C225" s="14"/>
      <c r="D225" s="14"/>
      <c r="E225" s="92"/>
      <c r="F225" s="71"/>
      <c r="G225" s="92"/>
      <c r="H225" s="71"/>
      <c r="I225" s="92"/>
      <c r="J225" s="71"/>
      <c r="K225" s="92"/>
      <c r="L225" s="71"/>
      <c r="M225" s="84"/>
      <c r="N225" s="71"/>
      <c r="O225" s="71"/>
      <c r="P225" s="71"/>
      <c r="Q225" s="92"/>
      <c r="R225" s="71"/>
      <c r="S225" s="84"/>
      <c r="T225" s="71"/>
      <c r="U225" s="71"/>
      <c r="V225" s="71"/>
      <c r="W225" s="92"/>
      <c r="X225" s="71"/>
      <c r="Y225" s="84"/>
      <c r="Z225" s="71"/>
      <c r="AA225" s="71"/>
      <c r="AB225" s="71"/>
      <c r="AC225" s="92"/>
      <c r="AD225" s="71"/>
      <c r="AE225" s="84"/>
      <c r="AF225" s="71"/>
      <c r="AG225" s="71"/>
      <c r="AH225" s="71"/>
      <c r="AI225" s="92"/>
      <c r="AJ225" s="71"/>
      <c r="AK225" s="84"/>
      <c r="AL225" s="71"/>
      <c r="AM225" s="71"/>
      <c r="AN225" s="71"/>
      <c r="AO225" s="92"/>
      <c r="AP225" s="71"/>
      <c r="AQ225" s="84"/>
      <c r="AR225" s="71"/>
      <c r="AS225" s="71"/>
      <c r="AT225" s="71"/>
      <c r="AU225" s="92"/>
      <c r="AV225" s="71"/>
      <c r="AW225" s="84"/>
      <c r="AX225" s="71"/>
      <c r="AY225" s="71"/>
      <c r="AZ225" s="71"/>
      <c r="BA225" s="92"/>
      <c r="BB225" s="71"/>
      <c r="BC225" s="84"/>
      <c r="BD225" s="71"/>
      <c r="BE225" s="71"/>
      <c r="BF225" s="71"/>
      <c r="BG225" s="1018">
        <f>+DC221-BG221</f>
        <v>5.1825081442243598E-2</v>
      </c>
      <c r="BH225" s="71"/>
      <c r="BI225" s="84"/>
      <c r="BJ225" s="71"/>
      <c r="BK225" s="71"/>
      <c r="BL225" s="71"/>
      <c r="BM225" s="92"/>
      <c r="BN225" s="71"/>
      <c r="BO225" s="84"/>
      <c r="BP225" s="71"/>
      <c r="BQ225" s="71"/>
      <c r="BR225" s="71"/>
      <c r="BS225" s="92"/>
      <c r="BT225" s="71"/>
      <c r="BU225" s="84"/>
      <c r="BV225" s="71"/>
      <c r="BW225" s="71"/>
      <c r="BX225" s="71"/>
      <c r="BY225" s="92"/>
      <c r="BZ225" s="71"/>
      <c r="CA225" s="84"/>
      <c r="CB225" s="71"/>
      <c r="CC225" s="71"/>
      <c r="CD225" s="71"/>
      <c r="CE225" s="92"/>
      <c r="CF225" s="71"/>
      <c r="CG225" s="84"/>
      <c r="CH225" s="71"/>
      <c r="CI225" s="71"/>
      <c r="CJ225" s="71"/>
      <c r="CK225" s="92"/>
      <c r="CL225" s="71"/>
      <c r="CM225" s="84"/>
      <c r="CN225" s="71"/>
      <c r="CO225" s="71"/>
      <c r="CP225" s="71"/>
      <c r="CQ225" s="92"/>
      <c r="CR225" s="71"/>
      <c r="CS225" s="84"/>
      <c r="CT225" s="71"/>
      <c r="CU225" s="71"/>
      <c r="CV225" s="71"/>
      <c r="CW225" s="92"/>
      <c r="CX225" s="71"/>
      <c r="CY225" s="84"/>
      <c r="CZ225" s="71"/>
      <c r="DA225" s="71"/>
      <c r="DB225" s="71"/>
      <c r="DC225" s="92"/>
      <c r="DD225" s="71"/>
      <c r="DE225" s="84"/>
      <c r="DF225" s="71"/>
      <c r="DG225" s="71"/>
      <c r="DH225" s="71"/>
      <c r="DI225" s="92"/>
      <c r="DJ225" s="71"/>
      <c r="DK225" s="84"/>
      <c r="DL225" s="71"/>
      <c r="DM225" s="71"/>
      <c r="DN225" s="71"/>
      <c r="DO225" s="92"/>
      <c r="DP225" s="71"/>
      <c r="DQ225" s="84"/>
      <c r="DR225" s="71"/>
      <c r="DS225" s="71"/>
      <c r="DT225" s="71"/>
      <c r="DU225" s="92"/>
      <c r="DV225" s="71"/>
      <c r="DW225" s="84"/>
      <c r="DX225" s="71"/>
      <c r="DY225" s="71"/>
      <c r="DZ225" s="71"/>
      <c r="EA225" s="92"/>
      <c r="EB225" s="71"/>
      <c r="EC225" s="84"/>
      <c r="ED225" s="71"/>
      <c r="EE225" s="71"/>
      <c r="EF225" s="71"/>
      <c r="EG225" s="92"/>
    </row>
    <row r="226" spans="1:137" s="384" customFormat="1" ht="11.25" customHeight="1" outlineLevel="1" x14ac:dyDescent="0.2">
      <c r="A226" s="50" t="s">
        <v>509</v>
      </c>
      <c r="B226" s="343"/>
      <c r="C226" s="343"/>
      <c r="D226" s="343"/>
      <c r="E226" s="476"/>
      <c r="F226" s="344"/>
      <c r="G226" s="476"/>
      <c r="H226" s="344"/>
      <c r="I226" s="476"/>
      <c r="J226" s="344"/>
      <c r="K226" s="476"/>
      <c r="L226" s="344"/>
      <c r="M226" s="475"/>
      <c r="N226" s="344"/>
      <c r="O226" s="344"/>
      <c r="P226" s="344"/>
      <c r="Q226" s="476"/>
      <c r="R226" s="344"/>
      <c r="S226" s="475"/>
      <c r="T226" s="344"/>
      <c r="U226" s="344"/>
      <c r="V226" s="344"/>
      <c r="W226" s="476"/>
      <c r="X226" s="344"/>
      <c r="Y226" s="475"/>
      <c r="Z226" s="344"/>
      <c r="AA226" s="344"/>
      <c r="AB226" s="344"/>
      <c r="AC226" s="476"/>
      <c r="AD226" s="344"/>
      <c r="AE226" s="475"/>
      <c r="AF226" s="344"/>
      <c r="AG226" s="344"/>
      <c r="AH226" s="344"/>
      <c r="AI226" s="476"/>
      <c r="AJ226" s="344"/>
      <c r="AK226" s="475"/>
      <c r="AL226" s="344"/>
      <c r="AM226" s="344"/>
      <c r="AN226" s="344"/>
      <c r="AO226" s="476"/>
      <c r="AP226" s="344"/>
      <c r="AQ226" s="475"/>
      <c r="AR226" s="344"/>
      <c r="AS226" s="344"/>
      <c r="AT226" s="344"/>
      <c r="AU226" s="476"/>
      <c r="AV226" s="344"/>
      <c r="AW226" s="475"/>
      <c r="AX226" s="344"/>
      <c r="AY226" s="344"/>
      <c r="AZ226" s="344"/>
      <c r="BA226" s="476"/>
      <c r="BB226" s="344"/>
      <c r="BC226" s="475"/>
      <c r="BD226" s="344"/>
      <c r="BE226" s="344"/>
      <c r="BF226" s="344"/>
      <c r="BG226" s="1019">
        <f>+BG225/8</f>
        <v>6.4781351802804497E-3</v>
      </c>
      <c r="BH226" s="344"/>
      <c r="BI226" s="475"/>
      <c r="BJ226" s="344"/>
      <c r="BK226" s="344"/>
      <c r="BL226" s="344"/>
      <c r="BM226" s="476"/>
      <c r="BN226" s="344"/>
      <c r="BO226" s="165"/>
      <c r="BP226" s="164"/>
      <c r="BQ226" s="164"/>
      <c r="BR226" s="164"/>
      <c r="BS226" s="163">
        <f>+BS227*BS213</f>
        <v>272.40496185878089</v>
      </c>
      <c r="BT226" s="344"/>
      <c r="BU226" s="165">
        <f>+BU227*BU213</f>
        <v>52.033188397406207</v>
      </c>
      <c r="BV226" s="164">
        <f>+BV227*BV213</f>
        <v>55.702889388279246</v>
      </c>
      <c r="BW226" s="164">
        <f>+BW227*BW213</f>
        <v>73.567530474040623</v>
      </c>
      <c r="BX226" s="164">
        <f>+BX227*BX213</f>
        <v>61.948758581016286</v>
      </c>
      <c r="BY226" s="163">
        <f>+BY227*BY213</f>
        <v>243.19768576126276</v>
      </c>
      <c r="BZ226" s="344"/>
      <c r="CA226" s="165">
        <f>+CA227*CA213</f>
        <v>59.386855339805827</v>
      </c>
      <c r="CB226" s="164">
        <f>+CB227*CB213</f>
        <v>70.568043788389147</v>
      </c>
      <c r="CC226" s="164">
        <f>+CC227*CC213</f>
        <v>75.363051684937062</v>
      </c>
      <c r="CD226" s="164">
        <f>+CD227*CD213</f>
        <v>86.543285610465134</v>
      </c>
      <c r="CE226" s="163">
        <f>+CE227*CE213</f>
        <v>292.09179343675419</v>
      </c>
      <c r="CF226" s="344"/>
      <c r="CG226" s="165">
        <f>+CG227*CG213</f>
        <v>61.773501441790408</v>
      </c>
      <c r="CH226" s="164">
        <f>+CH227*CH213</f>
        <v>78.514657658380116</v>
      </c>
      <c r="CI226" s="164">
        <f>+CI227*CI213</f>
        <v>82.882506565759883</v>
      </c>
      <c r="CJ226" s="164">
        <f>+CJ227*CJ213</f>
        <v>81.4745443908852</v>
      </c>
      <c r="CK226" s="163">
        <f>+CK227*CK213</f>
        <v>304.57960186118942</v>
      </c>
      <c r="CL226" s="344"/>
      <c r="CM226" s="165">
        <f>+CM227*CM213</f>
        <v>75.484679074614419</v>
      </c>
      <c r="CN226" s="164">
        <f>+CN227*CN213</f>
        <v>77.946975160287536</v>
      </c>
      <c r="CO226" s="164">
        <f>+CO227*CO213</f>
        <v>90.41626185809487</v>
      </c>
      <c r="CP226" s="164">
        <f>+CP227*CP213</f>
        <v>97.634417197560154</v>
      </c>
      <c r="CQ226" s="163">
        <f>+CQ227*CQ213</f>
        <v>336.73721491240627</v>
      </c>
      <c r="CR226" s="344"/>
      <c r="CS226" s="165">
        <f>+CS227*CS213</f>
        <v>72.61649346674514</v>
      </c>
      <c r="CT226" s="164">
        <f>+CT227*CT213</f>
        <v>99.708835637189935</v>
      </c>
      <c r="CU226" s="164">
        <f>+CU227*CU213</f>
        <v>108.98034890234672</v>
      </c>
      <c r="CV226" s="164">
        <f>+CV227*CV213</f>
        <v>107.90540454617961</v>
      </c>
      <c r="CW226" s="163">
        <f>+CW227*CW213</f>
        <v>394.91739475628117</v>
      </c>
      <c r="CX226" s="344"/>
      <c r="CY226" s="165">
        <f>+CY227*CY213</f>
        <v>75.907750603864741</v>
      </c>
      <c r="CZ226" s="164">
        <f>+CZ227*CZ213</f>
        <v>110.05318062827224</v>
      </c>
      <c r="DA226" s="164">
        <f>+DA227*DA213</f>
        <v>101.62424507819686</v>
      </c>
      <c r="DB226" s="164">
        <f>+DB227*DB213</f>
        <v>114.72555221889461</v>
      </c>
      <c r="DC226" s="163">
        <f>+DC227*DC213</f>
        <v>401.44085042385262</v>
      </c>
      <c r="DD226" s="344"/>
      <c r="DE226" s="165">
        <f>+DE227*DE213</f>
        <v>89.470253354169841</v>
      </c>
      <c r="DF226" s="164">
        <f>+DF227*DF213</f>
        <v>110.8792468513854</v>
      </c>
      <c r="DG226" s="164">
        <f>+DG227*DG213</f>
        <v>103.241</v>
      </c>
      <c r="DH226" s="164">
        <f>+DH227*DH213</f>
        <v>109.16440000000001</v>
      </c>
      <c r="DI226" s="163">
        <f>+DI227*DI213</f>
        <v>413.33835000000005</v>
      </c>
      <c r="DJ226" s="344"/>
      <c r="DK226" s="165">
        <f>+DK227*DK213</f>
        <v>50.899999999999991</v>
      </c>
      <c r="DL226" s="164">
        <f>+DL227*DL213</f>
        <v>107.34089999999999</v>
      </c>
      <c r="DM226" s="164">
        <f>+DM227*DM213</f>
        <v>101.50599999999999</v>
      </c>
      <c r="DN226" s="164">
        <f>+DN227*DN213</f>
        <v>129.65199999999999</v>
      </c>
      <c r="DO226" s="163">
        <f>+DO227*DO213</f>
        <v>389.39889999999997</v>
      </c>
      <c r="DP226" s="344"/>
      <c r="DQ226" s="165">
        <f>+DQ227*DQ213</f>
        <v>56.953399999999995</v>
      </c>
      <c r="DR226" s="164">
        <f>+DR227*DR213</f>
        <v>113.88561900000002</v>
      </c>
      <c r="DS226" s="164">
        <f>+DS227*DS213</f>
        <v>107.81446</v>
      </c>
      <c r="DT226" s="164">
        <f>+DT227*DT213</f>
        <v>136.754368</v>
      </c>
      <c r="DU226" s="163">
        <f>+DU227*DU213</f>
        <v>415.407847</v>
      </c>
      <c r="DV226" s="344"/>
      <c r="DW226" s="165">
        <f>+DW227*DW213</f>
        <v>63.188402000000018</v>
      </c>
      <c r="DX226" s="164">
        <f>+DX227*DX213</f>
        <v>120.62667957000002</v>
      </c>
      <c r="DY226" s="164">
        <f>+DY227*DY213</f>
        <v>114.31217379999998</v>
      </c>
      <c r="DZ226" s="164">
        <f>+DZ227*DZ213</f>
        <v>144.06980704</v>
      </c>
      <c r="EA226" s="163">
        <f>+EA227*EA213</f>
        <v>442.19706241000006</v>
      </c>
      <c r="EB226" s="344"/>
      <c r="EC226" s="165">
        <f t="shared" ref="EC226:EG226" si="267">+EC227*EC213</f>
        <v>69.610454060000023</v>
      </c>
      <c r="ED226" s="164">
        <f t="shared" si="267"/>
        <v>127.56997195710002</v>
      </c>
      <c r="EE226" s="164">
        <f t="shared" si="267"/>
        <v>121.00481901400002</v>
      </c>
      <c r="EF226" s="164">
        <f t="shared" si="267"/>
        <v>151.60470925120001</v>
      </c>
      <c r="EG226" s="163">
        <f t="shared" si="267"/>
        <v>469.78995428230013</v>
      </c>
    </row>
    <row r="227" spans="1:137" ht="11.25" customHeight="1" outlineLevel="1" x14ac:dyDescent="0.2">
      <c r="A227" s="538" t="s">
        <v>514</v>
      </c>
      <c r="B227" s="539"/>
      <c r="C227" s="539"/>
      <c r="D227" s="539"/>
      <c r="E227" s="776"/>
      <c r="F227" s="541"/>
      <c r="G227" s="776"/>
      <c r="H227" s="541"/>
      <c r="I227" s="776"/>
      <c r="J227" s="541"/>
      <c r="K227" s="776"/>
      <c r="L227" s="541"/>
      <c r="M227" s="782"/>
      <c r="N227" s="541"/>
      <c r="O227" s="541"/>
      <c r="P227" s="541"/>
      <c r="Q227" s="776"/>
      <c r="R227" s="541"/>
      <c r="S227" s="782"/>
      <c r="T227" s="541"/>
      <c r="U227" s="541"/>
      <c r="V227" s="541"/>
      <c r="W227" s="776"/>
      <c r="X227" s="541"/>
      <c r="Y227" s="782"/>
      <c r="Z227" s="541"/>
      <c r="AA227" s="541"/>
      <c r="AB227" s="541"/>
      <c r="AC227" s="776"/>
      <c r="AD227" s="541"/>
      <c r="AE227" s="782"/>
      <c r="AF227" s="541"/>
      <c r="AG227" s="541"/>
      <c r="AH227" s="541"/>
      <c r="AI227" s="776"/>
      <c r="AJ227" s="541"/>
      <c r="AK227" s="782"/>
      <c r="AL227" s="541"/>
      <c r="AM227" s="541"/>
      <c r="AN227" s="541"/>
      <c r="AO227" s="776"/>
      <c r="AP227" s="541"/>
      <c r="AQ227" s="782"/>
      <c r="AR227" s="541"/>
      <c r="AS227" s="541"/>
      <c r="AT227" s="541"/>
      <c r="AU227" s="776"/>
      <c r="AV227" s="541"/>
      <c r="AW227" s="782"/>
      <c r="AX227" s="541"/>
      <c r="AY227" s="541"/>
      <c r="AZ227" s="541"/>
      <c r="BA227" s="776"/>
      <c r="BB227" s="541"/>
      <c r="BC227" s="782"/>
      <c r="BD227" s="541"/>
      <c r="BE227" s="541"/>
      <c r="BF227" s="541"/>
      <c r="BG227" s="776"/>
      <c r="BH227" s="541"/>
      <c r="BI227" s="782"/>
      <c r="BJ227" s="541"/>
      <c r="BK227" s="541"/>
      <c r="BL227" s="541"/>
      <c r="BM227" s="776"/>
      <c r="BN227" s="541"/>
      <c r="BO227" s="808"/>
      <c r="BP227" s="809"/>
      <c r="BQ227" s="809"/>
      <c r="BR227" s="809"/>
      <c r="BS227" s="810">
        <f>+BM221+BS228/10000</f>
        <v>0.14929571514785756</v>
      </c>
      <c r="BT227" s="832"/>
      <c r="BU227" s="821">
        <f>+BO221+BU228/10000</f>
        <v>0.11226146364057434</v>
      </c>
      <c r="BV227" s="822">
        <f>+BP221+BV228/10000</f>
        <v>0.11036831660051366</v>
      </c>
      <c r="BW227" s="822">
        <f>+BQ221+BW228/10000</f>
        <v>0.14934537246049659</v>
      </c>
      <c r="BX227" s="822">
        <f>+BR221+BX228/10000</f>
        <v>0.11255225032888136</v>
      </c>
      <c r="BY227" s="810">
        <f>+BS221+BY228/10000</f>
        <v>0.12092168146443057</v>
      </c>
      <c r="BZ227" s="832"/>
      <c r="CA227" s="821">
        <f>+BU221+CA228/10000</f>
        <v>0.12779611650485437</v>
      </c>
      <c r="CB227" s="822">
        <f>+BV221+CB228/10000</f>
        <v>0.14147562908658609</v>
      </c>
      <c r="CC227" s="822">
        <f>+BW221+CC228/10000</f>
        <v>0.15414819326025173</v>
      </c>
      <c r="CD227" s="822">
        <f>+BX221+CD228/10000</f>
        <v>0.15169725786234028</v>
      </c>
      <c r="CE227" s="810">
        <f>+BY221+CE228/10000</f>
        <v>0.1443926014319809</v>
      </c>
      <c r="CF227" s="832"/>
      <c r="CG227" s="821">
        <f>+CA221+CG228/10000</f>
        <v>0.12874843985366904</v>
      </c>
      <c r="CH227" s="822">
        <f>+CB221+CH228/10000</f>
        <v>0.15254450681635925</v>
      </c>
      <c r="CI227" s="822">
        <f>+CC221+CI228/10000</f>
        <v>0.16245101247698918</v>
      </c>
      <c r="CJ227" s="822">
        <f>+CD221+CJ228/10000</f>
        <v>0.1380456529835398</v>
      </c>
      <c r="CK227" s="810">
        <f>+CE221+CK228/10000</f>
        <v>0.14539099807207476</v>
      </c>
      <c r="CL227" s="832"/>
      <c r="CM227" s="821">
        <f>+CG221+CM228/10000</f>
        <v>0.14809629012088371</v>
      </c>
      <c r="CN227" s="822">
        <f>+CH221+CN228/10000</f>
        <v>0.14759889255877207</v>
      </c>
      <c r="CO227" s="822">
        <f>+CI221+CO228/10000</f>
        <v>0.17111328890631128</v>
      </c>
      <c r="CP227" s="822">
        <f>+CJ221+CP228/10000</f>
        <v>0.15574161301253811</v>
      </c>
      <c r="CQ227" s="810">
        <f>+CK221+CQ228/10000</f>
        <v>0.15354394004487087</v>
      </c>
      <c r="CR227" s="832"/>
      <c r="CS227" s="821">
        <f>+CM221+CS228/10000</f>
        <v>0.10962634883264666</v>
      </c>
      <c r="CT227" s="822">
        <f>+CN221+CT228/10000</f>
        <v>0.14500994129899641</v>
      </c>
      <c r="CU227" s="822">
        <f>+CO221+CU228/10000</f>
        <v>0.16709651778955337</v>
      </c>
      <c r="CV227" s="822">
        <f>+CP221+CV228/10000</f>
        <v>0.14689001435635665</v>
      </c>
      <c r="CW227" s="810">
        <f>+CQ221+CW228/10000</f>
        <v>0.1442989603757239</v>
      </c>
      <c r="CX227" s="541"/>
      <c r="CY227" s="542">
        <f>+CS221+CY228/10000</f>
        <v>0.11573067632850242</v>
      </c>
      <c r="CZ227" s="543">
        <f>+CT221+CZ228/10000</f>
        <v>0.1540066899360093</v>
      </c>
      <c r="DA227" s="543">
        <f>+CU221+DA228/10000</f>
        <v>0.15042072983747315</v>
      </c>
      <c r="DB227" s="543">
        <f>+CV221+DB228/10000</f>
        <v>0.15518132316907157</v>
      </c>
      <c r="DC227" s="810">
        <f>+CW221+DC228/10000</f>
        <v>0.14412323200396807</v>
      </c>
      <c r="DD227" s="541"/>
      <c r="DE227" s="542">
        <f>+CY221+DE228/10000</f>
        <v>0.13649161457539258</v>
      </c>
      <c r="DF227" s="543">
        <f>+CZ221+DF228/10000</f>
        <v>0.1578127623845508</v>
      </c>
      <c r="DG227" s="543">
        <f>+DA221+DG228/10000</f>
        <v>0.14876224783861672</v>
      </c>
      <c r="DH227" s="543">
        <f>+DB221+DH228/10000</f>
        <v>0.14386452293094362</v>
      </c>
      <c r="DI227" s="540">
        <f>+DC221+DI228/10000</f>
        <v>0.14704840086804941</v>
      </c>
      <c r="DJ227" s="543"/>
      <c r="DK227" s="542">
        <f>+DE221+DK228/10000</f>
        <v>7.5676479333928029E-2</v>
      </c>
      <c r="DL227" s="543">
        <f>+DF221+DL228/10000</f>
        <v>0.14761032521029552</v>
      </c>
      <c r="DM227" s="543">
        <f>+DG221+DM228/10000</f>
        <v>0.14481410677090761</v>
      </c>
      <c r="DN227" s="543">
        <f>+DH221+DN228/10000</f>
        <v>0.16429281051052269</v>
      </c>
      <c r="DO227" s="540">
        <f>+DI221+DO228/10000</f>
        <v>0.13474555890324971</v>
      </c>
      <c r="DP227" s="543"/>
      <c r="DQ227" s="542">
        <f>+DK221+DQ228/10000</f>
        <v>8.2210174110609741E-2</v>
      </c>
      <c r="DR227" s="543">
        <f>+DL221+DR228/10000</f>
        <v>0.1520488594274714</v>
      </c>
      <c r="DS227" s="543">
        <f>+DM221+DS228/10000</f>
        <v>0.14933408424359965</v>
      </c>
      <c r="DT227" s="543">
        <f>+DN221+DT228/10000</f>
        <v>0.16824544709759484</v>
      </c>
      <c r="DU227" s="540">
        <f>+DO221+DU228/10000</f>
        <v>0.13955879505169877</v>
      </c>
      <c r="DV227" s="543"/>
      <c r="DW227" s="542">
        <f>+DQ221+DW228/10000</f>
        <v>8.8553567097679378E-2</v>
      </c>
      <c r="DX227" s="543">
        <f>+DR221+DX228/10000</f>
        <v>0.15635811594900137</v>
      </c>
      <c r="DY227" s="543">
        <f>+DS221+DY228/10000</f>
        <v>0.15372241188698993</v>
      </c>
      <c r="DZ227" s="543">
        <f>+DT221+DZ228/10000</f>
        <v>0.17208295834717946</v>
      </c>
      <c r="EA227" s="540">
        <f>+DU221+EA228/10000</f>
        <v>0.14423183985601823</v>
      </c>
      <c r="EB227" s="543"/>
      <c r="EC227" s="542">
        <f t="shared" ref="EC227:EG227" si="268">+DW221+EC228/10000</f>
        <v>9.4712201065708143E-2</v>
      </c>
      <c r="ED227" s="543">
        <f t="shared" si="268"/>
        <v>0.16054186014466151</v>
      </c>
      <c r="EE227" s="543">
        <f t="shared" si="268"/>
        <v>0.15798292416212617</v>
      </c>
      <c r="EF227" s="543">
        <f t="shared" si="268"/>
        <v>0.1758086974244461</v>
      </c>
      <c r="EG227" s="540">
        <f t="shared" si="268"/>
        <v>0.14876877655924101</v>
      </c>
    </row>
    <row r="228" spans="1:137" ht="11.25" customHeight="1" outlineLevel="1" x14ac:dyDescent="0.2">
      <c r="A228" s="51" t="s">
        <v>233</v>
      </c>
      <c r="B228" s="14"/>
      <c r="C228" s="14"/>
      <c r="D228" s="14"/>
      <c r="E228" s="93"/>
      <c r="F228" s="71"/>
      <c r="G228" s="93"/>
      <c r="H228" s="71"/>
      <c r="I228" s="93"/>
      <c r="J228" s="71"/>
      <c r="K228" s="93"/>
      <c r="L228" s="71"/>
      <c r="M228" s="84"/>
      <c r="N228" s="71"/>
      <c r="O228" s="71"/>
      <c r="P228" s="71"/>
      <c r="Q228" s="93"/>
      <c r="R228" s="71"/>
      <c r="S228" s="84"/>
      <c r="T228" s="71"/>
      <c r="U228" s="71"/>
      <c r="V228" s="71"/>
      <c r="W228" s="93"/>
      <c r="X228" s="71"/>
      <c r="Y228" s="84"/>
      <c r="Z228" s="71"/>
      <c r="AA228" s="71"/>
      <c r="AB228" s="71"/>
      <c r="AC228" s="93"/>
      <c r="AD228" s="71"/>
      <c r="AE228" s="84"/>
      <c r="AF228" s="71"/>
      <c r="AG228" s="71"/>
      <c r="AH228" s="71"/>
      <c r="AI228" s="93"/>
      <c r="AJ228" s="71"/>
      <c r="AK228" s="84"/>
      <c r="AL228" s="71"/>
      <c r="AM228" s="71"/>
      <c r="AN228" s="71"/>
      <c r="AO228" s="93"/>
      <c r="AP228" s="71"/>
      <c r="AQ228" s="84"/>
      <c r="AR228" s="71"/>
      <c r="AS228" s="71"/>
      <c r="AT228" s="71"/>
      <c r="AU228" s="93"/>
      <c r="AV228" s="71"/>
      <c r="AW228" s="84"/>
      <c r="AX228" s="71"/>
      <c r="AY228" s="71"/>
      <c r="AZ228" s="71"/>
      <c r="BA228" s="93"/>
      <c r="BB228" s="71"/>
      <c r="BC228" s="84"/>
      <c r="BD228" s="71"/>
      <c r="BE228" s="71"/>
      <c r="BF228" s="71"/>
      <c r="BG228" s="93"/>
      <c r="BH228" s="71"/>
      <c r="BI228" s="84"/>
      <c r="BJ228" s="71"/>
      <c r="BK228" s="71"/>
      <c r="BL228" s="71"/>
      <c r="BM228" s="93"/>
      <c r="BN228" s="71"/>
      <c r="BO228" s="82"/>
      <c r="BP228" s="67"/>
      <c r="BQ228" s="67"/>
      <c r="BR228" s="67"/>
      <c r="BS228" s="508">
        <f>-(BS229+BS230)+BS224</f>
        <v>190</v>
      </c>
      <c r="BT228" s="71"/>
      <c r="BU228" s="506">
        <v>275</v>
      </c>
      <c r="BV228" s="507">
        <v>25</v>
      </c>
      <c r="BW228" s="507">
        <v>200</v>
      </c>
      <c r="BX228" s="507">
        <v>-86.366279069767501</v>
      </c>
      <c r="BY228" s="806">
        <v>95</v>
      </c>
      <c r="BZ228" s="507"/>
      <c r="CA228" s="506">
        <v>210</v>
      </c>
      <c r="CB228" s="507">
        <v>325</v>
      </c>
      <c r="CC228" s="507">
        <v>90</v>
      </c>
      <c r="CD228" s="507">
        <v>425.03943908851892</v>
      </c>
      <c r="CE228" s="806">
        <v>270</v>
      </c>
      <c r="CF228" s="507"/>
      <c r="CG228" s="506">
        <v>20</v>
      </c>
      <c r="CH228" s="507">
        <v>90</v>
      </c>
      <c r="CI228" s="507">
        <v>70</v>
      </c>
      <c r="CJ228" s="807">
        <v>-137.51016604540831</v>
      </c>
      <c r="CK228" s="806">
        <v>5</v>
      </c>
      <c r="CL228" s="507"/>
      <c r="CM228" s="506">
        <v>170</v>
      </c>
      <c r="CN228" s="507">
        <v>-55</v>
      </c>
      <c r="CO228" s="507">
        <v>100</v>
      </c>
      <c r="CP228" s="807">
        <v>185</v>
      </c>
      <c r="CQ228" s="806">
        <f>80</f>
        <v>80</v>
      </c>
      <c r="CR228" s="507"/>
      <c r="CS228" s="506">
        <v>-385</v>
      </c>
      <c r="CT228" s="507">
        <v>-25</v>
      </c>
      <c r="CU228" s="507">
        <v>-55</v>
      </c>
      <c r="CV228" s="807">
        <v>515</v>
      </c>
      <c r="CW228" s="806">
        <f>45+10</f>
        <v>55</v>
      </c>
      <c r="CX228" s="71"/>
      <c r="CY228" s="506">
        <v>250</v>
      </c>
      <c r="CZ228" s="507">
        <v>125</v>
      </c>
      <c r="DA228" s="507">
        <v>20</v>
      </c>
      <c r="DB228" s="507">
        <v>-30</v>
      </c>
      <c r="DC228" s="508">
        <f>SUMPRODUCT(CY228:DB228,CY$213:DB$213)/DC$213</f>
        <v>87.826883032957582</v>
      </c>
      <c r="DD228" s="507"/>
      <c r="DE228" s="506">
        <v>-85</v>
      </c>
      <c r="DF228" s="507">
        <v>50</v>
      </c>
      <c r="DG228" s="509">
        <f>DG224-DG229-DG230</f>
        <v>-11.785455302405779</v>
      </c>
      <c r="DH228" s="509">
        <f>DH224-DH229-DH230</f>
        <v>-100.6486973779709</v>
      </c>
      <c r="DI228" s="508">
        <f>DI224-DI229-DI230</f>
        <v>-35.224327644630236</v>
      </c>
      <c r="DJ228" s="509"/>
      <c r="DK228" s="510">
        <f>DK224-DK229-DK230</f>
        <v>-607.07960025339719</v>
      </c>
      <c r="DL228" s="509">
        <f>DL224-DL229-DL230</f>
        <v>-86.663613823603214</v>
      </c>
      <c r="DM228" s="509">
        <f>DM224-DM229-DM230</f>
        <v>-24.481410677091031</v>
      </c>
      <c r="DN228" s="509">
        <f>DN224-DN229-DN230</f>
        <v>334.2828757957908</v>
      </c>
      <c r="DO228" s="508">
        <f>DO224-DO229-DO230</f>
        <v>-78.066485747822483</v>
      </c>
      <c r="DP228" s="509"/>
      <c r="DQ228" s="510">
        <f>DQ224-DQ229-DQ230</f>
        <v>65.336947766817119</v>
      </c>
      <c r="DR228" s="509">
        <f>DR224-DR229-DR230</f>
        <v>44.385342171758822</v>
      </c>
      <c r="DS228" s="509">
        <f>DS224-DS229-DS230</f>
        <v>45.199774726920324</v>
      </c>
      <c r="DT228" s="509">
        <f>DT224-DT229-DT230</f>
        <v>39.526365870721506</v>
      </c>
      <c r="DU228" s="508">
        <f>DU224-DU229-DU230</f>
        <v>48.132361484490573</v>
      </c>
      <c r="DV228" s="509"/>
      <c r="DW228" s="510">
        <f>DW224-DW229-DW230</f>
        <v>63.433929870696375</v>
      </c>
      <c r="DX228" s="509">
        <f>DX224-DX229-DX230</f>
        <v>43.092565215299693</v>
      </c>
      <c r="DY228" s="509">
        <f>DY224-DY229-DY230</f>
        <v>43.883276433902829</v>
      </c>
      <c r="DZ228" s="509">
        <f>DZ224-DZ229-DZ230</f>
        <v>38.375112495846189</v>
      </c>
      <c r="EA228" s="508">
        <f>EA224-EA229-EA230</f>
        <v>46.730448043194592</v>
      </c>
      <c r="EB228" s="509"/>
      <c r="EC228" s="510">
        <f t="shared" ref="EC228:EG228" si="269">EC224-EC229-EC230</f>
        <v>61.586339680287651</v>
      </c>
      <c r="ED228" s="509">
        <f t="shared" si="269"/>
        <v>41.837441956601438</v>
      </c>
      <c r="EE228" s="509">
        <f t="shared" si="269"/>
        <v>42.605122751362416</v>
      </c>
      <c r="EF228" s="509">
        <f t="shared" si="269"/>
        <v>37.257390772666433</v>
      </c>
      <c r="EG228" s="508">
        <f t="shared" si="269"/>
        <v>45.369367032227771</v>
      </c>
    </row>
    <row r="229" spans="1:137" ht="11.25" customHeight="1" outlineLevel="1" x14ac:dyDescent="0.2">
      <c r="A229" s="51" t="s">
        <v>235</v>
      </c>
      <c r="B229" s="14"/>
      <c r="C229" s="14"/>
      <c r="D229" s="14"/>
      <c r="E229" s="93"/>
      <c r="F229" s="71"/>
      <c r="G229" s="93"/>
      <c r="H229" s="71"/>
      <c r="I229" s="93"/>
      <c r="J229" s="71"/>
      <c r="K229" s="93"/>
      <c r="L229" s="71"/>
      <c r="M229" s="84"/>
      <c r="N229" s="71"/>
      <c r="O229" s="71"/>
      <c r="P229" s="71"/>
      <c r="Q229" s="93"/>
      <c r="R229" s="71"/>
      <c r="S229" s="84"/>
      <c r="T229" s="71"/>
      <c r="U229" s="71"/>
      <c r="V229" s="71"/>
      <c r="W229" s="93"/>
      <c r="X229" s="71"/>
      <c r="Y229" s="84"/>
      <c r="Z229" s="71"/>
      <c r="AA229" s="71"/>
      <c r="AB229" s="71"/>
      <c r="AC229" s="93"/>
      <c r="AD229" s="71"/>
      <c r="AE229" s="84"/>
      <c r="AF229" s="71"/>
      <c r="AG229" s="71"/>
      <c r="AH229" s="71"/>
      <c r="AI229" s="93"/>
      <c r="AJ229" s="71"/>
      <c r="AK229" s="84"/>
      <c r="AL229" s="71"/>
      <c r="AM229" s="71"/>
      <c r="AN229" s="71"/>
      <c r="AO229" s="93"/>
      <c r="AP229" s="71"/>
      <c r="AQ229" s="84"/>
      <c r="AR229" s="71"/>
      <c r="AS229" s="71"/>
      <c r="AT229" s="71"/>
      <c r="AU229" s="93"/>
      <c r="AV229" s="71"/>
      <c r="AW229" s="84"/>
      <c r="AX229" s="71"/>
      <c r="AY229" s="71"/>
      <c r="AZ229" s="71"/>
      <c r="BA229" s="93"/>
      <c r="BB229" s="71"/>
      <c r="BC229" s="84"/>
      <c r="BD229" s="71"/>
      <c r="BE229" s="71"/>
      <c r="BF229" s="71"/>
      <c r="BG229" s="93"/>
      <c r="BH229" s="71"/>
      <c r="BI229" s="84"/>
      <c r="BJ229" s="71"/>
      <c r="BK229" s="71"/>
      <c r="BL229" s="71"/>
      <c r="BM229" s="93"/>
      <c r="BN229" s="71"/>
      <c r="BO229" s="82"/>
      <c r="BP229" s="67"/>
      <c r="BQ229" s="67"/>
      <c r="BR229" s="67"/>
      <c r="BS229" s="548">
        <v>-10</v>
      </c>
      <c r="BT229" s="71"/>
      <c r="BU229" s="506">
        <v>-55</v>
      </c>
      <c r="BV229" s="507">
        <v>-15</v>
      </c>
      <c r="BW229" s="507">
        <v>-40</v>
      </c>
      <c r="BX229" s="507">
        <v>-32.022165697674438</v>
      </c>
      <c r="BY229" s="806">
        <v>-35</v>
      </c>
      <c r="BZ229" s="507"/>
      <c r="CA229" s="506">
        <v>-10</v>
      </c>
      <c r="CB229" s="507">
        <v>25</v>
      </c>
      <c r="CC229" s="507">
        <v>10</v>
      </c>
      <c r="CD229" s="507">
        <v>13.176161262050837</v>
      </c>
      <c r="CE229" s="806">
        <v>10</v>
      </c>
      <c r="CF229" s="507"/>
      <c r="CG229" s="506">
        <v>20</v>
      </c>
      <c r="CH229" s="507">
        <v>0</v>
      </c>
      <c r="CI229" s="507">
        <v>-10</v>
      </c>
      <c r="CJ229" s="807">
        <v>10.133005760759067</v>
      </c>
      <c r="CK229" s="806">
        <v>5</v>
      </c>
      <c r="CL229" s="507"/>
      <c r="CM229" s="506">
        <v>0</v>
      </c>
      <c r="CN229" s="507">
        <v>5</v>
      </c>
      <c r="CO229" s="507">
        <v>10</v>
      </c>
      <c r="CP229" s="807">
        <v>-420</v>
      </c>
      <c r="CQ229" s="806">
        <f>-40</f>
        <v>-40</v>
      </c>
      <c r="CR229" s="507"/>
      <c r="CS229" s="506">
        <f>115</f>
        <v>115</v>
      </c>
      <c r="CT229" s="507">
        <v>-35</v>
      </c>
      <c r="CU229" s="507">
        <v>-185</v>
      </c>
      <c r="CV229" s="807">
        <v>85</v>
      </c>
      <c r="CW229" s="806">
        <v>-95</v>
      </c>
      <c r="CX229" s="71"/>
      <c r="CY229" s="506">
        <v>-10</v>
      </c>
      <c r="CZ229" s="507">
        <v>-15</v>
      </c>
      <c r="DA229" s="507">
        <v>0</v>
      </c>
      <c r="DB229" s="507">
        <v>-10</v>
      </c>
      <c r="DC229" s="508">
        <f>SUMPRODUCT(CY229:DB229,CY$213:DB$213)/DC$213</f>
        <v>-8.8572556903855837</v>
      </c>
      <c r="DD229" s="507"/>
      <c r="DE229" s="506">
        <v>-5</v>
      </c>
      <c r="DF229" s="507">
        <v>-20</v>
      </c>
      <c r="DG229" s="507">
        <v>-15</v>
      </c>
      <c r="DH229" s="507">
        <v>0</v>
      </c>
      <c r="DI229" s="508">
        <f>SUMPRODUCT(DE229:DH229,DE$213:DH$213)/DI$213</f>
        <v>-9.8685474403216062</v>
      </c>
      <c r="DJ229" s="509"/>
      <c r="DK229" s="834">
        <v>0</v>
      </c>
      <c r="DL229" s="898">
        <v>0</v>
      </c>
      <c r="DM229" s="898">
        <v>0</v>
      </c>
      <c r="DN229" s="898">
        <v>0</v>
      </c>
      <c r="DO229" s="508">
        <f>SUMPRODUCT(DK229:DN229,DK$213:DN$213)/DO$213</f>
        <v>0</v>
      </c>
      <c r="DP229" s="509"/>
      <c r="DQ229" s="897">
        <v>0</v>
      </c>
      <c r="DR229" s="898">
        <v>0</v>
      </c>
      <c r="DS229" s="898">
        <v>0</v>
      </c>
      <c r="DT229" s="898">
        <v>0</v>
      </c>
      <c r="DU229" s="508">
        <f>SUMPRODUCT(DQ229:DT229,DQ$213:DT$213)/DU$213</f>
        <v>0</v>
      </c>
      <c r="DV229" s="509"/>
      <c r="DW229" s="897">
        <v>0</v>
      </c>
      <c r="DX229" s="898">
        <v>0</v>
      </c>
      <c r="DY229" s="898">
        <v>0</v>
      </c>
      <c r="DZ229" s="898">
        <v>0</v>
      </c>
      <c r="EA229" s="508">
        <f>SUMPRODUCT(DW229:DZ229,DW$213:DZ$213)/EA$213</f>
        <v>0</v>
      </c>
      <c r="EB229" s="509"/>
      <c r="EC229" s="897">
        <v>0</v>
      </c>
      <c r="ED229" s="898">
        <v>0</v>
      </c>
      <c r="EE229" s="898">
        <v>0</v>
      </c>
      <c r="EF229" s="898">
        <v>0</v>
      </c>
      <c r="EG229" s="508">
        <f t="shared" ref="EG229:EG230" si="270">SUMPRODUCT(EC229:EF229,EC$213:EF$213)/EG$213</f>
        <v>0</v>
      </c>
    </row>
    <row r="230" spans="1:137" ht="11.25" customHeight="1" outlineLevel="1" x14ac:dyDescent="0.2">
      <c r="A230" s="199" t="s">
        <v>234</v>
      </c>
      <c r="B230" s="14"/>
      <c r="C230" s="14"/>
      <c r="D230" s="14"/>
      <c r="E230" s="196"/>
      <c r="F230" s="71"/>
      <c r="G230" s="196"/>
      <c r="H230" s="71"/>
      <c r="I230" s="196"/>
      <c r="J230" s="71"/>
      <c r="K230" s="196"/>
      <c r="L230" s="71"/>
      <c r="M230" s="419"/>
      <c r="N230" s="222"/>
      <c r="O230" s="222"/>
      <c r="P230" s="222"/>
      <c r="Q230" s="196"/>
      <c r="R230" s="71"/>
      <c r="S230" s="419"/>
      <c r="T230" s="222"/>
      <c r="U230" s="222"/>
      <c r="V230" s="222"/>
      <c r="W230" s="196"/>
      <c r="X230" s="71"/>
      <c r="Y230" s="419"/>
      <c r="Z230" s="222"/>
      <c r="AA230" s="222"/>
      <c r="AB230" s="222"/>
      <c r="AC230" s="196"/>
      <c r="AD230" s="71"/>
      <c r="AE230" s="419"/>
      <c r="AF230" s="222"/>
      <c r="AG230" s="222"/>
      <c r="AH230" s="222"/>
      <c r="AI230" s="196"/>
      <c r="AJ230" s="71"/>
      <c r="AK230" s="419"/>
      <c r="AL230" s="222"/>
      <c r="AM230" s="222"/>
      <c r="AN230" s="222"/>
      <c r="AO230" s="196"/>
      <c r="AP230" s="71"/>
      <c r="AQ230" s="419"/>
      <c r="AR230" s="222"/>
      <c r="AS230" s="222"/>
      <c r="AT230" s="222"/>
      <c r="AU230" s="196"/>
      <c r="AV230" s="71"/>
      <c r="AW230" s="419"/>
      <c r="AX230" s="222"/>
      <c r="AY230" s="222"/>
      <c r="AZ230" s="222"/>
      <c r="BA230" s="196"/>
      <c r="BB230" s="71"/>
      <c r="BC230" s="419"/>
      <c r="BD230" s="222"/>
      <c r="BE230" s="222"/>
      <c r="BF230" s="222"/>
      <c r="BG230" s="196"/>
      <c r="BH230" s="71"/>
      <c r="BI230" s="419"/>
      <c r="BJ230" s="222"/>
      <c r="BK230" s="222"/>
      <c r="BL230" s="222"/>
      <c r="BM230" s="196"/>
      <c r="BN230" s="71"/>
      <c r="BO230" s="197"/>
      <c r="BP230" s="87"/>
      <c r="BQ230" s="87"/>
      <c r="BR230" s="87"/>
      <c r="BS230" s="801">
        <f>-515+145</f>
        <v>-370</v>
      </c>
      <c r="BT230" s="71"/>
      <c r="BU230" s="514">
        <f>BU224-BU228-BU229</f>
        <v>0</v>
      </c>
      <c r="BV230" s="515">
        <f>BV224-BV228-BV229</f>
        <v>0</v>
      </c>
      <c r="BW230" s="515">
        <f>BW224-BW228-BW229</f>
        <v>0</v>
      </c>
      <c r="BX230" s="515">
        <f>BX224-BX228-BX229</f>
        <v>-1.5671980562551795</v>
      </c>
      <c r="BY230" s="513">
        <f>BY224-BY228-BY229</f>
        <v>0</v>
      </c>
      <c r="BZ230" s="507"/>
      <c r="CA230" s="514">
        <f>CA224-CA228-CA229</f>
        <v>0</v>
      </c>
      <c r="CB230" s="515">
        <f>CB224-CB228-CB229</f>
        <v>0</v>
      </c>
      <c r="CC230" s="515">
        <f>CC224-CC228-CC229</f>
        <v>0</v>
      </c>
      <c r="CD230" s="515">
        <f>CD224-CD228-CD229</f>
        <v>-12.182044004647391</v>
      </c>
      <c r="CE230" s="513">
        <f>CE224-CE228-CE229</f>
        <v>0</v>
      </c>
      <c r="CF230" s="507"/>
      <c r="CG230" s="514">
        <f>CG224-CG228-CG229</f>
        <v>0</v>
      </c>
      <c r="CH230" s="515">
        <f>CH224-CH228-CH229</f>
        <v>0</v>
      </c>
      <c r="CI230" s="515">
        <f>CI224-CI228-CI229</f>
        <v>0</v>
      </c>
      <c r="CJ230" s="515">
        <f>CJ224-CJ228-CJ229</f>
        <v>-18.173405470775897</v>
      </c>
      <c r="CK230" s="513">
        <f>CK224-CK228-CK229</f>
        <v>0</v>
      </c>
      <c r="CL230" s="507"/>
      <c r="CM230" s="514">
        <f>CM224-CM228-CM229</f>
        <v>0</v>
      </c>
      <c r="CN230" s="515">
        <f>CN224-CN228-CN229</f>
        <v>0</v>
      </c>
      <c r="CO230" s="515">
        <f>CO224-CO228-CO229</f>
        <v>0</v>
      </c>
      <c r="CP230" s="515">
        <f>CP224-CP228-CP229</f>
        <v>-185</v>
      </c>
      <c r="CQ230" s="513">
        <f>CQ224-CQ228-CQ229</f>
        <v>-110</v>
      </c>
      <c r="CR230" s="507"/>
      <c r="CS230" s="514">
        <f>CS224-CS228-CS229</f>
        <v>-300</v>
      </c>
      <c r="CT230" s="515">
        <f>CT224-CT228-CT229</f>
        <v>0</v>
      </c>
      <c r="CU230" s="515">
        <f>CU224-CU228-CU229</f>
        <v>0</v>
      </c>
      <c r="CV230" s="515">
        <f>CV224-CV228-CV229</f>
        <v>30</v>
      </c>
      <c r="CW230" s="513">
        <f>CW224-CW228-CW229</f>
        <v>0</v>
      </c>
      <c r="CX230" s="71"/>
      <c r="CY230" s="511">
        <v>300</v>
      </c>
      <c r="CZ230" s="512">
        <v>0</v>
      </c>
      <c r="DA230" s="512">
        <v>0</v>
      </c>
      <c r="DB230" s="512">
        <v>0</v>
      </c>
      <c r="DC230" s="513">
        <f>SUMPRODUCT(CY230:DB230,CY$213:DB$213)/DC$213</f>
        <v>70.643354634881888</v>
      </c>
      <c r="DD230" s="507"/>
      <c r="DE230" s="511">
        <v>0</v>
      </c>
      <c r="DF230" s="512">
        <v>0</v>
      </c>
      <c r="DG230" s="512">
        <v>0</v>
      </c>
      <c r="DH230" s="512">
        <v>-130</v>
      </c>
      <c r="DI230" s="513">
        <f>SUMPRODUCT(DE230:DH230,DE$213:DH$213)/DI$213</f>
        <v>-35.093386459852724</v>
      </c>
      <c r="DJ230" s="509"/>
      <c r="DK230" s="835">
        <v>0</v>
      </c>
      <c r="DL230" s="899">
        <v>0</v>
      </c>
      <c r="DM230" s="899">
        <v>0</v>
      </c>
      <c r="DN230" s="899">
        <v>0</v>
      </c>
      <c r="DO230" s="513">
        <f>SUMPRODUCT(DK230:DN230,DK$213:DN$213)/DO$213</f>
        <v>0</v>
      </c>
      <c r="DP230" s="509"/>
      <c r="DQ230" s="900">
        <v>0</v>
      </c>
      <c r="DR230" s="899">
        <v>0</v>
      </c>
      <c r="DS230" s="899">
        <v>0</v>
      </c>
      <c r="DT230" s="899">
        <v>0</v>
      </c>
      <c r="DU230" s="513">
        <f>SUMPRODUCT(DQ230:DT230,DQ$213:DT$213)/DU$213</f>
        <v>0</v>
      </c>
      <c r="DV230" s="509"/>
      <c r="DW230" s="900">
        <v>0</v>
      </c>
      <c r="DX230" s="899">
        <v>0</v>
      </c>
      <c r="DY230" s="899">
        <v>0</v>
      </c>
      <c r="DZ230" s="899">
        <v>0</v>
      </c>
      <c r="EA230" s="513">
        <f>SUMPRODUCT(DW230:DZ230,DW$213:DZ$213)/EA$213</f>
        <v>0</v>
      </c>
      <c r="EB230" s="509"/>
      <c r="EC230" s="900">
        <v>0</v>
      </c>
      <c r="ED230" s="899">
        <v>0</v>
      </c>
      <c r="EE230" s="899">
        <v>0</v>
      </c>
      <c r="EF230" s="899">
        <v>0</v>
      </c>
      <c r="EG230" s="513">
        <f t="shared" si="270"/>
        <v>0</v>
      </c>
    </row>
    <row r="231" spans="1:137" ht="11.25" customHeight="1" outlineLevel="1" x14ac:dyDescent="0.2">
      <c r="A231" s="106" t="s">
        <v>648</v>
      </c>
      <c r="B231" s="74"/>
      <c r="C231" s="74"/>
      <c r="D231" s="74"/>
      <c r="E231" s="107"/>
      <c r="F231" s="75"/>
      <c r="G231" s="107"/>
      <c r="H231" s="75"/>
      <c r="I231" s="107"/>
      <c r="J231" s="75"/>
      <c r="K231" s="107"/>
      <c r="L231" s="75"/>
      <c r="M231" s="109"/>
      <c r="N231" s="110"/>
      <c r="O231" s="110"/>
      <c r="P231" s="110"/>
      <c r="Q231" s="107"/>
      <c r="R231" s="75"/>
      <c r="S231" s="109"/>
      <c r="T231" s="110"/>
      <c r="U231" s="110"/>
      <c r="V231" s="110"/>
      <c r="W231" s="107"/>
      <c r="X231" s="75"/>
      <c r="Y231" s="109"/>
      <c r="Z231" s="110"/>
      <c r="AA231" s="110"/>
      <c r="AB231" s="110"/>
      <c r="AC231" s="107"/>
      <c r="AD231" s="75"/>
      <c r="AE231" s="109"/>
      <c r="AF231" s="110"/>
      <c r="AG231" s="110"/>
      <c r="AH231" s="110"/>
      <c r="AI231" s="107"/>
      <c r="AJ231" s="75"/>
      <c r="AK231" s="109"/>
      <c r="AL231" s="110"/>
      <c r="AM231" s="110"/>
      <c r="AN231" s="110"/>
      <c r="AO231" s="107"/>
      <c r="AP231" s="75"/>
      <c r="AQ231" s="109"/>
      <c r="AR231" s="110"/>
      <c r="AS231" s="110"/>
      <c r="AT231" s="110"/>
      <c r="AU231" s="107"/>
      <c r="AV231" s="75"/>
      <c r="AW231" s="109"/>
      <c r="AX231" s="110"/>
      <c r="AY231" s="110"/>
      <c r="AZ231" s="110"/>
      <c r="BA231" s="107"/>
      <c r="BB231" s="75"/>
      <c r="BC231" s="109"/>
      <c r="BD231" s="110"/>
      <c r="BE231" s="110"/>
      <c r="BF231" s="110"/>
      <c r="BG231" s="107"/>
      <c r="BH231" s="75"/>
      <c r="BI231" s="1204"/>
      <c r="BJ231" s="110"/>
      <c r="BK231" s="110"/>
      <c r="BL231" s="110"/>
      <c r="BM231" s="107"/>
      <c r="BN231" s="75"/>
      <c r="BO231" s="109"/>
      <c r="BP231" s="110"/>
      <c r="BQ231" s="110"/>
      <c r="BR231" s="110"/>
      <c r="BS231" s="107"/>
      <c r="BT231" s="75"/>
      <c r="BU231" s="109"/>
      <c r="BV231" s="110"/>
      <c r="BW231" s="110"/>
      <c r="BX231" s="110"/>
      <c r="BY231" s="107"/>
      <c r="BZ231" s="75"/>
      <c r="CA231" s="109"/>
      <c r="CB231" s="110"/>
      <c r="CC231" s="110"/>
      <c r="CD231" s="110"/>
      <c r="CE231" s="107"/>
      <c r="CF231" s="75"/>
      <c r="CG231" s="109"/>
      <c r="CH231" s="110"/>
      <c r="CI231" s="110"/>
      <c r="CJ231" s="110"/>
      <c r="CK231" s="107"/>
      <c r="CL231" s="75"/>
      <c r="CM231" s="109"/>
      <c r="CN231" s="110"/>
      <c r="CO231" s="110"/>
      <c r="CP231" s="110"/>
      <c r="CQ231" s="107"/>
      <c r="CR231" s="75"/>
      <c r="CS231" s="109"/>
      <c r="CT231" s="110"/>
      <c r="CU231" s="110"/>
      <c r="CV231" s="110"/>
      <c r="CW231" s="107"/>
      <c r="CX231" s="75"/>
      <c r="CY231" s="109"/>
      <c r="CZ231" s="110"/>
      <c r="DA231" s="110"/>
      <c r="DB231" s="110"/>
      <c r="DC231" s="107"/>
      <c r="DD231" s="75"/>
      <c r="DE231" s="109"/>
      <c r="DF231" s="110"/>
      <c r="DG231" s="110"/>
      <c r="DH231" s="110"/>
      <c r="DI231" s="107"/>
      <c r="DJ231" s="75"/>
      <c r="DK231" s="109"/>
      <c r="DL231" s="110"/>
      <c r="DM231" s="110"/>
      <c r="DN231" s="110"/>
      <c r="DO231" s="107"/>
      <c r="DP231" s="75"/>
      <c r="DQ231" s="109"/>
      <c r="DR231" s="110"/>
      <c r="DS231" s="110"/>
      <c r="DT231" s="110"/>
      <c r="DU231" s="107"/>
      <c r="DV231" s="75"/>
      <c r="DW231" s="109"/>
      <c r="DX231" s="110"/>
      <c r="DY231" s="110"/>
      <c r="DZ231" s="110"/>
      <c r="EA231" s="107"/>
      <c r="EB231" s="75"/>
      <c r="EC231" s="109"/>
      <c r="ED231" s="110"/>
      <c r="EE231" s="110"/>
      <c r="EF231" s="110"/>
      <c r="EG231" s="107"/>
    </row>
    <row r="232" spans="1:137" ht="11.25" customHeight="1" outlineLevel="1" x14ac:dyDescent="0.2">
      <c r="A232" s="50" t="s">
        <v>650</v>
      </c>
      <c r="B232" s="14"/>
      <c r="C232" s="14"/>
      <c r="D232" s="14"/>
      <c r="E232" s="93"/>
      <c r="F232" s="71"/>
      <c r="G232" s="93"/>
      <c r="H232" s="71"/>
      <c r="I232" s="93"/>
      <c r="J232" s="71"/>
      <c r="K232" s="93"/>
      <c r="L232" s="71"/>
      <c r="M232" s="84"/>
      <c r="N232" s="71"/>
      <c r="O232" s="71"/>
      <c r="P232" s="71"/>
      <c r="Q232" s="93"/>
      <c r="R232" s="71"/>
      <c r="S232" s="84"/>
      <c r="T232" s="71"/>
      <c r="U232" s="71"/>
      <c r="V232" s="71"/>
      <c r="W232" s="93"/>
      <c r="X232" s="71"/>
      <c r="Y232" s="84"/>
      <c r="Z232" s="71"/>
      <c r="AA232" s="71"/>
      <c r="AB232" s="71"/>
      <c r="AC232" s="93"/>
      <c r="AD232" s="71"/>
      <c r="AE232" s="84"/>
      <c r="AF232" s="71"/>
      <c r="AG232" s="71"/>
      <c r="AH232" s="71"/>
      <c r="AI232" s="93"/>
      <c r="AJ232" s="71"/>
      <c r="AK232" s="84"/>
      <c r="AL232" s="71"/>
      <c r="AM232" s="71"/>
      <c r="AN232" s="71"/>
      <c r="AO232" s="93"/>
      <c r="AP232" s="71"/>
      <c r="AQ232" s="84"/>
      <c r="AR232" s="71"/>
      <c r="AS232" s="71"/>
      <c r="AT232" s="71"/>
      <c r="AU232" s="93"/>
      <c r="AV232" s="71"/>
      <c r="AW232" s="84"/>
      <c r="AX232" s="71"/>
      <c r="AY232" s="71"/>
      <c r="AZ232" s="71"/>
      <c r="BA232" s="93"/>
      <c r="BB232" s="71"/>
      <c r="BC232" s="165">
        <f>+BC268*BC$213</f>
        <v>201.26756420000004</v>
      </c>
      <c r="BD232" s="164">
        <f>+BD268*BD$213</f>
        <v>238.61412431999997</v>
      </c>
      <c r="BE232" s="164">
        <f>+BE268*BE$213</f>
        <v>230.84663429600002</v>
      </c>
      <c r="BF232" s="164">
        <f>+BF268*BF$213</f>
        <v>227.03181403712</v>
      </c>
      <c r="BG232" s="163">
        <f>+SUM(BC232:BF232)</f>
        <v>897.76013685312</v>
      </c>
      <c r="BH232" s="71"/>
      <c r="BI232" s="165">
        <f>+BI268*BI$213</f>
        <v>188.3</v>
      </c>
      <c r="BJ232" s="164">
        <f>+BJ268*BJ$213</f>
        <v>194.25</v>
      </c>
      <c r="BK232" s="164">
        <f>+BK268*BK$213</f>
        <v>201.45</v>
      </c>
      <c r="BL232" s="164">
        <f>+BL268*BL$213</f>
        <v>244.5</v>
      </c>
      <c r="BM232" s="163">
        <f>+SUM(BI232:BL232)</f>
        <v>828.5</v>
      </c>
      <c r="BN232" s="71"/>
      <c r="BO232" s="165">
        <f>+BO268*BO$213</f>
        <v>215.9</v>
      </c>
      <c r="BP232" s="164">
        <f>+BP268*BP$213</f>
        <v>214.15</v>
      </c>
      <c r="BQ232" s="164">
        <f>+BQ268*BQ$213</f>
        <v>221.5</v>
      </c>
      <c r="BR232" s="164">
        <f>+BR268*BR$213</f>
        <v>260.75</v>
      </c>
      <c r="BS232" s="163">
        <f>+SUM(BO232:BR232)</f>
        <v>912.3</v>
      </c>
      <c r="BT232" s="71"/>
      <c r="BU232" s="165">
        <f>+BU268*BU$213</f>
        <v>231.75</v>
      </c>
      <c r="BV232" s="164">
        <f>+BV268*BV$213</f>
        <v>252.35</v>
      </c>
      <c r="BW232" s="164">
        <f>+BW268*BW$213</f>
        <v>246.3</v>
      </c>
      <c r="BX232" s="164">
        <f>+BX268*BX$213</f>
        <v>275.19999999999993</v>
      </c>
      <c r="BY232" s="163">
        <f>+SUM(BU232:BX232)</f>
        <v>1005.6</v>
      </c>
      <c r="BZ232" s="507"/>
      <c r="CA232" s="165">
        <f>+CA268*CA$213</f>
        <v>232.35</v>
      </c>
      <c r="CB232" s="164">
        <f>+CB268*CB$213</f>
        <v>249.4</v>
      </c>
      <c r="CC232" s="164">
        <f>+CC268*CC$213</f>
        <v>244.45</v>
      </c>
      <c r="CD232" s="164">
        <f>+CD268*CD$213</f>
        <v>285.25</v>
      </c>
      <c r="CE232" s="163">
        <f>+SUM(CA232:CD232)</f>
        <v>1011.45</v>
      </c>
      <c r="CF232" s="507"/>
      <c r="CG232" s="165">
        <f>+CG268*CG$213</f>
        <v>239.9</v>
      </c>
      <c r="CH232" s="164">
        <f>+CH268*CH$213</f>
        <v>257.35000000000002</v>
      </c>
      <c r="CI232" s="164">
        <f>+CI268*CI$213</f>
        <v>255.1</v>
      </c>
      <c r="CJ232" s="164">
        <f>+CJ268*CJ$213</f>
        <v>295.10000000000002</v>
      </c>
      <c r="CK232" s="163">
        <f>+SUM(CG232:CJ232)</f>
        <v>1047.45</v>
      </c>
      <c r="CL232" s="507"/>
      <c r="CM232" s="165">
        <f>+CM268*CM$213</f>
        <v>254.85</v>
      </c>
      <c r="CN232" s="164">
        <f>+CN268*CN$213</f>
        <v>264.05</v>
      </c>
      <c r="CO232" s="164">
        <f>+CO268*CO$213</f>
        <v>264.2</v>
      </c>
      <c r="CP232" s="164">
        <f>+CP268*CP$213</f>
        <v>219.41500000000002</v>
      </c>
      <c r="CQ232" s="163">
        <f>+SUM(CM232:CP232)</f>
        <v>1002.5149999999999</v>
      </c>
      <c r="CR232" s="507"/>
      <c r="CS232" s="165">
        <f>+CS268*CS$213</f>
        <v>231.83999999999997</v>
      </c>
      <c r="CT232" s="164">
        <f>+CT268*CT$213</f>
        <v>229.2</v>
      </c>
      <c r="CU232" s="164">
        <f>+CU268*CU$213</f>
        <v>206.53</v>
      </c>
      <c r="CV232" s="164">
        <f>+CV268*CV$213</f>
        <v>220.38000000000002</v>
      </c>
      <c r="CW232" s="163">
        <f>+SUM(CS232:CV232)</f>
        <v>887.94999999999993</v>
      </c>
      <c r="CX232" s="71"/>
      <c r="CY232" s="165">
        <f>+CY268*CY$213</f>
        <v>196.77</v>
      </c>
      <c r="CZ232" s="164">
        <f>+CZ268*CZ$213</f>
        <v>214.38000000000005</v>
      </c>
      <c r="DA232" s="164">
        <f>+DA268*DA$213</f>
        <v>202.68000000000004</v>
      </c>
      <c r="DB232" s="164">
        <f>+DB268*DB$213</f>
        <v>221.79000000000002</v>
      </c>
      <c r="DC232" s="163">
        <f>+SUM(CY232:DB232)</f>
        <v>835.62000000000012</v>
      </c>
      <c r="DD232" s="507"/>
      <c r="DE232" s="165">
        <f>+DE268*DE$213</f>
        <v>196.65000000000003</v>
      </c>
      <c r="DF232" s="164">
        <f>+DF268*DF$213</f>
        <v>210.78000000000003</v>
      </c>
      <c r="DG232" s="164">
        <f>+DG268*DG$213</f>
        <v>208.2</v>
      </c>
      <c r="DH232" s="164">
        <f>+DH268*DH$213</f>
        <v>227.64000000000001</v>
      </c>
      <c r="DI232" s="163">
        <f>+SUM(DE232:DH232)</f>
        <v>843.2700000000001</v>
      </c>
      <c r="DJ232" s="509"/>
      <c r="DK232" s="165">
        <f>+DK268*DK$213</f>
        <v>201.78000000000003</v>
      </c>
      <c r="DL232" s="898"/>
      <c r="DM232" s="898"/>
      <c r="DN232" s="898"/>
      <c r="DO232" s="508"/>
      <c r="DP232" s="509"/>
      <c r="DQ232" s="897"/>
      <c r="DR232" s="898"/>
      <c r="DS232" s="898"/>
      <c r="DT232" s="898"/>
      <c r="DU232" s="508"/>
      <c r="DV232" s="509"/>
      <c r="DW232" s="897"/>
      <c r="DX232" s="898"/>
      <c r="DY232" s="898"/>
      <c r="DZ232" s="898"/>
      <c r="EA232" s="508"/>
      <c r="EB232" s="509"/>
      <c r="EC232" s="897"/>
      <c r="ED232" s="898"/>
      <c r="EE232" s="898"/>
      <c r="EF232" s="898"/>
      <c r="EG232" s="508"/>
    </row>
    <row r="233" spans="1:137" ht="11.25" customHeight="1" outlineLevel="1" x14ac:dyDescent="0.2">
      <c r="A233" s="538" t="s">
        <v>619</v>
      </c>
      <c r="B233" s="14"/>
      <c r="C233" s="14"/>
      <c r="D233" s="14"/>
      <c r="E233" s="93"/>
      <c r="F233" s="71"/>
      <c r="G233" s="93"/>
      <c r="H233" s="71"/>
      <c r="I233" s="93"/>
      <c r="J233" s="71"/>
      <c r="K233" s="93"/>
      <c r="L233" s="71"/>
      <c r="M233" s="84"/>
      <c r="N233" s="71"/>
      <c r="O233" s="71"/>
      <c r="P233" s="71"/>
      <c r="Q233" s="93"/>
      <c r="R233" s="71"/>
      <c r="S233" s="84"/>
      <c r="T233" s="71"/>
      <c r="U233" s="71"/>
      <c r="V233" s="71"/>
      <c r="W233" s="93"/>
      <c r="X233" s="71"/>
      <c r="Y233" s="84"/>
      <c r="Z233" s="71"/>
      <c r="AA233" s="71"/>
      <c r="AB233" s="71"/>
      <c r="AC233" s="93"/>
      <c r="AD233" s="71"/>
      <c r="AE233" s="84"/>
      <c r="AF233" s="71"/>
      <c r="AG233" s="71"/>
      <c r="AH233" s="71"/>
      <c r="AI233" s="93"/>
      <c r="AJ233" s="71"/>
      <c r="AK233" s="84"/>
      <c r="AL233" s="71"/>
      <c r="AM233" s="71"/>
      <c r="AN233" s="71"/>
      <c r="AO233" s="93"/>
      <c r="AP233" s="71"/>
      <c r="AQ233" s="84"/>
      <c r="AR233" s="71"/>
      <c r="AS233" s="71"/>
      <c r="AT233" s="71"/>
      <c r="AU233" s="93"/>
      <c r="AV233" s="71"/>
      <c r="AW233" s="84"/>
      <c r="AX233" s="71"/>
      <c r="AY233" s="71"/>
      <c r="AZ233" s="71"/>
      <c r="BA233" s="93"/>
      <c r="BB233" s="71"/>
      <c r="BC233" s="84"/>
      <c r="BD233" s="71"/>
      <c r="BE233" s="71"/>
      <c r="BF233" s="71"/>
      <c r="BG233" s="540"/>
      <c r="BH233" s="71"/>
      <c r="BI233" s="84"/>
      <c r="BJ233" s="71"/>
      <c r="BK233" s="71"/>
      <c r="BL233" s="71"/>
      <c r="BM233" s="540"/>
      <c r="BN233" s="71"/>
      <c r="BO233" s="82"/>
      <c r="BP233" s="67"/>
      <c r="BQ233" s="67"/>
      <c r="BR233" s="67"/>
      <c r="BS233" s="540"/>
      <c r="BT233" s="71"/>
      <c r="BU233" s="510"/>
      <c r="BV233" s="509"/>
      <c r="BW233" s="509"/>
      <c r="BX233" s="509"/>
      <c r="BY233" s="508"/>
      <c r="BZ233" s="507"/>
      <c r="CA233" s="510"/>
      <c r="CB233" s="509"/>
      <c r="CC233" s="509"/>
      <c r="CD233" s="509"/>
      <c r="CE233" s="508"/>
      <c r="CF233" s="507"/>
      <c r="CG233" s="510"/>
      <c r="CH233" s="509"/>
      <c r="CI233" s="509"/>
      <c r="CJ233" s="509"/>
      <c r="CK233" s="508"/>
      <c r="CL233" s="507"/>
      <c r="CM233" s="510"/>
      <c r="CN233" s="509"/>
      <c r="CO233" s="509"/>
      <c r="CP233" s="509"/>
      <c r="CQ233" s="508"/>
      <c r="CR233" s="507"/>
      <c r="CS233" s="510"/>
      <c r="CT233" s="509"/>
      <c r="CU233" s="509"/>
      <c r="CV233" s="509"/>
      <c r="CW233" s="508"/>
      <c r="CX233" s="71"/>
      <c r="CY233" s="506"/>
      <c r="CZ233" s="507"/>
      <c r="DA233" s="507"/>
      <c r="DB233" s="507"/>
      <c r="DC233" s="508"/>
      <c r="DD233" s="507"/>
      <c r="DE233" s="506"/>
      <c r="DF233" s="507"/>
      <c r="DG233" s="507"/>
      <c r="DH233" s="898"/>
      <c r="DI233" s="508"/>
      <c r="DJ233" s="509"/>
      <c r="DK233" s="506"/>
      <c r="DL233" s="898"/>
      <c r="DM233" s="898"/>
      <c r="DN233" s="898"/>
      <c r="DO233" s="508"/>
      <c r="DP233" s="509"/>
      <c r="DQ233" s="897"/>
      <c r="DR233" s="898"/>
      <c r="DS233" s="898"/>
      <c r="DT233" s="898"/>
      <c r="DU233" s="508"/>
      <c r="DV233" s="509"/>
      <c r="DW233" s="897"/>
      <c r="DX233" s="898"/>
      <c r="DY233" s="898"/>
      <c r="DZ233" s="898"/>
      <c r="EA233" s="508"/>
      <c r="EB233" s="509"/>
      <c r="EC233" s="897"/>
      <c r="ED233" s="898"/>
      <c r="EE233" s="898"/>
      <c r="EF233" s="898"/>
      <c r="EG233" s="508"/>
    </row>
    <row r="234" spans="1:137" ht="11.25" customHeight="1" outlineLevel="1" x14ac:dyDescent="0.2">
      <c r="A234" s="538" t="s">
        <v>620</v>
      </c>
      <c r="B234" s="14"/>
      <c r="C234" s="14"/>
      <c r="D234" s="14"/>
      <c r="E234" s="93"/>
      <c r="F234" s="71"/>
      <c r="G234" s="93"/>
      <c r="H234" s="71"/>
      <c r="I234" s="93"/>
      <c r="J234" s="71"/>
      <c r="K234" s="93"/>
      <c r="L234" s="71"/>
      <c r="M234" s="84"/>
      <c r="N234" s="71"/>
      <c r="O234" s="71"/>
      <c r="P234" s="71"/>
      <c r="Q234" s="93"/>
      <c r="R234" s="71"/>
      <c r="S234" s="84"/>
      <c r="T234" s="71"/>
      <c r="U234" s="71"/>
      <c r="V234" s="71"/>
      <c r="W234" s="93"/>
      <c r="X234" s="71"/>
      <c r="Y234" s="84"/>
      <c r="Z234" s="71"/>
      <c r="AA234" s="71"/>
      <c r="AB234" s="71"/>
      <c r="AC234" s="93"/>
      <c r="AD234" s="71"/>
      <c r="AE234" s="84"/>
      <c r="AF234" s="71"/>
      <c r="AG234" s="71"/>
      <c r="AH234" s="71"/>
      <c r="AI234" s="93"/>
      <c r="AJ234" s="71"/>
      <c r="AK234" s="84"/>
      <c r="AL234" s="71"/>
      <c r="AM234" s="71"/>
      <c r="AN234" s="71"/>
      <c r="AO234" s="93"/>
      <c r="AP234" s="71"/>
      <c r="AQ234" s="84"/>
      <c r="AR234" s="71"/>
      <c r="AS234" s="71"/>
      <c r="AT234" s="71"/>
      <c r="AU234" s="93"/>
      <c r="AV234" s="71"/>
      <c r="AW234" s="84"/>
      <c r="AX234" s="71"/>
      <c r="AY234" s="71"/>
      <c r="AZ234" s="71"/>
      <c r="BA234" s="93"/>
      <c r="BB234" s="71"/>
      <c r="BC234" s="880">
        <v>0</v>
      </c>
      <c r="BD234" s="779">
        <v>0.06</v>
      </c>
      <c r="BE234" s="779">
        <v>0.03</v>
      </c>
      <c r="BF234" s="1202">
        <v>-0.15</v>
      </c>
      <c r="BG234" s="540">
        <f>SUMPRODUCT(BC234:BF234,AW$213:AZ$213)/BA$213</f>
        <v>-2.517647953754424E-2</v>
      </c>
      <c r="BH234" s="71" t="s">
        <v>108</v>
      </c>
      <c r="BI234" s="1230">
        <v>-0.13</v>
      </c>
      <c r="BJ234" s="1231">
        <v>-0.18</v>
      </c>
      <c r="BK234" s="1202">
        <v>-0.2</v>
      </c>
      <c r="BL234" s="1202">
        <v>-0.05</v>
      </c>
      <c r="BM234" s="540">
        <f>SUMPRODUCT(BI234:BL234,BC$213:BF$213)/BG$213</f>
        <v>-0.14105799320578943</v>
      </c>
      <c r="BN234" s="71"/>
      <c r="BO234" s="1240">
        <v>0.06</v>
      </c>
      <c r="BP234" s="1241">
        <v>0.12</v>
      </c>
      <c r="BQ234" s="1241">
        <v>0.12</v>
      </c>
      <c r="BR234" s="1241">
        <v>0.1</v>
      </c>
      <c r="BS234" s="540">
        <f>SUMPRODUCT(BO234:BR234,BI$213:BL$213)/BM$213</f>
        <v>0.10046107423053711</v>
      </c>
      <c r="BT234" s="71"/>
      <c r="BU234" s="1250">
        <v>0.06</v>
      </c>
      <c r="BV234" s="1251">
        <v>0.06</v>
      </c>
      <c r="BW234" s="1251">
        <v>0.06</v>
      </c>
      <c r="BX234" s="1252">
        <v>0</v>
      </c>
      <c r="BY234" s="1253">
        <f>SUMPRODUCT(BU234:BX234,BO$213:BR$213)/BS$213</f>
        <v>4.2851035843472551E-2</v>
      </c>
      <c r="BZ234" s="507"/>
      <c r="CA234" s="1254">
        <v>5.0000000000000001E-3</v>
      </c>
      <c r="CB234" s="1251">
        <v>0.05</v>
      </c>
      <c r="CC234" s="1251">
        <v>0.02</v>
      </c>
      <c r="CD234" s="1251">
        <v>0.02</v>
      </c>
      <c r="CE234" s="1253">
        <f>SUMPRODUCT(CA234:CD234,BU$213:BX$213)/BY$213</f>
        <v>2.4071449880668255E-2</v>
      </c>
      <c r="CF234" s="347"/>
      <c r="CG234" s="1250">
        <v>0.05</v>
      </c>
      <c r="CH234" s="1251">
        <v>0.02</v>
      </c>
      <c r="CI234" s="1251">
        <v>0.02</v>
      </c>
      <c r="CJ234" s="1251">
        <v>0.05</v>
      </c>
      <c r="CK234" s="1253">
        <f>SUMPRODUCT(CG234:CJ234,CA$213:CD$213)/CE$213</f>
        <v>3.5352217114044189E-2</v>
      </c>
      <c r="CL234" s="347"/>
      <c r="CM234" s="1250">
        <v>0.06</v>
      </c>
      <c r="CN234" s="1251">
        <v>0.02</v>
      </c>
      <c r="CO234" s="1251">
        <v>0.04</v>
      </c>
      <c r="CP234" s="1251">
        <v>0.01</v>
      </c>
      <c r="CQ234" s="1255">
        <f>SUMPRODUCT(CM234:CP234,CG$213:CJ$213)/CK$213</f>
        <v>3.1214855124349607E-2</v>
      </c>
      <c r="CR234" s="347" t="s">
        <v>108</v>
      </c>
      <c r="CS234" s="1254">
        <v>-0.02</v>
      </c>
      <c r="CT234" s="1252">
        <v>-0.01</v>
      </c>
      <c r="CU234" s="1252">
        <v>-0.03</v>
      </c>
      <c r="CV234" s="1252">
        <v>0.02</v>
      </c>
      <c r="CW234" s="1255">
        <f>SUMPRODUCT(CS234:CV234,CM$213:CP$213)/CQ$213</f>
        <v>-8.5673247913911794E-3</v>
      </c>
      <c r="CX234" s="347" t="s">
        <v>108</v>
      </c>
      <c r="CY234" s="880">
        <v>-0.03</v>
      </c>
      <c r="CZ234" s="1268">
        <v>0.05</v>
      </c>
      <c r="DA234" s="881">
        <v>0.03</v>
      </c>
      <c r="DB234" s="881">
        <v>-0.01</v>
      </c>
      <c r="DC234" s="1255">
        <f>SUMPRODUCT(CY234:DB234,CS$213:CV$213)/CW$213</f>
        <v>9.7661502484653589E-3</v>
      </c>
      <c r="DD234" s="347" t="s">
        <v>108</v>
      </c>
      <c r="DE234" s="1269">
        <v>0.02</v>
      </c>
      <c r="DF234" s="881">
        <v>0.03</v>
      </c>
      <c r="DG234" s="1268">
        <v>0.03</v>
      </c>
      <c r="DH234" s="1252">
        <v>-0.08</v>
      </c>
      <c r="DI234" s="47">
        <f>SUMPRODUCT(DE234:DH234,CY$213:DB$213)/DC$213</f>
        <v>-1.5509442090902567E-3</v>
      </c>
      <c r="DJ234" s="509"/>
      <c r="DK234" s="1269">
        <v>-0.13</v>
      </c>
      <c r="DL234" s="937">
        <v>-0.1</v>
      </c>
      <c r="DM234" s="1306">
        <v>-7.0000000000000007E-2</v>
      </c>
      <c r="DN234" s="1281">
        <v>0.05</v>
      </c>
      <c r="DO234" s="47">
        <f>SUMPRODUCT(DK234:DN234,DE$213:DH$213)/DI$213</f>
        <v>-5.9096730584510322E-2</v>
      </c>
      <c r="DP234" s="509"/>
      <c r="DQ234" s="1305">
        <v>0.08</v>
      </c>
      <c r="DR234" s="937">
        <v>0.08</v>
      </c>
      <c r="DS234" s="1306">
        <v>0.08</v>
      </c>
      <c r="DT234" s="1281">
        <v>-0.03</v>
      </c>
      <c r="DU234" s="47">
        <f>SUMPRODUCT(DQ234:DT234,DK$213:DN$213)/DO$213</f>
        <v>4.9961856587273611E-2</v>
      </c>
      <c r="DV234" s="509"/>
      <c r="DW234" s="897"/>
      <c r="DX234" s="898"/>
      <c r="DY234" s="898"/>
      <c r="DZ234" s="898"/>
      <c r="EA234" s="508"/>
      <c r="EB234" s="509"/>
      <c r="EC234" s="897"/>
      <c r="ED234" s="898"/>
      <c r="EE234" s="898"/>
      <c r="EF234" s="898"/>
      <c r="EG234" s="508"/>
    </row>
    <row r="235" spans="1:137" ht="11.25" customHeight="1" outlineLevel="1" x14ac:dyDescent="0.2">
      <c r="A235" s="538" t="s">
        <v>504</v>
      </c>
      <c r="B235" s="14"/>
      <c r="C235" s="14"/>
      <c r="D235" s="14"/>
      <c r="E235" s="93"/>
      <c r="F235" s="71"/>
      <c r="G235" s="93"/>
      <c r="H235" s="71"/>
      <c r="I235" s="93"/>
      <c r="J235" s="71"/>
      <c r="K235" s="93"/>
      <c r="L235" s="71"/>
      <c r="M235" s="84"/>
      <c r="N235" s="71"/>
      <c r="O235" s="71"/>
      <c r="P235" s="71"/>
      <c r="Q235" s="93"/>
      <c r="R235" s="71"/>
      <c r="S235" s="84"/>
      <c r="T235" s="71"/>
      <c r="U235" s="71"/>
      <c r="V235" s="71"/>
      <c r="W235" s="93"/>
      <c r="X235" s="71"/>
      <c r="Y235" s="84"/>
      <c r="Z235" s="71"/>
      <c r="AA235" s="71"/>
      <c r="AB235" s="71"/>
      <c r="AC235" s="93"/>
      <c r="AD235" s="71"/>
      <c r="AE235" s="84"/>
      <c r="AF235" s="71"/>
      <c r="AG235" s="71"/>
      <c r="AH235" s="71"/>
      <c r="AI235" s="93"/>
      <c r="AJ235" s="71"/>
      <c r="AK235" s="84"/>
      <c r="AL235" s="71"/>
      <c r="AM235" s="71"/>
      <c r="AN235" s="71"/>
      <c r="AO235" s="93"/>
      <c r="AP235" s="71"/>
      <c r="AQ235" s="84"/>
      <c r="AR235" s="71"/>
      <c r="AS235" s="71"/>
      <c r="AT235" s="71"/>
      <c r="AU235" s="93"/>
      <c r="AV235" s="71"/>
      <c r="AW235" s="84"/>
      <c r="AX235" s="71"/>
      <c r="AY235" s="71"/>
      <c r="AZ235" s="71"/>
      <c r="BA235" s="93"/>
      <c r="BB235" s="71"/>
      <c r="BC235" s="84"/>
      <c r="BD235" s="71"/>
      <c r="BE235" s="71"/>
      <c r="BF235" s="71"/>
      <c r="BG235" s="540"/>
      <c r="BH235" s="71"/>
      <c r="BI235" s="821">
        <f>IFERROR(BI237-BI236-BI234,"NM")</f>
        <v>6.5570521501844503E-2</v>
      </c>
      <c r="BJ235" s="822">
        <f t="shared" ref="BJ235:BL235" si="271">IFERROR(BJ237-BJ236-BJ234,"NM")</f>
        <v>-5.9241335626228353E-3</v>
      </c>
      <c r="BK235" s="822">
        <f t="shared" si="271"/>
        <v>7.2657297405919363E-2</v>
      </c>
      <c r="BL235" s="822">
        <f t="shared" si="271"/>
        <v>0.12694157771220532</v>
      </c>
      <c r="BM235" s="540">
        <f>SUMPRODUCT(BI235:BL235,BC$232:BF$232)/BG$232</f>
        <v>6.391028524907999E-2</v>
      </c>
      <c r="BN235" s="71"/>
      <c r="BO235" s="1235">
        <f>IFERROR(BO237-BO236-BO234,"NM")</f>
        <v>3.6574614976102038E-2</v>
      </c>
      <c r="BP235" s="34">
        <f t="shared" ref="BP235" si="272">IFERROR(BP237-BP236-BP234,"NM")</f>
        <v>-2.5546975546975187E-3</v>
      </c>
      <c r="BQ235" s="34">
        <f t="shared" ref="BQ235" si="273">IFERROR(BQ237-BQ236-BQ234,"NM")</f>
        <v>4.5284189625218463E-3</v>
      </c>
      <c r="BR235" s="34">
        <f t="shared" ref="BR235" si="274">IFERROR(BR237-BR236-BR234,"NM")</f>
        <v>-1.0000000000000009E-2</v>
      </c>
      <c r="BS235" s="540">
        <f>SUMPRODUCT(BO235:BR235,BI$232:BL$232)/BM$232</f>
        <v>5.86360893180452E-3</v>
      </c>
      <c r="BT235" s="71"/>
      <c r="BU235" s="821">
        <f>IFERROR(BU237-BU236-BU234,"NM")</f>
        <v>5.0000000000000044E-3</v>
      </c>
      <c r="BV235" s="822">
        <f t="shared" ref="BV235" si="275">IFERROR(BV237-BV236-BV234,"NM")</f>
        <v>4.9999999999999989E-2</v>
      </c>
      <c r="BW235" s="822">
        <f t="shared" ref="BW235" si="276">IFERROR(BW237-BW236-BW234,"NM")</f>
        <v>9.999999999999995E-3</v>
      </c>
      <c r="BX235" s="822">
        <f t="shared" ref="BX235" si="277">IFERROR(BX237-BX236-BX234,"NM")</f>
        <v>6.0000000000000005E-2</v>
      </c>
      <c r="BY235" s="540">
        <f>SUMPRODUCT(BU235:BX235,BO$232:BR$232)/BS$232</f>
        <v>3.2496985640688369E-2</v>
      </c>
      <c r="BZ235" s="507"/>
      <c r="CA235" s="821">
        <f>IFERROR(CA237-CA236-CA234,"NM")</f>
        <v>1.4999999999999999E-2</v>
      </c>
      <c r="CB235" s="822">
        <f t="shared" ref="CB235" si="278">IFERROR(CB237-CB236-CB234,"NM")</f>
        <v>-1.0000000000000002E-2</v>
      </c>
      <c r="CC235" s="822">
        <f t="shared" ref="CC235" si="279">IFERROR(CC237-CC236-CC234,"NM")</f>
        <v>1.5000000000000003E-2</v>
      </c>
      <c r="CD235" s="822">
        <f t="shared" ref="CD235" si="280">IFERROR(CD237-CD236-CD234,"NM")</f>
        <v>3.0000000000000002E-2</v>
      </c>
      <c r="CE235" s="540">
        <f>SUMPRODUCT(CA235:CD235,BU$232:BX$232)/BY$232</f>
        <v>1.2831394192521876E-2</v>
      </c>
      <c r="CF235" s="507"/>
      <c r="CG235" s="821">
        <f>IFERROR(CG237-CG236-CG234,"NM")</f>
        <v>-1.4999999999999999E-2</v>
      </c>
      <c r="CH235" s="822">
        <f t="shared" ref="CH235" si="281">IFERROR(CH237-CH236-CH234,"NM")</f>
        <v>1.5000000000000003E-2</v>
      </c>
      <c r="CI235" s="822">
        <f t="shared" ref="CI235" si="282">IFERROR(CI237-CI236-CI234,"NM")</f>
        <v>0.02</v>
      </c>
      <c r="CJ235" s="822">
        <f t="shared" ref="CJ235" si="283">IFERROR(CJ237-CJ236-CJ234,"NM")</f>
        <v>-2.0000000000000004E-2</v>
      </c>
      <c r="CK235" s="540">
        <f>SUMPRODUCT(CG235:CJ235,CA$232:CD$232)/CE$232</f>
        <v>-5.5390775619160507E-4</v>
      </c>
      <c r="CL235" s="507"/>
      <c r="CM235" s="821">
        <f>IFERROR(CM237-CM236-CM234,"NM")</f>
        <v>0</v>
      </c>
      <c r="CN235" s="822">
        <f t="shared" ref="CN235" si="284">IFERROR(CN237-CN236-CN234,"NM")</f>
        <v>0</v>
      </c>
      <c r="CO235" s="822">
        <f t="shared" ref="CO235" si="285">IFERROR(CO237-CO236-CO234,"NM")</f>
        <v>0</v>
      </c>
      <c r="CP235" s="822">
        <f t="shared" ref="CP235" si="286">IFERROR(CP237-CP236-CP234,"NM")</f>
        <v>-0.21865469332429696</v>
      </c>
      <c r="CQ235" s="540">
        <f>SUMPRODUCT(CM235:CP235,CG$232:CJ$232)/CK$232</f>
        <v>-6.1601985774977358E-2</v>
      </c>
      <c r="CR235" s="507"/>
      <c r="CS235" s="821">
        <f>IFERROR(CS237-CS236-CS234,"NM")</f>
        <v>1.5123602118893392E-2</v>
      </c>
      <c r="CT235" s="822">
        <f t="shared" ref="CT235" si="287">IFERROR(CT237-CT236-CT234,"NM")</f>
        <v>-3.9008710471501583E-2</v>
      </c>
      <c r="CU235" s="822">
        <f t="shared" ref="CU235" si="288">IFERROR(CU237-CU236-CU234,"NM")</f>
        <v>-0.1075738077214233</v>
      </c>
      <c r="CV235" s="822">
        <f t="shared" ref="CV235" si="289">IFERROR(CV237-CV236-CV234,"NM")</f>
        <v>4.2600323587721964E-2</v>
      </c>
      <c r="CW235" s="540">
        <f>SUMPRODUCT(CS235:CV235,CM$232:CP$232)/CQ$232</f>
        <v>-2.5455828591093438E-2</v>
      </c>
      <c r="CX235" s="71"/>
      <c r="CY235" s="821">
        <f>IFERROR(CY237-CY236-CY234,"NM")</f>
        <v>-0.10145531400966171</v>
      </c>
      <c r="CZ235" s="822">
        <f t="shared" ref="CZ235" si="290">IFERROR(CZ237-CZ236-CZ234,"NM")</f>
        <v>-0.1089267015706803</v>
      </c>
      <c r="DA235" s="822">
        <f t="shared" ref="DA235" si="291">IFERROR(DA237-DA236-DA234,"NM")</f>
        <v>-5.4519924466178926E-2</v>
      </c>
      <c r="DB235" s="822">
        <f t="shared" ref="DB235" si="292">IFERROR(DB237-DB236-DB234,"NM")</f>
        <v>1.5000000000000221E-2</v>
      </c>
      <c r="DC235" s="540">
        <f>SUMPRODUCT(CY235:DB235,CS$232:CV$232)/CW$232</f>
        <v>-6.3564052029956394E-2</v>
      </c>
      <c r="DD235" s="507"/>
      <c r="DE235" s="821">
        <f>IFERROR(DE237-DE236-DE234,"NM")</f>
        <v>-1.9999999999999889E-2</v>
      </c>
      <c r="DF235" s="822">
        <f t="shared" ref="DF235" si="293">IFERROR(DF237-DF236-DF234,"NM")</f>
        <v>-4.0000000000000112E-2</v>
      </c>
      <c r="DG235" s="822">
        <f t="shared" ref="DG235:DH235" si="294">IFERROR(DG237-DG236-DG234,"NM")</f>
        <v>-2.0000000000000219E-2</v>
      </c>
      <c r="DH235" s="822">
        <f t="shared" si="294"/>
        <v>7.4999999999999789E-2</v>
      </c>
      <c r="DI235" s="540">
        <f>SUMPRODUCT(DE235:DH235,CY$232:DB$232)/DC$232</f>
        <v>8.382997056066874E-5</v>
      </c>
      <c r="DJ235" s="509"/>
      <c r="DK235" s="821">
        <f>IFERROR(DK237-DK236-DK234,"NM")</f>
        <v>0.1</v>
      </c>
      <c r="DL235" s="898"/>
      <c r="DM235" s="898"/>
      <c r="DN235" s="898"/>
      <c r="DO235" s="508"/>
      <c r="DP235" s="509"/>
      <c r="DQ235" s="897"/>
      <c r="DR235" s="898"/>
      <c r="DS235" s="898"/>
      <c r="DT235" s="898"/>
      <c r="DU235" s="508"/>
      <c r="DV235" s="509"/>
      <c r="DW235" s="897"/>
      <c r="DX235" s="898"/>
      <c r="DY235" s="898"/>
      <c r="DZ235" s="898"/>
      <c r="EA235" s="508"/>
      <c r="EB235" s="509"/>
      <c r="EC235" s="897"/>
      <c r="ED235" s="898"/>
      <c r="EE235" s="898"/>
      <c r="EF235" s="898"/>
      <c r="EG235" s="508"/>
    </row>
    <row r="236" spans="1:137" ht="11.25" customHeight="1" outlineLevel="1" x14ac:dyDescent="0.2">
      <c r="A236" s="538" t="s">
        <v>379</v>
      </c>
      <c r="B236" s="14"/>
      <c r="C236" s="14"/>
      <c r="D236" s="14"/>
      <c r="E236" s="93"/>
      <c r="F236" s="71"/>
      <c r="G236" s="93"/>
      <c r="H236" s="71"/>
      <c r="I236" s="93"/>
      <c r="J236" s="71"/>
      <c r="K236" s="93"/>
      <c r="L236" s="71"/>
      <c r="M236" s="84"/>
      <c r="N236" s="71"/>
      <c r="O236" s="71"/>
      <c r="P236" s="71"/>
      <c r="Q236" s="93"/>
      <c r="R236" s="71"/>
      <c r="S236" s="84"/>
      <c r="T236" s="71"/>
      <c r="U236" s="71"/>
      <c r="V236" s="71"/>
      <c r="W236" s="93"/>
      <c r="X236" s="71"/>
      <c r="Y236" s="84"/>
      <c r="Z236" s="71"/>
      <c r="AA236" s="71"/>
      <c r="AB236" s="71"/>
      <c r="AC236" s="93"/>
      <c r="AD236" s="71"/>
      <c r="AE236" s="84"/>
      <c r="AF236" s="71"/>
      <c r="AG236" s="71"/>
      <c r="AH236" s="71"/>
      <c r="AI236" s="93"/>
      <c r="AJ236" s="71"/>
      <c r="AK236" s="84"/>
      <c r="AL236" s="71"/>
      <c r="AM236" s="71"/>
      <c r="AN236" s="71"/>
      <c r="AO236" s="93"/>
      <c r="AP236" s="71"/>
      <c r="AQ236" s="84"/>
      <c r="AR236" s="71"/>
      <c r="AS236" s="71"/>
      <c r="AT236" s="71"/>
      <c r="AU236" s="93"/>
      <c r="AV236" s="71"/>
      <c r="AW236" s="84"/>
      <c r="AX236" s="71"/>
      <c r="AY236" s="71"/>
      <c r="AZ236" s="71"/>
      <c r="BA236" s="93"/>
      <c r="BB236" s="71"/>
      <c r="BC236" s="84"/>
      <c r="BD236" s="71"/>
      <c r="BE236" s="71"/>
      <c r="BF236" s="71"/>
      <c r="BG236" s="540"/>
      <c r="BH236" s="71"/>
      <c r="BI236" s="821">
        <f>BI$217</f>
        <v>0</v>
      </c>
      <c r="BJ236" s="822">
        <f t="shared" ref="BJ236:BM236" si="295">BJ$217</f>
        <v>0</v>
      </c>
      <c r="BK236" s="822">
        <f t="shared" si="295"/>
        <v>0</v>
      </c>
      <c r="BL236" s="822">
        <f t="shared" si="295"/>
        <v>0</v>
      </c>
      <c r="BM236" s="540">
        <f t="shared" si="295"/>
        <v>0</v>
      </c>
      <c r="BN236" s="71"/>
      <c r="BO236" s="1235">
        <f>BO$217</f>
        <v>4.9999999999999989E-2</v>
      </c>
      <c r="BP236" s="34">
        <f t="shared" ref="BP236:BS236" si="296">BP$217</f>
        <v>-1.4999999999999996E-2</v>
      </c>
      <c r="BQ236" s="34">
        <f t="shared" si="296"/>
        <v>-2.4999999999999994E-2</v>
      </c>
      <c r="BR236" s="34">
        <f t="shared" si="296"/>
        <v>-2.353783231083853E-2</v>
      </c>
      <c r="BS236" s="540">
        <f t="shared" si="296"/>
        <v>-8.8533494266748308E-3</v>
      </c>
      <c r="BT236" s="71"/>
      <c r="BU236" s="821">
        <f>BU$217</f>
        <v>8.4136174154700386E-3</v>
      </c>
      <c r="BV236" s="822">
        <f t="shared" ref="BV236:BY236" si="297">BV$217</f>
        <v>6.8379640438944622E-2</v>
      </c>
      <c r="BW236" s="822">
        <f t="shared" si="297"/>
        <v>4.196388261851032E-2</v>
      </c>
      <c r="BX236" s="822">
        <f t="shared" si="297"/>
        <v>-4.5829338446791781E-3</v>
      </c>
      <c r="BY236" s="540">
        <f t="shared" si="297"/>
        <v>3.2268990463663341E-2</v>
      </c>
      <c r="BZ236" s="507"/>
      <c r="CA236" s="821">
        <f>CA$217</f>
        <v>-1.7411003236245986E-2</v>
      </c>
      <c r="CB236" s="822">
        <f t="shared" ref="CB236:CE236" si="298">CB$217</f>
        <v>-5.1690112938379183E-2</v>
      </c>
      <c r="CC236" s="822">
        <f t="shared" si="298"/>
        <v>-4.2511165245635446E-2</v>
      </c>
      <c r="CD236" s="822">
        <f t="shared" si="298"/>
        <v>-1.3481104651162437E-2</v>
      </c>
      <c r="CE236" s="540">
        <f t="shared" si="298"/>
        <v>-3.4182577565632331E-2</v>
      </c>
      <c r="CF236" s="507"/>
      <c r="CG236" s="821">
        <f>CG$217</f>
        <v>-2.505917796427809E-3</v>
      </c>
      <c r="CH236" s="822">
        <f t="shared" ref="CH236:CK236" si="299">CH$217</f>
        <v>-3.1234963913392144E-3</v>
      </c>
      <c r="CI236" s="822">
        <f t="shared" si="299"/>
        <v>3.5671916547351037E-3</v>
      </c>
      <c r="CJ236" s="822">
        <f t="shared" si="299"/>
        <v>4.5311130587204762E-3</v>
      </c>
      <c r="CK236" s="540">
        <f t="shared" si="299"/>
        <v>-4.4075337386919253E-3</v>
      </c>
      <c r="CL236" s="507"/>
      <c r="CM236" s="821">
        <f>CM$217</f>
        <v>2.3176323468110938E-3</v>
      </c>
      <c r="CN236" s="822">
        <f t="shared" ref="CN236:CQ236" si="300">CN$217</f>
        <v>6.0345832523800609E-3</v>
      </c>
      <c r="CO236" s="822">
        <f t="shared" si="300"/>
        <v>-4.3277146217170701E-3</v>
      </c>
      <c r="CP236" s="822">
        <f t="shared" si="300"/>
        <v>-4.7817688919010413E-2</v>
      </c>
      <c r="CQ236" s="540">
        <f t="shared" si="300"/>
        <v>-1.2512291756169754E-2</v>
      </c>
      <c r="CR236" s="507"/>
      <c r="CS236" s="821">
        <f>CS$217</f>
        <v>-8.5412007062978246E-2</v>
      </c>
      <c r="CT236" s="822">
        <f t="shared" ref="CT236:CW236" si="301">CT$217</f>
        <v>-8.2973868585495256E-2</v>
      </c>
      <c r="CU236" s="822">
        <f t="shared" si="301"/>
        <v>-8.0707797123391212E-2</v>
      </c>
      <c r="CV236" s="822">
        <f t="shared" si="301"/>
        <v>-5.8202265114053263E-2</v>
      </c>
      <c r="CW236" s="540">
        <f t="shared" si="301"/>
        <v>-7.5913547033878967E-2</v>
      </c>
      <c r="CX236" s="71"/>
      <c r="CY236" s="821">
        <f>CY$217</f>
        <v>-1.9812801932367112E-2</v>
      </c>
      <c r="CZ236" s="822">
        <f t="shared" ref="CZ236:DC236" si="302">CZ$217</f>
        <v>-5.7329842931937575E-3</v>
      </c>
      <c r="DA236" s="822">
        <f t="shared" si="302"/>
        <v>5.8785648574055938E-3</v>
      </c>
      <c r="DB236" s="822">
        <f t="shared" si="302"/>
        <v>1.3980397495233542E-3</v>
      </c>
      <c r="DC236" s="540">
        <f t="shared" si="302"/>
        <v>-4.4595878398129996E-3</v>
      </c>
      <c r="DD236" s="507"/>
      <c r="DE236" s="821">
        <f>DE$217</f>
        <v>-6.098490623570596E-4</v>
      </c>
      <c r="DF236" s="822">
        <f t="shared" ref="DF236:DI236" si="303">DF$217</f>
        <v>-6.7926112510495826E-3</v>
      </c>
      <c r="DG236" s="822">
        <f t="shared" si="303"/>
        <v>1.7235050325636443E-2</v>
      </c>
      <c r="DH236" s="822">
        <f t="shared" si="303"/>
        <v>3.1376301907209629E-2</v>
      </c>
      <c r="DI236" s="540">
        <f t="shared" si="303"/>
        <v>1.0621993250520585E-2</v>
      </c>
      <c r="DJ236" s="509"/>
      <c r="DK236" s="821">
        <f>DK$217</f>
        <v>5.6086956521739201E-2</v>
      </c>
      <c r="DL236" s="898"/>
      <c r="DM236" s="898"/>
      <c r="DN236" s="898"/>
      <c r="DO236" s="508"/>
      <c r="DP236" s="509"/>
      <c r="DQ236" s="897"/>
      <c r="DR236" s="898"/>
      <c r="DS236" s="898"/>
      <c r="DT236" s="898"/>
      <c r="DU236" s="508"/>
      <c r="DV236" s="509"/>
      <c r="DW236" s="897"/>
      <c r="DX236" s="898"/>
      <c r="DY236" s="898"/>
      <c r="DZ236" s="898"/>
      <c r="EA236" s="508"/>
      <c r="EB236" s="509"/>
      <c r="EC236" s="897"/>
      <c r="ED236" s="898"/>
      <c r="EE236" s="898"/>
      <c r="EF236" s="898"/>
      <c r="EG236" s="508"/>
    </row>
    <row r="237" spans="1:137" ht="11.25" customHeight="1" outlineLevel="1" x14ac:dyDescent="0.2">
      <c r="A237" s="538" t="s">
        <v>503</v>
      </c>
      <c r="B237" s="14"/>
      <c r="C237" s="14"/>
      <c r="D237" s="14"/>
      <c r="E237" s="93"/>
      <c r="F237" s="71"/>
      <c r="G237" s="93"/>
      <c r="H237" s="71"/>
      <c r="I237" s="93"/>
      <c r="J237" s="71"/>
      <c r="K237" s="93"/>
      <c r="L237" s="71"/>
      <c r="M237" s="84"/>
      <c r="N237" s="71"/>
      <c r="O237" s="71"/>
      <c r="P237" s="71"/>
      <c r="Q237" s="93"/>
      <c r="R237" s="71"/>
      <c r="S237" s="84"/>
      <c r="T237" s="71"/>
      <c r="U237" s="71"/>
      <c r="V237" s="71"/>
      <c r="W237" s="93"/>
      <c r="X237" s="71"/>
      <c r="Y237" s="84"/>
      <c r="Z237" s="71"/>
      <c r="AA237" s="71"/>
      <c r="AB237" s="71"/>
      <c r="AC237" s="93"/>
      <c r="AD237" s="71"/>
      <c r="AE237" s="84"/>
      <c r="AF237" s="71"/>
      <c r="AG237" s="71"/>
      <c r="AH237" s="71"/>
      <c r="AI237" s="93"/>
      <c r="AJ237" s="71"/>
      <c r="AK237" s="84"/>
      <c r="AL237" s="71"/>
      <c r="AM237" s="71"/>
      <c r="AN237" s="71"/>
      <c r="AO237" s="93"/>
      <c r="AP237" s="71"/>
      <c r="AQ237" s="84"/>
      <c r="AR237" s="71"/>
      <c r="AS237" s="71"/>
      <c r="AT237" s="71"/>
      <c r="AU237" s="93"/>
      <c r="AV237" s="71"/>
      <c r="AW237" s="84"/>
      <c r="AX237" s="71"/>
      <c r="AY237" s="71"/>
      <c r="AZ237" s="71"/>
      <c r="BA237" s="93"/>
      <c r="BB237" s="71"/>
      <c r="BC237" s="84"/>
      <c r="BD237" s="71"/>
      <c r="BE237" s="71"/>
      <c r="BF237" s="71"/>
      <c r="BG237" s="540"/>
      <c r="BH237" s="71"/>
      <c r="BI237" s="821">
        <f t="shared" ref="BI237:BL237" si="304">IF(ISERROR(BI232/BC232-1),"-",BI232/BC232-1)</f>
        <v>-6.4429478498155501E-2</v>
      </c>
      <c r="BJ237" s="822">
        <f t="shared" si="304"/>
        <v>-0.18592413356262283</v>
      </c>
      <c r="BK237" s="822">
        <f t="shared" si="304"/>
        <v>-0.12734270259408065</v>
      </c>
      <c r="BL237" s="822">
        <f t="shared" si="304"/>
        <v>7.6941577712205333E-2</v>
      </c>
      <c r="BM237" s="540">
        <f>IF(ISERROR(BM232/BG232-1),"-",BM232/BG232-1)</f>
        <v>-7.7147707956709444E-2</v>
      </c>
      <c r="BN237" s="71"/>
      <c r="BO237" s="1235">
        <f t="shared" ref="BO237" si="305">IF(ISERROR(BO232/BI232-1),"-",BO232/BI232-1)</f>
        <v>0.14657461497610202</v>
      </c>
      <c r="BP237" s="34">
        <f t="shared" ref="BP237" si="306">IF(ISERROR(BP232/BJ232-1),"-",BP232/BJ232-1)</f>
        <v>0.10244530244530248</v>
      </c>
      <c r="BQ237" s="34">
        <f t="shared" ref="BQ237" si="307">IF(ISERROR(BQ232/BK232-1),"-",BQ232/BK232-1)</f>
        <v>9.9528418962521847E-2</v>
      </c>
      <c r="BR237" s="34">
        <f t="shared" ref="BR237" si="308">IF(ISERROR(BR232/BL232-1),"-",BR232/BL232-1)</f>
        <v>6.6462167689161467E-2</v>
      </c>
      <c r="BS237" s="540">
        <f>IF(ISERROR(BS232/BM232-1),"-",BS232/BM232-1)</f>
        <v>0.10114665057332517</v>
      </c>
      <c r="BT237" s="71"/>
      <c r="BU237" s="821">
        <f t="shared" ref="BU237" si="309">IF(ISERROR(BU232/BO232-1),"-",BU232/BO232-1)</f>
        <v>7.3413617415470034E-2</v>
      </c>
      <c r="BV237" s="822">
        <f t="shared" ref="BV237" si="310">IF(ISERROR(BV232/BP232-1),"-",BV232/BP232-1)</f>
        <v>0.17837964043894461</v>
      </c>
      <c r="BW237" s="822">
        <f t="shared" ref="BW237" si="311">IF(ISERROR(BW232/BQ232-1),"-",BW232/BQ232-1)</f>
        <v>0.11196388261851031</v>
      </c>
      <c r="BX237" s="822">
        <f t="shared" ref="BX237" si="312">IF(ISERROR(BX232/BR232-1),"-",BX232/BR232-1)</f>
        <v>5.5417066155320827E-2</v>
      </c>
      <c r="BY237" s="540">
        <f>IF(ISERROR(BY232/BS232-1),"-",BY232/BS232-1)</f>
        <v>0.10226899046366333</v>
      </c>
      <c r="BZ237" s="507"/>
      <c r="CA237" s="821">
        <f t="shared" ref="CA237" si="313">IF(ISERROR(CA232/BU232-1),"-",CA232/BU232-1)</f>
        <v>2.5889967637540146E-3</v>
      </c>
      <c r="CB237" s="822">
        <f t="shared" ref="CB237" si="314">IF(ISERROR(CB232/BV232-1),"-",CB232/BV232-1)</f>
        <v>-1.1690112938379182E-2</v>
      </c>
      <c r="CC237" s="822">
        <f t="shared" ref="CC237" si="315">IF(ISERROR(CC232/BW232-1),"-",CC232/BW232-1)</f>
        <v>-7.5111652456354427E-3</v>
      </c>
      <c r="CD237" s="822">
        <f t="shared" ref="CD237" si="316">IF(ISERROR(CD232/BX232-1),"-",CD232/BX232-1)</f>
        <v>3.6518895348837566E-2</v>
      </c>
      <c r="CE237" s="540">
        <f>IF(ISERROR(CE232/BY232-1),"-",CE232/BY232-1)</f>
        <v>5.8174224343676695E-3</v>
      </c>
      <c r="CF237" s="507"/>
      <c r="CG237" s="821">
        <f t="shared" ref="CG237" si="317">IF(ISERROR(CG232/CA232-1),"-",CG232/CA232-1)</f>
        <v>3.2494082203572194E-2</v>
      </c>
      <c r="CH237" s="822">
        <f t="shared" ref="CH237" si="318">IF(ISERROR(CH232/CB232-1),"-",CH232/CB232-1)</f>
        <v>3.1876503608660789E-2</v>
      </c>
      <c r="CI237" s="822">
        <f t="shared" ref="CI237" si="319">IF(ISERROR(CI232/CC232-1),"-",CI232/CC232-1)</f>
        <v>4.3567191654735105E-2</v>
      </c>
      <c r="CJ237" s="822">
        <f t="shared" ref="CJ237" si="320">IF(ISERROR(CJ232/CD232-1),"-",CJ232/CD232-1)</f>
        <v>3.4531113058720475E-2</v>
      </c>
      <c r="CK237" s="540">
        <f>IF(ISERROR(CK232/CE232-1),"-",CK232/CE232-1)</f>
        <v>3.5592466261308076E-2</v>
      </c>
      <c r="CL237" s="507"/>
      <c r="CM237" s="821">
        <f t="shared" ref="CM237" si="321">IF(ISERROR(CM232/CG232-1),"-",CM232/CG232-1)</f>
        <v>6.2317632346811092E-2</v>
      </c>
      <c r="CN237" s="822">
        <f t="shared" ref="CN237" si="322">IF(ISERROR(CN232/CH232-1),"-",CN232/CH232-1)</f>
        <v>2.6034583252380061E-2</v>
      </c>
      <c r="CO237" s="822">
        <f t="shared" ref="CO237" si="323">IF(ISERROR(CO232/CI232-1),"-",CO232/CI232-1)</f>
        <v>3.5672285378282931E-2</v>
      </c>
      <c r="CP237" s="822">
        <f t="shared" ref="CP237" si="324">IF(ISERROR(CP232/CJ232-1),"-",CP232/CJ232-1)</f>
        <v>-0.25647238224330737</v>
      </c>
      <c r="CQ237" s="540">
        <f>IF(ISERROR(CQ232/CK232-1),"-",CQ232/CK232-1)</f>
        <v>-4.2899422406797671E-2</v>
      </c>
      <c r="CR237" s="507"/>
      <c r="CS237" s="821">
        <f t="shared" ref="CS237" si="325">IF(ISERROR(CS232/CM232-1),"-",CS232/CM232-1)</f>
        <v>-9.0288404944084855E-2</v>
      </c>
      <c r="CT237" s="822">
        <f t="shared" ref="CT237" si="326">IF(ISERROR(CT232/CN232-1),"-",CT232/CN232-1)</f>
        <v>-0.13198257905699684</v>
      </c>
      <c r="CU237" s="822">
        <f t="shared" ref="CU237" si="327">IF(ISERROR(CU232/CO232-1),"-",CU232/CO232-1)</f>
        <v>-0.21828160484481451</v>
      </c>
      <c r="CV237" s="822">
        <f t="shared" ref="CV237" si="328">IF(ISERROR(CV232/CP232-1),"-",CV232/CP232-1)</f>
        <v>4.3980584736686978E-3</v>
      </c>
      <c r="CW237" s="540">
        <f>IF(ISERROR(CW232/CQ232-1),"-",CW232/CQ232-1)</f>
        <v>-0.1142775918564809</v>
      </c>
      <c r="CX237" s="71"/>
      <c r="CY237" s="821">
        <f t="shared" ref="CY237" si="329">IF(ISERROR(CY232/CS232-1),"-",CY232/CS232-1)</f>
        <v>-0.15126811594202882</v>
      </c>
      <c r="CZ237" s="822">
        <f t="shared" ref="CZ237" si="330">IF(ISERROR(CZ232/CT232-1),"-",CZ232/CT232-1)</f>
        <v>-6.465968586387405E-2</v>
      </c>
      <c r="DA237" s="822">
        <f t="shared" ref="DA237" si="331">IF(ISERROR(DA232/CU232-1),"-",DA232/CU232-1)</f>
        <v>-1.8641359608773334E-2</v>
      </c>
      <c r="DB237" s="822">
        <f t="shared" ref="DB237" si="332">IF(ISERROR(DB232/CV232-1),"-",DB232/CV232-1)</f>
        <v>6.3980397495235763E-3</v>
      </c>
      <c r="DC237" s="540">
        <f>IF(ISERROR(DC232/CW232-1),"-",DC232/CW232-1)</f>
        <v>-5.893349850779861E-2</v>
      </c>
      <c r="DD237" s="507"/>
      <c r="DE237" s="821">
        <f t="shared" ref="DE237" si="333">IF(ISERROR(DE232/CY232-1),"-",DE232/CY232-1)</f>
        <v>-6.0984906235694858E-4</v>
      </c>
      <c r="DF237" s="822">
        <f t="shared" ref="DF237" si="334">IF(ISERROR(DF232/CZ232-1),"-",DF232/CZ232-1)</f>
        <v>-1.6792611251049694E-2</v>
      </c>
      <c r="DG237" s="822">
        <f t="shared" ref="DG237" si="335">IF(ISERROR(DG232/DA232-1),"-",DG232/DA232-1)</f>
        <v>2.7235050325636223E-2</v>
      </c>
      <c r="DH237" s="822">
        <f t="shared" ref="DH237" si="336">IF(ISERROR(DH232/DB232-1),"-",DH232/DB232-1)</f>
        <v>2.637630190720941E-2</v>
      </c>
      <c r="DI237" s="540">
        <f>IF(ISERROR(DI232/DC232-1),"-",DI232/DC232-1)</f>
        <v>9.1548790119910795E-3</v>
      </c>
      <c r="DJ237" s="509"/>
      <c r="DK237" s="821">
        <f t="shared" ref="DK237" si="337">IF(ISERROR(DK232/DE232-1),"-",DK232/DE232-1)</f>
        <v>2.6086956521739202E-2</v>
      </c>
      <c r="DL237" s="898"/>
      <c r="DM237" s="898"/>
      <c r="DN237" s="898"/>
      <c r="DO237" s="508"/>
      <c r="DP237" s="509"/>
      <c r="DQ237" s="897"/>
      <c r="DR237" s="898"/>
      <c r="DS237" s="898"/>
      <c r="DT237" s="898"/>
      <c r="DU237" s="508"/>
      <c r="DV237" s="509"/>
      <c r="DW237" s="897"/>
      <c r="DX237" s="898"/>
      <c r="DY237" s="898"/>
      <c r="DZ237" s="898"/>
      <c r="EA237" s="508"/>
      <c r="EB237" s="509"/>
      <c r="EC237" s="897"/>
      <c r="ED237" s="898"/>
      <c r="EE237" s="898"/>
      <c r="EF237" s="898"/>
      <c r="EG237" s="508"/>
    </row>
    <row r="238" spans="1:137" s="384" customFormat="1" ht="11.25" customHeight="1" outlineLevel="1" x14ac:dyDescent="0.2">
      <c r="A238" s="780" t="s">
        <v>705</v>
      </c>
      <c r="B238" s="343"/>
      <c r="C238" s="343"/>
      <c r="D238" s="343"/>
      <c r="E238" s="163"/>
      <c r="F238" s="344"/>
      <c r="G238" s="163"/>
      <c r="H238" s="344"/>
      <c r="I238" s="163"/>
      <c r="J238" s="344"/>
      <c r="K238" s="163"/>
      <c r="L238" s="344"/>
      <c r="M238" s="475"/>
      <c r="N238" s="344"/>
      <c r="O238" s="344"/>
      <c r="P238" s="344"/>
      <c r="Q238" s="163"/>
      <c r="R238" s="344"/>
      <c r="S238" s="475"/>
      <c r="T238" s="344"/>
      <c r="U238" s="344"/>
      <c r="V238" s="344"/>
      <c r="W238" s="163"/>
      <c r="X238" s="344"/>
      <c r="Y238" s="475"/>
      <c r="Z238" s="344"/>
      <c r="AA238" s="344"/>
      <c r="AB238" s="344"/>
      <c r="AC238" s="163"/>
      <c r="AD238" s="344"/>
      <c r="AE238" s="475"/>
      <c r="AF238" s="344"/>
      <c r="AG238" s="344"/>
      <c r="AH238" s="344"/>
      <c r="AI238" s="163"/>
      <c r="AJ238" s="344"/>
      <c r="AK238" s="475"/>
      <c r="AL238" s="344"/>
      <c r="AM238" s="344"/>
      <c r="AN238" s="344"/>
      <c r="AO238" s="163"/>
      <c r="AP238" s="344"/>
      <c r="AQ238" s="475"/>
      <c r="AR238" s="344"/>
      <c r="AS238" s="344"/>
      <c r="AT238" s="344"/>
      <c r="AU238" s="163"/>
      <c r="AV238" s="344"/>
      <c r="AW238" s="475"/>
      <c r="AX238" s="344"/>
      <c r="AY238" s="344"/>
      <c r="AZ238" s="344"/>
      <c r="BA238" s="163"/>
      <c r="BB238" s="344"/>
      <c r="BC238" s="475"/>
      <c r="BD238" s="344"/>
      <c r="BE238" s="344"/>
      <c r="BF238" s="344"/>
      <c r="BG238" s="903"/>
      <c r="BH238" s="344"/>
      <c r="BI238" s="1270"/>
      <c r="BJ238" s="1271"/>
      <c r="BK238" s="1271"/>
      <c r="BL238" s="1271"/>
      <c r="BM238" s="903"/>
      <c r="BN238" s="344"/>
      <c r="BO238" s="1272"/>
      <c r="BP238" s="1273"/>
      <c r="BQ238" s="1273"/>
      <c r="BR238" s="1273"/>
      <c r="BS238" s="903"/>
      <c r="BT238" s="344"/>
      <c r="BU238" s="1270"/>
      <c r="BV238" s="1271"/>
      <c r="BW238" s="1271"/>
      <c r="BX238" s="1271"/>
      <c r="BY238" s="903"/>
      <c r="BZ238" s="864"/>
      <c r="CA238" s="1270"/>
      <c r="CB238" s="1271"/>
      <c r="CC238" s="1271"/>
      <c r="CD238" s="1271"/>
      <c r="CE238" s="903"/>
      <c r="CF238" s="864"/>
      <c r="CG238" s="1270"/>
      <c r="CH238" s="1271"/>
      <c r="CI238" s="1271"/>
      <c r="CJ238" s="1271"/>
      <c r="CK238" s="903"/>
      <c r="CL238" s="864"/>
      <c r="CM238" s="1270">
        <f>+CM234+CG234</f>
        <v>0.11</v>
      </c>
      <c r="CN238" s="1271">
        <f t="shared" ref="CN238:CQ238" si="338">+CN234+CH234</f>
        <v>0.04</v>
      </c>
      <c r="CO238" s="1271">
        <f t="shared" si="338"/>
        <v>0.06</v>
      </c>
      <c r="CP238" s="1271">
        <f t="shared" si="338"/>
        <v>6.0000000000000005E-2</v>
      </c>
      <c r="CQ238" s="903">
        <f t="shared" si="338"/>
        <v>6.6567072238393796E-2</v>
      </c>
      <c r="CR238" s="864"/>
      <c r="CS238" s="1270">
        <f t="shared" ref="CS238" si="339">+CS234+CM234</f>
        <v>3.9999999999999994E-2</v>
      </c>
      <c r="CT238" s="1271">
        <f t="shared" ref="CT238" si="340">+CT234+CN234</f>
        <v>0.01</v>
      </c>
      <c r="CU238" s="1271">
        <f t="shared" ref="CU238" si="341">+CU234+CO234</f>
        <v>1.0000000000000002E-2</v>
      </c>
      <c r="CV238" s="1271">
        <f t="shared" ref="CV238" si="342">+CV234+CP234</f>
        <v>0.03</v>
      </c>
      <c r="CW238" s="903">
        <f t="shared" ref="CW238" si="343">+CW234+CQ234</f>
        <v>2.2647530332958427E-2</v>
      </c>
      <c r="CX238" s="864"/>
      <c r="CY238" s="1270">
        <f t="shared" ref="CY238" si="344">+CY234+CS234</f>
        <v>-0.05</v>
      </c>
      <c r="CZ238" s="1271">
        <f t="shared" ref="CZ238" si="345">+CZ234+CT234</f>
        <v>0.04</v>
      </c>
      <c r="DA238" s="1271">
        <f t="shared" ref="DA238" si="346">+DA234+CU234</f>
        <v>0</v>
      </c>
      <c r="DB238" s="1271">
        <f t="shared" ref="DB238" si="347">+DB234+CV234</f>
        <v>0.01</v>
      </c>
      <c r="DC238" s="903">
        <f t="shared" ref="DC238" si="348">+DC234+CW234</f>
        <v>1.1988254570741794E-3</v>
      </c>
      <c r="DD238" s="864"/>
      <c r="DE238" s="1270">
        <f t="shared" ref="DE238" si="349">+DE234+CY234</f>
        <v>-9.9999999999999985E-3</v>
      </c>
      <c r="DF238" s="1271">
        <f t="shared" ref="DF238" si="350">+DF234+CZ234</f>
        <v>0.08</v>
      </c>
      <c r="DG238" s="1271">
        <f t="shared" ref="DG238" si="351">+DG234+DA234</f>
        <v>0.06</v>
      </c>
      <c r="DH238" s="1271">
        <f t="shared" ref="DH238" si="352">+DH234+DB234</f>
        <v>-0.09</v>
      </c>
      <c r="DI238" s="903">
        <f t="shared" ref="DI238" si="353">+DI234+DC234</f>
        <v>8.2152060393751031E-3</v>
      </c>
      <c r="DJ238" s="985"/>
      <c r="DK238" s="1270">
        <f t="shared" ref="DK238" si="354">+DK234+DE234</f>
        <v>-0.11</v>
      </c>
      <c r="DL238" s="1271">
        <f t="shared" ref="DL238" si="355">+DL234+DF234</f>
        <v>-7.0000000000000007E-2</v>
      </c>
      <c r="DM238" s="1271">
        <f t="shared" ref="DM238" si="356">+DM234+DG234</f>
        <v>-4.0000000000000008E-2</v>
      </c>
      <c r="DN238" s="1271">
        <f t="shared" ref="DN238" si="357">+DN234+DH234</f>
        <v>-0.03</v>
      </c>
      <c r="DO238" s="903">
        <f t="shared" ref="DO238" si="358">+DO234+DI234</f>
        <v>-6.064767479360058E-2</v>
      </c>
      <c r="DP238" s="985"/>
      <c r="DQ238" s="1270">
        <f t="shared" ref="DQ238" si="359">+DQ234+DK234</f>
        <v>-0.05</v>
      </c>
      <c r="DR238" s="1271">
        <f t="shared" ref="DR238" si="360">+DR234+DL234</f>
        <v>-2.0000000000000004E-2</v>
      </c>
      <c r="DS238" s="1271">
        <f t="shared" ref="DS238" si="361">+DS234+DM234</f>
        <v>9.999999999999995E-3</v>
      </c>
      <c r="DT238" s="1271">
        <f t="shared" ref="DT238" si="362">+DT234+DN234</f>
        <v>2.0000000000000004E-2</v>
      </c>
      <c r="DU238" s="903">
        <f t="shared" ref="DU238" si="363">+DU234+DO234</f>
        <v>-9.1348739972367116E-3</v>
      </c>
      <c r="DV238" s="985"/>
      <c r="DW238" s="1274"/>
      <c r="DX238" s="1275"/>
      <c r="DY238" s="1275"/>
      <c r="DZ238" s="1275"/>
      <c r="EA238" s="869"/>
      <c r="EB238" s="985"/>
      <c r="EC238" s="1274"/>
      <c r="ED238" s="1275"/>
      <c r="EE238" s="1275"/>
      <c r="EF238" s="1275"/>
      <c r="EG238" s="869"/>
    </row>
    <row r="239" spans="1:137" ht="11.25" customHeight="1" outlineLevel="1" x14ac:dyDescent="0.2">
      <c r="A239" s="51"/>
      <c r="B239" s="14"/>
      <c r="C239" s="14"/>
      <c r="D239" s="14"/>
      <c r="E239" s="93"/>
      <c r="F239" s="71"/>
      <c r="G239" s="93"/>
      <c r="H239" s="71"/>
      <c r="I239" s="93"/>
      <c r="J239" s="71"/>
      <c r="K239" s="93"/>
      <c r="L239" s="71"/>
      <c r="M239" s="84"/>
      <c r="N239" s="71"/>
      <c r="O239" s="71"/>
      <c r="P239" s="71"/>
      <c r="Q239" s="93"/>
      <c r="R239" s="71"/>
      <c r="S239" s="84"/>
      <c r="T239" s="71"/>
      <c r="U239" s="71"/>
      <c r="V239" s="71"/>
      <c r="W239" s="93"/>
      <c r="X239" s="71"/>
      <c r="Y239" s="84"/>
      <c r="Z239" s="71"/>
      <c r="AA239" s="71"/>
      <c r="AB239" s="71"/>
      <c r="AC239" s="93"/>
      <c r="AD239" s="71"/>
      <c r="AE239" s="84"/>
      <c r="AF239" s="71"/>
      <c r="AG239" s="71"/>
      <c r="AH239" s="71"/>
      <c r="AI239" s="93"/>
      <c r="AJ239" s="71"/>
      <c r="AK239" s="84"/>
      <c r="AL239" s="71"/>
      <c r="AM239" s="71"/>
      <c r="AN239" s="71"/>
      <c r="AO239" s="93"/>
      <c r="AP239" s="71"/>
      <c r="AQ239" s="84"/>
      <c r="AR239" s="71"/>
      <c r="AS239" s="71"/>
      <c r="AT239" s="71"/>
      <c r="AU239" s="93"/>
      <c r="AV239" s="71"/>
      <c r="AW239" s="84"/>
      <c r="AX239" s="71"/>
      <c r="AY239" s="71"/>
      <c r="AZ239" s="71"/>
      <c r="BA239" s="93"/>
      <c r="BB239" s="71"/>
      <c r="BC239" s="84"/>
      <c r="BD239" s="71"/>
      <c r="BE239" s="71"/>
      <c r="BF239" s="71"/>
      <c r="BG239" s="93"/>
      <c r="BH239" s="71"/>
      <c r="BI239" s="84"/>
      <c r="BJ239" s="71"/>
      <c r="BK239" s="71"/>
      <c r="BL239" s="71"/>
      <c r="BM239" s="93"/>
      <c r="BN239" s="71"/>
      <c r="BO239" s="1236"/>
      <c r="BP239" s="16"/>
      <c r="BQ239" s="16"/>
      <c r="BR239" s="16"/>
      <c r="BS239" s="548"/>
      <c r="BT239" s="71"/>
      <c r="BU239" s="510"/>
      <c r="BV239" s="509"/>
      <c r="BW239" s="509"/>
      <c r="BX239" s="509"/>
      <c r="BY239" s="508"/>
      <c r="BZ239" s="507"/>
      <c r="CA239" s="510"/>
      <c r="CB239" s="509"/>
      <c r="CC239" s="509"/>
      <c r="CD239" s="509"/>
      <c r="CE239" s="508"/>
      <c r="CF239" s="507"/>
      <c r="CG239" s="510"/>
      <c r="CH239" s="509"/>
      <c r="CI239" s="509"/>
      <c r="CJ239" s="509"/>
      <c r="CK239" s="508"/>
      <c r="CL239" s="507"/>
      <c r="CM239" s="510"/>
      <c r="CN239" s="509"/>
      <c r="CO239" s="509"/>
      <c r="CP239" s="509"/>
      <c r="CQ239" s="508"/>
      <c r="CR239" s="507"/>
      <c r="CS239" s="510"/>
      <c r="CT239" s="509"/>
      <c r="CU239" s="509"/>
      <c r="CV239" s="509"/>
      <c r="CW239" s="508"/>
      <c r="CX239" s="71"/>
      <c r="CY239" s="506"/>
      <c r="CZ239" s="507"/>
      <c r="DA239" s="507"/>
      <c r="DB239" s="507"/>
      <c r="DC239" s="508"/>
      <c r="DD239" s="507"/>
      <c r="DE239" s="506"/>
      <c r="DF239" s="507"/>
      <c r="DG239" s="507"/>
      <c r="DH239" s="898"/>
      <c r="DI239" s="508"/>
      <c r="DJ239" s="509"/>
      <c r="DK239" s="506"/>
      <c r="DL239" s="898"/>
      <c r="DM239" s="898"/>
      <c r="DN239" s="898"/>
      <c r="DO239" s="508"/>
      <c r="DP239" s="509"/>
      <c r="DQ239" s="897"/>
      <c r="DR239" s="898"/>
      <c r="DS239" s="898"/>
      <c r="DT239" s="898"/>
      <c r="DU239" s="508"/>
      <c r="DV239" s="509"/>
      <c r="DW239" s="897"/>
      <c r="DX239" s="898"/>
      <c r="DY239" s="898"/>
      <c r="DZ239" s="898"/>
      <c r="EA239" s="508"/>
      <c r="EB239" s="509"/>
      <c r="EC239" s="897"/>
      <c r="ED239" s="898"/>
      <c r="EE239" s="898"/>
      <c r="EF239" s="898"/>
      <c r="EG239" s="508"/>
    </row>
    <row r="240" spans="1:137" ht="11.25" customHeight="1" outlineLevel="1" x14ac:dyDescent="0.2">
      <c r="A240" s="50" t="s">
        <v>662</v>
      </c>
      <c r="B240" s="14"/>
      <c r="C240" s="14"/>
      <c r="D240" s="14"/>
      <c r="E240" s="93"/>
      <c r="F240" s="71"/>
      <c r="G240" s="93"/>
      <c r="H240" s="71"/>
      <c r="I240" s="93"/>
      <c r="J240" s="71"/>
      <c r="K240" s="93"/>
      <c r="L240" s="71"/>
      <c r="M240" s="84"/>
      <c r="N240" s="71"/>
      <c r="O240" s="71"/>
      <c r="P240" s="71"/>
      <c r="Q240" s="93"/>
      <c r="R240" s="71"/>
      <c r="S240" s="84"/>
      <c r="T240" s="71"/>
      <c r="U240" s="71"/>
      <c r="V240" s="71"/>
      <c r="W240" s="93"/>
      <c r="X240" s="71"/>
      <c r="Y240" s="84"/>
      <c r="Z240" s="71"/>
      <c r="AA240" s="71"/>
      <c r="AB240" s="71"/>
      <c r="AC240" s="93"/>
      <c r="AD240" s="71"/>
      <c r="AE240" s="84"/>
      <c r="AF240" s="71"/>
      <c r="AG240" s="71"/>
      <c r="AH240" s="71"/>
      <c r="AI240" s="93"/>
      <c r="AJ240" s="71"/>
      <c r="AK240" s="84"/>
      <c r="AL240" s="71"/>
      <c r="AM240" s="71"/>
      <c r="AN240" s="71"/>
      <c r="AO240" s="93"/>
      <c r="AP240" s="71"/>
      <c r="AQ240" s="84"/>
      <c r="AR240" s="71"/>
      <c r="AS240" s="71"/>
      <c r="AT240" s="71"/>
      <c r="AU240" s="93"/>
      <c r="AV240" s="71"/>
      <c r="AW240" s="84"/>
      <c r="AX240" s="71"/>
      <c r="AY240" s="71"/>
      <c r="AZ240" s="71"/>
      <c r="BA240" s="93"/>
      <c r="BB240" s="71"/>
      <c r="BC240" s="165">
        <f>+BC$269*BC$213*BC270</f>
        <v>80.507025680000027</v>
      </c>
      <c r="BD240" s="164">
        <f>+BD$269*BD$213*BD270</f>
        <v>95.445649727999992</v>
      </c>
      <c r="BE240" s="164">
        <f>+BE$269*BE$213*BE270</f>
        <v>92.33865371840001</v>
      </c>
      <c r="BF240" s="164">
        <f>+BF$269*BF$213*BF270</f>
        <v>90.812725614848006</v>
      </c>
      <c r="BG240" s="163">
        <f>+SUM(BC240:BF240)</f>
        <v>359.10405474124798</v>
      </c>
      <c r="BH240" s="71"/>
      <c r="BI240" s="165">
        <f>+BI$269*BI$213*BI270</f>
        <v>94.15</v>
      </c>
      <c r="BJ240" s="164">
        <f>+BJ$269*BJ$213*BJ270</f>
        <v>97.125</v>
      </c>
      <c r="BK240" s="164">
        <f>+BK$269*BK$213*BK270</f>
        <v>100.72499999999999</v>
      </c>
      <c r="BL240" s="164">
        <f>+BL$269*BL$213*BL270</f>
        <v>122.25</v>
      </c>
      <c r="BM240" s="163">
        <f>+SUM(BI240:BL240)</f>
        <v>414.25</v>
      </c>
      <c r="BN240" s="71"/>
      <c r="BO240" s="165">
        <f>+BO$269*BO$213*BO270</f>
        <v>107.95</v>
      </c>
      <c r="BP240" s="164">
        <f>+BP$269*BP$213*BP270</f>
        <v>107.075</v>
      </c>
      <c r="BQ240" s="164">
        <f>+BQ$269*BQ$213*BQ270</f>
        <v>110.75</v>
      </c>
      <c r="BR240" s="164">
        <f>+BR$269*BR$213*BR270</f>
        <v>130.375</v>
      </c>
      <c r="BS240" s="163">
        <f t="shared" ref="BS240" si="364">+SUM(BO240:BR240)</f>
        <v>456.15</v>
      </c>
      <c r="BT240" s="71"/>
      <c r="BU240" s="165">
        <f>+BU$269*BU$213*BU270</f>
        <v>115.875</v>
      </c>
      <c r="BV240" s="164">
        <f>+BV$269*BV$213*BV270</f>
        <v>126.175</v>
      </c>
      <c r="BW240" s="164">
        <f>+BW$269*BW$213*BW270</f>
        <v>123.15</v>
      </c>
      <c r="BX240" s="164">
        <f>+BX$269*BX$213*BX270</f>
        <v>137.59999999999997</v>
      </c>
      <c r="BY240" s="163">
        <f t="shared" ref="BY240" si="365">+SUM(BU240:BX240)</f>
        <v>502.8</v>
      </c>
      <c r="BZ240" s="71"/>
      <c r="CA240" s="165">
        <f>+CA$269*CA$213*CA270</f>
        <v>116.175</v>
      </c>
      <c r="CB240" s="164">
        <f>+CB$269*CB$213*CB270</f>
        <v>124.7</v>
      </c>
      <c r="CC240" s="164">
        <f>+CC$269*CC$213*CC270</f>
        <v>122.22499999999999</v>
      </c>
      <c r="CD240" s="164">
        <f>+CD$269*CD$213*CD270</f>
        <v>142.625</v>
      </c>
      <c r="CE240" s="163">
        <f t="shared" ref="CE240" si="366">+SUM(CA240:CD240)</f>
        <v>505.72500000000002</v>
      </c>
      <c r="CF240" s="71"/>
      <c r="CG240" s="165">
        <f>+CG$269*CG$213*CG270</f>
        <v>119.95</v>
      </c>
      <c r="CH240" s="164">
        <f>+CH$269*CH$213*CH270</f>
        <v>128.67500000000001</v>
      </c>
      <c r="CI240" s="164">
        <f>+CI$269*CI$213*CI270</f>
        <v>127.55</v>
      </c>
      <c r="CJ240" s="164">
        <f>+CJ$269*CJ$213*CJ270</f>
        <v>147.55000000000001</v>
      </c>
      <c r="CK240" s="163">
        <f t="shared" ref="CK240" si="367">+SUM(CG240:CJ240)</f>
        <v>523.72500000000002</v>
      </c>
      <c r="CL240" s="71"/>
      <c r="CM240" s="165">
        <f>+CM$269*CM$213*CM270</f>
        <v>127.425</v>
      </c>
      <c r="CN240" s="164">
        <f>+CN$269*CN$213*CN270</f>
        <v>132.02500000000001</v>
      </c>
      <c r="CO240" s="164">
        <f>+CO$269*CO$213*CO270</f>
        <v>132.1</v>
      </c>
      <c r="CP240" s="164">
        <f>+CP$269*CP$213*CP270</f>
        <v>271.65666666666669</v>
      </c>
      <c r="CQ240" s="163">
        <f t="shared" ref="CQ240" si="368">+SUM(CM240:CP240)</f>
        <v>663.20666666666671</v>
      </c>
      <c r="CR240" s="71"/>
      <c r="CS240" s="165">
        <f>+CS$269*CS$213*CS270</f>
        <v>287.03999999999996</v>
      </c>
      <c r="CT240" s="164">
        <f>+CT$269*CT$213*CT270</f>
        <v>305.59999999999997</v>
      </c>
      <c r="CU240" s="164">
        <f>+CU$269*CU$213*CU270</f>
        <v>297.11333333333329</v>
      </c>
      <c r="CV240" s="164">
        <f>+CV$269*CV$213*CV270</f>
        <v>342.81333333333333</v>
      </c>
      <c r="CW240" s="163">
        <f t="shared" ref="CW240" si="369">+SUM(CS240:CV240)</f>
        <v>1232.5666666666664</v>
      </c>
      <c r="CX240" s="71"/>
      <c r="CY240" s="165">
        <f>+CY$269*CY$213*CY270</f>
        <v>306.08666666666659</v>
      </c>
      <c r="CZ240" s="164">
        <f>+CZ$269*CZ$213*CZ270</f>
        <v>333.47999999999996</v>
      </c>
      <c r="DA240" s="164">
        <f>+DA$269*DA$213*DA270</f>
        <v>315.27999999999997</v>
      </c>
      <c r="DB240" s="164">
        <f>+DB$269*DB$213*DB270</f>
        <v>345.00666666666666</v>
      </c>
      <c r="DC240" s="163">
        <f t="shared" ref="DC240" si="370">+SUM(CY240:DB240)</f>
        <v>1299.8533333333332</v>
      </c>
      <c r="DD240" s="71"/>
      <c r="DE240" s="165">
        <f>+DE$269*DE$213*DE270</f>
        <v>305.89999999999998</v>
      </c>
      <c r="DF240" s="164">
        <f>+DF$269*DF$213*DF270</f>
        <v>327.88</v>
      </c>
      <c r="DG240" s="164">
        <f>+DG$269*DG$213*DG270</f>
        <v>323.86666666666662</v>
      </c>
      <c r="DH240" s="164">
        <f>+DH$269*DH$213*DH270</f>
        <v>354.10666666666663</v>
      </c>
      <c r="DI240" s="163">
        <f t="shared" ref="DI240" si="371">+SUM(DE240:DH240)</f>
        <v>1311.7533333333331</v>
      </c>
      <c r="DJ240" s="509"/>
      <c r="DK240" s="165">
        <f>+DK$269*DK$213*DK270</f>
        <v>313.88</v>
      </c>
      <c r="DL240" s="898"/>
      <c r="DM240" s="898"/>
      <c r="DN240" s="898"/>
      <c r="DO240" s="508"/>
      <c r="DP240" s="509"/>
      <c r="DQ240" s="897"/>
      <c r="DR240" s="898"/>
      <c r="DS240" s="898"/>
      <c r="DT240" s="898"/>
      <c r="DU240" s="508"/>
      <c r="DV240" s="509"/>
      <c r="DW240" s="897"/>
      <c r="DX240" s="898"/>
      <c r="DY240" s="898"/>
      <c r="DZ240" s="898"/>
      <c r="EA240" s="508"/>
      <c r="EB240" s="509"/>
      <c r="EC240" s="897"/>
      <c r="ED240" s="898"/>
      <c r="EE240" s="898"/>
      <c r="EF240" s="898"/>
      <c r="EG240" s="508"/>
    </row>
    <row r="241" spans="1:137" ht="11.25" customHeight="1" outlineLevel="1" x14ac:dyDescent="0.2">
      <c r="A241" s="538" t="s">
        <v>619</v>
      </c>
      <c r="B241" s="14"/>
      <c r="C241" s="14"/>
      <c r="D241" s="14"/>
      <c r="E241" s="93"/>
      <c r="F241" s="71"/>
      <c r="G241" s="93"/>
      <c r="H241" s="71"/>
      <c r="I241" s="93"/>
      <c r="J241" s="71"/>
      <c r="K241" s="93"/>
      <c r="L241" s="71"/>
      <c r="M241" s="84"/>
      <c r="N241" s="71"/>
      <c r="O241" s="71"/>
      <c r="P241" s="71"/>
      <c r="Q241" s="93"/>
      <c r="R241" s="71"/>
      <c r="S241" s="84"/>
      <c r="T241" s="71"/>
      <c r="U241" s="71"/>
      <c r="V241" s="71"/>
      <c r="W241" s="93"/>
      <c r="X241" s="71"/>
      <c r="Y241" s="84"/>
      <c r="Z241" s="71"/>
      <c r="AA241" s="71"/>
      <c r="AB241" s="71"/>
      <c r="AC241" s="93"/>
      <c r="AD241" s="71"/>
      <c r="AE241" s="84"/>
      <c r="AF241" s="71"/>
      <c r="AG241" s="71"/>
      <c r="AH241" s="71"/>
      <c r="AI241" s="93"/>
      <c r="AJ241" s="71"/>
      <c r="AK241" s="84"/>
      <c r="AL241" s="71"/>
      <c r="AM241" s="71"/>
      <c r="AN241" s="71"/>
      <c r="AO241" s="93"/>
      <c r="AP241" s="71"/>
      <c r="AQ241" s="84"/>
      <c r="AR241" s="71"/>
      <c r="AS241" s="71"/>
      <c r="AT241" s="71"/>
      <c r="AU241" s="93"/>
      <c r="AV241" s="71"/>
      <c r="AW241" s="84"/>
      <c r="AX241" s="71"/>
      <c r="AY241" s="71"/>
      <c r="AZ241" s="71"/>
      <c r="BA241" s="93"/>
      <c r="BB241" s="71"/>
      <c r="BC241" s="84"/>
      <c r="BD241" s="71"/>
      <c r="BE241" s="71"/>
      <c r="BF241" s="71"/>
      <c r="BG241" s="540"/>
      <c r="BH241" s="71"/>
      <c r="BI241" s="84"/>
      <c r="BJ241" s="71"/>
      <c r="BK241" s="71"/>
      <c r="BL241" s="71"/>
      <c r="BM241" s="540"/>
      <c r="BN241" s="71"/>
      <c r="BO241" s="1236"/>
      <c r="BP241" s="16"/>
      <c r="BQ241" s="16"/>
      <c r="BR241" s="16"/>
      <c r="BS241" s="540"/>
      <c r="BT241" s="71"/>
      <c r="BU241" s="510"/>
      <c r="BV241" s="509"/>
      <c r="BW241" s="509"/>
      <c r="BX241" s="509"/>
      <c r="BY241" s="47"/>
      <c r="BZ241" s="507"/>
      <c r="CA241" s="510"/>
      <c r="CB241" s="509"/>
      <c r="CC241" s="509"/>
      <c r="CD241" s="509"/>
      <c r="CE241" s="792"/>
      <c r="CF241" s="507"/>
      <c r="CG241" s="510"/>
      <c r="CH241" s="509"/>
      <c r="CI241" s="509"/>
      <c r="CJ241" s="509"/>
      <c r="CK241" s="792"/>
      <c r="CL241" s="507"/>
      <c r="CM241" s="510"/>
      <c r="CN241" s="509"/>
      <c r="CO241" s="509"/>
      <c r="CP241" s="509"/>
      <c r="CQ241" s="792"/>
      <c r="CR241" s="507"/>
      <c r="CS241" s="510"/>
      <c r="CT241" s="509"/>
      <c r="CU241" s="509"/>
      <c r="CV241" s="509"/>
      <c r="CW241" s="508"/>
      <c r="CX241" s="71"/>
      <c r="CY241" s="506"/>
      <c r="CZ241" s="507"/>
      <c r="DA241" s="507"/>
      <c r="DB241" s="507"/>
      <c r="DC241" s="508"/>
      <c r="DD241" s="507"/>
      <c r="DE241" s="82"/>
      <c r="DF241" s="164"/>
      <c r="DG241" s="164"/>
      <c r="DH241" s="898"/>
      <c r="DI241" s="508"/>
      <c r="DJ241" s="509"/>
      <c r="DK241" s="82"/>
      <c r="DL241" s="898"/>
      <c r="DM241" s="898"/>
      <c r="DN241" s="898"/>
      <c r="DO241" s="508"/>
      <c r="DP241" s="509"/>
      <c r="DQ241" s="897"/>
      <c r="DR241" s="898"/>
      <c r="DS241" s="898"/>
      <c r="DT241" s="898"/>
      <c r="DU241" s="508"/>
      <c r="DV241" s="509"/>
      <c r="DW241" s="897"/>
      <c r="DX241" s="898"/>
      <c r="DY241" s="898"/>
      <c r="DZ241" s="898"/>
      <c r="EA241" s="508"/>
      <c r="EB241" s="509"/>
      <c r="EC241" s="897"/>
      <c r="ED241" s="898"/>
      <c r="EE241" s="898"/>
      <c r="EF241" s="898"/>
      <c r="EG241" s="508"/>
    </row>
    <row r="242" spans="1:137" ht="11.25" customHeight="1" outlineLevel="1" x14ac:dyDescent="0.2">
      <c r="A242" s="538" t="s">
        <v>620</v>
      </c>
      <c r="B242" s="14"/>
      <c r="C242" s="14"/>
      <c r="D242" s="14"/>
      <c r="E242" s="93"/>
      <c r="F242" s="71"/>
      <c r="G242" s="93"/>
      <c r="H242" s="71"/>
      <c r="I242" s="93"/>
      <c r="J242" s="71"/>
      <c r="K242" s="93"/>
      <c r="L242" s="71"/>
      <c r="M242" s="84"/>
      <c r="N242" s="71"/>
      <c r="O242" s="71"/>
      <c r="P242" s="71"/>
      <c r="Q242" s="93"/>
      <c r="R242" s="71"/>
      <c r="S242" s="84"/>
      <c r="T242" s="71"/>
      <c r="U242" s="71"/>
      <c r="V242" s="71"/>
      <c r="W242" s="93"/>
      <c r="X242" s="71"/>
      <c r="Y242" s="84"/>
      <c r="Z242" s="71"/>
      <c r="AA242" s="71"/>
      <c r="AB242" s="71"/>
      <c r="AC242" s="93"/>
      <c r="AD242" s="71"/>
      <c r="AE242" s="84"/>
      <c r="AF242" s="71"/>
      <c r="AG242" s="71"/>
      <c r="AH242" s="71"/>
      <c r="AI242" s="93"/>
      <c r="AJ242" s="71"/>
      <c r="AK242" s="84"/>
      <c r="AL242" s="71"/>
      <c r="AM242" s="71"/>
      <c r="AN242" s="71"/>
      <c r="AO242" s="93"/>
      <c r="AP242" s="71"/>
      <c r="AQ242" s="84"/>
      <c r="AR242" s="71"/>
      <c r="AS242" s="71"/>
      <c r="AT242" s="71"/>
      <c r="AU242" s="93"/>
      <c r="AV242" s="71"/>
      <c r="AW242" s="84"/>
      <c r="AX242" s="71"/>
      <c r="AY242" s="71"/>
      <c r="AZ242" s="71"/>
      <c r="BA242" s="93"/>
      <c r="BB242" s="71"/>
      <c r="BC242" s="542">
        <f>BC250</f>
        <v>0</v>
      </c>
      <c r="BD242" s="543">
        <f t="shared" ref="BD242:BE242" si="372">BD250</f>
        <v>0.05</v>
      </c>
      <c r="BE242" s="543">
        <f t="shared" si="372"/>
        <v>0.05</v>
      </c>
      <c r="BF242" s="799">
        <v>-0.01</v>
      </c>
      <c r="BG242" s="540">
        <f>SUMPRODUCT(BC242:BF242,AW$213:AZ$213)/BA$213</f>
        <v>2.0556540966336547E-2</v>
      </c>
      <c r="BH242" s="71"/>
      <c r="BI242" s="798">
        <v>0.05</v>
      </c>
      <c r="BJ242" s="799">
        <v>-0.02</v>
      </c>
      <c r="BK242" s="1228">
        <v>0.05</v>
      </c>
      <c r="BL242" s="779">
        <v>0.05</v>
      </c>
      <c r="BM242" s="540">
        <f>SUMPRODUCT(BI242:BL242,BC$213:BF$213)/BG$213</f>
        <v>3.1394820267974625E-2</v>
      </c>
      <c r="BN242" s="71"/>
      <c r="BO242" s="1242">
        <v>0.02</v>
      </c>
      <c r="BP242" s="1243">
        <v>0.02</v>
      </c>
      <c r="BQ242" s="1238">
        <v>0.05</v>
      </c>
      <c r="BR242" s="1238">
        <v>0.04</v>
      </c>
      <c r="BS242" s="540">
        <f>SUMPRODUCT(BO242:BR242,BI$213:BL$213)/BM$213</f>
        <v>3.319674109837055E-2</v>
      </c>
      <c r="BT242" s="71"/>
      <c r="BU242" s="1254">
        <v>0.05</v>
      </c>
      <c r="BV242" s="1251">
        <v>0.06</v>
      </c>
      <c r="BW242" s="1251">
        <v>0.05</v>
      </c>
      <c r="BX242" s="1252">
        <v>0.05</v>
      </c>
      <c r="BY242" s="1255">
        <f>SUMPRODUCT(BU242:BX242,BO$213:BR$213)/BS$213</f>
        <v>5.234736380576565E-2</v>
      </c>
      <c r="BZ242" s="507"/>
      <c r="CA242" s="1254">
        <v>1.4999999999999999E-2</v>
      </c>
      <c r="CB242" s="1252">
        <v>0.04</v>
      </c>
      <c r="CC242" s="1252">
        <v>0.02</v>
      </c>
      <c r="CD242" s="1252">
        <v>0.05</v>
      </c>
      <c r="CE242" s="1255">
        <f>SUMPRODUCT(CA242:CD242,BU$213:BX$213)/BY$213</f>
        <v>3.207662092283213E-2</v>
      </c>
      <c r="CF242" s="347" t="s">
        <v>108</v>
      </c>
      <c r="CG242" s="1254">
        <v>0.03</v>
      </c>
      <c r="CH242" s="1252">
        <v>0.1</v>
      </c>
      <c r="CI242" s="1251">
        <v>0.1</v>
      </c>
      <c r="CJ242" s="1252">
        <v>0.05</v>
      </c>
      <c r="CK242" s="1255">
        <f>SUMPRODUCT(CG242:CJ242,CA$213:CD$213)/CE$213</f>
        <v>6.981857729002916E-2</v>
      </c>
      <c r="CL242" s="347" t="s">
        <v>108</v>
      </c>
      <c r="CM242" s="1250">
        <v>0.06</v>
      </c>
      <c r="CN242" s="1252">
        <v>0.04</v>
      </c>
      <c r="CO242" s="1251">
        <v>0.02</v>
      </c>
      <c r="CP242" s="1251">
        <v>0.05</v>
      </c>
      <c r="CQ242" s="1255">
        <f>SUMPRODUCT(CM242:CP242,CG$213:CJ$213)/CK$213</f>
        <v>4.2527089598548853E-2</v>
      </c>
      <c r="CR242" s="347" t="s">
        <v>108</v>
      </c>
      <c r="CS242" s="1254">
        <v>0.02</v>
      </c>
      <c r="CT242" s="1252">
        <v>0.02</v>
      </c>
      <c r="CU242" s="1252">
        <v>0.02</v>
      </c>
      <c r="CV242" s="1252">
        <v>0.03</v>
      </c>
      <c r="CW242" s="1255">
        <f>SUMPRODUCT(CS242:CV242,CM$213:CP$213)/CQ$213</f>
        <v>2.2858510783821989E-2</v>
      </c>
      <c r="CX242" s="347" t="s">
        <v>108</v>
      </c>
      <c r="CY242" s="880">
        <v>0.04</v>
      </c>
      <c r="CZ242" s="1268">
        <v>4.4999999999999998E-2</v>
      </c>
      <c r="DA242" s="881">
        <v>0.05</v>
      </c>
      <c r="DB242" s="881">
        <v>0.05</v>
      </c>
      <c r="DC242" s="1255">
        <f>SUMPRODUCT(CY242:DB242,CS$213:CV$213)/CW$213</f>
        <v>4.6323443437591351E-2</v>
      </c>
      <c r="DD242" s="347"/>
      <c r="DE242" s="880">
        <v>0.04</v>
      </c>
      <c r="DF242" s="881">
        <v>0.02</v>
      </c>
      <c r="DG242" s="1268">
        <v>0.05</v>
      </c>
      <c r="DH242" s="1252">
        <v>0.05</v>
      </c>
      <c r="DI242" s="47">
        <f>SUMPRODUCT(DE242:DH242,CY$213:DB$213)/DC$213</f>
        <v>3.9948660874560213E-2</v>
      </c>
      <c r="DJ242" s="509"/>
      <c r="DK242" s="880">
        <v>0.03</v>
      </c>
      <c r="DL242" s="937">
        <v>0.05</v>
      </c>
      <c r="DM242" s="1306">
        <v>0.05</v>
      </c>
      <c r="DN242" s="1281">
        <v>0.05</v>
      </c>
      <c r="DO242" s="47">
        <f>SUMPRODUCT(DK242:DN242,DE$213:DH$213)/DI$213</f>
        <v>4.5336013376498639E-2</v>
      </c>
      <c r="DP242" s="509"/>
      <c r="DQ242" s="936">
        <v>0.05</v>
      </c>
      <c r="DR242" s="937">
        <v>0.05</v>
      </c>
      <c r="DS242" s="1306">
        <v>0.05</v>
      </c>
      <c r="DT242" s="1281">
        <v>0.05</v>
      </c>
      <c r="DU242" s="47">
        <f>SUMPRODUCT(DQ242:DT242,DK$213:DN$213)/DO$213</f>
        <v>0.05</v>
      </c>
      <c r="DV242" s="509"/>
      <c r="DW242" s="897"/>
      <c r="DX242" s="898"/>
      <c r="DY242" s="898"/>
      <c r="DZ242" s="898"/>
      <c r="EA242" s="508"/>
      <c r="EB242" s="509"/>
      <c r="EC242" s="897"/>
      <c r="ED242" s="898"/>
      <c r="EE242" s="898"/>
      <c r="EF242" s="898"/>
      <c r="EG242" s="508"/>
    </row>
    <row r="243" spans="1:137" ht="11.25" customHeight="1" outlineLevel="1" x14ac:dyDescent="0.2">
      <c r="A243" s="538" t="s">
        <v>504</v>
      </c>
      <c r="B243" s="14"/>
      <c r="C243" s="14"/>
      <c r="D243" s="14"/>
      <c r="E243" s="93"/>
      <c r="F243" s="71"/>
      <c r="G243" s="93"/>
      <c r="H243" s="71"/>
      <c r="I243" s="93"/>
      <c r="J243" s="71"/>
      <c r="K243" s="93"/>
      <c r="L243" s="71"/>
      <c r="M243" s="84"/>
      <c r="N243" s="71"/>
      <c r="O243" s="71"/>
      <c r="P243" s="71"/>
      <c r="Q243" s="93"/>
      <c r="R243" s="71"/>
      <c r="S243" s="84"/>
      <c r="T243" s="71"/>
      <c r="U243" s="71"/>
      <c r="V243" s="71"/>
      <c r="W243" s="93"/>
      <c r="X243" s="71"/>
      <c r="Y243" s="84"/>
      <c r="Z243" s="71"/>
      <c r="AA243" s="71"/>
      <c r="AB243" s="71"/>
      <c r="AC243" s="93"/>
      <c r="AD243" s="71"/>
      <c r="AE243" s="84"/>
      <c r="AF243" s="71"/>
      <c r="AG243" s="71"/>
      <c r="AH243" s="71"/>
      <c r="AI243" s="93"/>
      <c r="AJ243" s="71"/>
      <c r="AK243" s="84"/>
      <c r="AL243" s="71"/>
      <c r="AM243" s="71"/>
      <c r="AN243" s="71"/>
      <c r="AO243" s="93"/>
      <c r="AP243" s="71"/>
      <c r="AQ243" s="84"/>
      <c r="AR243" s="71"/>
      <c r="AS243" s="71"/>
      <c r="AT243" s="71"/>
      <c r="AU243" s="93"/>
      <c r="AV243" s="71"/>
      <c r="AW243" s="84"/>
      <c r="AX243" s="71"/>
      <c r="AY243" s="71"/>
      <c r="AZ243" s="71"/>
      <c r="BA243" s="93"/>
      <c r="BB243" s="71"/>
      <c r="BC243" s="84"/>
      <c r="BD243" s="71"/>
      <c r="BE243" s="71"/>
      <c r="BF243" s="71"/>
      <c r="BG243" s="540"/>
      <c r="BH243" s="71"/>
      <c r="BI243" s="84"/>
      <c r="BJ243" s="71"/>
      <c r="BK243" s="71"/>
      <c r="BL243" s="71"/>
      <c r="BM243" s="540">
        <f>SUMPRODUCT(BI243:BL243,BC$213:BF$213)/BG$213</f>
        <v>0</v>
      </c>
      <c r="BN243" s="71"/>
      <c r="BO243" s="1236"/>
      <c r="BP243" s="16"/>
      <c r="BQ243" s="16"/>
      <c r="BR243" s="16"/>
      <c r="BS243" s="540">
        <f>SUMPRODUCT(BO243:BR243,BI$213:BL$213)/BM$213</f>
        <v>0</v>
      </c>
      <c r="BT243" s="71"/>
      <c r="BU243" s="510"/>
      <c r="BV243" s="509"/>
      <c r="BW243" s="509"/>
      <c r="BX243" s="509"/>
      <c r="BY243" s="47">
        <f>SUMPRODUCT(BU243:BX243,BO$213:BR$213)/BS$213</f>
        <v>0</v>
      </c>
      <c r="BZ243" s="507"/>
      <c r="CA243" s="510"/>
      <c r="CB243" s="509"/>
      <c r="CC243" s="509"/>
      <c r="CD243" s="509"/>
      <c r="CE243" s="792">
        <f>SUMPRODUCT(CA243:CD243,BU$213:BX$213)/BY$213</f>
        <v>0</v>
      </c>
      <c r="CF243" s="507"/>
      <c r="CG243" s="510"/>
      <c r="CH243" s="509"/>
      <c r="CI243" s="509"/>
      <c r="CJ243" s="509"/>
      <c r="CK243" s="792">
        <f>SUMPRODUCT(CG243:CJ243,CA$213:CD$213)/CE$213</f>
        <v>0</v>
      </c>
      <c r="CL243" s="507"/>
      <c r="CM243" s="510"/>
      <c r="CN243" s="509"/>
      <c r="CO243" s="509"/>
      <c r="CP243" s="509"/>
      <c r="CQ243" s="792">
        <f>SUMPRODUCT(CM243:CP243,CG$213:CJ$213)/CK$213</f>
        <v>0</v>
      </c>
      <c r="CR243" s="507"/>
      <c r="CS243" s="510"/>
      <c r="CT243" s="509"/>
      <c r="CU243" s="509"/>
      <c r="CV243" s="509"/>
      <c r="CW243" s="508"/>
      <c r="CX243" s="71"/>
      <c r="CY243" s="506"/>
      <c r="CZ243" s="507"/>
      <c r="DA243" s="507"/>
      <c r="DB243" s="507"/>
      <c r="DC243" s="508"/>
      <c r="DD243" s="507"/>
      <c r="DE243" s="506"/>
      <c r="DF243" s="507"/>
      <c r="DG243" s="507"/>
      <c r="DH243" s="898"/>
      <c r="DI243" s="508"/>
      <c r="DJ243" s="509"/>
      <c r="DK243" s="506"/>
      <c r="DL243" s="898"/>
      <c r="DM243" s="898"/>
      <c r="DN243" s="898"/>
      <c r="DO243" s="508"/>
      <c r="DP243" s="509"/>
      <c r="DQ243" s="897"/>
      <c r="DR243" s="898"/>
      <c r="DS243" s="898"/>
      <c r="DT243" s="898"/>
      <c r="DU243" s="508"/>
      <c r="DV243" s="509"/>
      <c r="DW243" s="897"/>
      <c r="DX243" s="898"/>
      <c r="DY243" s="898"/>
      <c r="DZ243" s="898"/>
      <c r="EA243" s="508"/>
      <c r="EB243" s="509"/>
      <c r="EC243" s="897"/>
      <c r="ED243" s="898"/>
      <c r="EE243" s="898"/>
      <c r="EF243" s="898"/>
      <c r="EG243" s="508"/>
    </row>
    <row r="244" spans="1:137" ht="11.25" customHeight="1" outlineLevel="1" x14ac:dyDescent="0.2">
      <c r="A244" s="538" t="s">
        <v>379</v>
      </c>
      <c r="B244" s="14"/>
      <c r="C244" s="14"/>
      <c r="D244" s="14"/>
      <c r="E244" s="93"/>
      <c r="F244" s="71"/>
      <c r="G244" s="93"/>
      <c r="H244" s="71"/>
      <c r="I244" s="93"/>
      <c r="J244" s="71"/>
      <c r="K244" s="93"/>
      <c r="L244" s="71"/>
      <c r="M244" s="84"/>
      <c r="N244" s="71"/>
      <c r="O244" s="71"/>
      <c r="P244" s="71"/>
      <c r="Q244" s="93"/>
      <c r="R244" s="71"/>
      <c r="S244" s="84"/>
      <c r="T244" s="71"/>
      <c r="U244" s="71"/>
      <c r="V244" s="71"/>
      <c r="W244" s="93"/>
      <c r="X244" s="71"/>
      <c r="Y244" s="84"/>
      <c r="Z244" s="71"/>
      <c r="AA244" s="71"/>
      <c r="AB244" s="71"/>
      <c r="AC244" s="93"/>
      <c r="AD244" s="71"/>
      <c r="AE244" s="84"/>
      <c r="AF244" s="71"/>
      <c r="AG244" s="71"/>
      <c r="AH244" s="71"/>
      <c r="AI244" s="93"/>
      <c r="AJ244" s="71"/>
      <c r="AK244" s="84"/>
      <c r="AL244" s="71"/>
      <c r="AM244" s="71"/>
      <c r="AN244" s="71"/>
      <c r="AO244" s="93"/>
      <c r="AP244" s="71"/>
      <c r="AQ244" s="84"/>
      <c r="AR244" s="71"/>
      <c r="AS244" s="71"/>
      <c r="AT244" s="71"/>
      <c r="AU244" s="93"/>
      <c r="AV244" s="71"/>
      <c r="AW244" s="84"/>
      <c r="AX244" s="71"/>
      <c r="AY244" s="71"/>
      <c r="AZ244" s="71"/>
      <c r="BA244" s="93"/>
      <c r="BB244" s="71"/>
      <c r="BC244" s="84"/>
      <c r="BD244" s="71"/>
      <c r="BE244" s="71"/>
      <c r="BF244" s="71"/>
      <c r="BG244" s="540"/>
      <c r="BH244" s="71"/>
      <c r="BI244" s="84"/>
      <c r="BJ244" s="71"/>
      <c r="BK244" s="71"/>
      <c r="BL244" s="71"/>
      <c r="BM244" s="540">
        <f>SUMPRODUCT(BI244:BL244,BC$213:BF$213)/BG$213</f>
        <v>0</v>
      </c>
      <c r="BN244" s="71"/>
      <c r="BO244" s="1236"/>
      <c r="BP244" s="16"/>
      <c r="BQ244" s="16"/>
      <c r="BR244" s="16"/>
      <c r="BS244" s="540">
        <f>SUMPRODUCT(BO244:BR244,BI$213:BL$213)/BM$213</f>
        <v>0</v>
      </c>
      <c r="BT244" s="71"/>
      <c r="BU244" s="510"/>
      <c r="BV244" s="509"/>
      <c r="BW244" s="509"/>
      <c r="BX244" s="509"/>
      <c r="BY244" s="47">
        <f>SUMPRODUCT(BU244:BX244,BO$213:BR$213)/BS$213</f>
        <v>0</v>
      </c>
      <c r="BZ244" s="507"/>
      <c r="CA244" s="510"/>
      <c r="CB244" s="509"/>
      <c r="CC244" s="509"/>
      <c r="CD244" s="509"/>
      <c r="CE244" s="792">
        <f>SUMPRODUCT(CA244:CD244,BU$213:BX$213)/BY$213</f>
        <v>0</v>
      </c>
      <c r="CF244" s="507"/>
      <c r="CG244" s="510"/>
      <c r="CH244" s="509"/>
      <c r="CI244" s="509"/>
      <c r="CJ244" s="509"/>
      <c r="CK244" s="792">
        <f>SUMPRODUCT(CG244:CJ244,CA$213:CD$213)/CE$213</f>
        <v>0</v>
      </c>
      <c r="CL244" s="507"/>
      <c r="CM244" s="510"/>
      <c r="CN244" s="509"/>
      <c r="CO244" s="509"/>
      <c r="CP244" s="509"/>
      <c r="CQ244" s="792">
        <f>SUMPRODUCT(CM244:CP244,CG$213:CJ$213)/CK$213</f>
        <v>0</v>
      </c>
      <c r="CR244" s="507"/>
      <c r="CS244" s="510"/>
      <c r="CT244" s="509"/>
      <c r="CU244" s="509"/>
      <c r="CV244" s="509"/>
      <c r="CW244" s="508"/>
      <c r="CX244" s="71"/>
      <c r="CY244" s="506"/>
      <c r="CZ244" s="507"/>
      <c r="DA244" s="507"/>
      <c r="DB244" s="507"/>
      <c r="DC244" s="508"/>
      <c r="DD244" s="507"/>
      <c r="DE244" s="506"/>
      <c r="DF244" s="507"/>
      <c r="DG244" s="507"/>
      <c r="DH244" s="898"/>
      <c r="DI244" s="508"/>
      <c r="DJ244" s="509"/>
      <c r="DK244" s="506"/>
      <c r="DL244" s="898"/>
      <c r="DM244" s="898"/>
      <c r="DN244" s="898"/>
      <c r="DO244" s="508"/>
      <c r="DP244" s="509"/>
      <c r="DQ244" s="897"/>
      <c r="DR244" s="898"/>
      <c r="DS244" s="898"/>
      <c r="DT244" s="898"/>
      <c r="DU244" s="508"/>
      <c r="DV244" s="509"/>
      <c r="DW244" s="897"/>
      <c r="DX244" s="898"/>
      <c r="DY244" s="898"/>
      <c r="DZ244" s="898"/>
      <c r="EA244" s="508"/>
      <c r="EB244" s="509"/>
      <c r="EC244" s="897"/>
      <c r="ED244" s="898"/>
      <c r="EE244" s="898"/>
      <c r="EF244" s="898"/>
      <c r="EG244" s="508"/>
    </row>
    <row r="245" spans="1:137" ht="11.25" customHeight="1" outlineLevel="1" x14ac:dyDescent="0.2">
      <c r="A245" s="538" t="s">
        <v>503</v>
      </c>
      <c r="B245" s="14"/>
      <c r="C245" s="14"/>
      <c r="D245" s="14"/>
      <c r="E245" s="93"/>
      <c r="F245" s="71"/>
      <c r="G245" s="93"/>
      <c r="H245" s="71"/>
      <c r="I245" s="93"/>
      <c r="J245" s="71"/>
      <c r="K245" s="93"/>
      <c r="L245" s="71"/>
      <c r="M245" s="84"/>
      <c r="N245" s="71"/>
      <c r="O245" s="71"/>
      <c r="P245" s="71"/>
      <c r="Q245" s="93"/>
      <c r="R245" s="71"/>
      <c r="S245" s="84"/>
      <c r="T245" s="71"/>
      <c r="U245" s="71"/>
      <c r="V245" s="71"/>
      <c r="W245" s="93"/>
      <c r="X245" s="71"/>
      <c r="Y245" s="84"/>
      <c r="Z245" s="71"/>
      <c r="AA245" s="71"/>
      <c r="AB245" s="71"/>
      <c r="AC245" s="93"/>
      <c r="AD245" s="71"/>
      <c r="AE245" s="84"/>
      <c r="AF245" s="71"/>
      <c r="AG245" s="71"/>
      <c r="AH245" s="71"/>
      <c r="AI245" s="93"/>
      <c r="AJ245" s="71"/>
      <c r="AK245" s="84"/>
      <c r="AL245" s="71"/>
      <c r="AM245" s="71"/>
      <c r="AN245" s="71"/>
      <c r="AO245" s="93"/>
      <c r="AP245" s="71"/>
      <c r="AQ245" s="84"/>
      <c r="AR245" s="71"/>
      <c r="AS245" s="71"/>
      <c r="AT245" s="71"/>
      <c r="AU245" s="93"/>
      <c r="AV245" s="71"/>
      <c r="AW245" s="84"/>
      <c r="AX245" s="71"/>
      <c r="AY245" s="71"/>
      <c r="AZ245" s="71"/>
      <c r="BA245" s="93"/>
      <c r="BB245" s="71"/>
      <c r="BC245" s="84"/>
      <c r="BD245" s="71"/>
      <c r="BE245" s="71"/>
      <c r="BF245" s="71"/>
      <c r="BG245" s="540"/>
      <c r="BH245" s="71"/>
      <c r="BI245" s="84"/>
      <c r="BJ245" s="71"/>
      <c r="BK245" s="71"/>
      <c r="BL245" s="71"/>
      <c r="BM245" s="540">
        <f>IF(ISERROR(BM240/BG240-1),"-",BM240/BG240-1)</f>
        <v>0.15356536505411333</v>
      </c>
      <c r="BN245" s="71"/>
      <c r="BO245" s="1236"/>
      <c r="BP245" s="16"/>
      <c r="BQ245" s="16"/>
      <c r="BR245" s="16"/>
      <c r="BS245" s="540">
        <f>IF(ISERROR(BS240/BM240-1),"-",BS240/BM240-1)</f>
        <v>0.10114665057332517</v>
      </c>
      <c r="BT245" s="71"/>
      <c r="BU245" s="510"/>
      <c r="BV245" s="509"/>
      <c r="BW245" s="509"/>
      <c r="BX245" s="509"/>
      <c r="BY245" s="47">
        <f>IF(ISERROR(BY240/BS240-1),"-",BY240/BS240-1)</f>
        <v>0.10226899046366333</v>
      </c>
      <c r="BZ245" s="507"/>
      <c r="CA245" s="510"/>
      <c r="CB245" s="509"/>
      <c r="CC245" s="509"/>
      <c r="CD245" s="509"/>
      <c r="CE245" s="792">
        <f>IF(ISERROR(CE240/BY240-1),"-",CE240/BY240-1)</f>
        <v>5.8174224343676695E-3</v>
      </c>
      <c r="CF245" s="507"/>
      <c r="CG245" s="510"/>
      <c r="CH245" s="509"/>
      <c r="CI245" s="509"/>
      <c r="CJ245" s="509"/>
      <c r="CK245" s="792">
        <f>IF(ISERROR(CK240/CE240-1),"-",CK240/CE240-1)</f>
        <v>3.5592466261308076E-2</v>
      </c>
      <c r="CL245" s="507"/>
      <c r="CM245" s="510"/>
      <c r="CN245" s="509"/>
      <c r="CO245" s="509"/>
      <c r="CP245" s="509"/>
      <c r="CQ245" s="792">
        <f>IF(ISERROR(CQ240/CK240-1),"-",CQ240/CK240-1)</f>
        <v>0.26632615717536234</v>
      </c>
      <c r="CR245" s="507"/>
      <c r="CS245" s="510"/>
      <c r="CT245" s="509"/>
      <c r="CU245" s="509"/>
      <c r="CV245" s="509"/>
      <c r="CW245" s="508"/>
      <c r="CX245" s="71"/>
      <c r="CY245" s="506"/>
      <c r="CZ245" s="507"/>
      <c r="DA245" s="507"/>
      <c r="DB245" s="507"/>
      <c r="DC245" s="508"/>
      <c r="DD245" s="507"/>
      <c r="DE245" s="506"/>
      <c r="DF245" s="507"/>
      <c r="DG245" s="507"/>
      <c r="DH245" s="898"/>
      <c r="DI245" s="508"/>
      <c r="DJ245" s="509"/>
      <c r="DK245" s="506"/>
      <c r="DL245" s="898"/>
      <c r="DM245" s="898"/>
      <c r="DN245" s="898"/>
      <c r="DO245" s="508"/>
      <c r="DP245" s="509"/>
      <c r="DQ245" s="897"/>
      <c r="DR245" s="898"/>
      <c r="DS245" s="898"/>
      <c r="DT245" s="898"/>
      <c r="DU245" s="508"/>
      <c r="DV245" s="509"/>
      <c r="DW245" s="897"/>
      <c r="DX245" s="898"/>
      <c r="DY245" s="898"/>
      <c r="DZ245" s="898"/>
      <c r="EA245" s="508"/>
      <c r="EB245" s="509"/>
      <c r="EC245" s="897"/>
      <c r="ED245" s="898"/>
      <c r="EE245" s="898"/>
      <c r="EF245" s="898"/>
      <c r="EG245" s="508"/>
    </row>
    <row r="246" spans="1:137" s="384" customFormat="1" ht="11.25" customHeight="1" outlineLevel="1" x14ac:dyDescent="0.2">
      <c r="A246" s="780" t="s">
        <v>705</v>
      </c>
      <c r="B246" s="343"/>
      <c r="C246" s="343"/>
      <c r="D246" s="343"/>
      <c r="E246" s="163"/>
      <c r="F246" s="344"/>
      <c r="G246" s="163"/>
      <c r="H246" s="344"/>
      <c r="I246" s="163"/>
      <c r="J246" s="344"/>
      <c r="K246" s="163"/>
      <c r="L246" s="344"/>
      <c r="M246" s="475"/>
      <c r="N246" s="344"/>
      <c r="O246" s="344"/>
      <c r="P246" s="344"/>
      <c r="Q246" s="163"/>
      <c r="R246" s="344"/>
      <c r="S246" s="475"/>
      <c r="T246" s="344"/>
      <c r="U246" s="344"/>
      <c r="V246" s="344"/>
      <c r="W246" s="163"/>
      <c r="X246" s="344"/>
      <c r="Y246" s="475"/>
      <c r="Z246" s="344"/>
      <c r="AA246" s="344"/>
      <c r="AB246" s="344"/>
      <c r="AC246" s="163"/>
      <c r="AD246" s="344"/>
      <c r="AE246" s="475"/>
      <c r="AF246" s="344"/>
      <c r="AG246" s="344"/>
      <c r="AH246" s="344"/>
      <c r="AI246" s="163"/>
      <c r="AJ246" s="344"/>
      <c r="AK246" s="475"/>
      <c r="AL246" s="344"/>
      <c r="AM246" s="344"/>
      <c r="AN246" s="344"/>
      <c r="AO246" s="163"/>
      <c r="AP246" s="344"/>
      <c r="AQ246" s="475"/>
      <c r="AR246" s="344"/>
      <c r="AS246" s="344"/>
      <c r="AT246" s="344"/>
      <c r="AU246" s="163"/>
      <c r="AV246" s="344"/>
      <c r="AW246" s="475"/>
      <c r="AX246" s="344"/>
      <c r="AY246" s="344"/>
      <c r="AZ246" s="344"/>
      <c r="BA246" s="163"/>
      <c r="BB246" s="344"/>
      <c r="BC246" s="475"/>
      <c r="BD246" s="344"/>
      <c r="BE246" s="344"/>
      <c r="BF246" s="344"/>
      <c r="BG246" s="903"/>
      <c r="BH246" s="344"/>
      <c r="BI246" s="475"/>
      <c r="BJ246" s="344"/>
      <c r="BK246" s="344"/>
      <c r="BL246" s="344"/>
      <c r="BM246" s="903"/>
      <c r="BN246" s="344"/>
      <c r="BO246" s="1239"/>
      <c r="BP246" s="33"/>
      <c r="BQ246" s="33"/>
      <c r="BR246" s="33"/>
      <c r="BS246" s="903"/>
      <c r="BT246" s="344"/>
      <c r="BU246" s="986"/>
      <c r="BV246" s="985"/>
      <c r="BW246" s="985"/>
      <c r="BX246" s="985"/>
      <c r="BY246" s="458"/>
      <c r="BZ246" s="864"/>
      <c r="CA246" s="986"/>
      <c r="CB246" s="985"/>
      <c r="CC246" s="985"/>
      <c r="CD246" s="985"/>
      <c r="CE246" s="1247"/>
      <c r="CF246" s="864"/>
      <c r="CG246" s="986"/>
      <c r="CH246" s="985"/>
      <c r="CI246" s="985"/>
      <c r="CJ246" s="985"/>
      <c r="CK246" s="1247"/>
      <c r="CL246" s="864"/>
      <c r="CM246" s="1270">
        <f>+CM242+CG242</f>
        <v>0.09</v>
      </c>
      <c r="CN246" s="1271">
        <f t="shared" ref="CN246" si="373">+CN242+CH242</f>
        <v>0.14000000000000001</v>
      </c>
      <c r="CO246" s="1271">
        <f t="shared" ref="CO246" si="374">+CO242+CI242</f>
        <v>0.12000000000000001</v>
      </c>
      <c r="CP246" s="1271">
        <f t="shared" ref="CP246" si="375">+CP242+CJ242</f>
        <v>0.1</v>
      </c>
      <c r="CQ246" s="903">
        <f t="shared" ref="CQ246" si="376">+CQ242+CK242</f>
        <v>0.11234566688857801</v>
      </c>
      <c r="CR246" s="864"/>
      <c r="CS246" s="1270">
        <f t="shared" ref="CS246" si="377">+CS242+CM242</f>
        <v>0.08</v>
      </c>
      <c r="CT246" s="1271">
        <f t="shared" ref="CT246" si="378">+CT242+CN242</f>
        <v>0.06</v>
      </c>
      <c r="CU246" s="1271">
        <f t="shared" ref="CU246" si="379">+CU242+CO242</f>
        <v>0.04</v>
      </c>
      <c r="CV246" s="1271">
        <f t="shared" ref="CV246" si="380">+CV242+CP242</f>
        <v>0.08</v>
      </c>
      <c r="CW246" s="903">
        <f t="shared" ref="CW246" si="381">+CW242+CQ242</f>
        <v>6.5385600382370845E-2</v>
      </c>
      <c r="CX246" s="864"/>
      <c r="CY246" s="1270">
        <f t="shared" ref="CY246" si="382">+CY242+CS242</f>
        <v>0.06</v>
      </c>
      <c r="CZ246" s="1271">
        <f t="shared" ref="CZ246" si="383">+CZ242+CT242</f>
        <v>6.5000000000000002E-2</v>
      </c>
      <c r="DA246" s="1271">
        <f t="shared" ref="DA246" si="384">+DA242+CU242</f>
        <v>7.0000000000000007E-2</v>
      </c>
      <c r="DB246" s="1271">
        <f t="shared" ref="DB246" si="385">+DB242+CV242</f>
        <v>0.08</v>
      </c>
      <c r="DC246" s="903">
        <f t="shared" ref="DC246" si="386">+DC242+CW242</f>
        <v>6.9181954221413336E-2</v>
      </c>
      <c r="DD246" s="864"/>
      <c r="DE246" s="1270">
        <f t="shared" ref="DE246" si="387">+DE242+CY242</f>
        <v>0.08</v>
      </c>
      <c r="DF246" s="1271">
        <f t="shared" ref="DF246" si="388">+DF242+CZ242</f>
        <v>6.5000000000000002E-2</v>
      </c>
      <c r="DG246" s="1271">
        <f t="shared" ref="DG246" si="389">+DG242+DA242</f>
        <v>0.1</v>
      </c>
      <c r="DH246" s="1271">
        <f t="shared" ref="DH246" si="390">+DH242+DB242</f>
        <v>0.1</v>
      </c>
      <c r="DI246" s="903">
        <f t="shared" ref="DI246" si="391">+DI242+DC242</f>
        <v>8.6272104312151571E-2</v>
      </c>
      <c r="DJ246" s="985"/>
      <c r="DK246" s="1270">
        <f t="shared" ref="DK246" si="392">+DK242+DE242</f>
        <v>7.0000000000000007E-2</v>
      </c>
      <c r="DL246" s="1271">
        <f t="shared" ref="DL246" si="393">+DL242+DF242</f>
        <v>7.0000000000000007E-2</v>
      </c>
      <c r="DM246" s="1271">
        <f t="shared" ref="DM246" si="394">+DM242+DG242</f>
        <v>0.1</v>
      </c>
      <c r="DN246" s="1271">
        <f t="shared" ref="DN246" si="395">+DN242+DH242</f>
        <v>0.1</v>
      </c>
      <c r="DO246" s="903">
        <f t="shared" ref="DO246" si="396">+DO242+DI242</f>
        <v>8.5284674251058845E-2</v>
      </c>
      <c r="DP246" s="985"/>
      <c r="DQ246" s="1270">
        <f t="shared" ref="DQ246" si="397">+DQ242+DK242</f>
        <v>0.08</v>
      </c>
      <c r="DR246" s="1271">
        <f t="shared" ref="DR246" si="398">+DR242+DL242</f>
        <v>0.1</v>
      </c>
      <c r="DS246" s="1271">
        <f t="shared" ref="DS246" si="399">+DS242+DM242</f>
        <v>0.1</v>
      </c>
      <c r="DT246" s="1271">
        <f t="shared" ref="DT246" si="400">+DT242+DN242</f>
        <v>0.1</v>
      </c>
      <c r="DU246" s="903">
        <f t="shared" ref="DU246" si="401">+DU242+DO242</f>
        <v>9.5336013376498635E-2</v>
      </c>
      <c r="DV246" s="985"/>
      <c r="DW246" s="1274"/>
      <c r="DX246" s="1275"/>
      <c r="DY246" s="1275"/>
      <c r="DZ246" s="1275"/>
      <c r="EA246" s="869"/>
      <c r="EB246" s="985"/>
      <c r="EC246" s="1274"/>
      <c r="ED246" s="1275"/>
      <c r="EE246" s="1275"/>
      <c r="EF246" s="1275"/>
      <c r="EG246" s="869"/>
    </row>
    <row r="247" spans="1:137" ht="11.25" customHeight="1" outlineLevel="1" x14ac:dyDescent="0.2">
      <c r="A247" s="51"/>
      <c r="B247" s="14"/>
      <c r="C247" s="14"/>
      <c r="D247" s="14"/>
      <c r="E247" s="93"/>
      <c r="F247" s="71"/>
      <c r="G247" s="93"/>
      <c r="H247" s="71"/>
      <c r="I247" s="93"/>
      <c r="J247" s="71"/>
      <c r="K247" s="93"/>
      <c r="L247" s="71"/>
      <c r="M247" s="84"/>
      <c r="N247" s="71"/>
      <c r="O247" s="71"/>
      <c r="P247" s="71"/>
      <c r="Q247" s="93"/>
      <c r="R247" s="71"/>
      <c r="S247" s="84"/>
      <c r="T247" s="71"/>
      <c r="U247" s="71"/>
      <c r="V247" s="71"/>
      <c r="W247" s="93"/>
      <c r="X247" s="71"/>
      <c r="Y247" s="84"/>
      <c r="Z247" s="71"/>
      <c r="AA247" s="71"/>
      <c r="AB247" s="71"/>
      <c r="AC247" s="93"/>
      <c r="AD247" s="71"/>
      <c r="AE247" s="84"/>
      <c r="AF247" s="71"/>
      <c r="AG247" s="71"/>
      <c r="AH247" s="71"/>
      <c r="AI247" s="93"/>
      <c r="AJ247" s="71"/>
      <c r="AK247" s="84"/>
      <c r="AL247" s="71"/>
      <c r="AM247" s="71"/>
      <c r="AN247" s="71"/>
      <c r="AO247" s="93"/>
      <c r="AP247" s="71"/>
      <c r="AQ247" s="84"/>
      <c r="AR247" s="71"/>
      <c r="AS247" s="71"/>
      <c r="AT247" s="71"/>
      <c r="AU247" s="93"/>
      <c r="AV247" s="71"/>
      <c r="AW247" s="84"/>
      <c r="AX247" s="71"/>
      <c r="AY247" s="71"/>
      <c r="AZ247" s="71"/>
      <c r="BA247" s="93"/>
      <c r="BB247" s="71"/>
      <c r="BC247" s="84"/>
      <c r="BD247" s="71"/>
      <c r="BE247" s="71"/>
      <c r="BF247" s="71"/>
      <c r="BG247" s="93"/>
      <c r="BH247" s="71"/>
      <c r="BI247" s="84"/>
      <c r="BJ247" s="71"/>
      <c r="BK247" s="71"/>
      <c r="BL247" s="71"/>
      <c r="BM247" s="93"/>
      <c r="BN247" s="71"/>
      <c r="BO247" s="1236"/>
      <c r="BP247" s="16"/>
      <c r="BQ247" s="16"/>
      <c r="BR247" s="16"/>
      <c r="BS247" s="548"/>
      <c r="BT247" s="71"/>
      <c r="BU247" s="510"/>
      <c r="BV247" s="509"/>
      <c r="BW247" s="509"/>
      <c r="BX247" s="509"/>
      <c r="BY247" s="47"/>
      <c r="BZ247" s="507"/>
      <c r="CA247" s="510"/>
      <c r="CB247" s="509"/>
      <c r="CC247" s="509"/>
      <c r="CD247" s="509"/>
      <c r="CE247" s="792"/>
      <c r="CF247" s="507"/>
      <c r="CG247" s="510"/>
      <c r="CH247" s="509"/>
      <c r="CI247" s="509"/>
      <c r="CJ247" s="509"/>
      <c r="CK247" s="792"/>
      <c r="CL247" s="507"/>
      <c r="CM247" s="510"/>
      <c r="CN247" s="509"/>
      <c r="CO247" s="509"/>
      <c r="CP247" s="509"/>
      <c r="CQ247" s="792"/>
      <c r="CR247" s="507"/>
      <c r="CS247" s="510"/>
      <c r="CT247" s="509"/>
      <c r="CU247" s="509"/>
      <c r="CV247" s="509"/>
      <c r="CW247" s="508"/>
      <c r="CX247" s="71"/>
      <c r="CY247" s="506"/>
      <c r="CZ247" s="507"/>
      <c r="DA247" s="507"/>
      <c r="DB247" s="507"/>
      <c r="DC247" s="508"/>
      <c r="DD247" s="507"/>
      <c r="DE247" s="506"/>
      <c r="DF247" s="507"/>
      <c r="DG247" s="507"/>
      <c r="DH247" s="898"/>
      <c r="DI247" s="508"/>
      <c r="DJ247" s="509"/>
      <c r="DK247" s="506"/>
      <c r="DL247" s="898"/>
      <c r="DM247" s="898"/>
      <c r="DN247" s="898"/>
      <c r="DO247" s="508"/>
      <c r="DP247" s="509"/>
      <c r="DQ247" s="897"/>
      <c r="DR247" s="898"/>
      <c r="DS247" s="898"/>
      <c r="DT247" s="898"/>
      <c r="DU247" s="508"/>
      <c r="DV247" s="509"/>
      <c r="DW247" s="897"/>
      <c r="DX247" s="898"/>
      <c r="DY247" s="898"/>
      <c r="DZ247" s="898"/>
      <c r="EA247" s="508"/>
      <c r="EB247" s="509"/>
      <c r="EC247" s="897"/>
      <c r="ED247" s="898"/>
      <c r="EE247" s="898"/>
      <c r="EF247" s="898"/>
      <c r="EG247" s="508"/>
    </row>
    <row r="248" spans="1:137" ht="11.25" customHeight="1" outlineLevel="1" x14ac:dyDescent="0.2">
      <c r="A248" s="50" t="s">
        <v>649</v>
      </c>
      <c r="B248" s="14"/>
      <c r="C248" s="14"/>
      <c r="D248" s="14"/>
      <c r="E248" s="93"/>
      <c r="F248" s="71"/>
      <c r="G248" s="93"/>
      <c r="H248" s="71"/>
      <c r="I248" s="93"/>
      <c r="J248" s="71"/>
      <c r="K248" s="93"/>
      <c r="L248" s="71"/>
      <c r="M248" s="84"/>
      <c r="N248" s="71"/>
      <c r="O248" s="71"/>
      <c r="P248" s="71"/>
      <c r="Q248" s="93"/>
      <c r="R248" s="71"/>
      <c r="S248" s="84"/>
      <c r="T248" s="71"/>
      <c r="U248" s="71"/>
      <c r="V248" s="71"/>
      <c r="W248" s="93"/>
      <c r="X248" s="71"/>
      <c r="Y248" s="84"/>
      <c r="Z248" s="71"/>
      <c r="AA248" s="71"/>
      <c r="AB248" s="71"/>
      <c r="AC248" s="93"/>
      <c r="AD248" s="71"/>
      <c r="AE248" s="84"/>
      <c r="AF248" s="71"/>
      <c r="AG248" s="71"/>
      <c r="AH248" s="71"/>
      <c r="AI248" s="93"/>
      <c r="AJ248" s="71"/>
      <c r="AK248" s="84"/>
      <c r="AL248" s="71"/>
      <c r="AM248" s="71"/>
      <c r="AN248" s="71"/>
      <c r="AO248" s="93"/>
      <c r="AP248" s="71"/>
      <c r="AQ248" s="84"/>
      <c r="AR248" s="71"/>
      <c r="AS248" s="71"/>
      <c r="AT248" s="71"/>
      <c r="AU248" s="93"/>
      <c r="AV248" s="71"/>
      <c r="AW248" s="84"/>
      <c r="AX248" s="71"/>
      <c r="AY248" s="71"/>
      <c r="AZ248" s="71"/>
      <c r="BA248" s="93"/>
      <c r="BB248" s="71"/>
      <c r="BC248" s="165">
        <f>+BC269*BC$213*BC271</f>
        <v>120.76053852000001</v>
      </c>
      <c r="BD248" s="164">
        <f>+BD269*BD$213*BD271</f>
        <v>143.16847459199997</v>
      </c>
      <c r="BE248" s="164">
        <f>+BE269*BE$213*BE271</f>
        <v>138.50798057759999</v>
      </c>
      <c r="BF248" s="164">
        <f>+BF269*BF$213*BF271</f>
        <v>136.21908842227199</v>
      </c>
      <c r="BG248" s="163">
        <f>+SUM(BC248:BF248)</f>
        <v>538.65608211187202</v>
      </c>
      <c r="BH248" s="71"/>
      <c r="BI248" s="165">
        <f>+BI269*BI$213*BI271</f>
        <v>94.15</v>
      </c>
      <c r="BJ248" s="164">
        <f>+BJ269*BJ$213*BJ271</f>
        <v>97.125</v>
      </c>
      <c r="BK248" s="164">
        <f>+BK269*BK$213*BK271</f>
        <v>100.72499999999999</v>
      </c>
      <c r="BL248" s="164">
        <f>+BL269*BL$213*BL271</f>
        <v>122.25</v>
      </c>
      <c r="BM248" s="163">
        <f>+SUM(BI248:BL248)</f>
        <v>414.25</v>
      </c>
      <c r="BN248" s="71"/>
      <c r="BO248" s="165">
        <f>+BO269*BO$213*BO271</f>
        <v>107.95</v>
      </c>
      <c r="BP248" s="164">
        <f>+BP269*BP$213*BP271</f>
        <v>107.075</v>
      </c>
      <c r="BQ248" s="164">
        <f>+BQ269*BQ$213*BQ271</f>
        <v>110.75</v>
      </c>
      <c r="BR248" s="164">
        <f>+BR269*BR$213*BR271</f>
        <v>130.375</v>
      </c>
      <c r="BS248" s="163">
        <f t="shared" ref="BS248" si="402">+SUM(BO248:BR248)</f>
        <v>456.15</v>
      </c>
      <c r="BT248" s="71"/>
      <c r="BU248" s="913">
        <f>+BU269*BU$213*BU271</f>
        <v>115.875</v>
      </c>
      <c r="BV248" s="858">
        <f>+BV269*BV$213*BV271</f>
        <v>126.175</v>
      </c>
      <c r="BW248" s="858">
        <f>+BW269*BW$213*BW271</f>
        <v>123.15</v>
      </c>
      <c r="BX248" s="858">
        <f>+BX269*BX$213*BX271</f>
        <v>137.59999999999997</v>
      </c>
      <c r="BY248" s="990">
        <f t="shared" ref="BY248" si="403">+SUM(BU248:BX248)</f>
        <v>502.8</v>
      </c>
      <c r="BZ248" s="1249"/>
      <c r="CA248" s="913">
        <f>+CA269*CA$213*CA271</f>
        <v>116.175</v>
      </c>
      <c r="CB248" s="858">
        <f>+CB269*CB$213*CB271</f>
        <v>124.7</v>
      </c>
      <c r="CC248" s="858">
        <f>+CC269*CC$213*CC271</f>
        <v>122.22499999999999</v>
      </c>
      <c r="CD248" s="858">
        <f>+CD269*CD$213*CD271</f>
        <v>142.625</v>
      </c>
      <c r="CE248" s="990">
        <f t="shared" ref="CE248" si="404">+SUM(CA248:CD248)</f>
        <v>505.72500000000002</v>
      </c>
      <c r="CF248" s="1249"/>
      <c r="CG248" s="913">
        <f>+CG269*CG$213*CG271</f>
        <v>119.95</v>
      </c>
      <c r="CH248" s="858">
        <f>+CH269*CH$213*CH271</f>
        <v>128.67500000000001</v>
      </c>
      <c r="CI248" s="858">
        <f>+CI269*CI$213*CI271</f>
        <v>127.55</v>
      </c>
      <c r="CJ248" s="858">
        <f>+CJ269*CJ$213*CJ271</f>
        <v>147.55000000000001</v>
      </c>
      <c r="CK248" s="990">
        <f t="shared" ref="CK248" si="405">+SUM(CG248:CJ248)</f>
        <v>523.72500000000002</v>
      </c>
      <c r="CL248" s="1249"/>
      <c r="CM248" s="913">
        <f>+CM269*CM$213*CM271</f>
        <v>127.425</v>
      </c>
      <c r="CN248" s="858">
        <f>+CN269*CN$213*CN271</f>
        <v>132.02500000000001</v>
      </c>
      <c r="CO248" s="858">
        <f>+CO269*CO$213*CO271</f>
        <v>132.1</v>
      </c>
      <c r="CP248" s="858">
        <f>+CP269*CP$213*CP271</f>
        <v>135.82833333333335</v>
      </c>
      <c r="CQ248" s="990">
        <f t="shared" ref="CQ248" si="406">+SUM(CM248:CP248)</f>
        <v>527.37833333333333</v>
      </c>
      <c r="CR248" s="71"/>
      <c r="CS248" s="165">
        <f>+CS269*CS$213*CS271</f>
        <v>143.51999999999998</v>
      </c>
      <c r="CT248" s="164">
        <f>+CT269*CT$213*CT271</f>
        <v>152.79999999999998</v>
      </c>
      <c r="CU248" s="164">
        <f>+CU269*CU$213*CU271</f>
        <v>148.55666666666664</v>
      </c>
      <c r="CV248" s="164">
        <f>+CV269*CV$213*CV271</f>
        <v>171.40666666666667</v>
      </c>
      <c r="CW248" s="163">
        <f t="shared" ref="CW248" si="407">+SUM(CS248:CV248)</f>
        <v>616.28333333333319</v>
      </c>
      <c r="CX248" s="71"/>
      <c r="CY248" s="165">
        <f>+CY269*CY$213*CY271</f>
        <v>153.04333333333329</v>
      </c>
      <c r="CZ248" s="164">
        <f>+CZ269*CZ$213*CZ271</f>
        <v>166.73999999999998</v>
      </c>
      <c r="DA248" s="164">
        <f>+DA269*DA$213*DA271</f>
        <v>157.63999999999999</v>
      </c>
      <c r="DB248" s="164">
        <f>+DB269*DB$213*DB271</f>
        <v>172.50333333333333</v>
      </c>
      <c r="DC248" s="163">
        <f t="shared" ref="DC248" si="408">+SUM(CY248:DB248)</f>
        <v>649.92666666666662</v>
      </c>
      <c r="DD248" s="507"/>
      <c r="DE248" s="165">
        <f>+DE269*DE$213*DE271</f>
        <v>152.94999999999999</v>
      </c>
      <c r="DF248" s="164">
        <f>+DF269*DF$213*DF271</f>
        <v>163.94</v>
      </c>
      <c r="DG248" s="164">
        <f>+DG269*DG$213*DG271</f>
        <v>161.93333333333331</v>
      </c>
      <c r="DH248" s="164">
        <f>+DH269*DH$213*DH271</f>
        <v>177.05333333333331</v>
      </c>
      <c r="DI248" s="163">
        <f t="shared" ref="DI248" si="409">+SUM(DE248:DH248)</f>
        <v>655.87666666666655</v>
      </c>
      <c r="DJ248" s="509"/>
      <c r="DK248" s="165">
        <f>+DK269*DK$213*DK271</f>
        <v>156.94</v>
      </c>
      <c r="DL248" s="898"/>
      <c r="DM248" s="898"/>
      <c r="DN248" s="898"/>
      <c r="DO248" s="508"/>
      <c r="DP248" s="509"/>
      <c r="DQ248" s="897"/>
      <c r="DR248" s="898"/>
      <c r="DS248" s="898"/>
      <c r="DT248" s="898"/>
      <c r="DU248" s="508"/>
      <c r="DV248" s="509"/>
      <c r="DW248" s="897"/>
      <c r="DX248" s="898"/>
      <c r="DY248" s="898"/>
      <c r="DZ248" s="898"/>
      <c r="EA248" s="508"/>
      <c r="EB248" s="509"/>
      <c r="EC248" s="897"/>
      <c r="ED248" s="898"/>
      <c r="EE248" s="898"/>
      <c r="EF248" s="898"/>
      <c r="EG248" s="508"/>
    </row>
    <row r="249" spans="1:137" ht="11.25" customHeight="1" outlineLevel="1" x14ac:dyDescent="0.2">
      <c r="A249" s="538" t="s">
        <v>619</v>
      </c>
      <c r="B249" s="14"/>
      <c r="C249" s="14"/>
      <c r="D249" s="14"/>
      <c r="E249" s="93"/>
      <c r="F249" s="71"/>
      <c r="G249" s="93"/>
      <c r="H249" s="71"/>
      <c r="I249" s="93"/>
      <c r="J249" s="71"/>
      <c r="K249" s="93"/>
      <c r="L249" s="71"/>
      <c r="M249" s="84"/>
      <c r="N249" s="71"/>
      <c r="O249" s="71"/>
      <c r="P249" s="71"/>
      <c r="Q249" s="93"/>
      <c r="R249" s="71"/>
      <c r="S249" s="84"/>
      <c r="T249" s="71"/>
      <c r="U249" s="71"/>
      <c r="V249" s="71"/>
      <c r="W249" s="93"/>
      <c r="X249" s="71"/>
      <c r="Y249" s="84"/>
      <c r="Z249" s="71"/>
      <c r="AA249" s="71"/>
      <c r="AB249" s="71"/>
      <c r="AC249" s="93"/>
      <c r="AD249" s="71"/>
      <c r="AE249" s="84"/>
      <c r="AF249" s="71"/>
      <c r="AG249" s="71"/>
      <c r="AH249" s="71"/>
      <c r="AI249" s="93"/>
      <c r="AJ249" s="71"/>
      <c r="AK249" s="84"/>
      <c r="AL249" s="71"/>
      <c r="AM249" s="71"/>
      <c r="AN249" s="71"/>
      <c r="AO249" s="93"/>
      <c r="AP249" s="71"/>
      <c r="AQ249" s="84"/>
      <c r="AR249" s="71"/>
      <c r="AS249" s="71"/>
      <c r="AT249" s="71"/>
      <c r="AU249" s="93"/>
      <c r="AV249" s="71"/>
      <c r="AW249" s="84"/>
      <c r="AX249" s="71"/>
      <c r="AY249" s="71"/>
      <c r="AZ249" s="71"/>
      <c r="BA249" s="93"/>
      <c r="BB249" s="71"/>
      <c r="BC249" s="84"/>
      <c r="BD249" s="71"/>
      <c r="BE249" s="71"/>
      <c r="BF249" s="71"/>
      <c r="BG249" s="540"/>
      <c r="BH249" s="71"/>
      <c r="BI249" s="84"/>
      <c r="BJ249" s="71"/>
      <c r="BK249" s="71"/>
      <c r="BL249" s="71"/>
      <c r="BM249" s="540"/>
      <c r="BN249" s="71"/>
      <c r="BO249" s="1237"/>
      <c r="BP249" s="1238"/>
      <c r="BQ249" s="1238"/>
      <c r="BR249" s="1238"/>
      <c r="BS249" s="540"/>
      <c r="BT249" s="71"/>
      <c r="BU249" s="510"/>
      <c r="BV249" s="509"/>
      <c r="BW249" s="509"/>
      <c r="BX249" s="509"/>
      <c r="BY249" s="47"/>
      <c r="BZ249" s="507"/>
      <c r="CA249" s="510"/>
      <c r="CB249" s="509"/>
      <c r="CC249" s="509"/>
      <c r="CD249" s="509"/>
      <c r="CE249" s="792"/>
      <c r="CF249" s="507"/>
      <c r="CG249" s="510"/>
      <c r="CH249" s="509"/>
      <c r="CI249" s="509"/>
      <c r="CJ249" s="509"/>
      <c r="CK249" s="792"/>
      <c r="CL249" s="507"/>
      <c r="CM249" s="510"/>
      <c r="CN249" s="509"/>
      <c r="CO249" s="509"/>
      <c r="CP249" s="509"/>
      <c r="CQ249" s="792"/>
      <c r="CR249" s="507"/>
      <c r="CS249" s="510"/>
      <c r="CT249" s="509"/>
      <c r="CU249" s="509"/>
      <c r="CV249" s="509"/>
      <c r="CW249" s="508"/>
      <c r="CX249" s="71"/>
      <c r="CY249" s="506"/>
      <c r="CZ249" s="507"/>
      <c r="DA249" s="507"/>
      <c r="DB249" s="507"/>
      <c r="DC249" s="508"/>
      <c r="DD249" s="507"/>
      <c r="DE249" s="165"/>
      <c r="DF249" s="164"/>
      <c r="DG249" s="164"/>
      <c r="DH249" s="898"/>
      <c r="DI249" s="508"/>
      <c r="DJ249" s="509"/>
      <c r="DK249" s="897"/>
      <c r="DL249" s="898"/>
      <c r="DM249" s="898"/>
      <c r="DN249" s="898"/>
      <c r="DO249" s="508"/>
      <c r="DP249" s="509"/>
      <c r="DQ249" s="897"/>
      <c r="DR249" s="898"/>
      <c r="DS249" s="898"/>
      <c r="DT249" s="898"/>
      <c r="DU249" s="508"/>
      <c r="DV249" s="509"/>
      <c r="DW249" s="897"/>
      <c r="DX249" s="898"/>
      <c r="DY249" s="898"/>
      <c r="DZ249" s="898"/>
      <c r="EA249" s="508"/>
      <c r="EB249" s="509"/>
      <c r="EC249" s="897"/>
      <c r="ED249" s="898"/>
      <c r="EE249" s="898"/>
      <c r="EF249" s="898"/>
      <c r="EG249" s="508"/>
    </row>
    <row r="250" spans="1:137" ht="11.25" customHeight="1" outlineLevel="1" x14ac:dyDescent="0.2">
      <c r="A250" s="538" t="s">
        <v>620</v>
      </c>
      <c r="B250" s="14"/>
      <c r="C250" s="14"/>
      <c r="D250" s="14"/>
      <c r="E250" s="93"/>
      <c r="F250" s="71"/>
      <c r="G250" s="93"/>
      <c r="H250" s="71"/>
      <c r="I250" s="93"/>
      <c r="J250" s="71"/>
      <c r="K250" s="93"/>
      <c r="L250" s="71"/>
      <c r="M250" s="84"/>
      <c r="N250" s="71"/>
      <c r="O250" s="71"/>
      <c r="P250" s="71"/>
      <c r="Q250" s="93"/>
      <c r="R250" s="71"/>
      <c r="S250" s="84"/>
      <c r="T250" s="71"/>
      <c r="U250" s="71"/>
      <c r="V250" s="71"/>
      <c r="W250" s="93"/>
      <c r="X250" s="71"/>
      <c r="Y250" s="84"/>
      <c r="Z250" s="71"/>
      <c r="AA250" s="71"/>
      <c r="AB250" s="71"/>
      <c r="AC250" s="93"/>
      <c r="AD250" s="71"/>
      <c r="AE250" s="84"/>
      <c r="AF250" s="71"/>
      <c r="AG250" s="71"/>
      <c r="AH250" s="71"/>
      <c r="AI250" s="93"/>
      <c r="AJ250" s="71"/>
      <c r="AK250" s="84"/>
      <c r="AL250" s="71"/>
      <c r="AM250" s="71"/>
      <c r="AN250" s="71"/>
      <c r="AO250" s="93"/>
      <c r="AP250" s="71"/>
      <c r="AQ250" s="84"/>
      <c r="AR250" s="71"/>
      <c r="AS250" s="71"/>
      <c r="AT250" s="71"/>
      <c r="AU250" s="93"/>
      <c r="AV250" s="71"/>
      <c r="AW250" s="84"/>
      <c r="AX250" s="71"/>
      <c r="AY250" s="71"/>
      <c r="AZ250" s="71"/>
      <c r="BA250" s="93"/>
      <c r="BB250" s="71"/>
      <c r="BC250" s="778">
        <v>0</v>
      </c>
      <c r="BD250" s="779">
        <v>0.05</v>
      </c>
      <c r="BE250" s="779">
        <v>0.05</v>
      </c>
      <c r="BF250" s="1202">
        <v>0.04</v>
      </c>
      <c r="BG250" s="540">
        <f>SUMPRODUCT(BC250:BF250,AW$213:AZ$213)/BA$213</f>
        <v>3.5966729062886803E-2</v>
      </c>
      <c r="BH250" s="71"/>
      <c r="BI250" s="1229">
        <v>0.02</v>
      </c>
      <c r="BJ250" s="1202">
        <v>-0.02</v>
      </c>
      <c r="BK250" s="779">
        <v>-0.05</v>
      </c>
      <c r="BL250" s="1202">
        <v>-7.0000000000000007E-2</v>
      </c>
      <c r="BM250" s="540">
        <f>SUMPRODUCT(BI250:BL250,BC$213:BF$213)/BG$213</f>
        <v>-3.1390890219944234E-2</v>
      </c>
      <c r="BN250" s="71"/>
      <c r="BO250" s="1244">
        <v>-0.02</v>
      </c>
      <c r="BP250" s="1238">
        <v>-7.0000000000000007E-2</v>
      </c>
      <c r="BQ250" s="1238">
        <v>-0.02</v>
      </c>
      <c r="BR250" s="1238">
        <v>0.04</v>
      </c>
      <c r="BS250" s="540">
        <f>SUMPRODUCT(BO250:BR250,BI$213:BL$213)/BM$213</f>
        <v>-1.4016294508147257E-2</v>
      </c>
      <c r="BT250" s="71"/>
      <c r="BU250" s="1254">
        <v>0.05</v>
      </c>
      <c r="BV250" s="1251">
        <v>0.15</v>
      </c>
      <c r="BW250" s="1251">
        <v>0.05</v>
      </c>
      <c r="BX250" s="1252">
        <v>0.05</v>
      </c>
      <c r="BY250" s="1255">
        <f>SUMPRODUCT(BU250:BX250,BO$213:BR$213)/BS$213</f>
        <v>7.3473638057656471E-2</v>
      </c>
      <c r="BZ250" s="507"/>
      <c r="CA250" s="1254">
        <v>-0.01</v>
      </c>
      <c r="CB250" s="1252">
        <v>0.06</v>
      </c>
      <c r="CC250" s="1252">
        <v>0.02</v>
      </c>
      <c r="CD250" s="1252">
        <v>0.05</v>
      </c>
      <c r="CE250" s="1255">
        <f>SUMPRODUCT(CA250:CD250,BU$213:BX$213)/BY$213</f>
        <v>3.1334029435163079E-2</v>
      </c>
      <c r="CF250" s="347" t="s">
        <v>108</v>
      </c>
      <c r="CG250" s="1254">
        <v>0.01</v>
      </c>
      <c r="CH250" s="1252">
        <v>0.01</v>
      </c>
      <c r="CI250" s="1252">
        <v>0.01</v>
      </c>
      <c r="CJ250" s="1252">
        <v>-0.01</v>
      </c>
      <c r="CK250" s="1255">
        <f>SUMPRODUCT(CG250:CJ250,CA$213:CD$213)/CE$213</f>
        <v>4.3595827772010482E-3</v>
      </c>
      <c r="CL250" s="347"/>
      <c r="CM250" s="1250">
        <v>0.06</v>
      </c>
      <c r="CN250" s="1252">
        <v>0</v>
      </c>
      <c r="CO250" s="1252">
        <v>-0.01</v>
      </c>
      <c r="CP250" s="1252">
        <v>-0.02</v>
      </c>
      <c r="CQ250" s="1255">
        <f>SUMPRODUCT(CM250:CP250,CG$213:CJ$213)/CK$213</f>
        <v>5.6718697789870636E-3</v>
      </c>
      <c r="CR250" s="347"/>
      <c r="CS250" s="1254">
        <v>-0.02</v>
      </c>
      <c r="CT250" s="1252">
        <v>0.01</v>
      </c>
      <c r="CU250" s="1252">
        <v>0</v>
      </c>
      <c r="CV250" s="1252">
        <v>0.01</v>
      </c>
      <c r="CW250" s="1255">
        <f>SUMPRODUCT(CS250:CV250,CM$213:CP$213)/CQ$213</f>
        <v>6.1830285896675974E-4</v>
      </c>
      <c r="CX250" s="347"/>
      <c r="CY250" s="880">
        <v>0.01</v>
      </c>
      <c r="CZ250" s="1268">
        <v>0.02</v>
      </c>
      <c r="DA250" s="881">
        <v>-0.01</v>
      </c>
      <c r="DB250" s="881">
        <v>-7.0000000000000007E-2</v>
      </c>
      <c r="DC250" s="1255">
        <f>SUMPRODUCT(CY250:DB250,CS$213:CV$213)/CW$213</f>
        <v>-1.3726980415083313E-2</v>
      </c>
      <c r="DD250" s="347"/>
      <c r="DE250" s="880">
        <v>-0.08</v>
      </c>
      <c r="DF250" s="881">
        <v>-0.1</v>
      </c>
      <c r="DG250" s="881">
        <v>-0.09</v>
      </c>
      <c r="DH250" s="1252">
        <v>-0.04</v>
      </c>
      <c r="DI250" s="47">
        <f>SUMPRODUCT(DE250:DH250,CY$213:DB$213)/DC$213</f>
        <v>-7.6939757305952483E-2</v>
      </c>
      <c r="DJ250" s="509"/>
      <c r="DK250" s="880">
        <v>-0.02</v>
      </c>
      <c r="DL250" s="937">
        <v>0.01</v>
      </c>
      <c r="DM250" s="937">
        <v>0.02</v>
      </c>
      <c r="DN250" s="1281">
        <v>0</v>
      </c>
      <c r="DO250" s="47">
        <f>SUMPRODUCT(DK250:DN250,DE$213:DH$213)/DI$213</f>
        <v>2.7734889181400984E-3</v>
      </c>
      <c r="DP250" s="509"/>
      <c r="DQ250" s="936">
        <v>0.02</v>
      </c>
      <c r="DR250" s="937">
        <v>0</v>
      </c>
      <c r="DS250" s="937">
        <v>0</v>
      </c>
      <c r="DT250" s="1281">
        <v>0.02</v>
      </c>
      <c r="DU250" s="47">
        <f>SUMPRODUCT(DQ250:DT250,DK$213:DN$213)/DO$213</f>
        <v>1.011634035011106E-2</v>
      </c>
      <c r="DV250" s="509"/>
      <c r="DW250" s="897"/>
      <c r="DX250" s="898"/>
      <c r="DY250" s="898"/>
      <c r="DZ250" s="898"/>
      <c r="EA250" s="508"/>
      <c r="EB250" s="509"/>
      <c r="EC250" s="897"/>
      <c r="ED250" s="898"/>
      <c r="EE250" s="898"/>
      <c r="EF250" s="898"/>
      <c r="EG250" s="508"/>
    </row>
    <row r="251" spans="1:137" ht="11.25" customHeight="1" outlineLevel="1" x14ac:dyDescent="0.2">
      <c r="A251" s="538" t="s">
        <v>504</v>
      </c>
      <c r="B251" s="14"/>
      <c r="C251" s="14"/>
      <c r="D251" s="14"/>
      <c r="E251" s="93"/>
      <c r="F251" s="71"/>
      <c r="G251" s="93"/>
      <c r="H251" s="71"/>
      <c r="I251" s="93"/>
      <c r="J251" s="71"/>
      <c r="K251" s="93"/>
      <c r="L251" s="71"/>
      <c r="M251" s="84"/>
      <c r="N251" s="71"/>
      <c r="O251" s="71"/>
      <c r="P251" s="71"/>
      <c r="Q251" s="93"/>
      <c r="R251" s="71"/>
      <c r="S251" s="84"/>
      <c r="T251" s="71"/>
      <c r="U251" s="71"/>
      <c r="V251" s="71"/>
      <c r="W251" s="93"/>
      <c r="X251" s="71"/>
      <c r="Y251" s="84"/>
      <c r="Z251" s="71"/>
      <c r="AA251" s="71"/>
      <c r="AB251" s="71"/>
      <c r="AC251" s="93"/>
      <c r="AD251" s="71"/>
      <c r="AE251" s="84"/>
      <c r="AF251" s="71"/>
      <c r="AG251" s="71"/>
      <c r="AH251" s="71"/>
      <c r="AI251" s="93"/>
      <c r="AJ251" s="71"/>
      <c r="AK251" s="84"/>
      <c r="AL251" s="71"/>
      <c r="AM251" s="71"/>
      <c r="AN251" s="71"/>
      <c r="AO251" s="93"/>
      <c r="AP251" s="71"/>
      <c r="AQ251" s="84"/>
      <c r="AR251" s="71"/>
      <c r="AS251" s="71"/>
      <c r="AT251" s="71"/>
      <c r="AU251" s="93"/>
      <c r="AV251" s="71"/>
      <c r="AW251" s="84"/>
      <c r="AX251" s="71"/>
      <c r="AY251" s="71"/>
      <c r="AZ251" s="71"/>
      <c r="BA251" s="93"/>
      <c r="BB251" s="71"/>
      <c r="BC251" s="84"/>
      <c r="BD251" s="71"/>
      <c r="BE251" s="71"/>
      <c r="BF251" s="71"/>
      <c r="BG251" s="540">
        <f>SUMPRODUCT(BC251:BF251,AW$213:AZ$213)/BA$213</f>
        <v>0</v>
      </c>
      <c r="BH251" s="71"/>
      <c r="BI251" s="84"/>
      <c r="BJ251" s="71"/>
      <c r="BK251" s="71"/>
      <c r="BL251" s="71"/>
      <c r="BM251" s="540">
        <f>SUMPRODUCT(BI251:BL251,BC$213:BF$213)/BG$213</f>
        <v>0</v>
      </c>
      <c r="BN251" s="71"/>
      <c r="BO251" s="1236"/>
      <c r="BP251" s="16"/>
      <c r="BQ251" s="16"/>
      <c r="BR251" s="16"/>
      <c r="BS251" s="540">
        <f>SUMPRODUCT(BO251:BR251,BI$213:BL$213)/BM$213</f>
        <v>0</v>
      </c>
      <c r="BT251" s="71"/>
      <c r="BU251" s="510"/>
      <c r="BV251" s="509"/>
      <c r="BW251" s="509"/>
      <c r="BX251" s="509"/>
      <c r="BY251" s="47">
        <f>SUMPRODUCT(BU251:BX251,BO$213:BR$213)/BS$213</f>
        <v>0</v>
      </c>
      <c r="BZ251" s="507"/>
      <c r="CA251" s="510"/>
      <c r="CB251" s="509"/>
      <c r="CC251" s="509"/>
      <c r="CD251" s="509"/>
      <c r="CE251" s="792">
        <f>SUMPRODUCT(CA251:CD251,BU$213:BX$213)/BY$213</f>
        <v>0</v>
      </c>
      <c r="CF251" s="507"/>
      <c r="CG251" s="510"/>
      <c r="CH251" s="509"/>
      <c r="CI251" s="509"/>
      <c r="CJ251" s="509"/>
      <c r="CK251" s="792">
        <f>SUMPRODUCT(CG251:CJ251,CA$213:CD$213)/CE$213</f>
        <v>0</v>
      </c>
      <c r="CL251" s="507"/>
      <c r="CM251" s="510"/>
      <c r="CN251" s="509"/>
      <c r="CO251" s="509"/>
      <c r="CP251" s="509"/>
      <c r="CQ251" s="792">
        <f>SUMPRODUCT(CM251:CP251,CG$213:CJ$213)/CK$213</f>
        <v>0</v>
      </c>
      <c r="CR251" s="507"/>
      <c r="CS251" s="510"/>
      <c r="CT251" s="509"/>
      <c r="CU251" s="509"/>
      <c r="CV251" s="509"/>
      <c r="CW251" s="508"/>
      <c r="CX251" s="71"/>
      <c r="CY251" s="506"/>
      <c r="CZ251" s="507"/>
      <c r="DA251" s="507"/>
      <c r="DB251" s="1299"/>
      <c r="DC251" s="508"/>
      <c r="DD251" s="507"/>
      <c r="DE251" s="1300"/>
      <c r="DF251" s="1299"/>
      <c r="DG251" s="1299"/>
      <c r="DH251" s="898"/>
      <c r="DI251" s="508"/>
      <c r="DJ251" s="509"/>
      <c r="DK251" s="1300"/>
      <c r="DL251" s="898"/>
      <c r="DM251" s="898"/>
      <c r="DN251" s="898"/>
      <c r="DO251" s="508"/>
      <c r="DP251" s="509"/>
      <c r="DQ251" s="897"/>
      <c r="DR251" s="898"/>
      <c r="DS251" s="898"/>
      <c r="DT251" s="898"/>
      <c r="DU251" s="508"/>
      <c r="DV251" s="509"/>
      <c r="DW251" s="897"/>
      <c r="DX251" s="898"/>
      <c r="DY251" s="898"/>
      <c r="DZ251" s="898"/>
      <c r="EA251" s="508"/>
      <c r="EB251" s="509"/>
      <c r="EC251" s="897"/>
      <c r="ED251" s="898"/>
      <c r="EE251" s="898"/>
      <c r="EF251" s="898"/>
      <c r="EG251" s="508"/>
    </row>
    <row r="252" spans="1:137" ht="11.25" customHeight="1" outlineLevel="1" x14ac:dyDescent="0.2">
      <c r="A252" s="538" t="s">
        <v>379</v>
      </c>
      <c r="B252" s="14"/>
      <c r="C252" s="14"/>
      <c r="D252" s="14"/>
      <c r="E252" s="93"/>
      <c r="F252" s="71"/>
      <c r="G252" s="93"/>
      <c r="H252" s="71"/>
      <c r="I252" s="93"/>
      <c r="J252" s="71"/>
      <c r="K252" s="93"/>
      <c r="L252" s="71"/>
      <c r="M252" s="84"/>
      <c r="N252" s="71"/>
      <c r="O252" s="71"/>
      <c r="P252" s="71"/>
      <c r="Q252" s="93"/>
      <c r="R252" s="71"/>
      <c r="S252" s="84"/>
      <c r="T252" s="71"/>
      <c r="U252" s="71"/>
      <c r="V252" s="71"/>
      <c r="W252" s="93"/>
      <c r="X252" s="71"/>
      <c r="Y252" s="84"/>
      <c r="Z252" s="71"/>
      <c r="AA252" s="71"/>
      <c r="AB252" s="71"/>
      <c r="AC252" s="93"/>
      <c r="AD252" s="71"/>
      <c r="AE252" s="84"/>
      <c r="AF252" s="71"/>
      <c r="AG252" s="71"/>
      <c r="AH252" s="71"/>
      <c r="AI252" s="93"/>
      <c r="AJ252" s="71"/>
      <c r="AK252" s="84"/>
      <c r="AL252" s="71"/>
      <c r="AM252" s="71"/>
      <c r="AN252" s="71"/>
      <c r="AO252" s="93"/>
      <c r="AP252" s="71"/>
      <c r="AQ252" s="84"/>
      <c r="AR252" s="71"/>
      <c r="AS252" s="71"/>
      <c r="AT252" s="71"/>
      <c r="AU252" s="93"/>
      <c r="AV252" s="71"/>
      <c r="AW252" s="84"/>
      <c r="AX252" s="71"/>
      <c r="AY252" s="71"/>
      <c r="AZ252" s="71"/>
      <c r="BA252" s="93"/>
      <c r="BB252" s="71"/>
      <c r="BC252" s="84"/>
      <c r="BD252" s="71"/>
      <c r="BE252" s="71"/>
      <c r="BF252" s="71"/>
      <c r="BG252" s="540">
        <f>SUMPRODUCT(BC252:BF252,AW$213:AZ$213)/BA$213</f>
        <v>0</v>
      </c>
      <c r="BH252" s="71"/>
      <c r="BI252" s="84"/>
      <c r="BJ252" s="71"/>
      <c r="BK252" s="71"/>
      <c r="BL252" s="71"/>
      <c r="BM252" s="540">
        <f>SUMPRODUCT(BI252:BL252,BC$213:BF$213)/BG$213</f>
        <v>0</v>
      </c>
      <c r="BN252" s="71"/>
      <c r="BO252" s="1236"/>
      <c r="BP252" s="16"/>
      <c r="BQ252" s="16"/>
      <c r="BR252" s="16"/>
      <c r="BS252" s="540">
        <f>SUMPRODUCT(BO252:BR252,BI$213:BL$213)/BM$213</f>
        <v>0</v>
      </c>
      <c r="BT252" s="71"/>
      <c r="BU252" s="510"/>
      <c r="BV252" s="509"/>
      <c r="BW252" s="509"/>
      <c r="BX252" s="509"/>
      <c r="BY252" s="47">
        <f>SUMPRODUCT(BU252:BX252,BO$213:BR$213)/BS$213</f>
        <v>0</v>
      </c>
      <c r="BZ252" s="507"/>
      <c r="CA252" s="510"/>
      <c r="CB252" s="509"/>
      <c r="CC252" s="509"/>
      <c r="CD252" s="509"/>
      <c r="CE252" s="792">
        <f>SUMPRODUCT(CA252:CD252,BU$213:BX$213)/BY$213</f>
        <v>0</v>
      </c>
      <c r="CF252" s="507"/>
      <c r="CG252" s="510"/>
      <c r="CH252" s="509"/>
      <c r="CI252" s="509"/>
      <c r="CJ252" s="509"/>
      <c r="CK252" s="792">
        <f>SUMPRODUCT(CG252:CJ252,CA$213:CD$213)/CE$213</f>
        <v>0</v>
      </c>
      <c r="CL252" s="507"/>
      <c r="CM252" s="510"/>
      <c r="CN252" s="509"/>
      <c r="CO252" s="509"/>
      <c r="CP252" s="509"/>
      <c r="CQ252" s="792">
        <f>SUMPRODUCT(CM252:CP252,CG$213:CJ$213)/CK$213</f>
        <v>0</v>
      </c>
      <c r="CR252" s="507"/>
      <c r="CS252" s="510"/>
      <c r="CT252" s="509"/>
      <c r="CU252" s="509"/>
      <c r="CV252" s="509"/>
      <c r="CW252" s="508"/>
      <c r="CX252" s="71"/>
      <c r="CY252" s="506"/>
      <c r="CZ252" s="507"/>
      <c r="DA252" s="507"/>
      <c r="DB252" s="507"/>
      <c r="DC252" s="508"/>
      <c r="DD252" s="507"/>
      <c r="DE252" s="506"/>
      <c r="DF252" s="507"/>
      <c r="DG252" s="507"/>
      <c r="DH252" s="898"/>
      <c r="DI252" s="508"/>
      <c r="DJ252" s="509"/>
      <c r="DK252" s="506"/>
      <c r="DL252" s="898"/>
      <c r="DM252" s="898"/>
      <c r="DN252" s="898"/>
      <c r="DO252" s="508"/>
      <c r="DP252" s="509"/>
      <c r="DQ252" s="897"/>
      <c r="DR252" s="898"/>
      <c r="DS252" s="898"/>
      <c r="DT252" s="898"/>
      <c r="DU252" s="508"/>
      <c r="DV252" s="509"/>
      <c r="DW252" s="897"/>
      <c r="DX252" s="898"/>
      <c r="DY252" s="898"/>
      <c r="DZ252" s="898"/>
      <c r="EA252" s="508"/>
      <c r="EB252" s="509"/>
      <c r="EC252" s="897"/>
      <c r="ED252" s="898"/>
      <c r="EE252" s="898"/>
      <c r="EF252" s="898"/>
      <c r="EG252" s="508"/>
    </row>
    <row r="253" spans="1:137" ht="11.25" customHeight="1" outlineLevel="1" x14ac:dyDescent="0.2">
      <c r="A253" s="538" t="s">
        <v>503</v>
      </c>
      <c r="B253" s="14"/>
      <c r="C253" s="14"/>
      <c r="D253" s="14"/>
      <c r="E253" s="93"/>
      <c r="F253" s="71"/>
      <c r="G253" s="93"/>
      <c r="H253" s="71"/>
      <c r="I253" s="93"/>
      <c r="J253" s="71"/>
      <c r="K253" s="93"/>
      <c r="L253" s="71"/>
      <c r="M253" s="84"/>
      <c r="N253" s="71"/>
      <c r="O253" s="71"/>
      <c r="P253" s="71"/>
      <c r="Q253" s="93"/>
      <c r="R253" s="71"/>
      <c r="S253" s="84"/>
      <c r="T253" s="71"/>
      <c r="U253" s="71"/>
      <c r="V253" s="71"/>
      <c r="W253" s="93"/>
      <c r="X253" s="71"/>
      <c r="Y253" s="84"/>
      <c r="Z253" s="71"/>
      <c r="AA253" s="71"/>
      <c r="AB253" s="71"/>
      <c r="AC253" s="93"/>
      <c r="AD253" s="71"/>
      <c r="AE253" s="84"/>
      <c r="AF253" s="71"/>
      <c r="AG253" s="71"/>
      <c r="AH253" s="71"/>
      <c r="AI253" s="93"/>
      <c r="AJ253" s="71"/>
      <c r="AK253" s="84"/>
      <c r="AL253" s="71"/>
      <c r="AM253" s="71"/>
      <c r="AN253" s="71"/>
      <c r="AO253" s="93"/>
      <c r="AP253" s="71"/>
      <c r="AQ253" s="84"/>
      <c r="AR253" s="71"/>
      <c r="AS253" s="71"/>
      <c r="AT253" s="71"/>
      <c r="AU253" s="93"/>
      <c r="AV253" s="71"/>
      <c r="AW253" s="84"/>
      <c r="AX253" s="71"/>
      <c r="AY253" s="71"/>
      <c r="AZ253" s="71"/>
      <c r="BA253" s="93"/>
      <c r="BB253" s="71"/>
      <c r="BC253" s="84"/>
      <c r="BD253" s="71"/>
      <c r="BE253" s="71"/>
      <c r="BF253" s="71"/>
      <c r="BG253" s="540" t="str">
        <f>IF(ISERROR(BG248/BA248-1),"-",BG248/BA248-1)</f>
        <v>-</v>
      </c>
      <c r="BH253" s="71"/>
      <c r="BI253" s="84"/>
      <c r="BJ253" s="71"/>
      <c r="BK253" s="71"/>
      <c r="BL253" s="71"/>
      <c r="BM253" s="540">
        <f>IF(ISERROR(BM248/BG248-1),"-",BM248/BG248-1)</f>
        <v>-0.23095642329725785</v>
      </c>
      <c r="BN253" s="71"/>
      <c r="BO253" s="1236"/>
      <c r="BP253" s="16"/>
      <c r="BQ253" s="16"/>
      <c r="BR253" s="16"/>
      <c r="BS253" s="540">
        <f>IF(ISERROR(BS248/BM248-1),"-",BS248/BM248-1)</f>
        <v>0.10114665057332517</v>
      </c>
      <c r="BT253" s="71"/>
      <c r="BU253" s="510"/>
      <c r="BV253" s="509"/>
      <c r="BW253" s="509"/>
      <c r="BX253" s="509"/>
      <c r="BY253" s="47">
        <f>IF(ISERROR(BY248/BS248-1),"-",BY248/BS248-1)</f>
        <v>0.10226899046366333</v>
      </c>
      <c r="BZ253" s="507"/>
      <c r="CA253" s="510"/>
      <c r="CB253" s="509"/>
      <c r="CC253" s="509"/>
      <c r="CD253" s="509"/>
      <c r="CE253" s="792">
        <f>IF(ISERROR(CE248/BY248-1),"-",CE248/BY248-1)</f>
        <v>5.8174224343676695E-3</v>
      </c>
      <c r="CF253" s="507"/>
      <c r="CG253" s="510"/>
      <c r="CH253" s="509"/>
      <c r="CI253" s="509"/>
      <c r="CJ253" s="509"/>
      <c r="CK253" s="792">
        <f>IF(ISERROR(CK248/CE248-1),"-",CK248/CE248-1)</f>
        <v>3.5592466261308076E-2</v>
      </c>
      <c r="CL253" s="507"/>
      <c r="CM253" s="510"/>
      <c r="CN253" s="509"/>
      <c r="CO253" s="509"/>
      <c r="CP253" s="509"/>
      <c r="CQ253" s="792">
        <f>IF(ISERROR(CQ248/CK248-1),"-",CQ248/CK248-1)</f>
        <v>6.9756710741959438E-3</v>
      </c>
      <c r="CR253" s="507"/>
      <c r="CS253" s="510"/>
      <c r="CT253" s="509"/>
      <c r="CU253" s="509"/>
      <c r="CV253" s="509"/>
      <c r="CW253" s="508"/>
      <c r="CX253" s="71"/>
      <c r="CY253" s="506"/>
      <c r="CZ253" s="507"/>
      <c r="DA253" s="507"/>
      <c r="DB253" s="507"/>
      <c r="DC253" s="508"/>
      <c r="DD253" s="507"/>
      <c r="DE253" s="506"/>
      <c r="DF253" s="507"/>
      <c r="DG253" s="507"/>
      <c r="DH253" s="898"/>
      <c r="DI253" s="508"/>
      <c r="DJ253" s="509"/>
      <c r="DK253" s="506"/>
      <c r="DL253" s="898"/>
      <c r="DM253" s="898"/>
      <c r="DN253" s="898"/>
      <c r="DO253" s="508"/>
      <c r="DP253" s="509"/>
      <c r="DQ253" s="897"/>
      <c r="DR253" s="898"/>
      <c r="DS253" s="898"/>
      <c r="DT253" s="898"/>
      <c r="DU253" s="508"/>
      <c r="DV253" s="509"/>
      <c r="DW253" s="897"/>
      <c r="DX253" s="898"/>
      <c r="DY253" s="898"/>
      <c r="DZ253" s="898"/>
      <c r="EA253" s="508"/>
      <c r="EB253" s="509"/>
      <c r="EC253" s="897"/>
      <c r="ED253" s="898"/>
      <c r="EE253" s="898"/>
      <c r="EF253" s="898"/>
      <c r="EG253" s="508"/>
    </row>
    <row r="254" spans="1:137" s="384" customFormat="1" ht="11.25" customHeight="1" outlineLevel="1" x14ac:dyDescent="0.2">
      <c r="A254" s="780" t="s">
        <v>705</v>
      </c>
      <c r="B254" s="343"/>
      <c r="C254" s="343"/>
      <c r="D254" s="343"/>
      <c r="E254" s="163"/>
      <c r="F254" s="344"/>
      <c r="G254" s="163"/>
      <c r="H254" s="344"/>
      <c r="I254" s="163"/>
      <c r="J254" s="344"/>
      <c r="K254" s="163"/>
      <c r="L254" s="344"/>
      <c r="M254" s="475"/>
      <c r="N254" s="344"/>
      <c r="O254" s="344"/>
      <c r="P254" s="344"/>
      <c r="Q254" s="163"/>
      <c r="R254" s="344"/>
      <c r="S254" s="475"/>
      <c r="T254" s="344"/>
      <c r="U254" s="344"/>
      <c r="V254" s="344"/>
      <c r="W254" s="163"/>
      <c r="X254" s="344"/>
      <c r="Y254" s="475"/>
      <c r="Z254" s="344"/>
      <c r="AA254" s="344"/>
      <c r="AB254" s="344"/>
      <c r="AC254" s="163"/>
      <c r="AD254" s="344"/>
      <c r="AE254" s="475"/>
      <c r="AF254" s="344"/>
      <c r="AG254" s="344"/>
      <c r="AH254" s="344"/>
      <c r="AI254" s="163"/>
      <c r="AJ254" s="344"/>
      <c r="AK254" s="475"/>
      <c r="AL254" s="344"/>
      <c r="AM254" s="344"/>
      <c r="AN254" s="344"/>
      <c r="AO254" s="163"/>
      <c r="AP254" s="344"/>
      <c r="AQ254" s="475"/>
      <c r="AR254" s="344"/>
      <c r="AS254" s="344"/>
      <c r="AT254" s="344"/>
      <c r="AU254" s="163"/>
      <c r="AV254" s="344"/>
      <c r="AW254" s="475"/>
      <c r="AX254" s="344"/>
      <c r="AY254" s="344"/>
      <c r="AZ254" s="344"/>
      <c r="BA254" s="163"/>
      <c r="BB254" s="344"/>
      <c r="BC254" s="475"/>
      <c r="BD254" s="344"/>
      <c r="BE254" s="344"/>
      <c r="BF254" s="344"/>
      <c r="BG254" s="903"/>
      <c r="BH254" s="344"/>
      <c r="BI254" s="475"/>
      <c r="BJ254" s="344"/>
      <c r="BK254" s="344"/>
      <c r="BL254" s="344"/>
      <c r="BM254" s="903"/>
      <c r="BN254" s="344"/>
      <c r="BO254" s="1239"/>
      <c r="BP254" s="33"/>
      <c r="BQ254" s="33"/>
      <c r="BR254" s="33"/>
      <c r="BS254" s="903"/>
      <c r="BT254" s="344"/>
      <c r="BU254" s="986"/>
      <c r="BV254" s="985"/>
      <c r="BW254" s="985"/>
      <c r="BX254" s="985"/>
      <c r="BY254" s="458"/>
      <c r="BZ254" s="864"/>
      <c r="CA254" s="986"/>
      <c r="CB254" s="985"/>
      <c r="CC254" s="985"/>
      <c r="CD254" s="985"/>
      <c r="CE254" s="1247"/>
      <c r="CF254" s="864"/>
      <c r="CG254" s="986"/>
      <c r="CH254" s="985"/>
      <c r="CI254" s="985"/>
      <c r="CJ254" s="985"/>
      <c r="CK254" s="1247"/>
      <c r="CL254" s="864"/>
      <c r="CM254" s="1270">
        <f>+CM250+CG250</f>
        <v>6.9999999999999993E-2</v>
      </c>
      <c r="CN254" s="1271">
        <f t="shared" ref="CN254" si="410">+CN250+CH250</f>
        <v>0.01</v>
      </c>
      <c r="CO254" s="1271">
        <f t="shared" ref="CO254" si="411">+CO250+CI250</f>
        <v>0</v>
      </c>
      <c r="CP254" s="1271">
        <f t="shared" ref="CP254" si="412">+CP250+CJ250</f>
        <v>-0.03</v>
      </c>
      <c r="CQ254" s="903">
        <f t="shared" ref="CQ254" si="413">+CQ250+CK250</f>
        <v>1.0031452556188113E-2</v>
      </c>
      <c r="CR254" s="864"/>
      <c r="CS254" s="1270">
        <f t="shared" ref="CS254" si="414">+CS250+CM250</f>
        <v>3.9999999999999994E-2</v>
      </c>
      <c r="CT254" s="1271">
        <f t="shared" ref="CT254" si="415">+CT250+CN250</f>
        <v>0.01</v>
      </c>
      <c r="CU254" s="1271">
        <f t="shared" ref="CU254" si="416">+CU250+CO250</f>
        <v>-0.01</v>
      </c>
      <c r="CV254" s="1271">
        <f t="shared" ref="CV254" si="417">+CV250+CP250</f>
        <v>-0.01</v>
      </c>
      <c r="CW254" s="903">
        <f t="shared" ref="CW254" si="418">+CW250+CQ250</f>
        <v>6.2901726379538236E-3</v>
      </c>
      <c r="CX254" s="864"/>
      <c r="CY254" s="1270">
        <f t="shared" ref="CY254" si="419">+CY250+CS250</f>
        <v>-0.01</v>
      </c>
      <c r="CZ254" s="1271">
        <f t="shared" ref="CZ254" si="420">+CZ250+CT250</f>
        <v>0.03</v>
      </c>
      <c r="DA254" s="1271">
        <f t="shared" ref="DA254" si="421">+DA250+CU250</f>
        <v>-0.01</v>
      </c>
      <c r="DB254" s="1271">
        <f t="shared" ref="DB254" si="422">+DB250+CV250</f>
        <v>-6.0000000000000005E-2</v>
      </c>
      <c r="DC254" s="903">
        <f t="shared" ref="DC254" si="423">+DC250+CW250</f>
        <v>-1.3108677556116553E-2</v>
      </c>
      <c r="DD254" s="864"/>
      <c r="DE254" s="1270">
        <f t="shared" ref="DE254" si="424">+DE250+CY250</f>
        <v>-7.0000000000000007E-2</v>
      </c>
      <c r="DF254" s="1271">
        <f t="shared" ref="DF254" si="425">+DF250+CZ250</f>
        <v>-0.08</v>
      </c>
      <c r="DG254" s="1271">
        <f t="shared" ref="DG254" si="426">+DG250+DA250</f>
        <v>-9.9999999999999992E-2</v>
      </c>
      <c r="DH254" s="1271">
        <f t="shared" ref="DH254" si="427">+DH250+DB250</f>
        <v>-0.11000000000000001</v>
      </c>
      <c r="DI254" s="903">
        <f t="shared" ref="DI254" si="428">+DI250+DC250</f>
        <v>-9.0666737721035798E-2</v>
      </c>
      <c r="DJ254" s="985"/>
      <c r="DK254" s="1270">
        <f t="shared" ref="DK254" si="429">+DK250+DE250</f>
        <v>-0.1</v>
      </c>
      <c r="DL254" s="1271">
        <f t="shared" ref="DL254" si="430">+DL250+DF250</f>
        <v>-9.0000000000000011E-2</v>
      </c>
      <c r="DM254" s="1271">
        <f t="shared" ref="DM254" si="431">+DM250+DG250</f>
        <v>-6.9999999999999993E-2</v>
      </c>
      <c r="DN254" s="1271">
        <f t="shared" ref="DN254" si="432">+DN250+DH250</f>
        <v>-0.04</v>
      </c>
      <c r="DO254" s="903">
        <f t="shared" ref="DO254" si="433">+DO250+DI250</f>
        <v>-7.4166268387812387E-2</v>
      </c>
      <c r="DP254" s="985"/>
      <c r="DQ254" s="1270">
        <f t="shared" ref="DQ254" si="434">+DQ250+DK250</f>
        <v>0</v>
      </c>
      <c r="DR254" s="1271">
        <f t="shared" ref="DR254" si="435">+DR250+DL250</f>
        <v>0.01</v>
      </c>
      <c r="DS254" s="1271">
        <f t="shared" ref="DS254" si="436">+DS250+DM250</f>
        <v>0.02</v>
      </c>
      <c r="DT254" s="1271">
        <f t="shared" ref="DT254" si="437">+DT250+DN250</f>
        <v>0.02</v>
      </c>
      <c r="DU254" s="903">
        <f t="shared" ref="DU254" si="438">+DU250+DO250</f>
        <v>1.2889829268251158E-2</v>
      </c>
      <c r="DV254" s="985"/>
      <c r="DW254" s="1274"/>
      <c r="DX254" s="1275"/>
      <c r="DY254" s="1275"/>
      <c r="DZ254" s="1275"/>
      <c r="EA254" s="869"/>
      <c r="EB254" s="985"/>
      <c r="EC254" s="1274"/>
      <c r="ED254" s="1275"/>
      <c r="EE254" s="1275"/>
      <c r="EF254" s="1275"/>
      <c r="EG254" s="869"/>
    </row>
    <row r="255" spans="1:137" ht="11.25" customHeight="1" outlineLevel="1" x14ac:dyDescent="0.2">
      <c r="A255" s="538"/>
      <c r="B255" s="14"/>
      <c r="C255" s="14"/>
      <c r="D255" s="14"/>
      <c r="E255" s="93"/>
      <c r="F255" s="71"/>
      <c r="G255" s="93"/>
      <c r="H255" s="71"/>
      <c r="I255" s="93"/>
      <c r="J255" s="71"/>
      <c r="K255" s="93"/>
      <c r="L255" s="71"/>
      <c r="M255" s="84"/>
      <c r="N255" s="71"/>
      <c r="O255" s="71"/>
      <c r="P255" s="71"/>
      <c r="Q255" s="93"/>
      <c r="R255" s="71"/>
      <c r="S255" s="84"/>
      <c r="T255" s="71"/>
      <c r="U255" s="71"/>
      <c r="V255" s="71"/>
      <c r="W255" s="93"/>
      <c r="X255" s="71"/>
      <c r="Y255" s="84"/>
      <c r="Z255" s="71"/>
      <c r="AA255" s="71"/>
      <c r="AB255" s="71"/>
      <c r="AC255" s="93"/>
      <c r="AD255" s="71"/>
      <c r="AE255" s="84"/>
      <c r="AF255" s="71"/>
      <c r="AG255" s="71"/>
      <c r="AH255" s="71"/>
      <c r="AI255" s="93"/>
      <c r="AJ255" s="71"/>
      <c r="AK255" s="84"/>
      <c r="AL255" s="71"/>
      <c r="AM255" s="71"/>
      <c r="AN255" s="71"/>
      <c r="AO255" s="93"/>
      <c r="AP255" s="71"/>
      <c r="AQ255" s="84"/>
      <c r="AR255" s="71"/>
      <c r="AS255" s="71"/>
      <c r="AT255" s="71"/>
      <c r="AU255" s="93"/>
      <c r="AV255" s="71"/>
      <c r="AW255" s="84"/>
      <c r="AX255" s="71"/>
      <c r="AY255" s="71"/>
      <c r="AZ255" s="71"/>
      <c r="BA255" s="93"/>
      <c r="BB255" s="71"/>
      <c r="BC255" s="84"/>
      <c r="BD255" s="71"/>
      <c r="BE255" s="71"/>
      <c r="BF255" s="71"/>
      <c r="BG255" s="540"/>
      <c r="BH255" s="71"/>
      <c r="BI255" s="84"/>
      <c r="BJ255" s="71"/>
      <c r="BK255" s="71"/>
      <c r="BL255" s="71"/>
      <c r="BM255" s="540"/>
      <c r="BN255" s="71"/>
      <c r="BO255" s="1236"/>
      <c r="BP255" s="16"/>
      <c r="BQ255" s="16"/>
      <c r="BR255" s="16"/>
      <c r="BS255" s="540"/>
      <c r="BT255" s="71"/>
      <c r="BU255" s="510"/>
      <c r="BV255" s="509"/>
      <c r="BW255" s="509"/>
      <c r="BX255" s="509"/>
      <c r="BY255" s="47"/>
      <c r="BZ255" s="507"/>
      <c r="CA255" s="510"/>
      <c r="CB255" s="509"/>
      <c r="CC255" s="509"/>
      <c r="CD255" s="509"/>
      <c r="CE255" s="792"/>
      <c r="CF255" s="507"/>
      <c r="CG255" s="510"/>
      <c r="CH255" s="509"/>
      <c r="CI255" s="509"/>
      <c r="CJ255" s="509"/>
      <c r="CK255" s="792"/>
      <c r="CL255" s="507"/>
      <c r="CM255" s="510"/>
      <c r="CN255" s="509"/>
      <c r="CO255" s="509"/>
      <c r="CP255" s="509"/>
      <c r="CQ255" s="792"/>
      <c r="CR255" s="507"/>
      <c r="CS255" s="510"/>
      <c r="CT255" s="509"/>
      <c r="CU255" s="509"/>
      <c r="CV255" s="509"/>
      <c r="CW255" s="508"/>
      <c r="CX255" s="71"/>
      <c r="CY255" s="506"/>
      <c r="CZ255" s="507"/>
      <c r="DA255" s="507"/>
      <c r="DB255" s="507"/>
      <c r="DC255" s="508"/>
      <c r="DD255" s="507"/>
      <c r="DE255" s="506"/>
      <c r="DF255" s="507"/>
      <c r="DG255" s="507"/>
      <c r="DH255" s="898"/>
      <c r="DI255" s="508"/>
      <c r="DJ255" s="509"/>
      <c r="DK255" s="506"/>
      <c r="DL255" s="898"/>
      <c r="DM255" s="898"/>
      <c r="DN255" s="898"/>
      <c r="DO255" s="508"/>
      <c r="DP255" s="509"/>
      <c r="DQ255" s="897"/>
      <c r="DR255" s="898"/>
      <c r="DS255" s="898"/>
      <c r="DT255" s="898"/>
      <c r="DU255" s="508"/>
      <c r="DV255" s="509"/>
      <c r="DW255" s="897"/>
      <c r="DX255" s="898"/>
      <c r="DY255" s="898"/>
      <c r="DZ255" s="898"/>
      <c r="EA255" s="508"/>
      <c r="EB255" s="509"/>
      <c r="EC255" s="897"/>
      <c r="ED255" s="898"/>
      <c r="EE255" s="898"/>
      <c r="EF255" s="898"/>
      <c r="EG255" s="508"/>
    </row>
    <row r="256" spans="1:137" ht="11.25" customHeight="1" outlineLevel="1" x14ac:dyDescent="0.2">
      <c r="A256" s="50" t="s">
        <v>665</v>
      </c>
      <c r="B256" s="14"/>
      <c r="C256" s="14"/>
      <c r="D256" s="14"/>
      <c r="E256" s="93"/>
      <c r="F256" s="71"/>
      <c r="G256" s="93"/>
      <c r="H256" s="71"/>
      <c r="I256" s="93"/>
      <c r="J256" s="71"/>
      <c r="K256" s="93"/>
      <c r="L256" s="71"/>
      <c r="M256" s="84"/>
      <c r="N256" s="71"/>
      <c r="O256" s="71"/>
      <c r="P256" s="71"/>
      <c r="Q256" s="93"/>
      <c r="R256" s="71"/>
      <c r="S256" s="84"/>
      <c r="T256" s="71"/>
      <c r="U256" s="71"/>
      <c r="V256" s="71"/>
      <c r="W256" s="93"/>
      <c r="X256" s="71"/>
      <c r="Y256" s="84"/>
      <c r="Z256" s="71"/>
      <c r="AA256" s="71"/>
      <c r="AB256" s="71"/>
      <c r="AC256" s="93"/>
      <c r="AD256" s="71"/>
      <c r="AE256" s="84"/>
      <c r="AF256" s="71"/>
      <c r="AG256" s="71"/>
      <c r="AH256" s="71"/>
      <c r="AI256" s="93"/>
      <c r="AJ256" s="71"/>
      <c r="AK256" s="84"/>
      <c r="AL256" s="71"/>
      <c r="AM256" s="71"/>
      <c r="AN256" s="71"/>
      <c r="AO256" s="93"/>
      <c r="AP256" s="71"/>
      <c r="AQ256" s="84"/>
      <c r="AR256" s="71"/>
      <c r="AS256" s="71"/>
      <c r="AT256" s="71"/>
      <c r="AU256" s="93"/>
      <c r="AV256" s="71"/>
      <c r="AW256" s="84"/>
      <c r="AX256" s="71"/>
      <c r="AY256" s="71"/>
      <c r="AZ256" s="71"/>
      <c r="BA256" s="93"/>
      <c r="BB256" s="71"/>
      <c r="BC256" s="165">
        <f>+BC269*BC$213</f>
        <v>201.26756420000004</v>
      </c>
      <c r="BD256" s="164">
        <f>+BD269*BD$213</f>
        <v>238.61412431999997</v>
      </c>
      <c r="BE256" s="164">
        <f>+BE269*BE$213</f>
        <v>230.84663429600002</v>
      </c>
      <c r="BF256" s="164">
        <f>+BF269*BF$213</f>
        <v>227.03181403712</v>
      </c>
      <c r="BG256" s="163">
        <f>+SUM(BC256:BF256)</f>
        <v>897.76013685312</v>
      </c>
      <c r="BH256" s="71"/>
      <c r="BI256" s="165">
        <f>+BI269*BI$213</f>
        <v>188.3</v>
      </c>
      <c r="BJ256" s="164">
        <f>+BJ269*BJ$213</f>
        <v>194.25</v>
      </c>
      <c r="BK256" s="164">
        <f>+BK269*BK$213</f>
        <v>201.45</v>
      </c>
      <c r="BL256" s="164">
        <f>+BL269*BL$213</f>
        <v>244.5</v>
      </c>
      <c r="BM256" s="163">
        <f>+SUM(BI256:BL256)</f>
        <v>828.5</v>
      </c>
      <c r="BN256" s="71"/>
      <c r="BO256" s="1245">
        <f>+BO269*BO$213</f>
        <v>215.9</v>
      </c>
      <c r="BP256" s="1246">
        <f>+BP269*BP$213</f>
        <v>214.15</v>
      </c>
      <c r="BQ256" s="1246">
        <f>+BQ269*BQ$213</f>
        <v>221.5</v>
      </c>
      <c r="BR256" s="1246">
        <f>+BR269*BR$213</f>
        <v>260.75</v>
      </c>
      <c r="BS256" s="163">
        <f>+SUM(BO256:BR256)</f>
        <v>912.3</v>
      </c>
      <c r="BT256" s="71"/>
      <c r="BU256" s="165">
        <f>+BU269*BU$213</f>
        <v>231.75</v>
      </c>
      <c r="BV256" s="164">
        <f>+BV269*BV$213</f>
        <v>252.35</v>
      </c>
      <c r="BW256" s="164">
        <f>+BW269*BW$213</f>
        <v>246.3</v>
      </c>
      <c r="BX256" s="164">
        <f>+BX269*BX$213</f>
        <v>275.19999999999993</v>
      </c>
      <c r="BY256" s="990">
        <f>+SUM(BU256:BX256)</f>
        <v>1005.6</v>
      </c>
      <c r="BZ256" s="507"/>
      <c r="CA256" s="165">
        <f>+CA269*CA$213</f>
        <v>232.35</v>
      </c>
      <c r="CB256" s="164">
        <f>+CB269*CB$213</f>
        <v>249.4</v>
      </c>
      <c r="CC256" s="164">
        <f>+CC269*CC$213</f>
        <v>244.45</v>
      </c>
      <c r="CD256" s="164">
        <f>+CD269*CD$213</f>
        <v>285.25</v>
      </c>
      <c r="CE256" s="990">
        <f>+SUM(CA256:CD256)</f>
        <v>1011.45</v>
      </c>
      <c r="CF256" s="507"/>
      <c r="CG256" s="165">
        <f>+CG269*CG$213</f>
        <v>239.9</v>
      </c>
      <c r="CH256" s="164">
        <f>+CH269*CH$213</f>
        <v>257.35000000000002</v>
      </c>
      <c r="CI256" s="164">
        <f>+CI269*CI$213</f>
        <v>255.1</v>
      </c>
      <c r="CJ256" s="164">
        <f>+CJ269*CJ$213</f>
        <v>295.10000000000002</v>
      </c>
      <c r="CK256" s="990">
        <f>+SUM(CG256:CJ256)</f>
        <v>1047.45</v>
      </c>
      <c r="CL256" s="1249"/>
      <c r="CM256" s="913">
        <f>+CM269*CM$213</f>
        <v>254.85</v>
      </c>
      <c r="CN256" s="858">
        <f>+CN269*CN$213</f>
        <v>264.05</v>
      </c>
      <c r="CO256" s="858">
        <f>+CO269*CO$213</f>
        <v>264.2</v>
      </c>
      <c r="CP256" s="858">
        <f>+CP269*CP$213</f>
        <v>407.48500000000007</v>
      </c>
      <c r="CQ256" s="990">
        <f>+SUM(CM256:CP256)</f>
        <v>1190.585</v>
      </c>
      <c r="CR256" s="1249"/>
      <c r="CS256" s="913">
        <f>+CS269*CS$213</f>
        <v>430.56</v>
      </c>
      <c r="CT256" s="858">
        <f>+CT269*CT$213</f>
        <v>458.4</v>
      </c>
      <c r="CU256" s="858">
        <f>+CU269*CU$213</f>
        <v>445.66999999999996</v>
      </c>
      <c r="CV256" s="858">
        <f>+CV269*CV$213</f>
        <v>514.22</v>
      </c>
      <c r="CW256" s="990">
        <f>+SUM(CS256:CV256)</f>
        <v>1848.8500000000001</v>
      </c>
      <c r="CX256" s="1249"/>
      <c r="CY256" s="913">
        <f>+CY269*CY$213</f>
        <v>459.12999999999994</v>
      </c>
      <c r="CZ256" s="858">
        <f>+CZ269*CZ$213</f>
        <v>500.21999999999997</v>
      </c>
      <c r="DA256" s="858">
        <f>+DA269*DA$213</f>
        <v>472.91999999999996</v>
      </c>
      <c r="DB256" s="858">
        <f>+DB269*DB$213</f>
        <v>517.51</v>
      </c>
      <c r="DC256" s="990">
        <f>+SUM(CY256:DB256)</f>
        <v>1949.78</v>
      </c>
      <c r="DD256" s="1249"/>
      <c r="DE256" s="913">
        <f>+DE269*DE$213</f>
        <v>458.84999999999997</v>
      </c>
      <c r="DF256" s="858">
        <f>+DF269*DF$213</f>
        <v>491.82</v>
      </c>
      <c r="DG256" s="858">
        <f>+DG269*DG$213</f>
        <v>485.79999999999995</v>
      </c>
      <c r="DH256" s="858">
        <f>+DH269*DH$213</f>
        <v>531.16</v>
      </c>
      <c r="DI256" s="990">
        <f>+SUM(DE256:DH256)</f>
        <v>1967.6299999999997</v>
      </c>
      <c r="DJ256" s="24"/>
      <c r="DK256" s="913">
        <f>+DK269*DK$213</f>
        <v>470.82</v>
      </c>
      <c r="DL256" s="898"/>
      <c r="DM256" s="898"/>
      <c r="DN256" s="898"/>
      <c r="DO256" s="508"/>
      <c r="DP256" s="509"/>
      <c r="DQ256" s="897"/>
      <c r="DR256" s="898"/>
      <c r="DS256" s="898"/>
      <c r="DT256" s="898"/>
      <c r="DU256" s="508"/>
      <c r="DV256" s="509"/>
      <c r="DW256" s="897"/>
      <c r="DX256" s="898"/>
      <c r="DY256" s="898"/>
      <c r="DZ256" s="898"/>
      <c r="EA256" s="508"/>
      <c r="EB256" s="509"/>
      <c r="EC256" s="897"/>
      <c r="ED256" s="898"/>
      <c r="EE256" s="898"/>
      <c r="EF256" s="898"/>
      <c r="EG256" s="508"/>
    </row>
    <row r="257" spans="1:137" ht="11.25" customHeight="1" outlineLevel="1" x14ac:dyDescent="0.2">
      <c r="A257" s="538" t="s">
        <v>619</v>
      </c>
      <c r="B257" s="14"/>
      <c r="C257" s="14"/>
      <c r="D257" s="14"/>
      <c r="E257" s="93"/>
      <c r="F257" s="71"/>
      <c r="G257" s="93"/>
      <c r="H257" s="71"/>
      <c r="I257" s="93"/>
      <c r="J257" s="71"/>
      <c r="K257" s="93"/>
      <c r="L257" s="71"/>
      <c r="M257" s="84"/>
      <c r="N257" s="71"/>
      <c r="O257" s="71"/>
      <c r="P257" s="71"/>
      <c r="Q257" s="93"/>
      <c r="R257" s="71"/>
      <c r="S257" s="84"/>
      <c r="T257" s="71"/>
      <c r="U257" s="71"/>
      <c r="V257" s="71"/>
      <c r="W257" s="93"/>
      <c r="X257" s="71"/>
      <c r="Y257" s="84"/>
      <c r="Z257" s="71"/>
      <c r="AA257" s="71"/>
      <c r="AB257" s="71"/>
      <c r="AC257" s="93"/>
      <c r="AD257" s="71"/>
      <c r="AE257" s="84"/>
      <c r="AF257" s="71"/>
      <c r="AG257" s="71"/>
      <c r="AH257" s="71"/>
      <c r="AI257" s="93"/>
      <c r="AJ257" s="71"/>
      <c r="AK257" s="84"/>
      <c r="AL257" s="71"/>
      <c r="AM257" s="71"/>
      <c r="AN257" s="71"/>
      <c r="AO257" s="93"/>
      <c r="AP257" s="71"/>
      <c r="AQ257" s="84"/>
      <c r="AR257" s="71"/>
      <c r="AS257" s="71"/>
      <c r="AT257" s="71"/>
      <c r="AU257" s="93"/>
      <c r="AV257" s="71"/>
      <c r="AW257" s="84"/>
      <c r="AX257" s="71"/>
      <c r="AY257" s="71"/>
      <c r="AZ257" s="71"/>
      <c r="BA257" s="93"/>
      <c r="BB257" s="71"/>
      <c r="BC257" s="165"/>
      <c r="BD257" s="164"/>
      <c r="BE257" s="164"/>
      <c r="BF257" s="164"/>
      <c r="BG257" s="163"/>
      <c r="BH257" s="71"/>
      <c r="BI257" s="165"/>
      <c r="BJ257" s="164"/>
      <c r="BK257" s="164"/>
      <c r="BL257" s="164"/>
      <c r="BM257" s="163"/>
      <c r="BN257" s="71"/>
      <c r="BO257" s="1239"/>
      <c r="BP257" s="33"/>
      <c r="BQ257" s="33"/>
      <c r="BR257" s="33"/>
      <c r="BS257" s="163"/>
      <c r="BT257" s="71"/>
      <c r="BU257" s="165"/>
      <c r="BV257" s="164"/>
      <c r="BW257" s="164"/>
      <c r="BX257" s="164"/>
      <c r="BY257" s="458"/>
      <c r="BZ257" s="507"/>
      <c r="CA257" s="165"/>
      <c r="CB257" s="164"/>
      <c r="CC257" s="164"/>
      <c r="CD257" s="164"/>
      <c r="CE257" s="1247"/>
      <c r="CF257" s="507"/>
      <c r="CG257" s="165"/>
      <c r="CH257" s="164"/>
      <c r="CI257" s="164"/>
      <c r="CJ257" s="164"/>
      <c r="CK257" s="1247"/>
      <c r="CL257" s="507"/>
      <c r="CM257" s="165"/>
      <c r="CN257" s="164"/>
      <c r="CO257" s="164"/>
      <c r="CP257" s="164"/>
      <c r="CQ257" s="1247"/>
      <c r="CR257" s="507"/>
      <c r="CS257" s="165"/>
      <c r="CT257" s="164"/>
      <c r="CU257" s="164"/>
      <c r="CV257" s="164"/>
      <c r="CW257" s="163"/>
      <c r="CX257" s="71"/>
      <c r="CY257" s="165"/>
      <c r="CZ257" s="164"/>
      <c r="DA257" s="164"/>
      <c r="DB257" s="164"/>
      <c r="DC257" s="163"/>
      <c r="DD257" s="507"/>
      <c r="DE257" s="165"/>
      <c r="DF257" s="164"/>
      <c r="DG257" s="164"/>
      <c r="DH257" s="898"/>
      <c r="DI257" s="508"/>
      <c r="DJ257" s="509"/>
      <c r="DK257" s="165"/>
      <c r="DL257" s="898"/>
      <c r="DM257" s="898"/>
      <c r="DN257" s="898"/>
      <c r="DO257" s="508"/>
      <c r="DP257" s="509"/>
      <c r="DQ257" s="897"/>
      <c r="DR257" s="898"/>
      <c r="DS257" s="898"/>
      <c r="DT257" s="898"/>
      <c r="DU257" s="508"/>
      <c r="DV257" s="509"/>
      <c r="DW257" s="897"/>
      <c r="DX257" s="898"/>
      <c r="DY257" s="898"/>
      <c r="DZ257" s="898"/>
      <c r="EA257" s="508"/>
      <c r="EB257" s="509"/>
      <c r="EC257" s="897"/>
      <c r="ED257" s="898"/>
      <c r="EE257" s="898"/>
      <c r="EF257" s="898"/>
      <c r="EG257" s="508"/>
    </row>
    <row r="258" spans="1:137" ht="11.25" customHeight="1" outlineLevel="1" x14ac:dyDescent="0.2">
      <c r="A258" s="538" t="s">
        <v>620</v>
      </c>
      <c r="B258" s="14"/>
      <c r="C258" s="14"/>
      <c r="D258" s="14"/>
      <c r="E258" s="93"/>
      <c r="F258" s="67"/>
      <c r="G258" s="93"/>
      <c r="H258" s="67"/>
      <c r="I258" s="93"/>
      <c r="J258" s="67"/>
      <c r="K258" s="93"/>
      <c r="L258" s="67"/>
      <c r="M258" s="82"/>
      <c r="N258" s="67"/>
      <c r="O258" s="67"/>
      <c r="P258" s="67"/>
      <c r="Q258" s="93"/>
      <c r="R258" s="67"/>
      <c r="S258" s="82"/>
      <c r="T258" s="67"/>
      <c r="U258" s="67"/>
      <c r="V258" s="67"/>
      <c r="W258" s="93"/>
      <c r="X258" s="67"/>
      <c r="Y258" s="82"/>
      <c r="Z258" s="67"/>
      <c r="AA258" s="67"/>
      <c r="AB258" s="67"/>
      <c r="AC258" s="93"/>
      <c r="AD258" s="67"/>
      <c r="AE258" s="82"/>
      <c r="AF258" s="67"/>
      <c r="AG258" s="67"/>
      <c r="AH258" s="67"/>
      <c r="AI258" s="93"/>
      <c r="AJ258" s="67"/>
      <c r="AK258" s="82"/>
      <c r="AL258" s="67"/>
      <c r="AM258" s="67"/>
      <c r="AN258" s="67"/>
      <c r="AO258" s="93"/>
      <c r="AP258" s="67"/>
      <c r="AQ258" s="82"/>
      <c r="AR258" s="67"/>
      <c r="AS258" s="67"/>
      <c r="AT258" s="67"/>
      <c r="AU258" s="93"/>
      <c r="AV258" s="67"/>
      <c r="AW258" s="82"/>
      <c r="AX258" s="67"/>
      <c r="AY258" s="67"/>
      <c r="AZ258" s="67"/>
      <c r="BA258" s="93"/>
      <c r="BB258" s="67"/>
      <c r="BC258" s="542">
        <v>0</v>
      </c>
      <c r="BD258" s="543">
        <v>0.05</v>
      </c>
      <c r="BE258" s="543">
        <v>0.05</v>
      </c>
      <c r="BF258" s="1284">
        <v>0.03</v>
      </c>
      <c r="BG258" s="540">
        <f>SUMPRODUCT(BC258:BF258,AW$213:AZ$213)/BA$213</f>
        <v>3.2884691443576752E-2</v>
      </c>
      <c r="BH258" s="67"/>
      <c r="BI258" s="1229">
        <v>0.03</v>
      </c>
      <c r="BJ258" s="1284">
        <v>-0.02</v>
      </c>
      <c r="BK258" s="543">
        <v>0</v>
      </c>
      <c r="BL258" s="1284">
        <v>-0.02</v>
      </c>
      <c r="BM258" s="540">
        <f>SUMPRODUCT(BI258:BL258,BC$213:BF$213)/BG$213</f>
        <v>-3.6478472441667294E-3</v>
      </c>
      <c r="BN258" s="67"/>
      <c r="BO258" s="1285">
        <v>0</v>
      </c>
      <c r="BP258" s="1286">
        <v>-0.06</v>
      </c>
      <c r="BQ258" s="1286">
        <v>0.02</v>
      </c>
      <c r="BR258" s="1286">
        <v>0.04</v>
      </c>
      <c r="BS258" s="540">
        <f>SUMPRODUCT(BO258:BR258,BI$213:BL$213)/BM$213</f>
        <v>2.5998792999396498E-3</v>
      </c>
      <c r="BT258" s="67"/>
      <c r="BU258" s="1282">
        <v>0.05</v>
      </c>
      <c r="BV258" s="1283">
        <v>0.09</v>
      </c>
      <c r="BW258" s="1283">
        <v>0.05</v>
      </c>
      <c r="BX258" s="1283">
        <v>0.05</v>
      </c>
      <c r="BY258" s="1287">
        <f>SUMPRODUCT(BU258:BX258,BO$213:BR$213)/BS$213</f>
        <v>5.9389455223062597E-2</v>
      </c>
      <c r="BZ258" s="509"/>
      <c r="CA258" s="821">
        <v>5.0000000000000001E-3</v>
      </c>
      <c r="CB258" s="1283">
        <v>0.05</v>
      </c>
      <c r="CC258" s="1283">
        <v>0.02</v>
      </c>
      <c r="CD258" s="1283">
        <v>0.05</v>
      </c>
      <c r="CE258" s="1287">
        <f>SUMPRODUCT(CA258:CD258,BU$213:BX$213)/BY$213</f>
        <v>3.2281473747016703E-2</v>
      </c>
      <c r="CF258" s="15"/>
      <c r="CG258" s="1282">
        <f>+CG250*CG271+CG242*CG270</f>
        <v>0.02</v>
      </c>
      <c r="CH258" s="1283">
        <f t="shared" ref="CH258:CJ258" si="439">+CH250*CH271+CH242*CH270</f>
        <v>5.5E-2</v>
      </c>
      <c r="CI258" s="1283">
        <f t="shared" si="439"/>
        <v>5.5E-2</v>
      </c>
      <c r="CJ258" s="1283">
        <f t="shared" si="439"/>
        <v>0.02</v>
      </c>
      <c r="CK258" s="1287">
        <f>SUMPRODUCT(CG258:CJ258,CA$213:CD$213)/CE$213</f>
        <v>3.7089080033615107E-2</v>
      </c>
      <c r="CL258" s="15"/>
      <c r="CM258" s="1282">
        <f>+CM250*CM271+CM242*CM270</f>
        <v>0.06</v>
      </c>
      <c r="CN258" s="1283">
        <f t="shared" ref="CN258:CP258" si="440">+CN250*CN271+CN242*CN270</f>
        <v>0.02</v>
      </c>
      <c r="CO258" s="1283">
        <f t="shared" si="440"/>
        <v>5.0000000000000001E-3</v>
      </c>
      <c r="CP258" s="1283">
        <f t="shared" si="440"/>
        <v>2.6666666666666665E-2</v>
      </c>
      <c r="CQ258" s="810">
        <f>SUMPRODUCT(CM258:CP258,CG$213:CJ$213)/CK$213</f>
        <v>2.7386350979362581E-2</v>
      </c>
      <c r="CR258" s="15"/>
      <c r="CS258" s="821">
        <f>+CS250*CS271+CS242*CS270</f>
        <v>6.6666666666666662E-3</v>
      </c>
      <c r="CT258" s="822">
        <f t="shared" ref="CT258:CV258" si="441">+CT250*CT271+CT242*CT270</f>
        <v>1.6666666666666666E-2</v>
      </c>
      <c r="CU258" s="822">
        <f t="shared" si="441"/>
        <v>1.3333333333333332E-2</v>
      </c>
      <c r="CV258" s="822">
        <f t="shared" si="441"/>
        <v>2.3333333333333331E-2</v>
      </c>
      <c r="CW258" s="810">
        <f>SUMPRODUCT(CS258:CV258,CM$213:CP$213)/CQ$213</f>
        <v>1.544510814220358E-2</v>
      </c>
      <c r="CX258" s="15" t="s">
        <v>108</v>
      </c>
      <c r="CY258" s="1282">
        <f>+CY250*CY271+CY242*CY270</f>
        <v>0.03</v>
      </c>
      <c r="CZ258" s="1283">
        <f t="shared" ref="CZ258:DB258" si="442">+CZ250*CZ271+CZ242*CZ270</f>
        <v>3.6666666666666667E-2</v>
      </c>
      <c r="DA258" s="822">
        <f t="shared" si="442"/>
        <v>0.03</v>
      </c>
      <c r="DB258" s="822">
        <f t="shared" si="442"/>
        <v>9.9999999999999985E-3</v>
      </c>
      <c r="DC258" s="810">
        <f>SUMPRODUCT(CY258:DB258,CS$213:CV$213)/CW$213</f>
        <v>2.6306635486699797E-2</v>
      </c>
      <c r="DD258" s="15"/>
      <c r="DE258" s="821">
        <f>+DE250*DE271+DE242*DE270</f>
        <v>0</v>
      </c>
      <c r="DF258" s="822">
        <f t="shared" ref="DF258:DH258" si="443">+DF250*DF271+DF242*DF270</f>
        <v>-0.02</v>
      </c>
      <c r="DG258" s="822">
        <f t="shared" si="443"/>
        <v>3.333333333333334E-3</v>
      </c>
      <c r="DH258" s="15">
        <f t="shared" si="443"/>
        <v>0.02</v>
      </c>
      <c r="DI258" s="47">
        <f>SUMPRODUCT(DE258:DH258,CY$213:DB$213)/DC$213</f>
        <v>9.858548143893153E-4</v>
      </c>
      <c r="DJ258" s="509"/>
      <c r="DK258" s="821">
        <f>+DK250*DK271+DK242*DK270</f>
        <v>1.3333333333333331E-2</v>
      </c>
      <c r="DL258" s="822">
        <f t="shared" ref="DL258:DN258" si="444">+DL250*DL271+DL242*DL270</f>
        <v>3.6666666666666667E-2</v>
      </c>
      <c r="DM258" s="822">
        <f t="shared" si="444"/>
        <v>0.04</v>
      </c>
      <c r="DN258" s="15">
        <f t="shared" si="444"/>
        <v>3.3333333333333333E-2</v>
      </c>
      <c r="DO258" s="47">
        <f>SUMPRODUCT(DK258:DN258,DE$213:DH$213)/DI$213</f>
        <v>3.1148505223712458E-2</v>
      </c>
      <c r="DP258" s="509"/>
      <c r="DQ258" s="821">
        <f>+DQ250*DQ271+DQ242*DQ270</f>
        <v>0.04</v>
      </c>
      <c r="DR258" s="822">
        <f t="shared" ref="DR258:DT258" si="445">+DR250*DR271+DR242*DR270</f>
        <v>3.3333333333333333E-2</v>
      </c>
      <c r="DS258" s="822">
        <f t="shared" si="445"/>
        <v>3.3333333333333333E-2</v>
      </c>
      <c r="DT258" s="15">
        <f t="shared" si="445"/>
        <v>0.04</v>
      </c>
      <c r="DU258" s="47">
        <f>SUMPRODUCT(DQ258:DT258,DK$213:DN$213)/DO$213</f>
        <v>3.670544678337035E-2</v>
      </c>
      <c r="DV258" s="509"/>
      <c r="DW258" s="510"/>
      <c r="DX258" s="509"/>
      <c r="DY258" s="509"/>
      <c r="DZ258" s="509"/>
      <c r="EA258" s="508"/>
      <c r="EB258" s="509"/>
      <c r="EC258" s="510"/>
      <c r="ED258" s="509"/>
      <c r="EE258" s="509"/>
      <c r="EF258" s="509"/>
      <c r="EG258" s="508"/>
    </row>
    <row r="259" spans="1:137" ht="11.25" customHeight="1" outlineLevel="1" x14ac:dyDescent="0.2">
      <c r="A259" s="538" t="s">
        <v>504</v>
      </c>
      <c r="B259" s="14"/>
      <c r="C259" s="14"/>
      <c r="D259" s="14"/>
      <c r="E259" s="93"/>
      <c r="F259" s="71"/>
      <c r="G259" s="93"/>
      <c r="H259" s="71"/>
      <c r="I259" s="93"/>
      <c r="J259" s="71"/>
      <c r="K259" s="93"/>
      <c r="L259" s="71"/>
      <c r="M259" s="84"/>
      <c r="N259" s="71"/>
      <c r="O259" s="71"/>
      <c r="P259" s="71"/>
      <c r="Q259" s="93"/>
      <c r="R259" s="71"/>
      <c r="S259" s="84"/>
      <c r="T259" s="71"/>
      <c r="U259" s="71"/>
      <c r="V259" s="71"/>
      <c r="W259" s="93"/>
      <c r="X259" s="71"/>
      <c r="Y259" s="84"/>
      <c r="Z259" s="71"/>
      <c r="AA259" s="71"/>
      <c r="AB259" s="71"/>
      <c r="AC259" s="93"/>
      <c r="AD259" s="71"/>
      <c r="AE259" s="84"/>
      <c r="AF259" s="71"/>
      <c r="AG259" s="71"/>
      <c r="AH259" s="71"/>
      <c r="AI259" s="93"/>
      <c r="AJ259" s="71"/>
      <c r="AK259" s="84"/>
      <c r="AL259" s="71"/>
      <c r="AM259" s="71"/>
      <c r="AN259" s="71"/>
      <c r="AO259" s="93"/>
      <c r="AP259" s="71"/>
      <c r="AQ259" s="84"/>
      <c r="AR259" s="71"/>
      <c r="AS259" s="71"/>
      <c r="AT259" s="71"/>
      <c r="AU259" s="93"/>
      <c r="AV259" s="71"/>
      <c r="AW259" s="84"/>
      <c r="AX259" s="71"/>
      <c r="AY259" s="71"/>
      <c r="AZ259" s="71"/>
      <c r="BA259" s="93"/>
      <c r="BB259" s="71"/>
      <c r="BC259" s="778"/>
      <c r="BD259" s="779"/>
      <c r="BE259" s="779"/>
      <c r="BF259" s="1202"/>
      <c r="BG259" s="1203"/>
      <c r="BH259" s="71"/>
      <c r="BI259" s="821">
        <f>IFERROR(BI261-BI260-BI258,"NM")</f>
        <v>-9.44294784981555E-2</v>
      </c>
      <c r="BJ259" s="822">
        <f t="shared" ref="BJ259" si="446">IFERROR(BJ261-BJ260-BJ258,"NM")</f>
        <v>-0.16592413356262284</v>
      </c>
      <c r="BK259" s="822">
        <f t="shared" ref="BK259" si="447">IFERROR(BK261-BK260-BK258,"NM")</f>
        <v>-0.12734270259408065</v>
      </c>
      <c r="BL259" s="822">
        <f t="shared" ref="BL259" si="448">IFERROR(BL261-BL260-BL258,"NM")</f>
        <v>9.6941577712205337E-2</v>
      </c>
      <c r="BM259" s="540">
        <f>SUMPRODUCT(BI259:BL259,BC$256:BF$256)/BG$256</f>
        <v>-7.3499860712542719E-2</v>
      </c>
      <c r="BN259" s="71"/>
      <c r="BO259" s="821">
        <f>IFERROR(BO261-BO260-BO258,"NM")</f>
        <v>9.6574614976102036E-2</v>
      </c>
      <c r="BP259" s="822">
        <f t="shared" ref="BP259" si="449">IFERROR(BP261-BP260-BP258,"NM")</f>
        <v>0.17744530244530249</v>
      </c>
      <c r="BQ259" s="822">
        <f t="shared" ref="BQ259" si="450">IFERROR(BQ261-BQ260-BQ258,"NM")</f>
        <v>0.10452841896252184</v>
      </c>
      <c r="BR259" s="822">
        <f t="shared" ref="BR259" si="451">IFERROR(BR261-BR260-BR258,"NM")</f>
        <v>4.9999999999999996E-2</v>
      </c>
      <c r="BS259" s="540">
        <f>SUMPRODUCT(BO259:BR259,BI$256:BL$256)/BM$256</f>
        <v>0.10372480386240197</v>
      </c>
      <c r="BT259" s="71"/>
      <c r="BU259" s="821">
        <f>IFERROR(BU261-BU260-BU258,"NM")</f>
        <v>1.4999999999999999E-2</v>
      </c>
      <c r="BV259" s="822">
        <f t="shared" ref="BV259" si="452">IFERROR(BV261-BV260-BV258,"NM")</f>
        <v>1.999999999999999E-2</v>
      </c>
      <c r="BW259" s="822">
        <f t="shared" ref="BW259" si="453">IFERROR(BW261-BW260-BW258,"NM")</f>
        <v>1.999999999999999E-2</v>
      </c>
      <c r="BX259" s="822">
        <f t="shared" ref="BX259" si="454">IFERROR(BX261-BX260-BX258,"NM")</f>
        <v>1.0000000000000002E-2</v>
      </c>
      <c r="BY259" s="540">
        <f>SUMPRODUCT(BU259:BX259,BO$256:BR$256)/BS$256</f>
        <v>1.595856626109832E-2</v>
      </c>
      <c r="BZ259" s="507"/>
      <c r="CA259" s="821">
        <f>IFERROR(CA261-CA260-CA258,"NM")</f>
        <v>1.4999999999999999E-2</v>
      </c>
      <c r="CB259" s="822">
        <f t="shared" ref="CB259" si="455">IFERROR(CB261-CB260-CB258,"NM")</f>
        <v>-1.0000000000000002E-2</v>
      </c>
      <c r="CC259" s="822">
        <f t="shared" ref="CC259" si="456">IFERROR(CC261-CC260-CC258,"NM")</f>
        <v>1.5000000000000003E-2</v>
      </c>
      <c r="CD259" s="822">
        <f t="shared" ref="CD259" si="457">IFERROR(CD261-CD260-CD258,"NM")</f>
        <v>0</v>
      </c>
      <c r="CE259" s="1248">
        <f>SUMPRODUCT(CA259:CD259,BU$256:BX$256)/BY$256</f>
        <v>4.6213703261734291E-3</v>
      </c>
      <c r="CF259" s="507"/>
      <c r="CG259" s="821">
        <f>IFERROR(CG261-CG260-CG258,"NM")</f>
        <v>1.5000000000000003E-2</v>
      </c>
      <c r="CH259" s="822">
        <f t="shared" ref="CH259" si="458">IFERROR(CH261-CH260-CH258,"NM")</f>
        <v>-1.9999999999999997E-2</v>
      </c>
      <c r="CI259" s="822">
        <f t="shared" ref="CI259" si="459">IFERROR(CI261-CI260-CI258,"NM")</f>
        <v>-1.4999999999999999E-2</v>
      </c>
      <c r="CJ259" s="822">
        <f t="shared" ref="CJ259" si="460">IFERROR(CJ261-CJ260-CJ258,"NM")</f>
        <v>9.9999999999999985E-3</v>
      </c>
      <c r="CK259" s="1248">
        <f>SUMPRODUCT(CG259:CJ259,CA$256:CD$256)/CE$256</f>
        <v>-2.2907706757625177E-3</v>
      </c>
      <c r="CL259" s="507"/>
      <c r="CM259" s="821">
        <f>IFERROR(CM261-CM260-CM258,"NM")</f>
        <v>0</v>
      </c>
      <c r="CN259" s="822">
        <f t="shared" ref="CN259" si="461">IFERROR(CN261-CN260-CN258,"NM")</f>
        <v>0</v>
      </c>
      <c r="CO259" s="822">
        <f t="shared" ref="CO259" si="462">IFERROR(CO261-CO260-CO258,"NM")</f>
        <v>3.5000000000000003E-2</v>
      </c>
      <c r="CP259" s="822">
        <f t="shared" ref="CP259" si="463">IFERROR(CP261-CP260-CP258,"NM")</f>
        <v>0.40198802665763017</v>
      </c>
      <c r="CQ259" s="1248">
        <f>SUMPRODUCT(CM259:CP259,CG$256:CJ$256)/CK$256</f>
        <v>0.12177685490158639</v>
      </c>
      <c r="CR259" s="507"/>
      <c r="CS259" s="821">
        <f>IFERROR(CS261-CS260-CS258,"NM")</f>
        <v>0.76820973121443992</v>
      </c>
      <c r="CT259" s="822">
        <f t="shared" ref="CT259" si="464">IFERROR(CT261-CT260-CT258,"NM")</f>
        <v>0.80234204380483487</v>
      </c>
      <c r="CU259" s="822">
        <f t="shared" ref="CU259" si="465">IFERROR(CU261-CU260-CU258,"NM")</f>
        <v>0.75424047438808961</v>
      </c>
      <c r="CV259" s="822">
        <f t="shared" ref="CV259" si="466">IFERROR(CV261-CV260-CV258,"NM")</f>
        <v>0.29680495396558537</v>
      </c>
      <c r="CW259" s="540">
        <f>SUMPRODUCT(CS259:CV259,CM$256:CP$256)/CQ$256</f>
        <v>0.61133859965199167</v>
      </c>
      <c r="CX259" s="71"/>
      <c r="CY259" s="821">
        <f>IFERROR(CY261-CY260-CY258,"NM")</f>
        <v>5.6168246005202455E-2</v>
      </c>
      <c r="CZ259" s="822">
        <f t="shared" ref="CZ259" si="467">IFERROR(CZ261-CZ260-CZ258,"NM")</f>
        <v>6.0296684118673644E-2</v>
      </c>
      <c r="DA259" s="822">
        <f t="shared" ref="DA259" si="468">IFERROR(DA261-DA260-DA258,"NM")</f>
        <v>2.5265330850180678E-2</v>
      </c>
      <c r="DB259" s="822">
        <f t="shared" ref="DB259" si="469">IFERROR(DB261-DB260-DB258,"NM")</f>
        <v>-4.9999999999997763E-3</v>
      </c>
      <c r="DC259" s="540">
        <f>SUMPRODUCT(CY259:DB259,CS$256:CV$256)/CW$256</f>
        <v>3.2729913189279869E-2</v>
      </c>
      <c r="DD259" s="507"/>
      <c r="DE259" s="821">
        <f>IFERROR(DE261-DE260-DE258,"NM")</f>
        <v>0</v>
      </c>
      <c r="DF259" s="822">
        <f t="shared" ref="DF259" si="470">IFERROR(DF261-DF260-DF258,"NM")</f>
        <v>1.0000000000000111E-2</v>
      </c>
      <c r="DG259" s="822">
        <f t="shared" ref="DG259:DH259" si="471">IFERROR(DG261-DG260-DG258,"NM")</f>
        <v>6.666666666666668E-3</v>
      </c>
      <c r="DH259" s="822">
        <f t="shared" si="471"/>
        <v>-2.500000000000022E-2</v>
      </c>
      <c r="DI259" s="540">
        <f>SUMPRODUCT(DE259:DH259,CY$256:DB$256)/DC$256</f>
        <v>-2.4529690529188201E-3</v>
      </c>
      <c r="DJ259" s="509"/>
      <c r="DK259" s="821">
        <f>IFERROR(DK261-DK260-DK258,"NM")</f>
        <v>-4.3333333333333328E-2</v>
      </c>
      <c r="DL259" s="898"/>
      <c r="DM259" s="898"/>
      <c r="DN259" s="898"/>
      <c r="DO259" s="508"/>
      <c r="DP259" s="509"/>
      <c r="DQ259" s="897"/>
      <c r="DR259" s="898"/>
      <c r="DS259" s="898"/>
      <c r="DT259" s="898"/>
      <c r="DU259" s="508"/>
      <c r="DV259" s="509"/>
      <c r="DW259" s="897"/>
      <c r="DX259" s="898"/>
      <c r="DY259" s="898"/>
      <c r="DZ259" s="898"/>
      <c r="EA259" s="508"/>
      <c r="EB259" s="509"/>
      <c r="EC259" s="897"/>
      <c r="ED259" s="898"/>
      <c r="EE259" s="898"/>
      <c r="EF259" s="898"/>
      <c r="EG259" s="508"/>
    </row>
    <row r="260" spans="1:137" ht="11.25" customHeight="1" outlineLevel="1" x14ac:dyDescent="0.2">
      <c r="A260" s="538" t="s">
        <v>379</v>
      </c>
      <c r="B260" s="14"/>
      <c r="C260" s="14"/>
      <c r="D260" s="14"/>
      <c r="E260" s="93"/>
      <c r="F260" s="71"/>
      <c r="G260" s="93"/>
      <c r="H260" s="71"/>
      <c r="I260" s="93"/>
      <c r="J260" s="71"/>
      <c r="K260" s="93"/>
      <c r="L260" s="71"/>
      <c r="M260" s="84"/>
      <c r="N260" s="71"/>
      <c r="O260" s="71"/>
      <c r="P260" s="71"/>
      <c r="Q260" s="93"/>
      <c r="R260" s="71"/>
      <c r="S260" s="84"/>
      <c r="T260" s="71"/>
      <c r="U260" s="71"/>
      <c r="V260" s="71"/>
      <c r="W260" s="93"/>
      <c r="X260" s="71"/>
      <c r="Y260" s="84"/>
      <c r="Z260" s="71"/>
      <c r="AA260" s="71"/>
      <c r="AB260" s="71"/>
      <c r="AC260" s="93"/>
      <c r="AD260" s="71"/>
      <c r="AE260" s="84"/>
      <c r="AF260" s="71"/>
      <c r="AG260" s="71"/>
      <c r="AH260" s="71"/>
      <c r="AI260" s="93"/>
      <c r="AJ260" s="71"/>
      <c r="AK260" s="84"/>
      <c r="AL260" s="71"/>
      <c r="AM260" s="71"/>
      <c r="AN260" s="71"/>
      <c r="AO260" s="93"/>
      <c r="AP260" s="71"/>
      <c r="AQ260" s="84"/>
      <c r="AR260" s="71"/>
      <c r="AS260" s="71"/>
      <c r="AT260" s="71"/>
      <c r="AU260" s="93"/>
      <c r="AV260" s="71"/>
      <c r="AW260" s="84"/>
      <c r="AX260" s="71"/>
      <c r="AY260" s="71"/>
      <c r="AZ260" s="71"/>
      <c r="BA260" s="93"/>
      <c r="BB260" s="71"/>
      <c r="BC260" s="778"/>
      <c r="BD260" s="779"/>
      <c r="BE260" s="779"/>
      <c r="BF260" s="1202"/>
      <c r="BG260" s="1203"/>
      <c r="BH260" s="71"/>
      <c r="BI260" s="821">
        <f>BI$217</f>
        <v>0</v>
      </c>
      <c r="BJ260" s="822">
        <f t="shared" ref="BJ260:BM260" si="472">BJ$217</f>
        <v>0</v>
      </c>
      <c r="BK260" s="822">
        <f t="shared" si="472"/>
        <v>0</v>
      </c>
      <c r="BL260" s="822">
        <f t="shared" si="472"/>
        <v>0</v>
      </c>
      <c r="BM260" s="540">
        <f t="shared" si="472"/>
        <v>0</v>
      </c>
      <c r="BN260" s="71"/>
      <c r="BO260" s="821">
        <f>BO$217</f>
        <v>4.9999999999999989E-2</v>
      </c>
      <c r="BP260" s="822">
        <f t="shared" ref="BP260:BS260" si="473">BP$217</f>
        <v>-1.4999999999999996E-2</v>
      </c>
      <c r="BQ260" s="822">
        <f t="shared" si="473"/>
        <v>-2.4999999999999994E-2</v>
      </c>
      <c r="BR260" s="822">
        <f t="shared" si="473"/>
        <v>-2.353783231083853E-2</v>
      </c>
      <c r="BS260" s="540">
        <f t="shared" si="473"/>
        <v>-8.8533494266748308E-3</v>
      </c>
      <c r="BT260" s="71"/>
      <c r="BU260" s="821">
        <f>BU$217</f>
        <v>8.4136174154700386E-3</v>
      </c>
      <c r="BV260" s="822">
        <f t="shared" ref="BV260:BY260" si="474">BV$217</f>
        <v>6.8379640438944622E-2</v>
      </c>
      <c r="BW260" s="822">
        <f t="shared" si="474"/>
        <v>4.196388261851032E-2</v>
      </c>
      <c r="BX260" s="822">
        <f t="shared" si="474"/>
        <v>-4.5829338446791781E-3</v>
      </c>
      <c r="BY260" s="540">
        <f t="shared" si="474"/>
        <v>3.2268990463663341E-2</v>
      </c>
      <c r="BZ260" s="507"/>
      <c r="CA260" s="821">
        <f>CA$217</f>
        <v>-1.7411003236245986E-2</v>
      </c>
      <c r="CB260" s="822">
        <f t="shared" ref="CB260:CE260" si="475">CB$217</f>
        <v>-5.1690112938379183E-2</v>
      </c>
      <c r="CC260" s="822">
        <f t="shared" si="475"/>
        <v>-4.2511165245635446E-2</v>
      </c>
      <c r="CD260" s="822">
        <f t="shared" si="475"/>
        <v>-1.3481104651162437E-2</v>
      </c>
      <c r="CE260" s="1248">
        <f t="shared" si="475"/>
        <v>-3.4182577565632331E-2</v>
      </c>
      <c r="CF260" s="507"/>
      <c r="CG260" s="821">
        <f>CG$217</f>
        <v>-2.505917796427809E-3</v>
      </c>
      <c r="CH260" s="822">
        <f t="shared" ref="CH260:CK260" si="476">CH$217</f>
        <v>-3.1234963913392144E-3</v>
      </c>
      <c r="CI260" s="822">
        <f t="shared" si="476"/>
        <v>3.5671916547351037E-3</v>
      </c>
      <c r="CJ260" s="822">
        <f t="shared" si="476"/>
        <v>4.5311130587204762E-3</v>
      </c>
      <c r="CK260" s="1248">
        <f t="shared" si="476"/>
        <v>-4.4075337386919253E-3</v>
      </c>
      <c r="CL260" s="507"/>
      <c r="CM260" s="821">
        <f>CM$217</f>
        <v>2.3176323468110938E-3</v>
      </c>
      <c r="CN260" s="822">
        <f t="shared" ref="CN260:CQ260" si="477">CN$217</f>
        <v>6.0345832523800609E-3</v>
      </c>
      <c r="CO260" s="822">
        <f t="shared" si="477"/>
        <v>-4.3277146217170701E-3</v>
      </c>
      <c r="CP260" s="822">
        <f t="shared" si="477"/>
        <v>-4.7817688919010413E-2</v>
      </c>
      <c r="CQ260" s="1248">
        <f t="shared" si="477"/>
        <v>-1.2512291756169754E-2</v>
      </c>
      <c r="CR260" s="507"/>
      <c r="CS260" s="821">
        <f>CS$217</f>
        <v>-8.5412007062978246E-2</v>
      </c>
      <c r="CT260" s="822">
        <f t="shared" ref="CT260:CW260" si="478">CT$217</f>
        <v>-8.2973868585495256E-2</v>
      </c>
      <c r="CU260" s="822">
        <f t="shared" si="478"/>
        <v>-8.0707797123391212E-2</v>
      </c>
      <c r="CV260" s="822">
        <f t="shared" si="478"/>
        <v>-5.8202265114053263E-2</v>
      </c>
      <c r="CW260" s="540">
        <f t="shared" si="478"/>
        <v>-7.5913547033878967E-2</v>
      </c>
      <c r="CX260" s="71"/>
      <c r="CY260" s="821">
        <f>CY$217</f>
        <v>-1.9812801932367112E-2</v>
      </c>
      <c r="CZ260" s="822">
        <f t="shared" ref="CZ260:DC260" si="479">CZ$217</f>
        <v>-5.7329842931937575E-3</v>
      </c>
      <c r="DA260" s="822">
        <f t="shared" si="479"/>
        <v>5.8785648574055938E-3</v>
      </c>
      <c r="DB260" s="822">
        <f t="shared" si="479"/>
        <v>1.3980397495233542E-3</v>
      </c>
      <c r="DC260" s="540">
        <f t="shared" si="479"/>
        <v>-4.4595878398129996E-3</v>
      </c>
      <c r="DD260" s="507"/>
      <c r="DE260" s="821">
        <f>DE$217</f>
        <v>-6.098490623570596E-4</v>
      </c>
      <c r="DF260" s="822">
        <f t="shared" ref="DF260:DI260" si="480">DF$217</f>
        <v>-6.7926112510495826E-3</v>
      </c>
      <c r="DG260" s="822">
        <f t="shared" si="480"/>
        <v>1.7235050325636443E-2</v>
      </c>
      <c r="DH260" s="822">
        <f t="shared" si="480"/>
        <v>3.1376301907209629E-2</v>
      </c>
      <c r="DI260" s="540">
        <f t="shared" si="480"/>
        <v>1.0621993250520585E-2</v>
      </c>
      <c r="DJ260" s="509"/>
      <c r="DK260" s="821">
        <f>DK$217</f>
        <v>5.6086956521739201E-2</v>
      </c>
      <c r="DL260" s="898"/>
      <c r="DM260" s="898"/>
      <c r="DN260" s="898"/>
      <c r="DO260" s="508"/>
      <c r="DP260" s="509"/>
      <c r="DQ260" s="897"/>
      <c r="DR260" s="898"/>
      <c r="DS260" s="898"/>
      <c r="DT260" s="898"/>
      <c r="DU260" s="508"/>
      <c r="DV260" s="509"/>
      <c r="DW260" s="897"/>
      <c r="DX260" s="898"/>
      <c r="DY260" s="898"/>
      <c r="DZ260" s="898"/>
      <c r="EA260" s="508"/>
      <c r="EB260" s="509"/>
      <c r="EC260" s="897"/>
      <c r="ED260" s="898"/>
      <c r="EE260" s="898"/>
      <c r="EF260" s="898"/>
      <c r="EG260" s="508"/>
    </row>
    <row r="261" spans="1:137" ht="11.25" customHeight="1" outlineLevel="1" x14ac:dyDescent="0.2">
      <c r="A261" s="538" t="s">
        <v>503</v>
      </c>
      <c r="B261" s="14"/>
      <c r="C261" s="14"/>
      <c r="D261" s="14"/>
      <c r="E261" s="93"/>
      <c r="F261" s="71"/>
      <c r="G261" s="93"/>
      <c r="H261" s="71"/>
      <c r="I261" s="93"/>
      <c r="J261" s="71"/>
      <c r="K261" s="93"/>
      <c r="L261" s="71"/>
      <c r="M261" s="84"/>
      <c r="N261" s="71"/>
      <c r="O261" s="71"/>
      <c r="P261" s="71"/>
      <c r="Q261" s="93"/>
      <c r="R261" s="71"/>
      <c r="S261" s="84"/>
      <c r="T261" s="71"/>
      <c r="U261" s="71"/>
      <c r="V261" s="71"/>
      <c r="W261" s="93"/>
      <c r="X261" s="71"/>
      <c r="Y261" s="84"/>
      <c r="Z261" s="71"/>
      <c r="AA261" s="71"/>
      <c r="AB261" s="71"/>
      <c r="AC261" s="93"/>
      <c r="AD261" s="71"/>
      <c r="AE261" s="84"/>
      <c r="AF261" s="71"/>
      <c r="AG261" s="71"/>
      <c r="AH261" s="71"/>
      <c r="AI261" s="93"/>
      <c r="AJ261" s="71"/>
      <c r="AK261" s="84"/>
      <c r="AL261" s="71"/>
      <c r="AM261" s="71"/>
      <c r="AN261" s="71"/>
      <c r="AO261" s="93"/>
      <c r="AP261" s="71"/>
      <c r="AQ261" s="84"/>
      <c r="AR261" s="71"/>
      <c r="AS261" s="71"/>
      <c r="AT261" s="71"/>
      <c r="AU261" s="93"/>
      <c r="AV261" s="71"/>
      <c r="AW261" s="84"/>
      <c r="AX261" s="71"/>
      <c r="AY261" s="71"/>
      <c r="AZ261" s="71"/>
      <c r="BA261" s="93"/>
      <c r="BB261" s="71"/>
      <c r="BC261" s="778"/>
      <c r="BD261" s="779"/>
      <c r="BE261" s="779"/>
      <c r="BF261" s="1202"/>
      <c r="BG261" s="1203"/>
      <c r="BH261" s="71"/>
      <c r="BI261" s="821">
        <f t="shared" ref="BI261" si="481">IF(ISERROR(BI256/BC256-1),"-",BI256/BC256-1)</f>
        <v>-6.4429478498155501E-2</v>
      </c>
      <c r="BJ261" s="822">
        <f t="shared" ref="BJ261" si="482">IF(ISERROR(BJ256/BD256-1),"-",BJ256/BD256-1)</f>
        <v>-0.18592413356262283</v>
      </c>
      <c r="BK261" s="822">
        <f t="shared" ref="BK261" si="483">IF(ISERROR(BK256/BE256-1),"-",BK256/BE256-1)</f>
        <v>-0.12734270259408065</v>
      </c>
      <c r="BL261" s="822">
        <f t="shared" ref="BL261" si="484">IF(ISERROR(BL256/BF256-1),"-",BL256/BF256-1)</f>
        <v>7.6941577712205333E-2</v>
      </c>
      <c r="BM261" s="540">
        <f>IF(ISERROR(BM256/BG256-1),"-",BM256/BG256-1)</f>
        <v>-7.7147707956709444E-2</v>
      </c>
      <c r="BN261" s="71"/>
      <c r="BO261" s="821">
        <f t="shared" ref="BO261" si="485">IF(ISERROR(BO256/BI256-1),"-",BO256/BI256-1)</f>
        <v>0.14657461497610202</v>
      </c>
      <c r="BP261" s="822">
        <f t="shared" ref="BP261" si="486">IF(ISERROR(BP256/BJ256-1),"-",BP256/BJ256-1)</f>
        <v>0.10244530244530248</v>
      </c>
      <c r="BQ261" s="822">
        <f t="shared" ref="BQ261" si="487">IF(ISERROR(BQ256/BK256-1),"-",BQ256/BK256-1)</f>
        <v>9.9528418962521847E-2</v>
      </c>
      <c r="BR261" s="822">
        <f t="shared" ref="BR261" si="488">IF(ISERROR(BR256/BL256-1),"-",BR256/BL256-1)</f>
        <v>6.6462167689161467E-2</v>
      </c>
      <c r="BS261" s="540">
        <f>IF(ISERROR(BS256/BM256-1),"-",BS256/BM256-1)</f>
        <v>0.10114665057332517</v>
      </c>
      <c r="BT261" s="71"/>
      <c r="BU261" s="821">
        <f t="shared" ref="BU261" si="489">IF(ISERROR(BU256/BO256-1),"-",BU256/BO256-1)</f>
        <v>7.3413617415470034E-2</v>
      </c>
      <c r="BV261" s="822">
        <f t="shared" ref="BV261" si="490">IF(ISERROR(BV256/BP256-1),"-",BV256/BP256-1)</f>
        <v>0.17837964043894461</v>
      </c>
      <c r="BW261" s="822">
        <f t="shared" ref="BW261" si="491">IF(ISERROR(BW256/BQ256-1),"-",BW256/BQ256-1)</f>
        <v>0.11196388261851031</v>
      </c>
      <c r="BX261" s="822">
        <f t="shared" ref="BX261" si="492">IF(ISERROR(BX256/BR256-1),"-",BX256/BR256-1)</f>
        <v>5.5417066155320827E-2</v>
      </c>
      <c r="BY261" s="540">
        <f>IF(ISERROR(BY256/BS256-1),"-",BY256/BS256-1)</f>
        <v>0.10226899046366333</v>
      </c>
      <c r="BZ261" s="507"/>
      <c r="CA261" s="821">
        <f t="shared" ref="CA261" si="493">IF(ISERROR(CA256/BU256-1),"-",CA256/BU256-1)</f>
        <v>2.5889967637540146E-3</v>
      </c>
      <c r="CB261" s="822">
        <f t="shared" ref="CB261" si="494">IF(ISERROR(CB256/BV256-1),"-",CB256/BV256-1)</f>
        <v>-1.1690112938379182E-2</v>
      </c>
      <c r="CC261" s="822">
        <f t="shared" ref="CC261" si="495">IF(ISERROR(CC256/BW256-1),"-",CC256/BW256-1)</f>
        <v>-7.5111652456354427E-3</v>
      </c>
      <c r="CD261" s="822">
        <f t="shared" ref="CD261" si="496">IF(ISERROR(CD256/BX256-1),"-",CD256/BX256-1)</f>
        <v>3.6518895348837566E-2</v>
      </c>
      <c r="CE261" s="1248">
        <f>IF(ISERROR(CE256/BY256-1),"-",CE256/BY256-1)</f>
        <v>5.8174224343676695E-3</v>
      </c>
      <c r="CF261" s="507"/>
      <c r="CG261" s="821">
        <f t="shared" ref="CG261" si="497">IF(ISERROR(CG256/CA256-1),"-",CG256/CA256-1)</f>
        <v>3.2494082203572194E-2</v>
      </c>
      <c r="CH261" s="822">
        <f t="shared" ref="CH261" si="498">IF(ISERROR(CH256/CB256-1),"-",CH256/CB256-1)</f>
        <v>3.1876503608660789E-2</v>
      </c>
      <c r="CI261" s="822">
        <f t="shared" ref="CI261" si="499">IF(ISERROR(CI256/CC256-1),"-",CI256/CC256-1)</f>
        <v>4.3567191654735105E-2</v>
      </c>
      <c r="CJ261" s="822">
        <f t="shared" ref="CJ261" si="500">IF(ISERROR(CJ256/CD256-1),"-",CJ256/CD256-1)</f>
        <v>3.4531113058720475E-2</v>
      </c>
      <c r="CK261" s="1248">
        <f>IF(ISERROR(CK256/CE256-1),"-",CK256/CE256-1)</f>
        <v>3.5592466261308076E-2</v>
      </c>
      <c r="CL261" s="507"/>
      <c r="CM261" s="821">
        <f t="shared" ref="CM261" si="501">IF(ISERROR(CM256/CG256-1),"-",CM256/CG256-1)</f>
        <v>6.2317632346811092E-2</v>
      </c>
      <c r="CN261" s="822">
        <f t="shared" ref="CN261" si="502">IF(ISERROR(CN256/CH256-1),"-",CN256/CH256-1)</f>
        <v>2.6034583252380061E-2</v>
      </c>
      <c r="CO261" s="822">
        <f t="shared" ref="CO261" si="503">IF(ISERROR(CO256/CI256-1),"-",CO256/CI256-1)</f>
        <v>3.5672285378282931E-2</v>
      </c>
      <c r="CP261" s="822">
        <f t="shared" ref="CP261" si="504">IF(ISERROR(CP256/CJ256-1),"-",CP256/CJ256-1)</f>
        <v>0.38083700440528645</v>
      </c>
      <c r="CQ261" s="1248">
        <f>IF(ISERROR(CQ256/CK256-1),"-",CQ256/CK256-1)</f>
        <v>0.13665091412477914</v>
      </c>
      <c r="CR261" s="507"/>
      <c r="CS261" s="821">
        <f t="shared" ref="CS261" si="505">IF(ISERROR(CS256/CM256-1),"-",CS256/CM256-1)</f>
        <v>0.68946439081812838</v>
      </c>
      <c r="CT261" s="822">
        <f t="shared" ref="CT261" si="506">IF(ISERROR(CT256/CN256-1),"-",CT256/CN256-1)</f>
        <v>0.73603484188600632</v>
      </c>
      <c r="CU261" s="822">
        <f t="shared" ref="CU261" si="507">IF(ISERROR(CU256/CO256-1),"-",CU256/CO256-1)</f>
        <v>0.68686601059803176</v>
      </c>
      <c r="CV261" s="822">
        <f t="shared" ref="CV261" si="508">IF(ISERROR(CV256/CP256-1),"-",CV256/CP256-1)</f>
        <v>0.26193602218486545</v>
      </c>
      <c r="CW261" s="540">
        <f>IF(ISERROR(CW256/CQ256-1),"-",CW256/CQ256-1)</f>
        <v>0.55289206566519833</v>
      </c>
      <c r="CX261" s="71"/>
      <c r="CY261" s="821">
        <f t="shared" ref="CY261" si="509">IF(ISERROR(CY256/CS256-1),"-",CY256/CS256-1)</f>
        <v>6.6355444072835335E-2</v>
      </c>
      <c r="CZ261" s="822">
        <f t="shared" ref="CZ261" si="510">IF(ISERROR(CZ256/CT256-1),"-",CZ256/CT256-1)</f>
        <v>9.1230366492146553E-2</v>
      </c>
      <c r="DA261" s="822">
        <f t="shared" ref="DA261" si="511">IF(ISERROR(DA256/CU256-1),"-",DA256/CU256-1)</f>
        <v>6.1143895707586271E-2</v>
      </c>
      <c r="DB261" s="822">
        <f t="shared" ref="DB261" si="512">IF(ISERROR(DB256/CV256-1),"-",DB256/CV256-1)</f>
        <v>6.3980397495235763E-3</v>
      </c>
      <c r="DC261" s="540">
        <f>IF(ISERROR(DC256/CW256-1),"-",DC256/CW256-1)</f>
        <v>5.4590691510939093E-2</v>
      </c>
      <c r="DD261" s="507"/>
      <c r="DE261" s="821">
        <f t="shared" ref="DE261" si="513">IF(ISERROR(DE256/CY256-1),"-",DE256/CY256-1)</f>
        <v>-6.098490623570596E-4</v>
      </c>
      <c r="DF261" s="822">
        <f t="shared" ref="DF261" si="514">IF(ISERROR(DF256/CZ256-1),"-",DF256/CZ256-1)</f>
        <v>-1.6792611251049472E-2</v>
      </c>
      <c r="DG261" s="822">
        <f t="shared" ref="DG261" si="515">IF(ISERROR(DG256/DA256-1),"-",DG256/DA256-1)</f>
        <v>2.7235050325636445E-2</v>
      </c>
      <c r="DH261" s="822">
        <f t="shared" ref="DH261" si="516">IF(ISERROR(DH256/DB256-1),"-",DH256/DB256-1)</f>
        <v>2.637630190720941E-2</v>
      </c>
      <c r="DI261" s="540">
        <f>IF(ISERROR(DI256/DC256-1),"-",DI256/DC256-1)</f>
        <v>9.1548790119908574E-3</v>
      </c>
      <c r="DJ261" s="509"/>
      <c r="DK261" s="821">
        <f t="shared" ref="DK261" si="517">IF(ISERROR(DK256/DE256-1),"-",DK256/DE256-1)</f>
        <v>2.6086956521739202E-2</v>
      </c>
      <c r="DL261" s="898"/>
      <c r="DM261" s="898"/>
      <c r="DN261" s="898"/>
      <c r="DO261" s="508"/>
      <c r="DP261" s="509"/>
      <c r="DQ261" s="897"/>
      <c r="DR261" s="898"/>
      <c r="DS261" s="898"/>
      <c r="DT261" s="898"/>
      <c r="DU261" s="508"/>
      <c r="DV261" s="509"/>
      <c r="DW261" s="897"/>
      <c r="DX261" s="898"/>
      <c r="DY261" s="898"/>
      <c r="DZ261" s="898"/>
      <c r="EA261" s="508"/>
      <c r="EB261" s="509"/>
      <c r="EC261" s="897"/>
      <c r="ED261" s="898"/>
      <c r="EE261" s="898"/>
      <c r="EF261" s="898"/>
      <c r="EG261" s="508"/>
    </row>
    <row r="262" spans="1:137" s="384" customFormat="1" ht="11.25" customHeight="1" outlineLevel="1" x14ac:dyDescent="0.2">
      <c r="A262" s="780" t="s">
        <v>705</v>
      </c>
      <c r="B262" s="343"/>
      <c r="C262" s="343"/>
      <c r="D262" s="343"/>
      <c r="E262" s="163"/>
      <c r="F262" s="344"/>
      <c r="G262" s="163"/>
      <c r="H262" s="344"/>
      <c r="I262" s="163"/>
      <c r="J262" s="344"/>
      <c r="K262" s="163"/>
      <c r="L262" s="344"/>
      <c r="M262" s="475"/>
      <c r="N262" s="344"/>
      <c r="O262" s="344"/>
      <c r="P262" s="344"/>
      <c r="Q262" s="163"/>
      <c r="R262" s="344"/>
      <c r="S262" s="475"/>
      <c r="T262" s="344"/>
      <c r="U262" s="344"/>
      <c r="V262" s="344"/>
      <c r="W262" s="163"/>
      <c r="X262" s="344"/>
      <c r="Y262" s="475"/>
      <c r="Z262" s="344"/>
      <c r="AA262" s="344"/>
      <c r="AB262" s="344"/>
      <c r="AC262" s="163"/>
      <c r="AD262" s="344"/>
      <c r="AE262" s="475"/>
      <c r="AF262" s="344"/>
      <c r="AG262" s="344"/>
      <c r="AH262" s="344"/>
      <c r="AI262" s="163"/>
      <c r="AJ262" s="344"/>
      <c r="AK262" s="475"/>
      <c r="AL262" s="344"/>
      <c r="AM262" s="344"/>
      <c r="AN262" s="344"/>
      <c r="AO262" s="163"/>
      <c r="AP262" s="344"/>
      <c r="AQ262" s="475"/>
      <c r="AR262" s="344"/>
      <c r="AS262" s="344"/>
      <c r="AT262" s="344"/>
      <c r="AU262" s="163"/>
      <c r="AV262" s="344"/>
      <c r="AW262" s="475"/>
      <c r="AX262" s="344"/>
      <c r="AY262" s="344"/>
      <c r="AZ262" s="344"/>
      <c r="BA262" s="163"/>
      <c r="BB262" s="344"/>
      <c r="BC262" s="1276"/>
      <c r="BD262" s="1277"/>
      <c r="BE262" s="1277"/>
      <c r="BF262" s="1278"/>
      <c r="BG262" s="1279"/>
      <c r="BH262" s="344"/>
      <c r="BI262" s="1270"/>
      <c r="BJ262" s="1271"/>
      <c r="BK262" s="1271"/>
      <c r="BL262" s="1271"/>
      <c r="BM262" s="903"/>
      <c r="BN262" s="344"/>
      <c r="BO262" s="1270"/>
      <c r="BP262" s="1271"/>
      <c r="BQ262" s="1271"/>
      <c r="BR262" s="1271"/>
      <c r="BS262" s="903"/>
      <c r="BT262" s="344"/>
      <c r="BU262" s="1270"/>
      <c r="BV262" s="1271"/>
      <c r="BW262" s="1271"/>
      <c r="BX262" s="1271"/>
      <c r="BY262" s="903"/>
      <c r="BZ262" s="864"/>
      <c r="CA262" s="1270"/>
      <c r="CB262" s="1271"/>
      <c r="CC262" s="1271"/>
      <c r="CD262" s="1271"/>
      <c r="CE262" s="1280"/>
      <c r="CF262" s="864"/>
      <c r="CG262" s="1270"/>
      <c r="CH262" s="1271"/>
      <c r="CI262" s="1271"/>
      <c r="CJ262" s="1271"/>
      <c r="CK262" s="1280"/>
      <c r="CL262" s="864"/>
      <c r="CM262" s="1270">
        <f>+CM258+CG258</f>
        <v>0.08</v>
      </c>
      <c r="CN262" s="1271">
        <f t="shared" ref="CN262" si="518">+CN258+CH258</f>
        <v>7.4999999999999997E-2</v>
      </c>
      <c r="CO262" s="1271">
        <f t="shared" ref="CO262" si="519">+CO258+CI258</f>
        <v>0.06</v>
      </c>
      <c r="CP262" s="1271">
        <f t="shared" ref="CP262" si="520">+CP258+CJ258</f>
        <v>4.6666666666666662E-2</v>
      </c>
      <c r="CQ262" s="903">
        <f t="shared" ref="CQ262" si="521">+CQ258+CK258</f>
        <v>6.4475431012977688E-2</v>
      </c>
      <c r="CR262" s="864"/>
      <c r="CS262" s="1270">
        <f t="shared" ref="CS262" si="522">+CS258+CM258</f>
        <v>6.6666666666666666E-2</v>
      </c>
      <c r="CT262" s="1271">
        <f t="shared" ref="CT262" si="523">+CT258+CN258</f>
        <v>3.6666666666666667E-2</v>
      </c>
      <c r="CU262" s="1271">
        <f t="shared" ref="CU262" si="524">+CU258+CO258</f>
        <v>1.8333333333333333E-2</v>
      </c>
      <c r="CV262" s="1271">
        <f t="shared" ref="CV262" si="525">+CV258+CP258</f>
        <v>4.9999999999999996E-2</v>
      </c>
      <c r="CW262" s="903">
        <f t="shared" ref="CW262" si="526">+CW258+CQ258</f>
        <v>4.2831459121566162E-2</v>
      </c>
      <c r="CX262" s="864"/>
      <c r="CY262" s="1270">
        <f t="shared" ref="CY262" si="527">+CY258+CS258</f>
        <v>3.6666666666666667E-2</v>
      </c>
      <c r="CZ262" s="1271">
        <f t="shared" ref="CZ262" si="528">+CZ258+CT258</f>
        <v>5.333333333333333E-2</v>
      </c>
      <c r="DA262" s="1271">
        <f t="shared" ref="DA262" si="529">+DA258+CU258</f>
        <v>4.3333333333333335E-2</v>
      </c>
      <c r="DB262" s="1271">
        <f t="shared" ref="DB262" si="530">+DB258+CV258</f>
        <v>3.3333333333333326E-2</v>
      </c>
      <c r="DC262" s="903">
        <f t="shared" ref="DC262" si="531">+DC258+CW258</f>
        <v>4.1751743628903375E-2</v>
      </c>
      <c r="DD262" s="864"/>
      <c r="DE262" s="1270">
        <f t="shared" ref="DE262" si="532">+DE258+CY258</f>
        <v>0.03</v>
      </c>
      <c r="DF262" s="1271">
        <f t="shared" ref="DF262" si="533">+DF258+CZ258</f>
        <v>1.6666666666666666E-2</v>
      </c>
      <c r="DG262" s="1271">
        <f t="shared" ref="DG262" si="534">+DG258+DA258</f>
        <v>3.3333333333333333E-2</v>
      </c>
      <c r="DH262" s="1271">
        <f t="shared" ref="DH262" si="535">+DH258+DB258</f>
        <v>0.03</v>
      </c>
      <c r="DI262" s="903">
        <f t="shared" ref="DI262" si="536">+DI258+DC258</f>
        <v>2.7292490301089111E-2</v>
      </c>
      <c r="DJ262" s="985"/>
      <c r="DK262" s="1270">
        <f t="shared" ref="DK262" si="537">+DK258+DE258</f>
        <v>1.3333333333333331E-2</v>
      </c>
      <c r="DL262" s="1271">
        <f t="shared" ref="DL262" si="538">+DL258+DF258</f>
        <v>1.6666666666666666E-2</v>
      </c>
      <c r="DM262" s="1271">
        <f t="shared" ref="DM262" si="539">+DM258+DG258</f>
        <v>4.3333333333333335E-2</v>
      </c>
      <c r="DN262" s="1271">
        <f t="shared" ref="DN262" si="540">+DN258+DH258</f>
        <v>5.333333333333333E-2</v>
      </c>
      <c r="DO262" s="903">
        <f t="shared" ref="DO262" si="541">+DO258+DI258</f>
        <v>3.2134360038101772E-2</v>
      </c>
      <c r="DP262" s="985"/>
      <c r="DQ262" s="1270">
        <f t="shared" ref="DQ262" si="542">+DQ258+DK258</f>
        <v>5.333333333333333E-2</v>
      </c>
      <c r="DR262" s="1271">
        <f t="shared" ref="DR262" si="543">+DR258+DL258</f>
        <v>7.0000000000000007E-2</v>
      </c>
      <c r="DS262" s="1271">
        <f t="shared" ref="DS262" si="544">+DS258+DM258</f>
        <v>7.3333333333333334E-2</v>
      </c>
      <c r="DT262" s="1271">
        <f t="shared" ref="DT262" si="545">+DT258+DN258</f>
        <v>7.3333333333333334E-2</v>
      </c>
      <c r="DU262" s="903">
        <f t="shared" ref="DU262" si="546">+DU258+DO258</f>
        <v>6.7853952007082802E-2</v>
      </c>
      <c r="DV262" s="985"/>
      <c r="DW262" s="1274"/>
      <c r="DX262" s="1275"/>
      <c r="DY262" s="1275"/>
      <c r="DZ262" s="1275"/>
      <c r="EA262" s="869"/>
      <c r="EB262" s="985"/>
      <c r="EC262" s="1274"/>
      <c r="ED262" s="1275"/>
      <c r="EE262" s="1275"/>
      <c r="EF262" s="1275"/>
      <c r="EG262" s="869"/>
    </row>
    <row r="263" spans="1:137" s="384" customFormat="1" ht="11.25" customHeight="1" outlineLevel="1" x14ac:dyDescent="0.2">
      <c r="A263" s="780"/>
      <c r="B263" s="343"/>
      <c r="C263" s="343"/>
      <c r="D263" s="343"/>
      <c r="E263" s="163"/>
      <c r="F263" s="344"/>
      <c r="G263" s="163"/>
      <c r="H263" s="344"/>
      <c r="I263" s="163"/>
      <c r="J263" s="344"/>
      <c r="K263" s="163"/>
      <c r="L263" s="344"/>
      <c r="M263" s="475"/>
      <c r="N263" s="344"/>
      <c r="O263" s="344"/>
      <c r="P263" s="344"/>
      <c r="Q263" s="163"/>
      <c r="R263" s="344"/>
      <c r="S263" s="475"/>
      <c r="T263" s="344"/>
      <c r="U263" s="344"/>
      <c r="V263" s="344"/>
      <c r="W263" s="163"/>
      <c r="X263" s="344"/>
      <c r="Y263" s="475"/>
      <c r="Z263" s="344"/>
      <c r="AA263" s="344"/>
      <c r="AB263" s="344"/>
      <c r="AC263" s="163"/>
      <c r="AD263" s="344"/>
      <c r="AE263" s="475"/>
      <c r="AF263" s="344"/>
      <c r="AG263" s="344"/>
      <c r="AH263" s="344"/>
      <c r="AI263" s="163"/>
      <c r="AJ263" s="344"/>
      <c r="AK263" s="475"/>
      <c r="AL263" s="344"/>
      <c r="AM263" s="344"/>
      <c r="AN263" s="344"/>
      <c r="AO263" s="163"/>
      <c r="AP263" s="344"/>
      <c r="AQ263" s="475"/>
      <c r="AR263" s="344"/>
      <c r="AS263" s="344"/>
      <c r="AT263" s="344"/>
      <c r="AU263" s="163"/>
      <c r="AV263" s="344"/>
      <c r="AW263" s="475"/>
      <c r="AX263" s="344"/>
      <c r="AY263" s="344"/>
      <c r="AZ263" s="344"/>
      <c r="BA263" s="163"/>
      <c r="BB263" s="344"/>
      <c r="BC263" s="1276"/>
      <c r="BD263" s="1277"/>
      <c r="BE263" s="1277"/>
      <c r="BF263" s="1278"/>
      <c r="BG263" s="1279"/>
      <c r="BH263" s="344"/>
      <c r="BI263" s="1270"/>
      <c r="BJ263" s="1271"/>
      <c r="BK263" s="1271"/>
      <c r="BL263" s="1271"/>
      <c r="BM263" s="903"/>
      <c r="BN263" s="344"/>
      <c r="BO263" s="1270"/>
      <c r="BP263" s="1271"/>
      <c r="BQ263" s="1271"/>
      <c r="BR263" s="1271"/>
      <c r="BS263" s="903"/>
      <c r="BT263" s="344"/>
      <c r="BU263" s="1270"/>
      <c r="BV263" s="1271"/>
      <c r="BW263" s="1271"/>
      <c r="BX263" s="1271"/>
      <c r="BY263" s="903"/>
      <c r="BZ263" s="864"/>
      <c r="CA263" s="1270"/>
      <c r="CB263" s="1271"/>
      <c r="CC263" s="1271"/>
      <c r="CD263" s="1271"/>
      <c r="CE263" s="1280"/>
      <c r="CF263" s="864"/>
      <c r="CG263" s="1270"/>
      <c r="CH263" s="1271"/>
      <c r="CI263" s="1271"/>
      <c r="CJ263" s="1271"/>
      <c r="CK263" s="1280"/>
      <c r="CL263" s="864"/>
      <c r="CM263" s="1270"/>
      <c r="CN263" s="1271"/>
      <c r="CO263" s="1271"/>
      <c r="CP263" s="1271"/>
      <c r="CQ263" s="903"/>
      <c r="CR263" s="864"/>
      <c r="CS263" s="1270"/>
      <c r="CT263" s="1271"/>
      <c r="CU263" s="1271"/>
      <c r="CV263" s="1271"/>
      <c r="CW263" s="903"/>
      <c r="CX263" s="864"/>
      <c r="CY263" s="1270"/>
      <c r="CZ263" s="1271"/>
      <c r="DA263" s="1271"/>
      <c r="DB263" s="1271"/>
      <c r="DC263" s="903"/>
      <c r="DD263" s="864"/>
      <c r="DE263" s="1270"/>
      <c r="DF263" s="1271"/>
      <c r="DG263" s="1271"/>
      <c r="DH263" s="1271"/>
      <c r="DI263" s="903"/>
      <c r="DJ263" s="985"/>
      <c r="DK263" s="1270"/>
      <c r="DL263" s="1275"/>
      <c r="DM263" s="1275"/>
      <c r="DN263" s="1275"/>
      <c r="DO263" s="869"/>
      <c r="DP263" s="985"/>
      <c r="DQ263" s="1274"/>
      <c r="DR263" s="1275"/>
      <c r="DS263" s="1275"/>
      <c r="DT263" s="1275"/>
      <c r="DU263" s="869"/>
      <c r="DV263" s="985"/>
      <c r="DW263" s="1274"/>
      <c r="DX263" s="1275"/>
      <c r="DY263" s="1275"/>
      <c r="DZ263" s="1275"/>
      <c r="EA263" s="869"/>
      <c r="EB263" s="985"/>
      <c r="EC263" s="1274"/>
      <c r="ED263" s="1275"/>
      <c r="EE263" s="1275"/>
      <c r="EF263" s="1275"/>
      <c r="EG263" s="869"/>
    </row>
    <row r="264" spans="1:137" ht="11.25" customHeight="1" outlineLevel="1" x14ac:dyDescent="0.2">
      <c r="A264" s="50" t="s">
        <v>706</v>
      </c>
      <c r="B264" s="14"/>
      <c r="C264" s="14"/>
      <c r="D264" s="14"/>
      <c r="E264" s="93"/>
      <c r="F264" s="71"/>
      <c r="G264" s="93"/>
      <c r="H264" s="71"/>
      <c r="I264" s="93"/>
      <c r="J264" s="71"/>
      <c r="K264" s="93"/>
      <c r="L264" s="71"/>
      <c r="M264" s="84"/>
      <c r="N264" s="71"/>
      <c r="O264" s="71"/>
      <c r="P264" s="71"/>
      <c r="Q264" s="93"/>
      <c r="R264" s="71"/>
      <c r="S264" s="84"/>
      <c r="T264" s="71"/>
      <c r="U264" s="71"/>
      <c r="V264" s="71"/>
      <c r="W264" s="93"/>
      <c r="X264" s="71"/>
      <c r="Y264" s="84"/>
      <c r="Z264" s="71"/>
      <c r="AA264" s="71"/>
      <c r="AB264" s="71"/>
      <c r="AC264" s="93"/>
      <c r="AD264" s="71"/>
      <c r="AE264" s="84"/>
      <c r="AF264" s="71"/>
      <c r="AG264" s="71"/>
      <c r="AH264" s="71"/>
      <c r="AI264" s="93"/>
      <c r="AJ264" s="71"/>
      <c r="AK264" s="84"/>
      <c r="AL264" s="71"/>
      <c r="AM264" s="71"/>
      <c r="AN264" s="71"/>
      <c r="AO264" s="93"/>
      <c r="AP264" s="71"/>
      <c r="AQ264" s="84"/>
      <c r="AR264" s="71"/>
      <c r="AS264" s="71"/>
      <c r="AT264" s="71"/>
      <c r="AU264" s="93"/>
      <c r="AV264" s="71"/>
      <c r="AW264" s="84"/>
      <c r="AX264" s="71"/>
      <c r="AY264" s="71"/>
      <c r="AZ264" s="71"/>
      <c r="BA264" s="93"/>
      <c r="BB264" s="71"/>
      <c r="BC264" s="165"/>
      <c r="BD264" s="164"/>
      <c r="BE264" s="164"/>
      <c r="BF264" s="164"/>
      <c r="BG264" s="163"/>
      <c r="BH264" s="71"/>
      <c r="BI264" s="84"/>
      <c r="BJ264" s="71"/>
      <c r="BK264" s="71"/>
      <c r="BL264" s="71"/>
      <c r="BM264" s="93"/>
      <c r="BN264" s="71"/>
      <c r="BO264" s="82"/>
      <c r="BP264" s="67"/>
      <c r="BQ264" s="67"/>
      <c r="BR264" s="67"/>
      <c r="BS264" s="548"/>
      <c r="BT264" s="71"/>
      <c r="BU264" s="510"/>
      <c r="BV264" s="509"/>
      <c r="BW264" s="509"/>
      <c r="BX264" s="509"/>
      <c r="BY264" s="508"/>
      <c r="BZ264" s="507"/>
      <c r="CA264" s="510"/>
      <c r="CB264" s="509"/>
      <c r="CC264" s="509"/>
      <c r="CD264" s="509"/>
      <c r="CE264" s="508"/>
      <c r="CF264" s="507"/>
      <c r="CG264" s="111">
        <f t="shared" ref="CG264:CI264" si="547">+CG258*CG269+CG234*CG268</f>
        <v>3.5000000000000003E-2</v>
      </c>
      <c r="CH264" s="15">
        <f t="shared" si="547"/>
        <v>3.7499999999999999E-2</v>
      </c>
      <c r="CI264" s="15">
        <f t="shared" si="547"/>
        <v>3.7499999999999999E-2</v>
      </c>
      <c r="CJ264" s="15">
        <f>+CJ258*CJ269+CJ234*CJ268</f>
        <v>3.5000000000000003E-2</v>
      </c>
      <c r="CK264" s="47">
        <f t="shared" ref="CK264" si="548">+CK258*CK269+CK234*CK268</f>
        <v>3.6220648573829645E-2</v>
      </c>
      <c r="CL264" s="507"/>
      <c r="CM264" s="111">
        <f t="shared" ref="CM264:CO264" si="549">+CM258*CM269+CM234*CM268</f>
        <v>0.06</v>
      </c>
      <c r="CN264" s="15">
        <f t="shared" si="549"/>
        <v>0.02</v>
      </c>
      <c r="CO264" s="15">
        <f t="shared" si="549"/>
        <v>2.2499999999999999E-2</v>
      </c>
      <c r="CP264" s="15">
        <f>+CP258*CP269+CP234*CP268</f>
        <v>2.0833333333333332E-2</v>
      </c>
      <c r="CQ264" s="47">
        <f t="shared" ref="CQ264" si="550">+CQ258*CQ269+CQ234*CQ268</f>
        <v>2.8726327430108042E-2</v>
      </c>
      <c r="CR264" s="507"/>
      <c r="CS264" s="111">
        <f t="shared" ref="CS264:CU264" si="551">+CS258*CS269+CS234*CS268</f>
        <v>-2.6666666666666661E-3</v>
      </c>
      <c r="CT264" s="15">
        <f t="shared" si="551"/>
        <v>7.7777777777777767E-3</v>
      </c>
      <c r="CU264" s="15">
        <f t="shared" si="551"/>
        <v>-3.8888888888889001E-4</v>
      </c>
      <c r="CV264" s="15">
        <f>+CV258*CV269+CV234*CV268</f>
        <v>2.233333333333333E-2</v>
      </c>
      <c r="CW264" s="47">
        <f t="shared" ref="CW264" si="552">+CW258*CW269+CW234*CW268</f>
        <v>8.241378262125152E-3</v>
      </c>
      <c r="CX264" s="71"/>
      <c r="CY264" s="111">
        <f t="shared" ref="CY264:DA264" si="553">+CY258*CY269+CY234*CY268</f>
        <v>1.1999999999999997E-2</v>
      </c>
      <c r="CZ264" s="15">
        <f t="shared" si="553"/>
        <v>4.066666666666667E-2</v>
      </c>
      <c r="DA264" s="15">
        <f t="shared" si="553"/>
        <v>0.03</v>
      </c>
      <c r="DB264" s="15">
        <f>+DB258*DB269+DB234*DB268</f>
        <v>3.9999999999999983E-3</v>
      </c>
      <c r="DC264" s="47">
        <f t="shared" ref="DC264:DO264" si="554">+DC258*DC269+DC234*DC268</f>
        <v>2.1344489915229463E-2</v>
      </c>
      <c r="DD264" s="507"/>
      <c r="DE264" s="111">
        <f t="shared" si="554"/>
        <v>6.000000000000001E-3</v>
      </c>
      <c r="DF264" s="15">
        <f t="shared" si="554"/>
        <v>-4.9999999999999975E-3</v>
      </c>
      <c r="DG264" s="15">
        <f t="shared" si="554"/>
        <v>1.1333333333333332E-2</v>
      </c>
      <c r="DH264" s="15">
        <f>+DH258*DH269+DH234*DH268</f>
        <v>-1.0000000000000005E-2</v>
      </c>
      <c r="DI264" s="47">
        <f t="shared" si="554"/>
        <v>2.2481510734544363E-4</v>
      </c>
      <c r="DJ264" s="509"/>
      <c r="DK264" s="111">
        <f t="shared" ref="DK264" si="555">+DK258*DK269+DK234*DK268</f>
        <v>-2.9666666666666675E-2</v>
      </c>
      <c r="DL264" s="15">
        <f t="shared" si="554"/>
        <v>-4.3333333333333418E-3</v>
      </c>
      <c r="DM264" s="15">
        <f t="shared" si="554"/>
        <v>6.9999999999999923E-3</v>
      </c>
      <c r="DN264" s="15">
        <f>+DN258*DN269+DN234*DN268</f>
        <v>3.833333333333333E-2</v>
      </c>
      <c r="DO264" s="47">
        <f t="shared" si="554"/>
        <v>4.074934481245622E-3</v>
      </c>
      <c r="DP264" s="509"/>
      <c r="DQ264" s="111">
        <f t="shared" ref="DQ264:DS264" si="556">+DQ258*DQ269+DQ234*DQ268</f>
        <v>5.2000000000000005E-2</v>
      </c>
      <c r="DR264" s="15">
        <f t="shared" si="556"/>
        <v>4.7333333333333338E-2</v>
      </c>
      <c r="DS264" s="15">
        <f t="shared" si="556"/>
        <v>4.7333333333333338E-2</v>
      </c>
      <c r="DT264" s="15">
        <f>+DT258*DT269+DT234*DT268</f>
        <v>1.8999999999999996E-2</v>
      </c>
      <c r="DU264" s="47">
        <f t="shared" ref="DU264" si="557">+DU258*DU269+DU234*DU268</f>
        <v>4.0682369724541326E-2</v>
      </c>
      <c r="DV264" s="509"/>
      <c r="DW264" s="897"/>
      <c r="DX264" s="898"/>
      <c r="DY264" s="898"/>
      <c r="DZ264" s="898"/>
      <c r="EA264" s="508"/>
      <c r="EB264" s="509"/>
      <c r="EC264" s="897"/>
      <c r="ED264" s="898"/>
      <c r="EE264" s="898"/>
      <c r="EF264" s="898"/>
      <c r="EG264" s="508"/>
    </row>
    <row r="265" spans="1:137" s="783" customFormat="1" ht="11.25" customHeight="1" outlineLevel="1" x14ac:dyDescent="0.2">
      <c r="A265" s="780" t="s">
        <v>497</v>
      </c>
      <c r="B265" s="539"/>
      <c r="C265" s="539"/>
      <c r="D265" s="539"/>
      <c r="E265" s="776"/>
      <c r="F265" s="541"/>
      <c r="G265" s="776"/>
      <c r="H265" s="541"/>
      <c r="I265" s="776"/>
      <c r="J265" s="541"/>
      <c r="K265" s="776"/>
      <c r="L265" s="541"/>
      <c r="M265" s="782"/>
      <c r="N265" s="541"/>
      <c r="O265" s="541"/>
      <c r="P265" s="541"/>
      <c r="Q265" s="776"/>
      <c r="R265" s="541"/>
      <c r="S265" s="782"/>
      <c r="T265" s="541"/>
      <c r="U265" s="541"/>
      <c r="V265" s="541"/>
      <c r="W265" s="776"/>
      <c r="X265" s="541"/>
      <c r="Y265" s="782"/>
      <c r="Z265" s="541"/>
      <c r="AA265" s="541"/>
      <c r="AB265" s="541"/>
      <c r="AC265" s="776"/>
      <c r="AD265" s="541"/>
      <c r="AE265" s="782"/>
      <c r="AF265" s="541"/>
      <c r="AG265" s="541"/>
      <c r="AH265" s="541"/>
      <c r="AI265" s="776"/>
      <c r="AJ265" s="541"/>
      <c r="AK265" s="782"/>
      <c r="AL265" s="541"/>
      <c r="AM265" s="541"/>
      <c r="AN265" s="541"/>
      <c r="AO265" s="776"/>
      <c r="AP265" s="541"/>
      <c r="AQ265" s="782"/>
      <c r="AR265" s="541"/>
      <c r="AS265" s="541"/>
      <c r="AT265" s="541"/>
      <c r="AU265" s="776"/>
      <c r="AV265" s="541"/>
      <c r="AW265" s="782"/>
      <c r="AX265" s="541"/>
      <c r="AY265" s="541"/>
      <c r="AZ265" s="541"/>
      <c r="BA265" s="776"/>
      <c r="BB265" s="541"/>
      <c r="BC265" s="1288"/>
      <c r="BD265" s="1289"/>
      <c r="BE265" s="1289"/>
      <c r="BF265" s="1289"/>
      <c r="BG265" s="1290"/>
      <c r="BH265" s="541"/>
      <c r="BI265" s="782"/>
      <c r="BJ265" s="541"/>
      <c r="BK265" s="541"/>
      <c r="BL265" s="541"/>
      <c r="BM265" s="776"/>
      <c r="BN265" s="541"/>
      <c r="BO265" s="1291"/>
      <c r="BP265" s="828"/>
      <c r="BQ265" s="828"/>
      <c r="BR265" s="828"/>
      <c r="BS265" s="1292"/>
      <c r="BT265" s="541"/>
      <c r="BU265" s="1198"/>
      <c r="BV265" s="940"/>
      <c r="BW265" s="940"/>
      <c r="BX265" s="940"/>
      <c r="BY265" s="931"/>
      <c r="BZ265" s="932"/>
      <c r="CA265" s="1198"/>
      <c r="CB265" s="940"/>
      <c r="CC265" s="940"/>
      <c r="CD265" s="940"/>
      <c r="CE265" s="931"/>
      <c r="CF265" s="932"/>
      <c r="CG265" s="1293"/>
      <c r="CH265" s="1294"/>
      <c r="CI265" s="1294"/>
      <c r="CJ265" s="1294"/>
      <c r="CK265" s="1295"/>
      <c r="CL265" s="1296"/>
      <c r="CM265" s="1293">
        <f>+CM215-CM264</f>
        <v>0</v>
      </c>
      <c r="CN265" s="1294">
        <f t="shared" ref="CN265" si="558">+CN215-CN264</f>
        <v>0</v>
      </c>
      <c r="CO265" s="1294">
        <f t="shared" ref="CO265" si="559">+CO215-CO264</f>
        <v>-2.4999999999999988E-3</v>
      </c>
      <c r="CP265" s="1294">
        <f t="shared" ref="CP265" si="560">+CP215-CP264</f>
        <v>4.1666666666666692E-3</v>
      </c>
      <c r="CQ265" s="1295">
        <f t="shared" ref="CQ265" si="561">+CQ215-CQ264</f>
        <v>1.8436281763648185E-3</v>
      </c>
      <c r="CR265" s="1296"/>
      <c r="CS265" s="1293">
        <f>+CS215-CS264</f>
        <v>-2.333333333333334E-3</v>
      </c>
      <c r="CT265" s="1294">
        <f t="shared" ref="CT265" si="562">+CT215-CT264</f>
        <v>2.2222222222222235E-3</v>
      </c>
      <c r="CU265" s="1294">
        <f t="shared" ref="CU265" si="563">+CU215-CU264</f>
        <v>-4.6111111111111101E-3</v>
      </c>
      <c r="CV265" s="1294">
        <f t="shared" ref="CV265" si="564">+CV215-CV264</f>
        <v>-1.7333333333333329E-2</v>
      </c>
      <c r="CW265" s="1295">
        <f t="shared" ref="CW265" si="565">+CW215-CW264</f>
        <v>-6.7708570820604035E-3</v>
      </c>
      <c r="CX265" s="1296"/>
      <c r="CY265" s="1293">
        <f>+CY215-CY264</f>
        <v>-6.9999999999999967E-3</v>
      </c>
      <c r="CZ265" s="1294">
        <f t="shared" ref="CZ265" si="566">+CZ215-CZ264</f>
        <v>-6.6666666666666957E-4</v>
      </c>
      <c r="DA265" s="1294">
        <f t="shared" ref="DA265" si="567">+DA215-DA264</f>
        <v>0</v>
      </c>
      <c r="DB265" s="1294">
        <f t="shared" ref="DB265" si="568">+DB215-DB264</f>
        <v>1.0000000000000018E-3</v>
      </c>
      <c r="DC265" s="1295">
        <f t="shared" ref="DC265" si="569">+DC215-DC264</f>
        <v>-1.5933206664717897E-3</v>
      </c>
      <c r="DD265" s="1296"/>
      <c r="DE265" s="1293">
        <f>+DE215-DE264</f>
        <v>-6.000000000000001E-3</v>
      </c>
      <c r="DF265" s="1294">
        <f t="shared" ref="DF265" si="570">+DF215-DF264</f>
        <v>-5.0000000000000027E-3</v>
      </c>
      <c r="DG265" s="1294">
        <f t="shared" ref="DG265" si="571">+DG215-DG264</f>
        <v>-1.3333333333333322E-3</v>
      </c>
      <c r="DH265" s="1294">
        <f t="shared" ref="DH265" si="572">+DH215-DH264</f>
        <v>5.0000000000000053E-3</v>
      </c>
      <c r="DI265" s="1295">
        <f t="shared" ref="DI265" si="573">+DI215-DI264</f>
        <v>-1.6919293458749194E-3</v>
      </c>
      <c r="DJ265" s="1296"/>
      <c r="DK265" s="1293">
        <f>+DK215-DK264</f>
        <v>-3.3333333333332438E-4</v>
      </c>
      <c r="DL265" s="1294">
        <f t="shared" ref="DL265:DO265" si="574">+DL215-DL264</f>
        <v>4.3333333333333418E-3</v>
      </c>
      <c r="DM265" s="1294">
        <f t="shared" si="574"/>
        <v>-6.9999999999999923E-3</v>
      </c>
      <c r="DN265" s="1294">
        <f t="shared" si="574"/>
        <v>-1.833333333333333E-2</v>
      </c>
      <c r="DO265" s="1295">
        <f t="shared" si="574"/>
        <v>-5.6719318842126431E-3</v>
      </c>
      <c r="DP265" s="940"/>
      <c r="DQ265" s="1293">
        <f t="shared" ref="DQ265:DU265" si="575">+DQ215-DQ264</f>
        <v>-2.2000000000000006E-2</v>
      </c>
      <c r="DR265" s="1294">
        <f t="shared" si="575"/>
        <v>-1.7333333333333339E-2</v>
      </c>
      <c r="DS265" s="1294">
        <f t="shared" si="575"/>
        <v>-1.7333333333333339E-2</v>
      </c>
      <c r="DT265" s="1294">
        <f t="shared" si="575"/>
        <v>1.1000000000000003E-2</v>
      </c>
      <c r="DU265" s="1295">
        <f t="shared" si="575"/>
        <v>-1.0682369724541323E-2</v>
      </c>
      <c r="DV265" s="940"/>
      <c r="DW265" s="1297"/>
      <c r="DX265" s="1298"/>
      <c r="DY265" s="1298"/>
      <c r="DZ265" s="1298"/>
      <c r="EA265" s="931"/>
      <c r="EB265" s="940"/>
      <c r="EC265" s="1297"/>
      <c r="ED265" s="1298"/>
      <c r="EE265" s="1298"/>
      <c r="EF265" s="1298"/>
      <c r="EG265" s="931"/>
    </row>
    <row r="266" spans="1:137" s="783" customFormat="1" ht="11.25" customHeight="1" outlineLevel="1" x14ac:dyDescent="0.2">
      <c r="A266" s="780"/>
      <c r="B266" s="539"/>
      <c r="C266" s="539"/>
      <c r="D266" s="539"/>
      <c r="E266" s="776"/>
      <c r="F266" s="541"/>
      <c r="G266" s="776"/>
      <c r="H266" s="541"/>
      <c r="I266" s="776"/>
      <c r="J266" s="541"/>
      <c r="K266" s="776"/>
      <c r="L266" s="541"/>
      <c r="M266" s="782"/>
      <c r="N266" s="541"/>
      <c r="O266" s="541"/>
      <c r="P266" s="541"/>
      <c r="Q266" s="776"/>
      <c r="R266" s="541"/>
      <c r="S266" s="782"/>
      <c r="T266" s="541"/>
      <c r="U266" s="541"/>
      <c r="V266" s="541"/>
      <c r="W266" s="776"/>
      <c r="X266" s="541"/>
      <c r="Y266" s="782"/>
      <c r="Z266" s="541"/>
      <c r="AA266" s="541"/>
      <c r="AB266" s="541"/>
      <c r="AC266" s="776"/>
      <c r="AD266" s="541"/>
      <c r="AE266" s="782"/>
      <c r="AF266" s="541"/>
      <c r="AG266" s="541"/>
      <c r="AH266" s="541"/>
      <c r="AI266" s="776"/>
      <c r="AJ266" s="541"/>
      <c r="AK266" s="782"/>
      <c r="AL266" s="541"/>
      <c r="AM266" s="541"/>
      <c r="AN266" s="541"/>
      <c r="AO266" s="776"/>
      <c r="AP266" s="541"/>
      <c r="AQ266" s="782"/>
      <c r="AR266" s="541"/>
      <c r="AS266" s="541"/>
      <c r="AT266" s="541"/>
      <c r="AU266" s="776"/>
      <c r="AV266" s="541"/>
      <c r="AW266" s="782"/>
      <c r="AX266" s="541"/>
      <c r="AY266" s="541"/>
      <c r="AZ266" s="541"/>
      <c r="BA266" s="776"/>
      <c r="BB266" s="541"/>
      <c r="BC266" s="1288"/>
      <c r="BD266" s="1289"/>
      <c r="BE266" s="1289"/>
      <c r="BF266" s="1289"/>
      <c r="BG266" s="1290"/>
      <c r="BH266" s="541"/>
      <c r="BI266" s="782"/>
      <c r="BJ266" s="541"/>
      <c r="BK266" s="541"/>
      <c r="BL266" s="541"/>
      <c r="BM266" s="776"/>
      <c r="BN266" s="541"/>
      <c r="BO266" s="1291"/>
      <c r="BP266" s="828"/>
      <c r="BQ266" s="828"/>
      <c r="BR266" s="828"/>
      <c r="BS266" s="1292"/>
      <c r="BT266" s="541"/>
      <c r="BU266" s="1198"/>
      <c r="BV266" s="940"/>
      <c r="BW266" s="940"/>
      <c r="BX266" s="940"/>
      <c r="BY266" s="931"/>
      <c r="BZ266" s="932"/>
      <c r="CA266" s="1198"/>
      <c r="CB266" s="940"/>
      <c r="CC266" s="940"/>
      <c r="CD266" s="940"/>
      <c r="CE266" s="931"/>
      <c r="CF266" s="932"/>
      <c r="CG266" s="1293"/>
      <c r="CH266" s="1294"/>
      <c r="CI266" s="1294"/>
      <c r="CJ266" s="1294"/>
      <c r="CK266" s="1295"/>
      <c r="CL266" s="1296"/>
      <c r="CM266" s="1293"/>
      <c r="CN266" s="1294"/>
      <c r="CO266" s="1294"/>
      <c r="CP266" s="1294"/>
      <c r="CQ266" s="1295"/>
      <c r="CR266" s="1296"/>
      <c r="CS266" s="1293"/>
      <c r="CT266" s="1294"/>
      <c r="CU266" s="1294"/>
      <c r="CV266" s="1294"/>
      <c r="CW266" s="1295"/>
      <c r="CX266" s="1296"/>
      <c r="CY266" s="1293"/>
      <c r="CZ266" s="1294"/>
      <c r="DA266" s="1294"/>
      <c r="DB266" s="1294"/>
      <c r="DC266" s="1295"/>
      <c r="DD266" s="1296"/>
      <c r="DE266" s="1293"/>
      <c r="DF266" s="1294"/>
      <c r="DG266" s="1294"/>
      <c r="DH266" s="1294"/>
      <c r="DI266" s="1295"/>
      <c r="DJ266" s="940"/>
      <c r="DK266" s="1293"/>
      <c r="DL266" s="1298"/>
      <c r="DM266" s="1298"/>
      <c r="DN266" s="1298"/>
      <c r="DO266" s="931"/>
      <c r="DP266" s="940"/>
      <c r="DQ266" s="1297"/>
      <c r="DR266" s="1298"/>
      <c r="DS266" s="1298"/>
      <c r="DT266" s="1298"/>
      <c r="DU266" s="931"/>
      <c r="DV266" s="940"/>
      <c r="DW266" s="1297"/>
      <c r="DX266" s="1298"/>
      <c r="DY266" s="1298"/>
      <c r="DZ266" s="1298"/>
      <c r="EA266" s="931"/>
      <c r="EB266" s="940"/>
      <c r="EC266" s="1297"/>
      <c r="ED266" s="1298"/>
      <c r="EE266" s="1298"/>
      <c r="EF266" s="1298"/>
      <c r="EG266" s="931"/>
    </row>
    <row r="267" spans="1:137" ht="11.25" customHeight="1" outlineLevel="1" x14ac:dyDescent="0.2">
      <c r="A267" s="1267" t="s">
        <v>704</v>
      </c>
      <c r="B267" s="14"/>
      <c r="C267" s="14"/>
      <c r="D267" s="14"/>
      <c r="E267" s="93"/>
      <c r="F267" s="71"/>
      <c r="G267" s="93"/>
      <c r="H267" s="71"/>
      <c r="I267" s="93"/>
      <c r="J267" s="71"/>
      <c r="K267" s="93"/>
      <c r="L267" s="71"/>
      <c r="M267" s="84"/>
      <c r="N267" s="71"/>
      <c r="O267" s="71"/>
      <c r="P267" s="71"/>
      <c r="Q267" s="93"/>
      <c r="R267" s="71"/>
      <c r="S267" s="84"/>
      <c r="T267" s="71"/>
      <c r="U267" s="71"/>
      <c r="V267" s="71"/>
      <c r="W267" s="93"/>
      <c r="X267" s="71"/>
      <c r="Y267" s="84"/>
      <c r="Z267" s="71"/>
      <c r="AA267" s="71"/>
      <c r="AB267" s="71"/>
      <c r="AC267" s="93"/>
      <c r="AD267" s="71"/>
      <c r="AE267" s="84"/>
      <c r="AF267" s="71"/>
      <c r="AG267" s="71"/>
      <c r="AH267" s="71"/>
      <c r="AI267" s="93"/>
      <c r="AJ267" s="71"/>
      <c r="AK267" s="84"/>
      <c r="AL267" s="71"/>
      <c r="AM267" s="71"/>
      <c r="AN267" s="71"/>
      <c r="AO267" s="93"/>
      <c r="AP267" s="71"/>
      <c r="AQ267" s="84"/>
      <c r="AR267" s="71"/>
      <c r="AS267" s="71"/>
      <c r="AT267" s="71"/>
      <c r="AU267" s="93"/>
      <c r="AV267" s="71"/>
      <c r="AW267" s="84"/>
      <c r="AX267" s="71"/>
      <c r="AY267" s="71"/>
      <c r="AZ267" s="71"/>
      <c r="BA267" s="93"/>
      <c r="BB267" s="71"/>
      <c r="BC267" s="84"/>
      <c r="BD267" s="71"/>
      <c r="BE267" s="71"/>
      <c r="BF267" s="71"/>
      <c r="BG267" s="540"/>
      <c r="BH267" s="71"/>
      <c r="BI267" s="84"/>
      <c r="BJ267" s="71"/>
      <c r="BK267" s="71"/>
      <c r="BL267" s="71"/>
      <c r="BM267" s="540"/>
      <c r="BN267" s="71"/>
      <c r="BO267" s="82"/>
      <c r="BP267" s="67"/>
      <c r="BQ267" s="67"/>
      <c r="BR267" s="67"/>
      <c r="BS267" s="540"/>
      <c r="BT267" s="71"/>
      <c r="BU267" s="510"/>
      <c r="BV267" s="509"/>
      <c r="BW267" s="509"/>
      <c r="BX267" s="509"/>
      <c r="BY267" s="508"/>
      <c r="BZ267" s="507"/>
      <c r="CA267" s="510"/>
      <c r="CB267" s="509"/>
      <c r="CC267" s="509"/>
      <c r="CD267" s="509"/>
      <c r="CE267" s="508"/>
      <c r="CF267" s="507"/>
      <c r="CG267" s="510"/>
      <c r="CH267" s="509"/>
      <c r="CI267" s="509"/>
      <c r="CJ267" s="509"/>
      <c r="CK267" s="508"/>
      <c r="CL267" s="507"/>
      <c r="CM267" s="510"/>
      <c r="CN267" s="509"/>
      <c r="CO267" s="509"/>
      <c r="CP267" s="18">
        <f>+CP269*CP270</f>
        <v>0.43333333333333335</v>
      </c>
      <c r="CQ267" s="508"/>
      <c r="CR267" s="507"/>
      <c r="CS267" s="510"/>
      <c r="CT267" s="509"/>
      <c r="CU267" s="509"/>
      <c r="CV267" s="509"/>
      <c r="CW267" s="508"/>
      <c r="CX267" s="71"/>
      <c r="CY267" s="506"/>
      <c r="CZ267" s="507"/>
      <c r="DA267" s="507"/>
      <c r="DB267" s="507"/>
      <c r="DC267" s="508"/>
      <c r="DD267" s="507"/>
      <c r="DE267" s="506"/>
      <c r="DF267" s="507"/>
      <c r="DG267" s="507"/>
      <c r="DH267" s="898"/>
      <c r="DI267" s="508"/>
      <c r="DJ267" s="509"/>
      <c r="DK267" s="506"/>
      <c r="DL267" s="898"/>
      <c r="DM267" s="898"/>
      <c r="DN267" s="898"/>
      <c r="DO267" s="508"/>
      <c r="DP267" s="509"/>
      <c r="DQ267" s="897"/>
      <c r="DR267" s="898"/>
      <c r="DS267" s="898"/>
      <c r="DT267" s="898"/>
      <c r="DU267" s="508"/>
      <c r="DV267" s="509"/>
      <c r="DW267" s="897"/>
      <c r="DX267" s="898"/>
      <c r="DY267" s="898"/>
      <c r="DZ267" s="898"/>
      <c r="EA267" s="508"/>
      <c r="EB267" s="509"/>
      <c r="EC267" s="897"/>
      <c r="ED267" s="898"/>
      <c r="EE267" s="898"/>
      <c r="EF267" s="898"/>
      <c r="EG267" s="508"/>
    </row>
    <row r="268" spans="1:137" ht="11.25" customHeight="1" outlineLevel="1" x14ac:dyDescent="0.2">
      <c r="A268" s="538" t="s">
        <v>659</v>
      </c>
      <c r="B268" s="14"/>
      <c r="C268" s="14"/>
      <c r="D268" s="14"/>
      <c r="E268" s="93"/>
      <c r="F268" s="71"/>
      <c r="G268" s="93"/>
      <c r="H268" s="71"/>
      <c r="I268" s="93"/>
      <c r="J268" s="71"/>
      <c r="K268" s="93"/>
      <c r="L268" s="71"/>
      <c r="M268" s="84"/>
      <c r="N268" s="71"/>
      <c r="O268" s="71"/>
      <c r="P268" s="71"/>
      <c r="Q268" s="93"/>
      <c r="R268" s="71"/>
      <c r="S268" s="84"/>
      <c r="T268" s="71"/>
      <c r="U268" s="71"/>
      <c r="V268" s="71"/>
      <c r="W268" s="93"/>
      <c r="X268" s="71"/>
      <c r="Y268" s="84"/>
      <c r="Z268" s="71"/>
      <c r="AA268" s="71"/>
      <c r="AB268" s="71"/>
      <c r="AC268" s="93"/>
      <c r="AD268" s="71"/>
      <c r="AE268" s="84"/>
      <c r="AF268" s="71"/>
      <c r="AG268" s="71"/>
      <c r="AH268" s="71"/>
      <c r="AI268" s="93"/>
      <c r="AJ268" s="71"/>
      <c r="AK268" s="84"/>
      <c r="AL268" s="71"/>
      <c r="AM268" s="71"/>
      <c r="AN268" s="71"/>
      <c r="AO268" s="93"/>
      <c r="AP268" s="71"/>
      <c r="AQ268" s="84"/>
      <c r="AR268" s="71"/>
      <c r="AS268" s="71"/>
      <c r="AT268" s="71"/>
      <c r="AU268" s="93"/>
      <c r="AV268" s="71"/>
      <c r="AW268" s="84"/>
      <c r="AX268" s="71"/>
      <c r="AY268" s="71"/>
      <c r="AZ268" s="71"/>
      <c r="BA268" s="93"/>
      <c r="BB268" s="71"/>
      <c r="BC268" s="778">
        <v>0.5</v>
      </c>
      <c r="BD268" s="779">
        <v>0.5</v>
      </c>
      <c r="BE268" s="779">
        <v>0.5</v>
      </c>
      <c r="BF268" s="779">
        <v>0.5</v>
      </c>
      <c r="BG268" s="540">
        <f>+BF268</f>
        <v>0.5</v>
      </c>
      <c r="BH268" s="71"/>
      <c r="BI268" s="821">
        <f>$BK268</f>
        <v>0.5</v>
      </c>
      <c r="BJ268" s="822">
        <f t="shared" ref="BJ268:BM269" si="576">$BK268</f>
        <v>0.5</v>
      </c>
      <c r="BK268" s="779">
        <v>0.5</v>
      </c>
      <c r="BL268" s="543">
        <f t="shared" si="576"/>
        <v>0.5</v>
      </c>
      <c r="BM268" s="540">
        <f t="shared" si="576"/>
        <v>0.5</v>
      </c>
      <c r="BN268" s="541"/>
      <c r="BO268" s="1234">
        <v>0.5</v>
      </c>
      <c r="BP268" s="1199">
        <v>0.5</v>
      </c>
      <c r="BQ268" s="543">
        <f>$BP268</f>
        <v>0.5</v>
      </c>
      <c r="BR268" s="1199">
        <v>0.5</v>
      </c>
      <c r="BS268" s="540">
        <f>$BP268</f>
        <v>0.5</v>
      </c>
      <c r="BT268" s="541"/>
      <c r="BU268" s="821">
        <f>$BV268</f>
        <v>0.5</v>
      </c>
      <c r="BV268" s="1199">
        <v>0.5</v>
      </c>
      <c r="BW268" s="543">
        <f t="shared" ref="BW268:BX269" si="577">$BV268</f>
        <v>0.5</v>
      </c>
      <c r="BX268" s="543">
        <f t="shared" si="577"/>
        <v>0.5</v>
      </c>
      <c r="BY268" s="540">
        <f>$BV268</f>
        <v>0.5</v>
      </c>
      <c r="BZ268" s="932"/>
      <c r="CA268" s="821">
        <f>$CH268</f>
        <v>0.5</v>
      </c>
      <c r="CB268" s="543">
        <f t="shared" ref="CB268:CE269" si="578">$CH268</f>
        <v>0.5</v>
      </c>
      <c r="CC268" s="543">
        <f t="shared" si="578"/>
        <v>0.5</v>
      </c>
      <c r="CD268" s="543">
        <f t="shared" si="578"/>
        <v>0.5</v>
      </c>
      <c r="CE268" s="540">
        <f t="shared" si="578"/>
        <v>0.5</v>
      </c>
      <c r="CF268" s="932"/>
      <c r="CG268" s="821">
        <f>$CH268</f>
        <v>0.5</v>
      </c>
      <c r="CH268" s="1199">
        <v>0.5</v>
      </c>
      <c r="CI268" s="543">
        <f t="shared" ref="CI268:CI269" si="579">$CH268</f>
        <v>0.5</v>
      </c>
      <c r="CJ268" s="1199">
        <v>0.5</v>
      </c>
      <c r="CK268" s="540">
        <f>$CJ268</f>
        <v>0.5</v>
      </c>
      <c r="CL268" s="932"/>
      <c r="CM268" s="821">
        <f>CN268</f>
        <v>0.5</v>
      </c>
      <c r="CN268" s="1199">
        <v>0.5</v>
      </c>
      <c r="CO268" s="1200">
        <f>CN268</f>
        <v>0.5</v>
      </c>
      <c r="CP268" s="809">
        <v>0.35</v>
      </c>
      <c r="CQ268" s="906">
        <f t="shared" ref="CQ268" si="580">CP268</f>
        <v>0.35</v>
      </c>
      <c r="CR268" s="932"/>
      <c r="CS268" s="808">
        <f>1-CS269</f>
        <v>0.35</v>
      </c>
      <c r="CT268" s="809">
        <f t="shared" ref="CT268:CV269" si="581">CS268+(($CW268-$CS268)/3)</f>
        <v>0.33333333333333331</v>
      </c>
      <c r="CU268" s="809">
        <f t="shared" si="581"/>
        <v>0.31666666666666665</v>
      </c>
      <c r="CV268" s="809">
        <f t="shared" si="581"/>
        <v>0.3</v>
      </c>
      <c r="CW268" s="906">
        <f>1-CW269</f>
        <v>0.30000000000000004</v>
      </c>
      <c r="CX268" s="541"/>
      <c r="CY268" s="821">
        <f>CW268</f>
        <v>0.30000000000000004</v>
      </c>
      <c r="CZ268" s="809">
        <f>1-CZ269</f>
        <v>0.30000000000000004</v>
      </c>
      <c r="DA268" s="809">
        <f>$DC268</f>
        <v>0.30000000000000004</v>
      </c>
      <c r="DB268" s="809">
        <f>$DC268</f>
        <v>0.30000000000000004</v>
      </c>
      <c r="DC268" s="906">
        <f>1-DC269</f>
        <v>0.30000000000000004</v>
      </c>
      <c r="DD268" s="932"/>
      <c r="DE268" s="808">
        <f>DF268</f>
        <v>0.30000000000000004</v>
      </c>
      <c r="DF268" s="809">
        <f>1-DF269</f>
        <v>0.30000000000000004</v>
      </c>
      <c r="DG268" s="1199">
        <v>0.3</v>
      </c>
      <c r="DH268" s="1322">
        <f>1-DH269</f>
        <v>0.30000000000000004</v>
      </c>
      <c r="DI268" s="792">
        <f>1-DI269</f>
        <v>0.30000000000000004</v>
      </c>
      <c r="DJ268" s="509"/>
      <c r="DK268" s="808">
        <f>DL268</f>
        <v>0.30000000000000004</v>
      </c>
      <c r="DL268" s="1304">
        <f t="shared" ref="DL268:DN268" si="582">1-DL269</f>
        <v>0.30000000000000004</v>
      </c>
      <c r="DM268" s="1304">
        <f t="shared" si="582"/>
        <v>0.30000000000000004</v>
      </c>
      <c r="DN268" s="1304">
        <f t="shared" si="582"/>
        <v>0.30000000000000004</v>
      </c>
      <c r="DO268" s="792">
        <f>1-DO269</f>
        <v>0.30000000000000004</v>
      </c>
      <c r="DP268" s="509"/>
      <c r="DQ268" s="1303">
        <f t="shared" ref="DQ268:DT268" si="583">1-DQ269</f>
        <v>0.30000000000000004</v>
      </c>
      <c r="DR268" s="1304">
        <f t="shared" si="583"/>
        <v>0.30000000000000004</v>
      </c>
      <c r="DS268" s="1304">
        <f t="shared" si="583"/>
        <v>0.30000000000000004</v>
      </c>
      <c r="DT268" s="1304">
        <f t="shared" si="583"/>
        <v>0.30000000000000004</v>
      </c>
      <c r="DU268" s="792">
        <f>1-DU269</f>
        <v>0.30000000000000004</v>
      </c>
      <c r="DV268" s="509"/>
      <c r="DW268" s="897"/>
      <c r="DX268" s="898"/>
      <c r="DY268" s="898"/>
      <c r="DZ268" s="898"/>
      <c r="EA268" s="508"/>
      <c r="EB268" s="509"/>
      <c r="EC268" s="897"/>
      <c r="ED268" s="898"/>
      <c r="EE268" s="898"/>
      <c r="EF268" s="898"/>
      <c r="EG268" s="508"/>
    </row>
    <row r="269" spans="1:137" ht="11.25" customHeight="1" outlineLevel="1" x14ac:dyDescent="0.2">
      <c r="A269" s="538" t="s">
        <v>658</v>
      </c>
      <c r="B269" s="14"/>
      <c r="C269" s="14"/>
      <c r="D269" s="14"/>
      <c r="E269" s="93"/>
      <c r="F269" s="71"/>
      <c r="G269" s="93"/>
      <c r="H269" s="71"/>
      <c r="I269" s="93"/>
      <c r="J269" s="71"/>
      <c r="K269" s="93"/>
      <c r="L269" s="71"/>
      <c r="M269" s="84"/>
      <c r="N269" s="71"/>
      <c r="O269" s="71"/>
      <c r="P269" s="71"/>
      <c r="Q269" s="93"/>
      <c r="R269" s="71"/>
      <c r="S269" s="84"/>
      <c r="T269" s="71"/>
      <c r="U269" s="71"/>
      <c r="V269" s="71"/>
      <c r="W269" s="93"/>
      <c r="X269" s="71"/>
      <c r="Y269" s="84"/>
      <c r="Z269" s="71"/>
      <c r="AA269" s="71"/>
      <c r="AB269" s="71"/>
      <c r="AC269" s="93"/>
      <c r="AD269" s="71"/>
      <c r="AE269" s="84"/>
      <c r="AF269" s="71"/>
      <c r="AG269" s="71"/>
      <c r="AH269" s="71"/>
      <c r="AI269" s="93"/>
      <c r="AJ269" s="71"/>
      <c r="AK269" s="84"/>
      <c r="AL269" s="71"/>
      <c r="AM269" s="71"/>
      <c r="AN269" s="71"/>
      <c r="AO269" s="93"/>
      <c r="AP269" s="71"/>
      <c r="AQ269" s="84"/>
      <c r="AR269" s="71"/>
      <c r="AS269" s="71"/>
      <c r="AT269" s="71"/>
      <c r="AU269" s="93"/>
      <c r="AV269" s="71"/>
      <c r="AW269" s="84"/>
      <c r="AX269" s="71"/>
      <c r="AY269" s="71"/>
      <c r="AZ269" s="71"/>
      <c r="BA269" s="93"/>
      <c r="BB269" s="71"/>
      <c r="BC269" s="778">
        <v>0.5</v>
      </c>
      <c r="BD269" s="779">
        <v>0.5</v>
      </c>
      <c r="BE269" s="779">
        <v>0.5</v>
      </c>
      <c r="BF269" s="779">
        <v>0.5</v>
      </c>
      <c r="BG269" s="540">
        <f>+BF269</f>
        <v>0.5</v>
      </c>
      <c r="BH269" s="71"/>
      <c r="BI269" s="821">
        <f t="shared" ref="BI269" si="584">$BK269</f>
        <v>0.5</v>
      </c>
      <c r="BJ269" s="822">
        <f t="shared" si="576"/>
        <v>0.5</v>
      </c>
      <c r="BK269" s="779">
        <v>0.5</v>
      </c>
      <c r="BL269" s="543">
        <f t="shared" si="576"/>
        <v>0.5</v>
      </c>
      <c r="BM269" s="540">
        <f t="shared" si="576"/>
        <v>0.5</v>
      </c>
      <c r="BN269" s="541"/>
      <c r="BO269" s="1234">
        <v>0.5</v>
      </c>
      <c r="BP269" s="1199">
        <v>0.5</v>
      </c>
      <c r="BQ269" s="543">
        <f>$BP269</f>
        <v>0.5</v>
      </c>
      <c r="BR269" s="1199">
        <v>0.5</v>
      </c>
      <c r="BS269" s="540">
        <f>$BP269</f>
        <v>0.5</v>
      </c>
      <c r="BT269" s="541"/>
      <c r="BU269" s="821">
        <f>$BV269</f>
        <v>0.5</v>
      </c>
      <c r="BV269" s="1199">
        <v>0.5</v>
      </c>
      <c r="BW269" s="543">
        <f t="shared" si="577"/>
        <v>0.5</v>
      </c>
      <c r="BX269" s="543">
        <f t="shared" si="577"/>
        <v>0.5</v>
      </c>
      <c r="BY269" s="540">
        <f>$BV269</f>
        <v>0.5</v>
      </c>
      <c r="BZ269" s="932"/>
      <c r="CA269" s="821">
        <f t="shared" ref="CA269" si="585">$CH269</f>
        <v>0.5</v>
      </c>
      <c r="CB269" s="543">
        <f t="shared" si="578"/>
        <v>0.5</v>
      </c>
      <c r="CC269" s="543">
        <f t="shared" si="578"/>
        <v>0.5</v>
      </c>
      <c r="CD269" s="543">
        <f t="shared" si="578"/>
        <v>0.5</v>
      </c>
      <c r="CE269" s="540">
        <f t="shared" si="578"/>
        <v>0.5</v>
      </c>
      <c r="CF269" s="932"/>
      <c r="CG269" s="821">
        <f t="shared" ref="CG269" si="586">$CH269</f>
        <v>0.5</v>
      </c>
      <c r="CH269" s="1199">
        <v>0.5</v>
      </c>
      <c r="CI269" s="543">
        <f t="shared" si="579"/>
        <v>0.5</v>
      </c>
      <c r="CJ269" s="1199">
        <v>0.5</v>
      </c>
      <c r="CK269" s="540">
        <f>$CJ269</f>
        <v>0.5</v>
      </c>
      <c r="CL269" s="932"/>
      <c r="CM269" s="821">
        <f>CN268</f>
        <v>0.5</v>
      </c>
      <c r="CN269" s="1199">
        <v>0.5</v>
      </c>
      <c r="CO269" s="809">
        <f t="shared" ref="CO269:CQ269" si="587">CN269</f>
        <v>0.5</v>
      </c>
      <c r="CP269" s="1256">
        <v>0.65</v>
      </c>
      <c r="CQ269" s="906">
        <f t="shared" si="587"/>
        <v>0.65</v>
      </c>
      <c r="CR269" s="932"/>
      <c r="CS269" s="1232">
        <v>0.65</v>
      </c>
      <c r="CT269" s="809">
        <f t="shared" si="581"/>
        <v>0.66666666666666663</v>
      </c>
      <c r="CU269" s="809">
        <f t="shared" si="581"/>
        <v>0.68333333333333324</v>
      </c>
      <c r="CV269" s="809">
        <f t="shared" si="581"/>
        <v>0.69999999999999984</v>
      </c>
      <c r="CW269" s="1257">
        <v>0.7</v>
      </c>
      <c r="CX269" s="541"/>
      <c r="CY269" s="821">
        <f>CW269</f>
        <v>0.7</v>
      </c>
      <c r="CZ269" s="1233">
        <v>0.7</v>
      </c>
      <c r="DA269" s="809">
        <f>$DC269</f>
        <v>0.7</v>
      </c>
      <c r="DB269" s="809">
        <f>$DC269</f>
        <v>0.7</v>
      </c>
      <c r="DC269" s="1257">
        <v>0.7</v>
      </c>
      <c r="DD269" s="932"/>
      <c r="DE269" s="808">
        <f t="shared" ref="DE269:DE271" si="588">DF269</f>
        <v>0.7</v>
      </c>
      <c r="DF269" s="1233">
        <v>0.7</v>
      </c>
      <c r="DG269" s="1199">
        <v>0.7</v>
      </c>
      <c r="DH269" s="1322">
        <v>0.7</v>
      </c>
      <c r="DI269" s="792">
        <v>0.7</v>
      </c>
      <c r="DJ269" s="509"/>
      <c r="DK269" s="808">
        <f t="shared" ref="DK269:DK271" si="589">DL269</f>
        <v>0.7</v>
      </c>
      <c r="DL269" s="1304">
        <v>0.7</v>
      </c>
      <c r="DM269" s="1304">
        <v>0.7</v>
      </c>
      <c r="DN269" s="1304">
        <v>0.7</v>
      </c>
      <c r="DO269" s="792">
        <v>0.7</v>
      </c>
      <c r="DP269" s="509"/>
      <c r="DQ269" s="1303">
        <v>0.7</v>
      </c>
      <c r="DR269" s="1304">
        <v>0.7</v>
      </c>
      <c r="DS269" s="1304">
        <v>0.7</v>
      </c>
      <c r="DT269" s="1304">
        <v>0.7</v>
      </c>
      <c r="DU269" s="792">
        <v>0.7</v>
      </c>
      <c r="DV269" s="509"/>
      <c r="DW269" s="897"/>
      <c r="DX269" s="898"/>
      <c r="DY269" s="898"/>
      <c r="DZ269" s="898"/>
      <c r="EA269" s="508"/>
      <c r="EB269" s="509"/>
      <c r="EC269" s="897"/>
      <c r="ED269" s="898"/>
      <c r="EE269" s="898"/>
      <c r="EF269" s="898"/>
      <c r="EG269" s="508"/>
    </row>
    <row r="270" spans="1:137" ht="11.25" customHeight="1" outlineLevel="1" x14ac:dyDescent="0.2">
      <c r="A270" s="1196" t="s">
        <v>660</v>
      </c>
      <c r="B270" s="14"/>
      <c r="C270" s="14"/>
      <c r="D270" s="14"/>
      <c r="E270" s="93"/>
      <c r="F270" s="71"/>
      <c r="G270" s="93"/>
      <c r="H270" s="71"/>
      <c r="I270" s="93"/>
      <c r="J270" s="71"/>
      <c r="K270" s="93"/>
      <c r="L270" s="71"/>
      <c r="M270" s="84"/>
      <c r="N270" s="71"/>
      <c r="O270" s="71"/>
      <c r="P270" s="71"/>
      <c r="Q270" s="93"/>
      <c r="R270" s="71"/>
      <c r="S270" s="84"/>
      <c r="T270" s="71"/>
      <c r="U270" s="71"/>
      <c r="V270" s="71"/>
      <c r="W270" s="93"/>
      <c r="X270" s="71"/>
      <c r="Y270" s="84"/>
      <c r="Z270" s="71"/>
      <c r="AA270" s="71"/>
      <c r="AB270" s="71"/>
      <c r="AC270" s="93"/>
      <c r="AD270" s="71"/>
      <c r="AE270" s="84"/>
      <c r="AF270" s="71"/>
      <c r="AG270" s="71"/>
      <c r="AH270" s="71"/>
      <c r="AI270" s="93"/>
      <c r="AJ270" s="71"/>
      <c r="AK270" s="84"/>
      <c r="AL270" s="71"/>
      <c r="AM270" s="71"/>
      <c r="AN270" s="71"/>
      <c r="AO270" s="93"/>
      <c r="AP270" s="71"/>
      <c r="AQ270" s="84"/>
      <c r="AR270" s="71"/>
      <c r="AS270" s="71"/>
      <c r="AT270" s="71"/>
      <c r="AU270" s="93"/>
      <c r="AV270" s="71"/>
      <c r="AW270" s="84"/>
      <c r="AX270" s="71"/>
      <c r="AY270" s="71"/>
      <c r="AZ270" s="71"/>
      <c r="BA270" s="93"/>
      <c r="BB270" s="71"/>
      <c r="BC270" s="778">
        <v>0.4</v>
      </c>
      <c r="BD270" s="779">
        <v>0.4</v>
      </c>
      <c r="BE270" s="779">
        <v>0.4</v>
      </c>
      <c r="BF270" s="779">
        <v>0.4</v>
      </c>
      <c r="BG270" s="540">
        <f>+BF270</f>
        <v>0.4</v>
      </c>
      <c r="BH270" s="71"/>
      <c r="BI270" s="778">
        <v>0.5</v>
      </c>
      <c r="BJ270" s="779">
        <v>0.5</v>
      </c>
      <c r="BK270" s="779">
        <v>0.5</v>
      </c>
      <c r="BL270" s="779">
        <v>0.5</v>
      </c>
      <c r="BM270" s="540">
        <f>+BL270</f>
        <v>0.5</v>
      </c>
      <c r="BN270" s="71"/>
      <c r="BO270" s="778">
        <v>0.5</v>
      </c>
      <c r="BP270" s="779">
        <v>0.5</v>
      </c>
      <c r="BQ270" s="779">
        <v>0.5</v>
      </c>
      <c r="BR270" s="779">
        <v>0.5</v>
      </c>
      <c r="BS270" s="540">
        <f t="shared" ref="BS270" si="590">+BR270</f>
        <v>0.5</v>
      </c>
      <c r="BT270" s="71"/>
      <c r="BU270" s="778">
        <v>0.5</v>
      </c>
      <c r="BV270" s="779">
        <v>0.5</v>
      </c>
      <c r="BW270" s="779">
        <v>0.5</v>
      </c>
      <c r="BX270" s="779">
        <v>0.5</v>
      </c>
      <c r="BY270" s="540">
        <f t="shared" ref="BY270" si="591">+BX270</f>
        <v>0.5</v>
      </c>
      <c r="BZ270" s="71"/>
      <c r="CA270" s="778">
        <v>0.5</v>
      </c>
      <c r="CB270" s="779">
        <v>0.5</v>
      </c>
      <c r="CC270" s="779">
        <v>0.5</v>
      </c>
      <c r="CD270" s="779">
        <v>0.5</v>
      </c>
      <c r="CE270" s="540">
        <f t="shared" ref="CE270" si="592">+CD270</f>
        <v>0.5</v>
      </c>
      <c r="CF270" s="71"/>
      <c r="CG270" s="778">
        <v>0.5</v>
      </c>
      <c r="CH270" s="779">
        <v>0.5</v>
      </c>
      <c r="CI270" s="779">
        <v>0.5</v>
      </c>
      <c r="CJ270" s="779">
        <v>0.5</v>
      </c>
      <c r="CK270" s="540">
        <f t="shared" ref="CK270:CK271" si="593">+CJ270</f>
        <v>0.5</v>
      </c>
      <c r="CL270" s="932"/>
      <c r="CM270" s="778">
        <v>0.5</v>
      </c>
      <c r="CN270" s="779">
        <v>0.5</v>
      </c>
      <c r="CO270" s="779">
        <v>0.5</v>
      </c>
      <c r="CP270" s="809">
        <f>50%/75%</f>
        <v>0.66666666666666663</v>
      </c>
      <c r="CQ270" s="540">
        <f t="shared" ref="CQ270:CQ271" si="594">+CP270</f>
        <v>0.66666666666666663</v>
      </c>
      <c r="CR270" s="932"/>
      <c r="CS270" s="808">
        <f>50%/75%</f>
        <v>0.66666666666666663</v>
      </c>
      <c r="CT270" s="809">
        <f t="shared" ref="CT270:CV270" si="595">50%/75%</f>
        <v>0.66666666666666663</v>
      </c>
      <c r="CU270" s="809">
        <f t="shared" si="595"/>
        <v>0.66666666666666663</v>
      </c>
      <c r="CV270" s="809">
        <f t="shared" si="595"/>
        <v>0.66666666666666663</v>
      </c>
      <c r="CW270" s="540">
        <f t="shared" ref="CW270:CW271" si="596">+CV270</f>
        <v>0.66666666666666663</v>
      </c>
      <c r="CX270" s="541"/>
      <c r="CY270" s="808">
        <f>50%/75%</f>
        <v>0.66666666666666663</v>
      </c>
      <c r="CZ270" s="809">
        <f t="shared" ref="CZ270:DB270" si="597">50%/75%</f>
        <v>0.66666666666666663</v>
      </c>
      <c r="DA270" s="809">
        <f t="shared" si="597"/>
        <v>0.66666666666666663</v>
      </c>
      <c r="DB270" s="809">
        <f t="shared" si="597"/>
        <v>0.66666666666666663</v>
      </c>
      <c r="DC270" s="540">
        <f t="shared" ref="DC270:DC271" si="598">+DB270</f>
        <v>0.66666666666666663</v>
      </c>
      <c r="DD270" s="932"/>
      <c r="DE270" s="808">
        <f t="shared" si="588"/>
        <v>0.66666666666666663</v>
      </c>
      <c r="DF270" s="1199">
        <f>50%/75%</f>
        <v>0.66666666666666663</v>
      </c>
      <c r="DG270" s="1199">
        <f>50%/75%</f>
        <v>0.66666666666666663</v>
      </c>
      <c r="DH270" s="1322">
        <f>50%/75%</f>
        <v>0.66666666666666663</v>
      </c>
      <c r="DI270" s="540">
        <f t="shared" ref="DI270:DI271" si="599">+DH270</f>
        <v>0.66666666666666663</v>
      </c>
      <c r="DJ270" s="509"/>
      <c r="DK270" s="808">
        <f t="shared" si="589"/>
        <v>0.66666666666666663</v>
      </c>
      <c r="DL270" s="1304">
        <f t="shared" ref="DL270:DN270" si="600">50%/75%</f>
        <v>0.66666666666666663</v>
      </c>
      <c r="DM270" s="1304">
        <f t="shared" si="600"/>
        <v>0.66666666666666663</v>
      </c>
      <c r="DN270" s="1304">
        <f t="shared" si="600"/>
        <v>0.66666666666666663</v>
      </c>
      <c r="DO270" s="792">
        <f>50%/75%</f>
        <v>0.66666666666666663</v>
      </c>
      <c r="DP270" s="509"/>
      <c r="DQ270" s="1303">
        <f t="shared" ref="DQ270:DT270" si="601">50%/75%</f>
        <v>0.66666666666666663</v>
      </c>
      <c r="DR270" s="1304">
        <f t="shared" si="601"/>
        <v>0.66666666666666663</v>
      </c>
      <c r="DS270" s="1304">
        <f t="shared" si="601"/>
        <v>0.66666666666666663</v>
      </c>
      <c r="DT270" s="1304">
        <f t="shared" si="601"/>
        <v>0.66666666666666663</v>
      </c>
      <c r="DU270" s="792">
        <f>50%/75%</f>
        <v>0.66666666666666663</v>
      </c>
      <c r="DV270" s="509"/>
      <c r="DW270" s="897"/>
      <c r="DX270" s="898"/>
      <c r="DY270" s="898"/>
      <c r="DZ270" s="898"/>
      <c r="EA270" s="508"/>
      <c r="EB270" s="509"/>
      <c r="EC270" s="897"/>
      <c r="ED270" s="898"/>
      <c r="EE270" s="898"/>
      <c r="EF270" s="898"/>
      <c r="EG270" s="508"/>
    </row>
    <row r="271" spans="1:137" ht="11.25" customHeight="1" outlineLevel="1" x14ac:dyDescent="0.2">
      <c r="A271" s="1196" t="s">
        <v>661</v>
      </c>
      <c r="B271" s="14"/>
      <c r="C271" s="14"/>
      <c r="D271" s="14"/>
      <c r="E271" s="93"/>
      <c r="F271" s="71"/>
      <c r="G271" s="93"/>
      <c r="H271" s="71"/>
      <c r="I271" s="93"/>
      <c r="J271" s="71"/>
      <c r="K271" s="93"/>
      <c r="L271" s="71"/>
      <c r="M271" s="84"/>
      <c r="N271" s="71"/>
      <c r="O271" s="71"/>
      <c r="P271" s="71"/>
      <c r="Q271" s="93"/>
      <c r="R271" s="71"/>
      <c r="S271" s="84"/>
      <c r="T271" s="71"/>
      <c r="U271" s="71"/>
      <c r="V271" s="71"/>
      <c r="W271" s="93"/>
      <c r="X271" s="71"/>
      <c r="Y271" s="84"/>
      <c r="Z271" s="71"/>
      <c r="AA271" s="71"/>
      <c r="AB271" s="71"/>
      <c r="AC271" s="93"/>
      <c r="AD271" s="71"/>
      <c r="AE271" s="84"/>
      <c r="AF271" s="71"/>
      <c r="AG271" s="71"/>
      <c r="AH271" s="71"/>
      <c r="AI271" s="93"/>
      <c r="AJ271" s="71"/>
      <c r="AK271" s="84"/>
      <c r="AL271" s="71"/>
      <c r="AM271" s="71"/>
      <c r="AN271" s="71"/>
      <c r="AO271" s="93"/>
      <c r="AP271" s="71"/>
      <c r="AQ271" s="84"/>
      <c r="AR271" s="71"/>
      <c r="AS271" s="71"/>
      <c r="AT271" s="71"/>
      <c r="AU271" s="93"/>
      <c r="AV271" s="71"/>
      <c r="AW271" s="84"/>
      <c r="AX271" s="71"/>
      <c r="AY271" s="71"/>
      <c r="AZ271" s="71"/>
      <c r="BA271" s="93"/>
      <c r="BB271" s="71"/>
      <c r="BC271" s="778">
        <f>100%-BC270</f>
        <v>0.6</v>
      </c>
      <c r="BD271" s="779">
        <f t="shared" ref="BD271" si="602">100%-BD270</f>
        <v>0.6</v>
      </c>
      <c r="BE271" s="779">
        <f t="shared" ref="BE271" si="603">100%-BE270</f>
        <v>0.6</v>
      </c>
      <c r="BF271" s="779">
        <f t="shared" ref="BF271" si="604">100%-BF270</f>
        <v>0.6</v>
      </c>
      <c r="BG271" s="540">
        <f>+BF271</f>
        <v>0.6</v>
      </c>
      <c r="BH271" s="71"/>
      <c r="BI271" s="778">
        <f>100%-BI270</f>
        <v>0.5</v>
      </c>
      <c r="BJ271" s="779">
        <f t="shared" ref="BJ271:BL271" si="605">100%-BJ270</f>
        <v>0.5</v>
      </c>
      <c r="BK271" s="779">
        <f t="shared" si="605"/>
        <v>0.5</v>
      </c>
      <c r="BL271" s="779">
        <f t="shared" si="605"/>
        <v>0.5</v>
      </c>
      <c r="BM271" s="540">
        <f>+BL271</f>
        <v>0.5</v>
      </c>
      <c r="BN271" s="71"/>
      <c r="BO271" s="778">
        <f t="shared" ref="BO271:BR271" si="606">100%-BO270</f>
        <v>0.5</v>
      </c>
      <c r="BP271" s="779">
        <f t="shared" si="606"/>
        <v>0.5</v>
      </c>
      <c r="BQ271" s="779">
        <f t="shared" si="606"/>
        <v>0.5</v>
      </c>
      <c r="BR271" s="779">
        <f t="shared" si="606"/>
        <v>0.5</v>
      </c>
      <c r="BS271" s="540">
        <f t="shared" ref="BS271" si="607">+BR271</f>
        <v>0.5</v>
      </c>
      <c r="BT271" s="71"/>
      <c r="BU271" s="778">
        <f t="shared" ref="BU271:BX271" si="608">100%-BU270</f>
        <v>0.5</v>
      </c>
      <c r="BV271" s="779">
        <f t="shared" si="608"/>
        <v>0.5</v>
      </c>
      <c r="BW271" s="779">
        <f t="shared" si="608"/>
        <v>0.5</v>
      </c>
      <c r="BX271" s="779">
        <f t="shared" si="608"/>
        <v>0.5</v>
      </c>
      <c r="BY271" s="540">
        <f t="shared" ref="BY271" si="609">+BX271</f>
        <v>0.5</v>
      </c>
      <c r="BZ271" s="71"/>
      <c r="CA271" s="778">
        <f t="shared" ref="CA271:CD271" si="610">100%-CA270</f>
        <v>0.5</v>
      </c>
      <c r="CB271" s="779">
        <f t="shared" si="610"/>
        <v>0.5</v>
      </c>
      <c r="CC271" s="779">
        <f t="shared" si="610"/>
        <v>0.5</v>
      </c>
      <c r="CD271" s="779">
        <f t="shared" si="610"/>
        <v>0.5</v>
      </c>
      <c r="CE271" s="540">
        <f t="shared" ref="CE271" si="611">+CD271</f>
        <v>0.5</v>
      </c>
      <c r="CF271" s="71"/>
      <c r="CG271" s="778">
        <f t="shared" ref="CG271:CJ271" si="612">100%-CG270</f>
        <v>0.5</v>
      </c>
      <c r="CH271" s="779">
        <f t="shared" si="612"/>
        <v>0.5</v>
      </c>
      <c r="CI271" s="779">
        <f t="shared" si="612"/>
        <v>0.5</v>
      </c>
      <c r="CJ271" s="779">
        <f t="shared" si="612"/>
        <v>0.5</v>
      </c>
      <c r="CK271" s="540">
        <f t="shared" si="593"/>
        <v>0.5</v>
      </c>
      <c r="CL271" s="932"/>
      <c r="CM271" s="778">
        <f t="shared" ref="CM271" si="613">100%-CM270</f>
        <v>0.5</v>
      </c>
      <c r="CN271" s="779">
        <f t="shared" ref="CN271" si="614">100%-CN270</f>
        <v>0.5</v>
      </c>
      <c r="CO271" s="779">
        <f t="shared" ref="CO271" si="615">100%-CO270</f>
        <v>0.5</v>
      </c>
      <c r="CP271" s="809">
        <f>25%/75%</f>
        <v>0.33333333333333331</v>
      </c>
      <c r="CQ271" s="540">
        <f t="shared" si="594"/>
        <v>0.33333333333333331</v>
      </c>
      <c r="CR271" s="932"/>
      <c r="CS271" s="808">
        <f>25%/75%</f>
        <v>0.33333333333333331</v>
      </c>
      <c r="CT271" s="809">
        <f t="shared" ref="CT271:CV271" si="616">25%/75%</f>
        <v>0.33333333333333331</v>
      </c>
      <c r="CU271" s="809">
        <f t="shared" si="616"/>
        <v>0.33333333333333331</v>
      </c>
      <c r="CV271" s="809">
        <f t="shared" si="616"/>
        <v>0.33333333333333331</v>
      </c>
      <c r="CW271" s="540">
        <f t="shared" si="596"/>
        <v>0.33333333333333331</v>
      </c>
      <c r="CX271" s="541"/>
      <c r="CY271" s="808">
        <f>25%/75%</f>
        <v>0.33333333333333331</v>
      </c>
      <c r="CZ271" s="809">
        <f t="shared" ref="CZ271:DB271" si="617">25%/75%</f>
        <v>0.33333333333333331</v>
      </c>
      <c r="DA271" s="809">
        <f t="shared" si="617"/>
        <v>0.33333333333333331</v>
      </c>
      <c r="DB271" s="809">
        <f t="shared" si="617"/>
        <v>0.33333333333333331</v>
      </c>
      <c r="DC271" s="540">
        <f t="shared" si="598"/>
        <v>0.33333333333333331</v>
      </c>
      <c r="DD271" s="932"/>
      <c r="DE271" s="1201">
        <f t="shared" si="588"/>
        <v>0.33333333333333331</v>
      </c>
      <c r="DF271" s="1199">
        <f>25%/75%</f>
        <v>0.33333333333333331</v>
      </c>
      <c r="DG271" s="1199">
        <f>25%/75%</f>
        <v>0.33333333333333331</v>
      </c>
      <c r="DH271" s="1322">
        <f>25%/75%</f>
        <v>0.33333333333333331</v>
      </c>
      <c r="DI271" s="540">
        <f t="shared" si="599"/>
        <v>0.33333333333333331</v>
      </c>
      <c r="DJ271" s="509"/>
      <c r="DK271" s="1201">
        <f t="shared" si="589"/>
        <v>0.33333333333333331</v>
      </c>
      <c r="DL271" s="1304">
        <f t="shared" ref="DL271:DN271" si="618">25%/75%</f>
        <v>0.33333333333333331</v>
      </c>
      <c r="DM271" s="1304">
        <f t="shared" si="618"/>
        <v>0.33333333333333331</v>
      </c>
      <c r="DN271" s="1304">
        <f t="shared" si="618"/>
        <v>0.33333333333333331</v>
      </c>
      <c r="DO271" s="792">
        <f>25%/75%</f>
        <v>0.33333333333333331</v>
      </c>
      <c r="DP271" s="509"/>
      <c r="DQ271" s="1303">
        <f t="shared" ref="DQ271:DT271" si="619">25%/75%</f>
        <v>0.33333333333333331</v>
      </c>
      <c r="DR271" s="1304">
        <f t="shared" si="619"/>
        <v>0.33333333333333331</v>
      </c>
      <c r="DS271" s="1304">
        <f t="shared" si="619"/>
        <v>0.33333333333333331</v>
      </c>
      <c r="DT271" s="1304">
        <f t="shared" si="619"/>
        <v>0.33333333333333331</v>
      </c>
      <c r="DU271" s="792">
        <f>25%/75%</f>
        <v>0.33333333333333331</v>
      </c>
      <c r="DV271" s="509"/>
      <c r="DW271" s="897"/>
      <c r="DX271" s="898"/>
      <c r="DY271" s="898"/>
      <c r="DZ271" s="898"/>
      <c r="EA271" s="508"/>
      <c r="EB271" s="509"/>
      <c r="EC271" s="897"/>
      <c r="ED271" s="898"/>
      <c r="EE271" s="898"/>
      <c r="EF271" s="898"/>
      <c r="EG271" s="508"/>
    </row>
    <row r="272" spans="1:137" ht="11.25" customHeight="1" outlineLevel="1" x14ac:dyDescent="0.2">
      <c r="A272" s="106" t="s">
        <v>651</v>
      </c>
      <c r="B272" s="74"/>
      <c r="C272" s="74"/>
      <c r="D272" s="74"/>
      <c r="E272" s="107"/>
      <c r="F272" s="75"/>
      <c r="G272" s="107"/>
      <c r="H272" s="75"/>
      <c r="I272" s="107"/>
      <c r="J272" s="75"/>
      <c r="K272" s="107"/>
      <c r="L272" s="75"/>
      <c r="M272" s="109"/>
      <c r="N272" s="110"/>
      <c r="O272" s="110"/>
      <c r="P272" s="110"/>
      <c r="Q272" s="107"/>
      <c r="R272" s="75"/>
      <c r="S272" s="109"/>
      <c r="T272" s="110"/>
      <c r="U272" s="110"/>
      <c r="V272" s="110"/>
      <c r="W272" s="107"/>
      <c r="X272" s="75"/>
      <c r="Y272" s="109"/>
      <c r="Z272" s="110"/>
      <c r="AA272" s="110"/>
      <c r="AB272" s="110"/>
      <c r="AC272" s="107"/>
      <c r="AD272" s="75"/>
      <c r="AE272" s="109"/>
      <c r="AF272" s="110"/>
      <c r="AG272" s="110"/>
      <c r="AH272" s="110"/>
      <c r="AI272" s="107"/>
      <c r="AJ272" s="75"/>
      <c r="AK272" s="109"/>
      <c r="AL272" s="110"/>
      <c r="AM272" s="110"/>
      <c r="AN272" s="110"/>
      <c r="AO272" s="107"/>
      <c r="AP272" s="75"/>
      <c r="AQ272" s="109"/>
      <c r="AR272" s="110"/>
      <c r="AS272" s="110"/>
      <c r="AT272" s="110"/>
      <c r="AU272" s="107"/>
      <c r="AV272" s="75"/>
      <c r="AW272" s="109"/>
      <c r="AX272" s="110"/>
      <c r="AY272" s="110"/>
      <c r="AZ272" s="110"/>
      <c r="BA272" s="107"/>
      <c r="BB272" s="75"/>
      <c r="BC272" s="109"/>
      <c r="BD272" s="110"/>
      <c r="BE272" s="110"/>
      <c r="BF272" s="110"/>
      <c r="BG272" s="107"/>
      <c r="BH272" s="75"/>
      <c r="BI272" s="109"/>
      <c r="BJ272" s="110"/>
      <c r="BK272" s="110"/>
      <c r="BL272" s="110"/>
      <c r="BM272" s="107"/>
      <c r="BN272" s="75"/>
      <c r="BO272" s="109"/>
      <c r="BP272" s="110"/>
      <c r="BQ272" s="110"/>
      <c r="BR272" s="110"/>
      <c r="BS272" s="107"/>
      <c r="BT272" s="75"/>
      <c r="BU272" s="109"/>
      <c r="BV272" s="110"/>
      <c r="BW272" s="110"/>
      <c r="BX272" s="110"/>
      <c r="BY272" s="107"/>
      <c r="BZ272" s="75"/>
      <c r="CA272" s="109"/>
      <c r="CB272" s="110"/>
      <c r="CC272" s="110"/>
      <c r="CD272" s="110"/>
      <c r="CE272" s="107"/>
      <c r="CF272" s="75"/>
      <c r="CG272" s="109"/>
      <c r="CH272" s="110"/>
      <c r="CI272" s="110"/>
      <c r="CJ272" s="110"/>
      <c r="CK272" s="107"/>
      <c r="CL272" s="75"/>
      <c r="CM272" s="109"/>
      <c r="CN272" s="110"/>
      <c r="CO272" s="110"/>
      <c r="CP272" s="110"/>
      <c r="CQ272" s="107"/>
      <c r="CR272" s="75"/>
      <c r="CS272" s="109"/>
      <c r="CT272" s="110"/>
      <c r="CU272" s="110"/>
      <c r="CV272" s="110"/>
      <c r="CW272" s="107"/>
      <c r="CX272" s="75"/>
      <c r="CY272" s="109"/>
      <c r="CZ272" s="110"/>
      <c r="DA272" s="110"/>
      <c r="DB272" s="110"/>
      <c r="DC272" s="107"/>
      <c r="DD272" s="75"/>
      <c r="DE272" s="109"/>
      <c r="DF272" s="110"/>
      <c r="DG272" s="110"/>
      <c r="DH272" s="110"/>
      <c r="DI272" s="107"/>
      <c r="DJ272" s="75"/>
      <c r="DK272" s="109"/>
      <c r="DL272" s="110"/>
      <c r="DM272" s="110"/>
      <c r="DN272" s="110"/>
      <c r="DO272" s="107"/>
      <c r="DP272" s="75"/>
      <c r="DQ272" s="109"/>
      <c r="DR272" s="110"/>
      <c r="DS272" s="110"/>
      <c r="DT272" s="110"/>
      <c r="DU272" s="107"/>
      <c r="DV272" s="75"/>
      <c r="DW272" s="109"/>
      <c r="DX272" s="110"/>
      <c r="DY272" s="110"/>
      <c r="DZ272" s="110"/>
      <c r="EA272" s="107"/>
      <c r="EB272" s="75"/>
      <c r="EC272" s="109"/>
      <c r="ED272" s="110"/>
      <c r="EE272" s="110"/>
      <c r="EF272" s="110"/>
      <c r="EG272" s="107"/>
    </row>
    <row r="273" spans="1:137" ht="11.25" customHeight="1" outlineLevel="1" x14ac:dyDescent="0.2">
      <c r="A273" s="50" t="s">
        <v>652</v>
      </c>
      <c r="B273" s="14"/>
      <c r="C273" s="14"/>
      <c r="D273" s="14"/>
      <c r="E273" s="93"/>
      <c r="F273" s="71"/>
      <c r="G273" s="93"/>
      <c r="H273" s="71"/>
      <c r="I273" s="93"/>
      <c r="J273" s="71"/>
      <c r="K273" s="93"/>
      <c r="L273" s="71"/>
      <c r="M273" s="84"/>
      <c r="N273" s="71"/>
      <c r="O273" s="71"/>
      <c r="P273" s="71"/>
      <c r="Q273" s="93"/>
      <c r="R273" s="71"/>
      <c r="S273" s="84"/>
      <c r="T273" s="71"/>
      <c r="U273" s="71"/>
      <c r="V273" s="71"/>
      <c r="W273" s="93"/>
      <c r="X273" s="71"/>
      <c r="Y273" s="84"/>
      <c r="Z273" s="71"/>
      <c r="AA273" s="71"/>
      <c r="AB273" s="71"/>
      <c r="AC273" s="93"/>
      <c r="AD273" s="71"/>
      <c r="AE273" s="84"/>
      <c r="AF273" s="71"/>
      <c r="AG273" s="71"/>
      <c r="AH273" s="71"/>
      <c r="AI273" s="93"/>
      <c r="AJ273" s="71"/>
      <c r="AK273" s="84"/>
      <c r="AL273" s="71"/>
      <c r="AM273" s="71"/>
      <c r="AN273" s="71"/>
      <c r="AO273" s="93"/>
      <c r="AP273" s="71"/>
      <c r="AQ273" s="84"/>
      <c r="AR273" s="71"/>
      <c r="AS273" s="71"/>
      <c r="AT273" s="71"/>
      <c r="AU273" s="93"/>
      <c r="AV273" s="71"/>
      <c r="AW273" s="84"/>
      <c r="AX273" s="71"/>
      <c r="AY273" s="71"/>
      <c r="AZ273" s="71"/>
      <c r="BA273" s="93"/>
      <c r="BB273" s="71"/>
      <c r="BC273" s="84"/>
      <c r="BD273" s="71"/>
      <c r="BE273" s="71"/>
      <c r="BF273" s="71"/>
      <c r="BG273" s="540"/>
      <c r="BH273" s="71"/>
      <c r="BI273" s="84"/>
      <c r="BJ273" s="71"/>
      <c r="BK273" s="71"/>
      <c r="BL273" s="71"/>
      <c r="BM273" s="540"/>
      <c r="BN273" s="71"/>
      <c r="BO273" s="82"/>
      <c r="BP273" s="67"/>
      <c r="BQ273" s="67"/>
      <c r="BR273" s="67"/>
      <c r="BS273" s="540"/>
      <c r="BT273" s="71"/>
      <c r="BU273" s="510"/>
      <c r="BV273" s="509"/>
      <c r="BW273" s="509"/>
      <c r="BX273" s="509"/>
      <c r="BY273" s="508"/>
      <c r="BZ273" s="507"/>
      <c r="CA273" s="510"/>
      <c r="CB273" s="509"/>
      <c r="CC273" s="509"/>
      <c r="CD273" s="509"/>
      <c r="CE273" s="508"/>
      <c r="CF273" s="507"/>
      <c r="CG273" s="510"/>
      <c r="CH273" s="509"/>
      <c r="CI273" s="509"/>
      <c r="CJ273" s="509"/>
      <c r="CK273" s="508"/>
      <c r="CL273" s="507"/>
      <c r="CM273" s="510"/>
      <c r="CN273" s="509"/>
      <c r="CO273" s="509"/>
      <c r="CP273" s="509"/>
      <c r="CQ273" s="508"/>
      <c r="CR273" s="507"/>
      <c r="CS273" s="510"/>
      <c r="CT273" s="509"/>
      <c r="CU273" s="509"/>
      <c r="CV273" s="509"/>
      <c r="CW273" s="508"/>
      <c r="CX273" s="71"/>
      <c r="CY273" s="506"/>
      <c r="CZ273" s="507"/>
      <c r="DA273" s="507"/>
      <c r="DB273" s="507"/>
      <c r="DC273" s="508"/>
      <c r="DD273" s="507"/>
      <c r="DE273" s="506"/>
      <c r="DF273" s="507"/>
      <c r="DG273" s="507"/>
      <c r="DH273" s="898"/>
      <c r="DI273" s="508"/>
      <c r="DJ273" s="509"/>
      <c r="DK273" s="897"/>
      <c r="DL273" s="898"/>
      <c r="DM273" s="898"/>
      <c r="DN273" s="898"/>
      <c r="DO273" s="508"/>
      <c r="DP273" s="509"/>
      <c r="DQ273" s="897"/>
      <c r="DR273" s="898"/>
      <c r="DS273" s="898"/>
      <c r="DT273" s="898"/>
      <c r="DU273" s="508"/>
      <c r="DV273" s="509"/>
      <c r="DW273" s="897"/>
      <c r="DX273" s="898"/>
      <c r="DY273" s="898"/>
      <c r="DZ273" s="898"/>
      <c r="EA273" s="508"/>
      <c r="EB273" s="509"/>
      <c r="EC273" s="897"/>
      <c r="ED273" s="898"/>
      <c r="EE273" s="898"/>
      <c r="EF273" s="898"/>
      <c r="EG273" s="508"/>
    </row>
    <row r="274" spans="1:137" ht="11.25" customHeight="1" outlineLevel="1" x14ac:dyDescent="0.2">
      <c r="A274" s="1205" t="s">
        <v>653</v>
      </c>
      <c r="B274" s="14"/>
      <c r="C274" s="14"/>
      <c r="D274" s="14"/>
      <c r="E274" s="93"/>
      <c r="F274" s="71"/>
      <c r="G274" s="93"/>
      <c r="H274" s="71"/>
      <c r="I274" s="93"/>
      <c r="J274" s="71"/>
      <c r="K274" s="93"/>
      <c r="L274" s="71"/>
      <c r="M274" s="84"/>
      <c r="N274" s="71"/>
      <c r="O274" s="71"/>
      <c r="P274" s="71"/>
      <c r="Q274" s="93"/>
      <c r="R274" s="71"/>
      <c r="S274" s="84"/>
      <c r="T274" s="71"/>
      <c r="U274" s="71"/>
      <c r="V274" s="71"/>
      <c r="W274" s="93"/>
      <c r="X274" s="71"/>
      <c r="Y274" s="84"/>
      <c r="Z274" s="71"/>
      <c r="AA274" s="71"/>
      <c r="AB274" s="71"/>
      <c r="AC274" s="93"/>
      <c r="AD274" s="71"/>
      <c r="AE274" s="84"/>
      <c r="AF274" s="71"/>
      <c r="AG274" s="71"/>
      <c r="AH274" s="71"/>
      <c r="AI274" s="93"/>
      <c r="AJ274" s="71"/>
      <c r="AK274" s="84"/>
      <c r="AL274" s="71"/>
      <c r="AM274" s="71"/>
      <c r="AN274" s="71"/>
      <c r="AO274" s="93"/>
      <c r="AP274" s="71"/>
      <c r="AQ274" s="84"/>
      <c r="AR274" s="71"/>
      <c r="AS274" s="71"/>
      <c r="AT274" s="71"/>
      <c r="AU274" s="93"/>
      <c r="AV274" s="71"/>
      <c r="AW274" s="84"/>
      <c r="AX274" s="71"/>
      <c r="AY274" s="71"/>
      <c r="AZ274" s="71"/>
      <c r="BA274" s="93"/>
      <c r="BB274" s="71"/>
      <c r="BC274" s="82">
        <f t="shared" ref="BC274:BG275" si="620">BC$213*BC279</f>
        <v>177.11545649600001</v>
      </c>
      <c r="BD274" s="67">
        <f t="shared" si="620"/>
        <v>209.98042940159996</v>
      </c>
      <c r="BE274" s="67">
        <f t="shared" si="620"/>
        <v>203.14503818047999</v>
      </c>
      <c r="BF274" s="67">
        <f t="shared" si="620"/>
        <v>199.78799635266557</v>
      </c>
      <c r="BG274" s="93">
        <f t="shared" si="620"/>
        <v>790.02892043074553</v>
      </c>
      <c r="BH274" s="71"/>
      <c r="BI274" s="82">
        <f t="shared" ref="BI274:BM275" si="621">BI$213*BI279</f>
        <v>161.93800000000002</v>
      </c>
      <c r="BJ274" s="67">
        <f t="shared" si="621"/>
        <v>167.05500000000001</v>
      </c>
      <c r="BK274" s="67">
        <f t="shared" si="621"/>
        <v>173.24700000000001</v>
      </c>
      <c r="BL274" s="67">
        <f t="shared" si="621"/>
        <v>210.27</v>
      </c>
      <c r="BM274" s="93">
        <f t="shared" si="621"/>
        <v>712.5100000000001</v>
      </c>
      <c r="BN274" s="71"/>
      <c r="BO274" s="82">
        <f t="shared" ref="BO274:BS275" si="622">BO$213*BO279</f>
        <v>181.35600000000002</v>
      </c>
      <c r="BP274" s="67">
        <f t="shared" si="622"/>
        <v>179.88600000000002</v>
      </c>
      <c r="BQ274" s="67">
        <f t="shared" si="622"/>
        <v>186.06000000000003</v>
      </c>
      <c r="BR274" s="67">
        <f t="shared" si="622"/>
        <v>219.03000000000003</v>
      </c>
      <c r="BS274" s="93">
        <f t="shared" si="622"/>
        <v>766.33199999999999</v>
      </c>
      <c r="BT274" s="71"/>
      <c r="BU274" s="82">
        <f t="shared" ref="BU274:BY275" si="623">BU$213*BU279</f>
        <v>203.93999999999997</v>
      </c>
      <c r="BV274" s="67">
        <f t="shared" si="623"/>
        <v>222.06799999999996</v>
      </c>
      <c r="BW274" s="67">
        <f t="shared" si="623"/>
        <v>216.74399999999997</v>
      </c>
      <c r="BX274" s="67">
        <f t="shared" si="623"/>
        <v>242.1759999999999</v>
      </c>
      <c r="BY274" s="93">
        <f t="shared" si="623"/>
        <v>884.92799999999988</v>
      </c>
      <c r="BZ274" s="507"/>
      <c r="CA274" s="82">
        <f t="shared" ref="CA274:CE275" si="624">CA$213*CA279</f>
        <v>213.76199999999997</v>
      </c>
      <c r="CB274" s="67">
        <f t="shared" si="624"/>
        <v>229.44799999999998</v>
      </c>
      <c r="CC274" s="67">
        <f t="shared" si="624"/>
        <v>224.89399999999998</v>
      </c>
      <c r="CD274" s="67">
        <f t="shared" si="624"/>
        <v>262.43</v>
      </c>
      <c r="CE274" s="93">
        <f t="shared" si="624"/>
        <v>930.53399999999999</v>
      </c>
      <c r="CF274" s="507"/>
      <c r="CG274" s="82">
        <f t="shared" ref="CG274:CK275" si="625">CG$213*CG279</f>
        <v>225.506</v>
      </c>
      <c r="CH274" s="67">
        <f t="shared" si="625"/>
        <v>241.90900000000002</v>
      </c>
      <c r="CI274" s="67">
        <f t="shared" si="625"/>
        <v>239.79399999999998</v>
      </c>
      <c r="CJ274" s="67">
        <f t="shared" si="625"/>
        <v>277.39400000000001</v>
      </c>
      <c r="CK274" s="93">
        <f t="shared" si="625"/>
        <v>984.60299999999995</v>
      </c>
      <c r="CL274" s="507"/>
      <c r="CM274" s="82">
        <f t="shared" ref="CM274:CQ275" si="626">CM$213*CM279</f>
        <v>234.46199999999999</v>
      </c>
      <c r="CN274" s="67">
        <f t="shared" si="626"/>
        <v>242.92599999999999</v>
      </c>
      <c r="CO274" s="67">
        <f t="shared" si="626"/>
        <v>243.06399999999996</v>
      </c>
      <c r="CP274" s="67">
        <f t="shared" si="626"/>
        <v>288.37400000000002</v>
      </c>
      <c r="CQ274" s="93">
        <f t="shared" si="626"/>
        <v>1008.8259999999999</v>
      </c>
      <c r="CR274" s="507"/>
      <c r="CS274" s="82">
        <f t="shared" ref="CS274:CW275" si="627">CS$213*CS279</f>
        <v>304.70399999999995</v>
      </c>
      <c r="CT274" s="67">
        <f t="shared" si="627"/>
        <v>316.29599999999999</v>
      </c>
      <c r="CU274" s="67">
        <f t="shared" si="627"/>
        <v>300.012</v>
      </c>
      <c r="CV274" s="67">
        <f t="shared" si="627"/>
        <v>337.91600000000005</v>
      </c>
      <c r="CW274" s="93">
        <f t="shared" si="627"/>
        <v>1258.9279999999999</v>
      </c>
      <c r="CX274" s="71"/>
      <c r="CY274" s="82">
        <f t="shared" ref="CY274:DC275" si="628">CY$213*CY279</f>
        <v>301.71399999999994</v>
      </c>
      <c r="CZ274" s="67">
        <f t="shared" si="628"/>
        <v>328.71600000000001</v>
      </c>
      <c r="DA274" s="67">
        <f t="shared" si="628"/>
        <v>310.77600000000001</v>
      </c>
      <c r="DB274" s="67">
        <f t="shared" si="628"/>
        <v>340.07799999999997</v>
      </c>
      <c r="DC274" s="93">
        <f t="shared" si="628"/>
        <v>1281.2839999999997</v>
      </c>
      <c r="DD274" s="507"/>
      <c r="DE274" s="82">
        <f t="shared" ref="DE274:DH275" si="629">DE$213*DE279</f>
        <v>301.52999999999997</v>
      </c>
      <c r="DF274" s="67">
        <f t="shared" si="629"/>
        <v>323.19599999999997</v>
      </c>
      <c r="DG274" s="67">
        <f t="shared" si="629"/>
        <v>319.23999999999995</v>
      </c>
      <c r="DH274" s="67">
        <f t="shared" si="629"/>
        <v>349.04799999999994</v>
      </c>
      <c r="DI274" s="93">
        <f t="shared" ref="DI274" si="630">DI$213*DI279</f>
        <v>1293.0139999999997</v>
      </c>
      <c r="DJ274" s="509"/>
      <c r="DK274" s="897"/>
      <c r="DL274" s="898"/>
      <c r="DM274" s="898"/>
      <c r="DN274" s="898"/>
      <c r="DO274" s="508"/>
      <c r="DP274" s="509"/>
      <c r="DQ274" s="897"/>
      <c r="DR274" s="898"/>
      <c r="DS274" s="898"/>
      <c r="DT274" s="898"/>
      <c r="DU274" s="508"/>
      <c r="DV274" s="509"/>
      <c r="DW274" s="897"/>
      <c r="DX274" s="898"/>
      <c r="DY274" s="898"/>
      <c r="DZ274" s="898"/>
      <c r="EA274" s="508"/>
      <c r="EB274" s="509"/>
      <c r="EC274" s="897"/>
      <c r="ED274" s="898"/>
      <c r="EE274" s="898"/>
      <c r="EF274" s="898"/>
      <c r="EG274" s="508"/>
    </row>
    <row r="275" spans="1:137" ht="11.25" customHeight="1" outlineLevel="1" x14ac:dyDescent="0.2">
      <c r="A275" s="51" t="s">
        <v>666</v>
      </c>
      <c r="B275" s="14"/>
      <c r="C275" s="14"/>
      <c r="D275" s="14"/>
      <c r="E275" s="93"/>
      <c r="F275" s="71"/>
      <c r="G275" s="93"/>
      <c r="H275" s="71"/>
      <c r="I275" s="93"/>
      <c r="J275" s="71"/>
      <c r="K275" s="93"/>
      <c r="L275" s="71"/>
      <c r="M275" s="84"/>
      <c r="N275" s="71"/>
      <c r="O275" s="71"/>
      <c r="P275" s="71"/>
      <c r="Q275" s="93"/>
      <c r="R275" s="71"/>
      <c r="S275" s="84"/>
      <c r="T275" s="71"/>
      <c r="U275" s="71"/>
      <c r="V275" s="71"/>
      <c r="W275" s="93"/>
      <c r="X275" s="71"/>
      <c r="Y275" s="84"/>
      <c r="Z275" s="71"/>
      <c r="AA275" s="71"/>
      <c r="AB275" s="71"/>
      <c r="AC275" s="93"/>
      <c r="AD275" s="71"/>
      <c r="AE275" s="84"/>
      <c r="AF275" s="71"/>
      <c r="AG275" s="71"/>
      <c r="AH275" s="71"/>
      <c r="AI275" s="93"/>
      <c r="AJ275" s="71"/>
      <c r="AK275" s="84"/>
      <c r="AL275" s="71"/>
      <c r="AM275" s="71"/>
      <c r="AN275" s="71"/>
      <c r="AO275" s="93"/>
      <c r="AP275" s="71"/>
      <c r="AQ275" s="84"/>
      <c r="AR275" s="71"/>
      <c r="AS275" s="71"/>
      <c r="AT275" s="71"/>
      <c r="AU275" s="93"/>
      <c r="AV275" s="71"/>
      <c r="AW275" s="84"/>
      <c r="AX275" s="71"/>
      <c r="AY275" s="71"/>
      <c r="AZ275" s="71"/>
      <c r="BA275" s="93"/>
      <c r="BB275" s="71"/>
      <c r="BC275" s="82">
        <f t="shared" si="620"/>
        <v>225.41967190400007</v>
      </c>
      <c r="BD275" s="67">
        <f t="shared" si="620"/>
        <v>267.24781923839998</v>
      </c>
      <c r="BE275" s="67">
        <f t="shared" si="620"/>
        <v>258.54823041152002</v>
      </c>
      <c r="BF275" s="67">
        <f t="shared" si="620"/>
        <v>254.27563172157443</v>
      </c>
      <c r="BG275" s="93">
        <f t="shared" si="620"/>
        <v>1005.4913532754945</v>
      </c>
      <c r="BH275" s="71"/>
      <c r="BI275" s="82">
        <f t="shared" si="621"/>
        <v>214.66200000000001</v>
      </c>
      <c r="BJ275" s="67">
        <f t="shared" si="621"/>
        <v>221.44499999999999</v>
      </c>
      <c r="BK275" s="67">
        <f t="shared" si="621"/>
        <v>229.65299999999996</v>
      </c>
      <c r="BL275" s="67">
        <f t="shared" si="621"/>
        <v>278.72999999999996</v>
      </c>
      <c r="BM275" s="93">
        <f t="shared" si="621"/>
        <v>944.4899999999999</v>
      </c>
      <c r="BN275" s="71"/>
      <c r="BO275" s="82">
        <f t="shared" si="622"/>
        <v>250.44399999999999</v>
      </c>
      <c r="BP275" s="67">
        <f t="shared" si="622"/>
        <v>248.41399999999999</v>
      </c>
      <c r="BQ275" s="67">
        <f t="shared" si="622"/>
        <v>256.94</v>
      </c>
      <c r="BR275" s="67">
        <f t="shared" si="622"/>
        <v>302.46999999999997</v>
      </c>
      <c r="BS275" s="93">
        <f t="shared" si="622"/>
        <v>1058.2679999999998</v>
      </c>
      <c r="BT275" s="71"/>
      <c r="BU275" s="82">
        <f t="shared" si="623"/>
        <v>259.56</v>
      </c>
      <c r="BV275" s="67">
        <f t="shared" si="623"/>
        <v>282.63200000000001</v>
      </c>
      <c r="BW275" s="67">
        <f t="shared" si="623"/>
        <v>275.85600000000005</v>
      </c>
      <c r="BX275" s="67">
        <f t="shared" si="623"/>
        <v>308.22399999999993</v>
      </c>
      <c r="BY275" s="93">
        <f t="shared" si="623"/>
        <v>1126.2720000000002</v>
      </c>
      <c r="BZ275" s="507"/>
      <c r="CA275" s="82">
        <f t="shared" si="624"/>
        <v>250.93800000000002</v>
      </c>
      <c r="CB275" s="67">
        <f t="shared" si="624"/>
        <v>269.35200000000003</v>
      </c>
      <c r="CC275" s="67">
        <f t="shared" si="624"/>
        <v>264.00600000000003</v>
      </c>
      <c r="CD275" s="67">
        <f t="shared" si="624"/>
        <v>308.07</v>
      </c>
      <c r="CE275" s="93">
        <f t="shared" si="624"/>
        <v>1092.3660000000002</v>
      </c>
      <c r="CF275" s="507"/>
      <c r="CG275" s="82">
        <f t="shared" si="625"/>
        <v>254.29400000000001</v>
      </c>
      <c r="CH275" s="67">
        <f t="shared" si="625"/>
        <v>272.79100000000005</v>
      </c>
      <c r="CI275" s="67">
        <f t="shared" si="625"/>
        <v>270.40600000000001</v>
      </c>
      <c r="CJ275" s="67">
        <f t="shared" si="625"/>
        <v>312.80600000000004</v>
      </c>
      <c r="CK275" s="93">
        <f t="shared" si="625"/>
        <v>1110.297</v>
      </c>
      <c r="CL275" s="507"/>
      <c r="CM275" s="82">
        <f t="shared" si="626"/>
        <v>275.238</v>
      </c>
      <c r="CN275" s="67">
        <f t="shared" si="626"/>
        <v>285.17400000000004</v>
      </c>
      <c r="CO275" s="67">
        <f t="shared" si="626"/>
        <v>285.33600000000001</v>
      </c>
      <c r="CP275" s="67">
        <f t="shared" si="626"/>
        <v>338.52600000000007</v>
      </c>
      <c r="CQ275" s="93">
        <f t="shared" si="626"/>
        <v>1184.2740000000001</v>
      </c>
      <c r="CR275" s="507"/>
      <c r="CS275" s="82">
        <f t="shared" si="627"/>
        <v>357.69600000000003</v>
      </c>
      <c r="CT275" s="67">
        <f t="shared" si="627"/>
        <v>371.30400000000003</v>
      </c>
      <c r="CU275" s="67">
        <f t="shared" si="627"/>
        <v>352.18800000000005</v>
      </c>
      <c r="CV275" s="67">
        <f t="shared" si="627"/>
        <v>396.68400000000008</v>
      </c>
      <c r="CW275" s="93">
        <f t="shared" si="627"/>
        <v>1477.8720000000003</v>
      </c>
      <c r="CX275" s="71"/>
      <c r="CY275" s="82">
        <f t="shared" si="628"/>
        <v>354.18600000000004</v>
      </c>
      <c r="CZ275" s="67">
        <f t="shared" si="628"/>
        <v>385.88400000000001</v>
      </c>
      <c r="DA275" s="67">
        <f t="shared" si="628"/>
        <v>364.82400000000001</v>
      </c>
      <c r="DB275" s="67">
        <f t="shared" si="628"/>
        <v>399.22199999999998</v>
      </c>
      <c r="DC275" s="93">
        <f t="shared" si="628"/>
        <v>1504.116</v>
      </c>
      <c r="DD275" s="507"/>
      <c r="DE275" s="82">
        <f t="shared" si="629"/>
        <v>353.97</v>
      </c>
      <c r="DF275" s="67">
        <f t="shared" si="629"/>
        <v>379.40400000000005</v>
      </c>
      <c r="DG275" s="67">
        <f t="shared" si="629"/>
        <v>374.76000000000005</v>
      </c>
      <c r="DH275" s="67">
        <f t="shared" si="629"/>
        <v>409.75200000000001</v>
      </c>
      <c r="DI275" s="93">
        <f t="shared" ref="DI275" si="631">DI$213*DI280</f>
        <v>1517.886</v>
      </c>
      <c r="DJ275" s="509"/>
      <c r="DK275" s="897"/>
      <c r="DL275" s="898"/>
      <c r="DM275" s="898"/>
      <c r="DN275" s="898"/>
      <c r="DO275" s="508"/>
      <c r="DP275" s="509"/>
      <c r="DQ275" s="897"/>
      <c r="DR275" s="898"/>
      <c r="DS275" s="898"/>
      <c r="DT275" s="898"/>
      <c r="DU275" s="508"/>
      <c r="DV275" s="509"/>
      <c r="DW275" s="897"/>
      <c r="DX275" s="898"/>
      <c r="DY275" s="898"/>
      <c r="DZ275" s="898"/>
      <c r="EA275" s="508"/>
      <c r="EB275" s="509"/>
      <c r="EC275" s="897"/>
      <c r="ED275" s="898"/>
      <c r="EE275" s="898"/>
      <c r="EF275" s="898"/>
      <c r="EG275" s="508"/>
    </row>
    <row r="276" spans="1:137" ht="11.25" customHeight="1" outlineLevel="1" x14ac:dyDescent="0.2">
      <c r="A276" s="50" t="s">
        <v>447</v>
      </c>
      <c r="B276" s="14"/>
      <c r="C276" s="14"/>
      <c r="D276" s="14"/>
      <c r="E276" s="93"/>
      <c r="F276" s="71"/>
      <c r="G276" s="93"/>
      <c r="H276" s="71"/>
      <c r="I276" s="93"/>
      <c r="J276" s="71"/>
      <c r="K276" s="93"/>
      <c r="L276" s="71"/>
      <c r="M276" s="84"/>
      <c r="N276" s="71"/>
      <c r="O276" s="71"/>
      <c r="P276" s="71"/>
      <c r="Q276" s="93"/>
      <c r="R276" s="71"/>
      <c r="S276" s="84"/>
      <c r="T276" s="71"/>
      <c r="U276" s="71"/>
      <c r="V276" s="71"/>
      <c r="W276" s="93"/>
      <c r="X276" s="71"/>
      <c r="Y276" s="84"/>
      <c r="Z276" s="71"/>
      <c r="AA276" s="71"/>
      <c r="AB276" s="71"/>
      <c r="AC276" s="93"/>
      <c r="AD276" s="71"/>
      <c r="AE276" s="84"/>
      <c r="AF276" s="71"/>
      <c r="AG276" s="71"/>
      <c r="AH276" s="71"/>
      <c r="AI276" s="93"/>
      <c r="AJ276" s="71"/>
      <c r="AK276" s="84"/>
      <c r="AL276" s="71"/>
      <c r="AM276" s="71"/>
      <c r="AN276" s="71"/>
      <c r="AO276" s="93"/>
      <c r="AP276" s="71"/>
      <c r="AQ276" s="84"/>
      <c r="AR276" s="71"/>
      <c r="AS276" s="71"/>
      <c r="AT276" s="71"/>
      <c r="AU276" s="93"/>
      <c r="AV276" s="71"/>
      <c r="AW276" s="84"/>
      <c r="AX276" s="71"/>
      <c r="AY276" s="71"/>
      <c r="AZ276" s="71"/>
      <c r="BA276" s="93"/>
      <c r="BB276" s="71"/>
      <c r="BC276" s="165">
        <f>SUM(BC274:BC275)</f>
        <v>402.53512840000008</v>
      </c>
      <c r="BD276" s="164">
        <f t="shared" ref="BD276:BG276" si="632">SUM(BD274:BD275)</f>
        <v>477.22824863999995</v>
      </c>
      <c r="BE276" s="164">
        <f t="shared" si="632"/>
        <v>461.69326859199998</v>
      </c>
      <c r="BF276" s="164">
        <f t="shared" si="632"/>
        <v>454.06362807424</v>
      </c>
      <c r="BG276" s="163">
        <f t="shared" si="632"/>
        <v>1795.52027370624</v>
      </c>
      <c r="BH276" s="71"/>
      <c r="BI276" s="165">
        <f>SUM(BI274:BI275)</f>
        <v>376.6</v>
      </c>
      <c r="BJ276" s="164">
        <f t="shared" ref="BJ276" si="633">SUM(BJ274:BJ275)</f>
        <v>388.5</v>
      </c>
      <c r="BK276" s="164">
        <f t="shared" ref="BK276" si="634">SUM(BK274:BK275)</f>
        <v>402.9</v>
      </c>
      <c r="BL276" s="164">
        <f t="shared" ref="BL276" si="635">SUM(BL274:BL275)</f>
        <v>489</v>
      </c>
      <c r="BM276" s="163">
        <f t="shared" ref="BM276" si="636">SUM(BM274:BM275)</f>
        <v>1657</v>
      </c>
      <c r="BN276" s="71"/>
      <c r="BO276" s="165">
        <f>SUM(BO274:BO275)</f>
        <v>431.8</v>
      </c>
      <c r="BP276" s="164">
        <f t="shared" ref="BP276" si="637">SUM(BP274:BP275)</f>
        <v>428.3</v>
      </c>
      <c r="BQ276" s="164">
        <f t="shared" ref="BQ276" si="638">SUM(BQ274:BQ275)</f>
        <v>443</v>
      </c>
      <c r="BR276" s="164">
        <f t="shared" ref="BR276" si="639">SUM(BR274:BR275)</f>
        <v>521.5</v>
      </c>
      <c r="BS276" s="163">
        <f t="shared" ref="BS276" si="640">SUM(BS274:BS275)</f>
        <v>1824.6</v>
      </c>
      <c r="BT276" s="71"/>
      <c r="BU276" s="165">
        <f>SUM(BU274:BU275)</f>
        <v>463.5</v>
      </c>
      <c r="BV276" s="164">
        <f t="shared" ref="BV276" si="641">SUM(BV274:BV275)</f>
        <v>504.69999999999993</v>
      </c>
      <c r="BW276" s="164">
        <f t="shared" ref="BW276" si="642">SUM(BW274:BW275)</f>
        <v>492.6</v>
      </c>
      <c r="BX276" s="164">
        <f t="shared" ref="BX276" si="643">SUM(BX274:BX275)</f>
        <v>550.39999999999986</v>
      </c>
      <c r="BY276" s="163">
        <f t="shared" ref="BY276" si="644">SUM(BY274:BY275)</f>
        <v>2011.2</v>
      </c>
      <c r="BZ276" s="507"/>
      <c r="CA276" s="165">
        <f>SUM(CA274:CA275)</f>
        <v>464.7</v>
      </c>
      <c r="CB276" s="164">
        <f t="shared" ref="CB276" si="645">SUM(CB274:CB275)</f>
        <v>498.8</v>
      </c>
      <c r="CC276" s="164">
        <f t="shared" ref="CC276" si="646">SUM(CC274:CC275)</f>
        <v>488.9</v>
      </c>
      <c r="CD276" s="164">
        <f t="shared" ref="CD276" si="647">SUM(CD274:CD275)</f>
        <v>570.5</v>
      </c>
      <c r="CE276" s="163">
        <f t="shared" ref="CE276" si="648">SUM(CE274:CE275)</f>
        <v>2022.9</v>
      </c>
      <c r="CF276" s="507"/>
      <c r="CG276" s="165">
        <f>SUM(CG274:CG275)</f>
        <v>479.8</v>
      </c>
      <c r="CH276" s="164">
        <f t="shared" ref="CH276" si="649">SUM(CH274:CH275)</f>
        <v>514.70000000000005</v>
      </c>
      <c r="CI276" s="164">
        <f t="shared" ref="CI276" si="650">SUM(CI274:CI275)</f>
        <v>510.2</v>
      </c>
      <c r="CJ276" s="164">
        <f t="shared" ref="CJ276" si="651">SUM(CJ274:CJ275)</f>
        <v>590.20000000000005</v>
      </c>
      <c r="CK276" s="163">
        <f t="shared" ref="CK276" si="652">SUM(CK274:CK275)</f>
        <v>2094.9</v>
      </c>
      <c r="CL276" s="507"/>
      <c r="CM276" s="165">
        <f>SUM(CM274:CM275)</f>
        <v>509.7</v>
      </c>
      <c r="CN276" s="164">
        <f t="shared" ref="CN276" si="653">SUM(CN274:CN275)</f>
        <v>528.1</v>
      </c>
      <c r="CO276" s="164">
        <f t="shared" ref="CO276" si="654">SUM(CO274:CO275)</f>
        <v>528.4</v>
      </c>
      <c r="CP276" s="164">
        <f t="shared" ref="CP276" si="655">SUM(CP274:CP275)</f>
        <v>626.90000000000009</v>
      </c>
      <c r="CQ276" s="163">
        <f t="shared" ref="CQ276" si="656">SUM(CQ274:CQ275)</f>
        <v>2193.1</v>
      </c>
      <c r="CR276" s="507"/>
      <c r="CS276" s="165">
        <f>SUM(CS274:CS275)</f>
        <v>662.4</v>
      </c>
      <c r="CT276" s="164">
        <f t="shared" ref="CT276" si="657">SUM(CT274:CT275)</f>
        <v>687.6</v>
      </c>
      <c r="CU276" s="164">
        <f t="shared" ref="CU276" si="658">SUM(CU274:CU275)</f>
        <v>652.20000000000005</v>
      </c>
      <c r="CV276" s="164">
        <f t="shared" ref="CV276" si="659">SUM(CV274:CV275)</f>
        <v>734.60000000000014</v>
      </c>
      <c r="CW276" s="163">
        <f t="shared" ref="CW276" si="660">SUM(CW274:CW275)</f>
        <v>2736.8</v>
      </c>
      <c r="CX276" s="71"/>
      <c r="CY276" s="165">
        <f>SUM(CY274:CY275)</f>
        <v>655.9</v>
      </c>
      <c r="CZ276" s="164">
        <f t="shared" ref="CZ276" si="661">SUM(CZ274:CZ275)</f>
        <v>714.6</v>
      </c>
      <c r="DA276" s="164">
        <f t="shared" ref="DA276" si="662">SUM(DA274:DA275)</f>
        <v>675.6</v>
      </c>
      <c r="DB276" s="164">
        <f t="shared" ref="DB276" si="663">SUM(DB274:DB275)</f>
        <v>739.3</v>
      </c>
      <c r="DC276" s="163">
        <f t="shared" ref="DC276" si="664">SUM(DC274:DC275)</f>
        <v>2785.3999999999996</v>
      </c>
      <c r="DD276" s="507"/>
      <c r="DE276" s="165">
        <f>SUM(DE274:DE275)</f>
        <v>655.5</v>
      </c>
      <c r="DF276" s="164">
        <f t="shared" ref="DF276" si="665">SUM(DF274:DF275)</f>
        <v>702.6</v>
      </c>
      <c r="DG276" s="164">
        <f t="shared" ref="DG276:DH276" si="666">SUM(DG274:DG275)</f>
        <v>694</v>
      </c>
      <c r="DH276" s="164">
        <f t="shared" si="666"/>
        <v>758.8</v>
      </c>
      <c r="DI276" s="163">
        <f t="shared" ref="DI276" si="667">SUM(DI274:DI275)</f>
        <v>2810.8999999999996</v>
      </c>
      <c r="DJ276" s="509"/>
      <c r="DK276" s="897"/>
      <c r="DL276" s="898"/>
      <c r="DM276" s="898"/>
      <c r="DN276" s="898"/>
      <c r="DO276" s="508"/>
      <c r="DP276" s="509"/>
      <c r="DQ276" s="897"/>
      <c r="DR276" s="898"/>
      <c r="DS276" s="898"/>
      <c r="DT276" s="898"/>
      <c r="DU276" s="508"/>
      <c r="DV276" s="509"/>
      <c r="DW276" s="897"/>
      <c r="DX276" s="898"/>
      <c r="DY276" s="898"/>
      <c r="DZ276" s="898"/>
      <c r="EA276" s="508"/>
      <c r="EB276" s="509"/>
      <c r="EC276" s="897"/>
      <c r="ED276" s="898"/>
      <c r="EE276" s="898"/>
      <c r="EF276" s="898"/>
      <c r="EG276" s="508"/>
    </row>
    <row r="277" spans="1:137" ht="11.25" customHeight="1" outlineLevel="1" x14ac:dyDescent="0.2">
      <c r="A277" s="51"/>
      <c r="B277" s="14"/>
      <c r="C277" s="14"/>
      <c r="D277" s="14"/>
      <c r="E277" s="93"/>
      <c r="F277" s="71"/>
      <c r="G277" s="93"/>
      <c r="H277" s="71"/>
      <c r="I277" s="93"/>
      <c r="J277" s="71"/>
      <c r="K277" s="93"/>
      <c r="L277" s="71"/>
      <c r="M277" s="84"/>
      <c r="N277" s="71"/>
      <c r="O277" s="71"/>
      <c r="P277" s="71"/>
      <c r="Q277" s="93"/>
      <c r="R277" s="71"/>
      <c r="S277" s="84"/>
      <c r="T277" s="71"/>
      <c r="U277" s="71"/>
      <c r="V277" s="71"/>
      <c r="W277" s="93"/>
      <c r="X277" s="71"/>
      <c r="Y277" s="84"/>
      <c r="Z277" s="71"/>
      <c r="AA277" s="71"/>
      <c r="AB277" s="71"/>
      <c r="AC277" s="93"/>
      <c r="AD277" s="71"/>
      <c r="AE277" s="84"/>
      <c r="AF277" s="71"/>
      <c r="AG277" s="71"/>
      <c r="AH277" s="71"/>
      <c r="AI277" s="93"/>
      <c r="AJ277" s="71"/>
      <c r="AK277" s="84"/>
      <c r="AL277" s="71"/>
      <c r="AM277" s="71"/>
      <c r="AN277" s="71"/>
      <c r="AO277" s="93"/>
      <c r="AP277" s="71"/>
      <c r="AQ277" s="84"/>
      <c r="AR277" s="71"/>
      <c r="AS277" s="71"/>
      <c r="AT277" s="71"/>
      <c r="AU277" s="93"/>
      <c r="AV277" s="71"/>
      <c r="AW277" s="84"/>
      <c r="AX277" s="71"/>
      <c r="AY277" s="71"/>
      <c r="AZ277" s="71"/>
      <c r="BA277" s="93"/>
      <c r="BB277" s="71"/>
      <c r="BC277" s="84"/>
      <c r="BD277" s="71"/>
      <c r="BE277" s="71"/>
      <c r="BF277" s="71"/>
      <c r="BG277" s="540"/>
      <c r="BH277" s="71"/>
      <c r="BI277" s="84"/>
      <c r="BJ277" s="71"/>
      <c r="BK277" s="71"/>
      <c r="BL277" s="71"/>
      <c r="BM277" s="540"/>
      <c r="BN277" s="71"/>
      <c r="BO277" s="82"/>
      <c r="BP277" s="67"/>
      <c r="BQ277" s="67"/>
      <c r="BR277" s="67"/>
      <c r="BS277" s="540"/>
      <c r="BT277" s="71"/>
      <c r="BU277" s="510"/>
      <c r="BV277" s="509"/>
      <c r="BW277" s="509"/>
      <c r="BX277" s="509"/>
      <c r="BY277" s="508"/>
      <c r="BZ277" s="507"/>
      <c r="CA277" s="510"/>
      <c r="CB277" s="509"/>
      <c r="CC277" s="509"/>
      <c r="CD277" s="509"/>
      <c r="CE277" s="508"/>
      <c r="CF277" s="507"/>
      <c r="CG277" s="510"/>
      <c r="CH277" s="509"/>
      <c r="CI277" s="509"/>
      <c r="CJ277" s="509"/>
      <c r="CK277" s="508"/>
      <c r="CL277" s="507"/>
      <c r="CM277" s="510"/>
      <c r="CN277" s="509"/>
      <c r="CO277" s="509"/>
      <c r="CP277" s="509"/>
      <c r="CQ277" s="508"/>
      <c r="CR277" s="507"/>
      <c r="CS277" s="510"/>
      <c r="CT277" s="509"/>
      <c r="CU277" s="509"/>
      <c r="CV277" s="509"/>
      <c r="CW277" s="508"/>
      <c r="CX277" s="71"/>
      <c r="CY277" s="506"/>
      <c r="CZ277" s="507"/>
      <c r="DA277" s="507"/>
      <c r="DB277" s="507"/>
      <c r="DC277" s="508"/>
      <c r="DD277" s="507"/>
      <c r="DE277" s="506"/>
      <c r="DF277" s="507"/>
      <c r="DG277" s="507"/>
      <c r="DH277" s="507"/>
      <c r="DI277" s="508"/>
      <c r="DJ277" s="509"/>
      <c r="DK277" s="897"/>
      <c r="DL277" s="898"/>
      <c r="DM277" s="898"/>
      <c r="DN277" s="898"/>
      <c r="DO277" s="508"/>
      <c r="DP277" s="509"/>
      <c r="DQ277" s="897"/>
      <c r="DR277" s="898"/>
      <c r="DS277" s="898"/>
      <c r="DT277" s="898"/>
      <c r="DU277" s="508"/>
      <c r="DV277" s="509"/>
      <c r="DW277" s="897"/>
      <c r="DX277" s="898"/>
      <c r="DY277" s="898"/>
      <c r="DZ277" s="898"/>
      <c r="EA277" s="508"/>
      <c r="EB277" s="509"/>
      <c r="EC277" s="897"/>
      <c r="ED277" s="898"/>
      <c r="EE277" s="898"/>
      <c r="EF277" s="898"/>
      <c r="EG277" s="508"/>
    </row>
    <row r="278" spans="1:137" ht="11.25" customHeight="1" outlineLevel="1" x14ac:dyDescent="0.2">
      <c r="A278" s="50" t="s">
        <v>657</v>
      </c>
      <c r="B278" s="14"/>
      <c r="C278" s="14"/>
      <c r="D278" s="14"/>
      <c r="E278" s="93"/>
      <c r="F278" s="71"/>
      <c r="G278" s="93"/>
      <c r="H278" s="71"/>
      <c r="I278" s="93"/>
      <c r="J278" s="71"/>
      <c r="K278" s="93"/>
      <c r="L278" s="71"/>
      <c r="M278" s="84"/>
      <c r="N278" s="71"/>
      <c r="O278" s="71"/>
      <c r="P278" s="71"/>
      <c r="Q278" s="93"/>
      <c r="R278" s="71"/>
      <c r="S278" s="84"/>
      <c r="T278" s="71"/>
      <c r="U278" s="71"/>
      <c r="V278" s="71"/>
      <c r="W278" s="93"/>
      <c r="X278" s="71"/>
      <c r="Y278" s="84"/>
      <c r="Z278" s="71"/>
      <c r="AA278" s="71"/>
      <c r="AB278" s="71"/>
      <c r="AC278" s="93"/>
      <c r="AD278" s="71"/>
      <c r="AE278" s="84"/>
      <c r="AF278" s="71"/>
      <c r="AG278" s="71"/>
      <c r="AH278" s="71"/>
      <c r="AI278" s="93"/>
      <c r="AJ278" s="71"/>
      <c r="AK278" s="84"/>
      <c r="AL278" s="71"/>
      <c r="AM278" s="71"/>
      <c r="AN278" s="71"/>
      <c r="AO278" s="93"/>
      <c r="AP278" s="71"/>
      <c r="AQ278" s="84"/>
      <c r="AR278" s="71"/>
      <c r="AS278" s="71"/>
      <c r="AT278" s="71"/>
      <c r="AU278" s="93"/>
      <c r="AV278" s="71"/>
      <c r="AW278" s="84"/>
      <c r="AX278" s="71"/>
      <c r="AY278" s="71"/>
      <c r="AZ278" s="71"/>
      <c r="BA278" s="93"/>
      <c r="BB278" s="71"/>
      <c r="BC278" s="84"/>
      <c r="BD278" s="71"/>
      <c r="BE278" s="71"/>
      <c r="BF278" s="71"/>
      <c r="BG278" s="540"/>
      <c r="BH278" s="71"/>
      <c r="BI278" s="84"/>
      <c r="BJ278" s="71"/>
      <c r="BK278" s="71"/>
      <c r="BL278" s="71"/>
      <c r="BM278" s="540"/>
      <c r="BN278" s="71"/>
      <c r="BO278" s="82"/>
      <c r="BP278" s="67"/>
      <c r="BQ278" s="67"/>
      <c r="BR278" s="67"/>
      <c r="BS278" s="540"/>
      <c r="BT278" s="71"/>
      <c r="BU278" s="510"/>
      <c r="BV278" s="509"/>
      <c r="BW278" s="509"/>
      <c r="BX278" s="509"/>
      <c r="BY278" s="508"/>
      <c r="BZ278" s="507"/>
      <c r="CA278" s="510"/>
      <c r="CB278" s="509"/>
      <c r="CC278" s="509"/>
      <c r="CD278" s="509"/>
      <c r="CE278" s="508"/>
      <c r="CF278" s="507"/>
      <c r="CG278" s="510"/>
      <c r="CH278" s="509"/>
      <c r="CI278" s="509"/>
      <c r="CJ278" s="509"/>
      <c r="CK278" s="508"/>
      <c r="CL278" s="507"/>
      <c r="CM278" s="510"/>
      <c r="CN278" s="509"/>
      <c r="CO278" s="509"/>
      <c r="CP278" s="509"/>
      <c r="CQ278" s="508"/>
      <c r="CR278" s="507"/>
      <c r="CS278" s="510"/>
      <c r="CT278" s="509"/>
      <c r="CU278" s="509"/>
      <c r="CV278" s="509"/>
      <c r="CW278" s="508"/>
      <c r="CX278" s="71"/>
      <c r="CY278" s="506"/>
      <c r="DA278" s="507"/>
      <c r="DB278" s="507"/>
      <c r="DC278" s="508"/>
      <c r="DD278" s="507"/>
      <c r="DE278" s="506"/>
      <c r="DF278" s="507"/>
      <c r="DG278" s="507"/>
      <c r="DH278" s="507"/>
      <c r="DI278" s="508"/>
      <c r="DJ278" s="509"/>
      <c r="DK278" s="897"/>
      <c r="DL278" s="898"/>
      <c r="DM278" s="898"/>
      <c r="DN278" s="898"/>
      <c r="DO278" s="508"/>
      <c r="DP278" s="509"/>
      <c r="DQ278" s="897"/>
      <c r="DR278" s="898"/>
      <c r="DS278" s="898"/>
      <c r="DT278" s="898"/>
      <c r="DU278" s="508"/>
      <c r="DV278" s="509"/>
      <c r="DW278" s="897"/>
      <c r="DX278" s="898"/>
      <c r="DY278" s="898"/>
      <c r="DZ278" s="898"/>
      <c r="EA278" s="508"/>
      <c r="EB278" s="509"/>
      <c r="EC278" s="897"/>
      <c r="ED278" s="898"/>
      <c r="EE278" s="898"/>
      <c r="EF278" s="898"/>
      <c r="EG278" s="508"/>
    </row>
    <row r="279" spans="1:137" ht="11.25" customHeight="1" outlineLevel="1" x14ac:dyDescent="0.2">
      <c r="A279" s="1205" t="s">
        <v>653</v>
      </c>
      <c r="B279" s="14"/>
      <c r="C279" s="14"/>
      <c r="D279" s="14"/>
      <c r="E279" s="93"/>
      <c r="F279" s="71"/>
      <c r="G279" s="93"/>
      <c r="H279" s="71"/>
      <c r="I279" s="93"/>
      <c r="J279" s="71"/>
      <c r="K279" s="93"/>
      <c r="L279" s="71"/>
      <c r="M279" s="84"/>
      <c r="N279" s="71"/>
      <c r="O279" s="71"/>
      <c r="P279" s="71"/>
      <c r="Q279" s="93"/>
      <c r="R279" s="71"/>
      <c r="S279" s="84"/>
      <c r="T279" s="71"/>
      <c r="U279" s="71"/>
      <c r="V279" s="71"/>
      <c r="W279" s="93"/>
      <c r="X279" s="71"/>
      <c r="Y279" s="84"/>
      <c r="Z279" s="71"/>
      <c r="AA279" s="71"/>
      <c r="AB279" s="71"/>
      <c r="AC279" s="93"/>
      <c r="AD279" s="71"/>
      <c r="AE279" s="84"/>
      <c r="AF279" s="71"/>
      <c r="AG279" s="71"/>
      <c r="AH279" s="71"/>
      <c r="AI279" s="93"/>
      <c r="AJ279" s="71"/>
      <c r="AK279" s="84"/>
      <c r="AL279" s="71"/>
      <c r="AM279" s="71"/>
      <c r="AN279" s="71"/>
      <c r="AO279" s="93"/>
      <c r="AP279" s="71"/>
      <c r="AQ279" s="84"/>
      <c r="AR279" s="71"/>
      <c r="AS279" s="71"/>
      <c r="AT279" s="71"/>
      <c r="AU279" s="93"/>
      <c r="AV279" s="71"/>
      <c r="AW279" s="84"/>
      <c r="AX279" s="71"/>
      <c r="AY279" s="71"/>
      <c r="AZ279" s="71"/>
      <c r="BA279" s="93"/>
      <c r="BB279" s="71"/>
      <c r="BC279" s="821">
        <f>BG279</f>
        <v>0.43999999999999995</v>
      </c>
      <c r="BD279" s="822">
        <f>BG279</f>
        <v>0.43999999999999995</v>
      </c>
      <c r="BE279" s="822">
        <f>BG279</f>
        <v>0.43999999999999995</v>
      </c>
      <c r="BF279" s="822">
        <f>BG279</f>
        <v>0.43999999999999995</v>
      </c>
      <c r="BG279" s="540">
        <f>1-BG280</f>
        <v>0.43999999999999995</v>
      </c>
      <c r="BH279" s="71"/>
      <c r="BI279" s="821">
        <f>BM279</f>
        <v>0.43000000000000005</v>
      </c>
      <c r="BJ279" s="822">
        <f>BM279</f>
        <v>0.43000000000000005</v>
      </c>
      <c r="BK279" s="822">
        <f>BM279</f>
        <v>0.43000000000000005</v>
      </c>
      <c r="BL279" s="822">
        <f>BM279</f>
        <v>0.43000000000000005</v>
      </c>
      <c r="BM279" s="540">
        <f>1-BM280</f>
        <v>0.43000000000000005</v>
      </c>
      <c r="BN279" s="71"/>
      <c r="BO279" s="821">
        <f>BS279</f>
        <v>0.42000000000000004</v>
      </c>
      <c r="BP279" s="822">
        <f>BS279</f>
        <v>0.42000000000000004</v>
      </c>
      <c r="BQ279" s="822">
        <f>BS279</f>
        <v>0.42000000000000004</v>
      </c>
      <c r="BR279" s="822">
        <f>BS279</f>
        <v>0.42000000000000004</v>
      </c>
      <c r="BS279" s="540">
        <f>1-BS280</f>
        <v>0.42000000000000004</v>
      </c>
      <c r="BT279" s="71"/>
      <c r="BU279" s="821">
        <f>BY279</f>
        <v>0.43999999999999995</v>
      </c>
      <c r="BV279" s="822">
        <f>BY279</f>
        <v>0.43999999999999995</v>
      </c>
      <c r="BW279" s="822">
        <f>BY279</f>
        <v>0.43999999999999995</v>
      </c>
      <c r="BX279" s="822">
        <f>BY279</f>
        <v>0.43999999999999995</v>
      </c>
      <c r="BY279" s="540">
        <f>1-BY280</f>
        <v>0.43999999999999995</v>
      </c>
      <c r="BZ279" s="507"/>
      <c r="CA279" s="821">
        <f>CE279</f>
        <v>0.45999999999999996</v>
      </c>
      <c r="CB279" s="822">
        <f>CE279</f>
        <v>0.45999999999999996</v>
      </c>
      <c r="CC279" s="822">
        <f>CE279</f>
        <v>0.45999999999999996</v>
      </c>
      <c r="CD279" s="822">
        <f>CE279</f>
        <v>0.45999999999999996</v>
      </c>
      <c r="CE279" s="540">
        <f>1-CE280</f>
        <v>0.45999999999999996</v>
      </c>
      <c r="CF279" s="507"/>
      <c r="CG279" s="821">
        <f>CK279</f>
        <v>0.47</v>
      </c>
      <c r="CH279" s="822">
        <f>CK279</f>
        <v>0.47</v>
      </c>
      <c r="CI279" s="822">
        <f>CK279</f>
        <v>0.47</v>
      </c>
      <c r="CJ279" s="822">
        <f>CK279</f>
        <v>0.47</v>
      </c>
      <c r="CK279" s="540">
        <f>1-CK280</f>
        <v>0.47</v>
      </c>
      <c r="CL279" s="507"/>
      <c r="CM279" s="821">
        <f>CQ279</f>
        <v>0.45999999999999996</v>
      </c>
      <c r="CN279" s="822">
        <f>CQ279</f>
        <v>0.45999999999999996</v>
      </c>
      <c r="CO279" s="822">
        <f>CQ279</f>
        <v>0.45999999999999996</v>
      </c>
      <c r="CP279" s="822">
        <f>CQ279</f>
        <v>0.45999999999999996</v>
      </c>
      <c r="CQ279" s="540">
        <f>1-CQ280</f>
        <v>0.45999999999999996</v>
      </c>
      <c r="CR279" s="507"/>
      <c r="CS279" s="821">
        <f>CW279</f>
        <v>0.45999999999999996</v>
      </c>
      <c r="CT279" s="822">
        <f>CW279</f>
        <v>0.45999999999999996</v>
      </c>
      <c r="CU279" s="822">
        <f>CW279</f>
        <v>0.45999999999999996</v>
      </c>
      <c r="CV279" s="822">
        <f>CW279</f>
        <v>0.45999999999999996</v>
      </c>
      <c r="CW279" s="540">
        <f>1-CW280</f>
        <v>0.45999999999999996</v>
      </c>
      <c r="CX279" s="71"/>
      <c r="CY279" s="821">
        <f>DC279</f>
        <v>0.45999999999999996</v>
      </c>
      <c r="CZ279" s="822">
        <f>DC279</f>
        <v>0.45999999999999996</v>
      </c>
      <c r="DA279" s="822">
        <f>DC279</f>
        <v>0.45999999999999996</v>
      </c>
      <c r="DB279" s="822">
        <f>DC279</f>
        <v>0.45999999999999996</v>
      </c>
      <c r="DC279" s="540">
        <f>1-DC280</f>
        <v>0.45999999999999996</v>
      </c>
      <c r="DD279" s="507"/>
      <c r="DE279" s="821">
        <f>DC279</f>
        <v>0.45999999999999996</v>
      </c>
      <c r="DF279" s="822">
        <f>DC279</f>
        <v>0.45999999999999996</v>
      </c>
      <c r="DG279" s="822">
        <f>DC279</f>
        <v>0.45999999999999996</v>
      </c>
      <c r="DH279" s="822">
        <f>DI279</f>
        <v>0.45999999999999996</v>
      </c>
      <c r="DI279" s="540">
        <f>1-DI280</f>
        <v>0.45999999999999996</v>
      </c>
      <c r="DJ279" s="509"/>
      <c r="DK279" s="897"/>
      <c r="DL279" s="898"/>
      <c r="DM279" s="898"/>
      <c r="DN279" s="898"/>
      <c r="DO279" s="508"/>
      <c r="DP279" s="509"/>
      <c r="DQ279" s="897"/>
      <c r="DR279" s="898"/>
      <c r="DS279" s="898"/>
      <c r="DT279" s="898"/>
      <c r="DU279" s="508"/>
      <c r="DV279" s="509"/>
      <c r="DW279" s="897"/>
      <c r="DX279" s="898"/>
      <c r="DY279" s="898"/>
      <c r="DZ279" s="898"/>
      <c r="EA279" s="508"/>
      <c r="EB279" s="509"/>
      <c r="EC279" s="897"/>
      <c r="ED279" s="898"/>
      <c r="EE279" s="898"/>
      <c r="EF279" s="898"/>
      <c r="EG279" s="508"/>
    </row>
    <row r="280" spans="1:137" ht="11.25" customHeight="1" outlineLevel="1" x14ac:dyDescent="0.2">
      <c r="A280" s="51" t="s">
        <v>666</v>
      </c>
      <c r="B280" s="14"/>
      <c r="C280" s="14"/>
      <c r="D280" s="14"/>
      <c r="E280" s="93"/>
      <c r="F280" s="71"/>
      <c r="G280" s="93"/>
      <c r="H280" s="71"/>
      <c r="I280" s="93"/>
      <c r="J280" s="71"/>
      <c r="K280" s="93"/>
      <c r="L280" s="71"/>
      <c r="M280" s="84"/>
      <c r="N280" s="71"/>
      <c r="O280" s="71"/>
      <c r="P280" s="71"/>
      <c r="Q280" s="93"/>
      <c r="R280" s="71"/>
      <c r="S280" s="84"/>
      <c r="T280" s="71"/>
      <c r="U280" s="71"/>
      <c r="V280" s="71"/>
      <c r="W280" s="93"/>
      <c r="X280" s="71"/>
      <c r="Y280" s="84"/>
      <c r="Z280" s="71"/>
      <c r="AA280" s="71"/>
      <c r="AB280" s="71"/>
      <c r="AC280" s="93"/>
      <c r="AD280" s="71"/>
      <c r="AE280" s="84"/>
      <c r="AF280" s="71"/>
      <c r="AG280" s="71"/>
      <c r="AH280" s="71"/>
      <c r="AI280" s="93"/>
      <c r="AJ280" s="71"/>
      <c r="AK280" s="84"/>
      <c r="AL280" s="71"/>
      <c r="AM280" s="71"/>
      <c r="AN280" s="71"/>
      <c r="AO280" s="93"/>
      <c r="AP280" s="71"/>
      <c r="AQ280" s="84"/>
      <c r="AR280" s="71"/>
      <c r="AS280" s="71"/>
      <c r="AT280" s="71"/>
      <c r="AU280" s="93"/>
      <c r="AV280" s="71"/>
      <c r="AW280" s="84"/>
      <c r="AX280" s="71"/>
      <c r="AY280" s="71"/>
      <c r="AZ280" s="71"/>
      <c r="BA280" s="93"/>
      <c r="BB280" s="71"/>
      <c r="BC280" s="821">
        <f>BG280</f>
        <v>0.56000000000000005</v>
      </c>
      <c r="BD280" s="822">
        <f>BG280</f>
        <v>0.56000000000000005</v>
      </c>
      <c r="BE280" s="822">
        <f>BG280</f>
        <v>0.56000000000000005</v>
      </c>
      <c r="BF280" s="822">
        <f>BG280</f>
        <v>0.56000000000000005</v>
      </c>
      <c r="BG280" s="800">
        <v>0.56000000000000005</v>
      </c>
      <c r="BH280" s="71"/>
      <c r="BI280" s="821">
        <f>BM280</f>
        <v>0.56999999999999995</v>
      </c>
      <c r="BJ280" s="822">
        <f>BM280</f>
        <v>0.56999999999999995</v>
      </c>
      <c r="BK280" s="822">
        <f>BM280</f>
        <v>0.56999999999999995</v>
      </c>
      <c r="BL280" s="822">
        <f>BM280</f>
        <v>0.56999999999999995</v>
      </c>
      <c r="BM280" s="800">
        <v>0.56999999999999995</v>
      </c>
      <c r="BN280" s="71"/>
      <c r="BO280" s="821">
        <f>BS280</f>
        <v>0.57999999999999996</v>
      </c>
      <c r="BP280" s="822">
        <f>BS280</f>
        <v>0.57999999999999996</v>
      </c>
      <c r="BQ280" s="822">
        <f>BS280</f>
        <v>0.57999999999999996</v>
      </c>
      <c r="BR280" s="822">
        <f>BS280</f>
        <v>0.57999999999999996</v>
      </c>
      <c r="BS280" s="800">
        <v>0.57999999999999996</v>
      </c>
      <c r="BT280" s="71"/>
      <c r="BU280" s="821">
        <f>BY280</f>
        <v>0.56000000000000005</v>
      </c>
      <c r="BV280" s="822">
        <f>BY280</f>
        <v>0.56000000000000005</v>
      </c>
      <c r="BW280" s="822">
        <f>BY280</f>
        <v>0.56000000000000005</v>
      </c>
      <c r="BX280" s="822">
        <f>BY280</f>
        <v>0.56000000000000005</v>
      </c>
      <c r="BY280" s="800">
        <v>0.56000000000000005</v>
      </c>
      <c r="BZ280" s="507"/>
      <c r="CA280" s="821">
        <f>CE280</f>
        <v>0.54</v>
      </c>
      <c r="CB280" s="822">
        <f>CE280</f>
        <v>0.54</v>
      </c>
      <c r="CC280" s="822">
        <f>CE280</f>
        <v>0.54</v>
      </c>
      <c r="CD280" s="822">
        <f>CE280</f>
        <v>0.54</v>
      </c>
      <c r="CE280" s="800">
        <v>0.54</v>
      </c>
      <c r="CF280" s="507"/>
      <c r="CG280" s="821">
        <f>CK280</f>
        <v>0.53</v>
      </c>
      <c r="CH280" s="822">
        <f>CK280</f>
        <v>0.53</v>
      </c>
      <c r="CI280" s="822">
        <f>CK280</f>
        <v>0.53</v>
      </c>
      <c r="CJ280" s="822">
        <f>CK280</f>
        <v>0.53</v>
      </c>
      <c r="CK280" s="800">
        <v>0.53</v>
      </c>
      <c r="CL280" s="507"/>
      <c r="CM280" s="821">
        <f>CQ280</f>
        <v>0.54</v>
      </c>
      <c r="CN280" s="822">
        <f>CQ280</f>
        <v>0.54</v>
      </c>
      <c r="CO280" s="822">
        <f>CQ280</f>
        <v>0.54</v>
      </c>
      <c r="CP280" s="822">
        <f>CQ280</f>
        <v>0.54</v>
      </c>
      <c r="CQ280" s="800">
        <v>0.54</v>
      </c>
      <c r="CR280" s="507"/>
      <c r="CS280" s="821">
        <f>CW280</f>
        <v>0.54</v>
      </c>
      <c r="CT280" s="822">
        <f>CW280</f>
        <v>0.54</v>
      </c>
      <c r="CU280" s="822">
        <f>CW280</f>
        <v>0.54</v>
      </c>
      <c r="CV280" s="822">
        <f>CW280</f>
        <v>0.54</v>
      </c>
      <c r="CW280" s="800">
        <v>0.54</v>
      </c>
      <c r="CX280" s="71"/>
      <c r="CY280" s="821">
        <f>DC280</f>
        <v>0.54</v>
      </c>
      <c r="CZ280" s="822">
        <f>DC280</f>
        <v>0.54</v>
      </c>
      <c r="DA280" s="822">
        <f>DC280</f>
        <v>0.54</v>
      </c>
      <c r="DB280" s="822">
        <f>DC280</f>
        <v>0.54</v>
      </c>
      <c r="DC280" s="800">
        <v>0.54</v>
      </c>
      <c r="DD280" s="507"/>
      <c r="DE280" s="821">
        <f>DC280</f>
        <v>0.54</v>
      </c>
      <c r="DF280" s="822">
        <f>DC280</f>
        <v>0.54</v>
      </c>
      <c r="DG280" s="822">
        <f>DC280</f>
        <v>0.54</v>
      </c>
      <c r="DH280" s="822">
        <f>DI280</f>
        <v>0.54</v>
      </c>
      <c r="DI280" s="800">
        <v>0.54</v>
      </c>
      <c r="DJ280" s="509"/>
      <c r="DK280" s="897"/>
      <c r="DL280" s="898"/>
      <c r="DM280" s="898"/>
      <c r="DN280" s="898"/>
      <c r="DO280" s="508"/>
      <c r="DP280" s="509"/>
      <c r="DQ280" s="897"/>
      <c r="DR280" s="898"/>
      <c r="DS280" s="898"/>
      <c r="DT280" s="898"/>
      <c r="DU280" s="508"/>
      <c r="DV280" s="509"/>
      <c r="DW280" s="897"/>
      <c r="DX280" s="898"/>
      <c r="DY280" s="898"/>
      <c r="DZ280" s="898"/>
      <c r="EA280" s="508"/>
      <c r="EB280" s="509"/>
      <c r="EC280" s="897"/>
      <c r="ED280" s="898"/>
      <c r="EE280" s="898"/>
      <c r="EF280" s="898"/>
      <c r="EG280" s="508"/>
    </row>
    <row r="281" spans="1:137" ht="11.25" customHeight="1" outlineLevel="1" x14ac:dyDescent="0.2">
      <c r="A281" s="51"/>
      <c r="B281" s="14"/>
      <c r="C281" s="14"/>
      <c r="D281" s="14"/>
      <c r="E281" s="93"/>
      <c r="F281" s="71"/>
      <c r="G281" s="93"/>
      <c r="H281" s="71"/>
      <c r="I281" s="93"/>
      <c r="J281" s="71"/>
      <c r="K281" s="93"/>
      <c r="L281" s="71"/>
      <c r="M281" s="84"/>
      <c r="N281" s="71"/>
      <c r="O281" s="71"/>
      <c r="P281" s="71"/>
      <c r="Q281" s="93"/>
      <c r="R281" s="71"/>
      <c r="S281" s="84"/>
      <c r="T281" s="71"/>
      <c r="U281" s="71"/>
      <c r="V281" s="71"/>
      <c r="W281" s="93"/>
      <c r="X281" s="71"/>
      <c r="Y281" s="84"/>
      <c r="Z281" s="71"/>
      <c r="AA281" s="71"/>
      <c r="AB281" s="71"/>
      <c r="AC281" s="93"/>
      <c r="AD281" s="71"/>
      <c r="AE281" s="84"/>
      <c r="AF281" s="71"/>
      <c r="AG281" s="71"/>
      <c r="AH281" s="71"/>
      <c r="AI281" s="93"/>
      <c r="AJ281" s="71"/>
      <c r="AK281" s="84"/>
      <c r="AL281" s="71"/>
      <c r="AM281" s="71"/>
      <c r="AN281" s="71"/>
      <c r="AO281" s="93"/>
      <c r="AP281" s="71"/>
      <c r="AQ281" s="84"/>
      <c r="AR281" s="71"/>
      <c r="AS281" s="71"/>
      <c r="AT281" s="71"/>
      <c r="AU281" s="93"/>
      <c r="AV281" s="71"/>
      <c r="AW281" s="84"/>
      <c r="AX281" s="71"/>
      <c r="AY281" s="71"/>
      <c r="AZ281" s="71"/>
      <c r="BA281" s="93"/>
      <c r="BB281" s="71"/>
      <c r="BC281" s="821"/>
      <c r="BD281" s="822"/>
      <c r="BE281" s="822"/>
      <c r="BF281" s="822"/>
      <c r="BG281" s="800"/>
      <c r="BH281" s="71"/>
      <c r="BI281" s="821"/>
      <c r="BJ281" s="822"/>
      <c r="BK281" s="822"/>
      <c r="BL281" s="822"/>
      <c r="BM281" s="800"/>
      <c r="BN281" s="71"/>
      <c r="BO281" s="821"/>
      <c r="BP281" s="822"/>
      <c r="BQ281" s="822"/>
      <c r="BR281" s="822"/>
      <c r="BS281" s="800"/>
      <c r="BT281" s="71"/>
      <c r="BU281" s="821"/>
      <c r="BV281" s="822"/>
      <c r="BW281" s="822"/>
      <c r="BX281" s="822"/>
      <c r="BY281" s="800"/>
      <c r="BZ281" s="507"/>
      <c r="CA281" s="821"/>
      <c r="CB281" s="822"/>
      <c r="CC281" s="822"/>
      <c r="CD281" s="822"/>
      <c r="CE281" s="800"/>
      <c r="CF281" s="507"/>
      <c r="CG281" s="821"/>
      <c r="CH281" s="822"/>
      <c r="CI281" s="822"/>
      <c r="CJ281" s="822"/>
      <c r="CK281" s="800"/>
      <c r="CL281" s="507"/>
      <c r="CM281" s="821"/>
      <c r="CN281" s="822"/>
      <c r="CO281" s="822"/>
      <c r="CP281" s="822"/>
      <c r="CQ281" s="800"/>
      <c r="CR281" s="507"/>
      <c r="CS281" s="821"/>
      <c r="CT281" s="822"/>
      <c r="CU281" s="822"/>
      <c r="CV281" s="822"/>
      <c r="CW281" s="800"/>
      <c r="CX281" s="71"/>
      <c r="CY281" s="821"/>
      <c r="CZ281" s="822"/>
      <c r="DA281" s="822"/>
      <c r="DB281" s="822"/>
      <c r="DC281" s="800"/>
      <c r="DD281" s="507"/>
      <c r="DE281" s="821"/>
      <c r="DF281" s="822"/>
      <c r="DG281" s="822"/>
      <c r="DH281" s="898"/>
      <c r="DI281" s="508"/>
      <c r="DJ281" s="509"/>
      <c r="DK281" s="897"/>
      <c r="DL281" s="898"/>
      <c r="DM281" s="898"/>
      <c r="DN281" s="898"/>
      <c r="DO281" s="508"/>
      <c r="DP281" s="509"/>
      <c r="DQ281" s="897"/>
      <c r="DR281" s="898"/>
      <c r="DS281" s="898"/>
      <c r="DT281" s="898"/>
      <c r="DU281" s="508"/>
      <c r="DV281" s="509"/>
      <c r="DW281" s="897"/>
      <c r="DX281" s="898"/>
      <c r="DY281" s="898"/>
      <c r="DZ281" s="898"/>
      <c r="EA281" s="508"/>
      <c r="EB281" s="509"/>
      <c r="EC281" s="897"/>
      <c r="ED281" s="898"/>
      <c r="EE281" s="898"/>
      <c r="EF281" s="898"/>
      <c r="EG281" s="508"/>
    </row>
    <row r="282" spans="1:137" ht="11.25" customHeight="1" outlineLevel="1" x14ac:dyDescent="0.2">
      <c r="A282" s="50" t="s">
        <v>681</v>
      </c>
      <c r="B282" s="14"/>
      <c r="C282" s="14"/>
      <c r="D282" s="14"/>
      <c r="E282" s="93"/>
      <c r="F282" s="71"/>
      <c r="G282" s="93"/>
      <c r="H282" s="71"/>
      <c r="I282" s="93"/>
      <c r="J282" s="71"/>
      <c r="K282" s="93"/>
      <c r="L282" s="71"/>
      <c r="M282" s="84"/>
      <c r="N282" s="71"/>
      <c r="O282" s="71"/>
      <c r="P282" s="71"/>
      <c r="Q282" s="93"/>
      <c r="R282" s="71"/>
      <c r="S282" s="84"/>
      <c r="T282" s="71"/>
      <c r="U282" s="71"/>
      <c r="V282" s="71"/>
      <c r="W282" s="93"/>
      <c r="X282" s="71"/>
      <c r="Y282" s="84"/>
      <c r="Z282" s="71"/>
      <c r="AA282" s="71"/>
      <c r="AB282" s="71"/>
      <c r="AC282" s="93"/>
      <c r="AD282" s="71"/>
      <c r="AE282" s="84"/>
      <c r="AF282" s="71"/>
      <c r="AG282" s="71"/>
      <c r="AH282" s="71"/>
      <c r="AI282" s="93"/>
      <c r="AJ282" s="71"/>
      <c r="AK282" s="84"/>
      <c r="AL282" s="71"/>
      <c r="AM282" s="71"/>
      <c r="AN282" s="71"/>
      <c r="AO282" s="93"/>
      <c r="AP282" s="71"/>
      <c r="AQ282" s="84"/>
      <c r="AR282" s="71"/>
      <c r="AS282" s="71"/>
      <c r="AT282" s="71"/>
      <c r="AU282" s="93"/>
      <c r="AV282" s="71"/>
      <c r="AW282" s="84"/>
      <c r="AX282" s="71"/>
      <c r="AY282" s="71"/>
      <c r="AZ282" s="71"/>
      <c r="BA282" s="93"/>
      <c r="BB282" s="71"/>
      <c r="BC282" s="821"/>
      <c r="BD282" s="822"/>
      <c r="BE282" s="822"/>
      <c r="BF282" s="822"/>
      <c r="BG282" s="800"/>
      <c r="BH282" s="71"/>
      <c r="BI282" s="821"/>
      <c r="BJ282" s="822"/>
      <c r="BK282" s="822"/>
      <c r="BL282" s="822"/>
      <c r="BM282" s="800"/>
      <c r="BN282" s="71"/>
      <c r="BO282" s="821"/>
      <c r="BP282" s="822"/>
      <c r="BQ282" s="822"/>
      <c r="BR282" s="822"/>
      <c r="BS282" s="800"/>
      <c r="BT282" s="71"/>
      <c r="BU282" s="821"/>
      <c r="BV282" s="822"/>
      <c r="BW282" s="822"/>
      <c r="BX282" s="822"/>
      <c r="BY282" s="800"/>
      <c r="BZ282" s="507"/>
      <c r="CA282" s="821"/>
      <c r="CB282" s="822"/>
      <c r="CC282" s="822"/>
      <c r="CD282" s="822"/>
      <c r="CE282" s="800"/>
      <c r="CF282" s="507"/>
      <c r="CG282" s="821"/>
      <c r="CH282" s="822"/>
      <c r="CI282" s="822"/>
      <c r="CJ282" s="822"/>
      <c r="CK282" s="800"/>
      <c r="CL282" s="507"/>
      <c r="CM282" s="821"/>
      <c r="CN282" s="822"/>
      <c r="CO282" s="822"/>
      <c r="CP282" s="822"/>
      <c r="CQ282" s="800"/>
      <c r="CR282" s="507"/>
      <c r="CS282" s="821"/>
      <c r="CT282" s="822"/>
      <c r="CU282" s="822"/>
      <c r="CV282" s="822"/>
      <c r="CW282" s="800"/>
      <c r="CX282" s="71"/>
      <c r="CY282" s="821"/>
      <c r="CZ282" s="822"/>
      <c r="DA282" s="822"/>
      <c r="DB282" s="822"/>
      <c r="DC282" s="800"/>
      <c r="DD282" s="507"/>
      <c r="DE282" s="821"/>
      <c r="DF282" s="822"/>
      <c r="DG282" s="822"/>
      <c r="DH282" s="898"/>
      <c r="DI282" s="508"/>
      <c r="DJ282" s="509"/>
      <c r="DK282" s="897"/>
      <c r="DL282" s="898"/>
      <c r="DM282" s="898"/>
      <c r="DN282" s="898"/>
      <c r="DO282" s="508"/>
      <c r="DP282" s="509"/>
      <c r="DQ282" s="897"/>
      <c r="DR282" s="898"/>
      <c r="DS282" s="898"/>
      <c r="DT282" s="898"/>
      <c r="DU282" s="508"/>
      <c r="DV282" s="509"/>
      <c r="DW282" s="897"/>
      <c r="DX282" s="898"/>
      <c r="DY282" s="898"/>
      <c r="DZ282" s="898"/>
      <c r="EA282" s="508"/>
      <c r="EB282" s="509"/>
      <c r="EC282" s="897"/>
      <c r="ED282" s="898"/>
      <c r="EE282" s="898"/>
      <c r="EF282" s="898"/>
      <c r="EG282" s="508"/>
    </row>
    <row r="283" spans="1:137" ht="11.25" customHeight="1" outlineLevel="1" x14ac:dyDescent="0.2">
      <c r="A283" s="1205" t="s">
        <v>605</v>
      </c>
      <c r="B283" s="14"/>
      <c r="C283" s="14"/>
      <c r="D283" s="14"/>
      <c r="E283" s="93"/>
      <c r="F283" s="71"/>
      <c r="G283" s="93"/>
      <c r="H283" s="71"/>
      <c r="I283" s="93"/>
      <c r="J283" s="71"/>
      <c r="K283" s="93"/>
      <c r="L283" s="71"/>
      <c r="M283" s="84"/>
      <c r="N283" s="71"/>
      <c r="O283" s="71"/>
      <c r="P283" s="71"/>
      <c r="Q283" s="93"/>
      <c r="R283" s="71"/>
      <c r="S283" s="84"/>
      <c r="T283" s="71"/>
      <c r="U283" s="71"/>
      <c r="V283" s="71"/>
      <c r="W283" s="93"/>
      <c r="X283" s="71"/>
      <c r="Y283" s="84"/>
      <c r="Z283" s="71"/>
      <c r="AA283" s="71"/>
      <c r="AB283" s="71"/>
      <c r="AC283" s="93"/>
      <c r="AD283" s="71"/>
      <c r="AE283" s="84"/>
      <c r="AF283" s="71"/>
      <c r="AG283" s="71"/>
      <c r="AH283" s="71"/>
      <c r="AI283" s="93"/>
      <c r="AJ283" s="71"/>
      <c r="AK283" s="84"/>
      <c r="AL283" s="71"/>
      <c r="AM283" s="71"/>
      <c r="AN283" s="71"/>
      <c r="AO283" s="93"/>
      <c r="AP283" s="71"/>
      <c r="AQ283" s="84"/>
      <c r="AR283" s="71"/>
      <c r="AS283" s="71"/>
      <c r="AT283" s="71"/>
      <c r="AU283" s="93"/>
      <c r="AV283" s="71"/>
      <c r="AW283" s="84"/>
      <c r="AX283" s="71"/>
      <c r="AY283" s="71"/>
      <c r="AZ283" s="71"/>
      <c r="BA283" s="93"/>
      <c r="BB283" s="71"/>
      <c r="BC283" s="84"/>
      <c r="BD283" s="71"/>
      <c r="BE283" s="71"/>
      <c r="BF283" s="71"/>
      <c r="BG283" s="540"/>
      <c r="BH283" s="71"/>
      <c r="BI283" s="84"/>
      <c r="BJ283" s="71"/>
      <c r="BK283" s="71"/>
      <c r="BL283" s="71"/>
      <c r="BM283" s="540"/>
      <c r="BN283" s="71"/>
      <c r="BO283" s="82"/>
      <c r="BP283" s="67"/>
      <c r="BQ283" s="67"/>
      <c r="BR283" s="67"/>
      <c r="BS283" s="540"/>
      <c r="BT283" s="71"/>
      <c r="BU283" s="510"/>
      <c r="BV283" s="509"/>
      <c r="BW283" s="509"/>
      <c r="BX283" s="509"/>
      <c r="BY283" s="508"/>
      <c r="BZ283" s="507"/>
      <c r="CA283" s="510"/>
      <c r="CB283" s="509"/>
      <c r="CC283" s="509"/>
      <c r="CD283" s="509"/>
      <c r="CE283" s="508"/>
      <c r="CF283" s="507"/>
      <c r="CG283" s="510"/>
      <c r="CH283" s="509"/>
      <c r="CI283" s="509"/>
      <c r="CJ283" s="509"/>
      <c r="CK283" s="508"/>
      <c r="CL283" s="507"/>
      <c r="CM283" s="510"/>
      <c r="CN283" s="509"/>
      <c r="CO283" s="509"/>
      <c r="CP283" s="509"/>
      <c r="CQ283" s="508"/>
      <c r="CR283" s="507"/>
      <c r="CS283" s="510"/>
      <c r="CT283" s="509"/>
      <c r="CU283" s="509"/>
      <c r="CV283" s="509"/>
      <c r="CW283" s="508"/>
      <c r="CX283" s="71"/>
      <c r="CY283" s="506"/>
      <c r="CZ283" s="1258">
        <v>0.51</v>
      </c>
      <c r="DA283" s="507"/>
      <c r="DB283" s="507"/>
      <c r="DC283" s="1259">
        <v>0.51</v>
      </c>
      <c r="DD283" s="507"/>
      <c r="DE283" s="506"/>
      <c r="DF283" s="507"/>
      <c r="DG283" s="507"/>
      <c r="DH283" s="898"/>
      <c r="DI283" s="1259">
        <v>0.49</v>
      </c>
      <c r="DJ283" s="509"/>
      <c r="DK283" s="897"/>
      <c r="DL283" s="898"/>
      <c r="DM283" s="898"/>
      <c r="DN283" s="898"/>
      <c r="DO283" s="508"/>
      <c r="DP283" s="509"/>
      <c r="DQ283" s="897"/>
      <c r="DR283" s="898"/>
      <c r="DS283" s="898"/>
      <c r="DT283" s="898"/>
      <c r="DU283" s="508"/>
      <c r="DV283" s="509"/>
      <c r="DW283" s="897"/>
      <c r="DX283" s="898"/>
      <c r="DY283" s="898"/>
      <c r="DZ283" s="898"/>
      <c r="EA283" s="508"/>
      <c r="EB283" s="509"/>
      <c r="EC283" s="897"/>
      <c r="ED283" s="898"/>
      <c r="EE283" s="898"/>
      <c r="EF283" s="898"/>
      <c r="EG283" s="508"/>
    </row>
    <row r="284" spans="1:137" ht="11.25" customHeight="1" outlineLevel="1" x14ac:dyDescent="0.2">
      <c r="A284" s="1205" t="s">
        <v>630</v>
      </c>
      <c r="B284" s="14"/>
      <c r="C284" s="14"/>
      <c r="D284" s="14"/>
      <c r="E284" s="93"/>
      <c r="F284" s="71"/>
      <c r="G284" s="93"/>
      <c r="H284" s="71"/>
      <c r="I284" s="93"/>
      <c r="J284" s="71"/>
      <c r="K284" s="93"/>
      <c r="L284" s="71"/>
      <c r="M284" s="84"/>
      <c r="N284" s="71"/>
      <c r="O284" s="71"/>
      <c r="P284" s="71"/>
      <c r="Q284" s="93"/>
      <c r="R284" s="71"/>
      <c r="S284" s="84"/>
      <c r="T284" s="71"/>
      <c r="U284" s="71"/>
      <c r="V284" s="71"/>
      <c r="W284" s="93"/>
      <c r="X284" s="71"/>
      <c r="Y284" s="84"/>
      <c r="Z284" s="71"/>
      <c r="AA284" s="71"/>
      <c r="AB284" s="71"/>
      <c r="AC284" s="93"/>
      <c r="AD284" s="71"/>
      <c r="AE284" s="84"/>
      <c r="AF284" s="71"/>
      <c r="AG284" s="71"/>
      <c r="AH284" s="71"/>
      <c r="AI284" s="93"/>
      <c r="AJ284" s="71"/>
      <c r="AK284" s="84"/>
      <c r="AL284" s="71"/>
      <c r="AM284" s="71"/>
      <c r="AN284" s="71"/>
      <c r="AO284" s="93"/>
      <c r="AP284" s="71"/>
      <c r="AQ284" s="84"/>
      <c r="AR284" s="71"/>
      <c r="AS284" s="71"/>
      <c r="AT284" s="71"/>
      <c r="AU284" s="93"/>
      <c r="AV284" s="71"/>
      <c r="AW284" s="84"/>
      <c r="AX284" s="71"/>
      <c r="AY284" s="71"/>
      <c r="AZ284" s="71"/>
      <c r="BA284" s="93"/>
      <c r="BB284" s="71"/>
      <c r="BC284" s="84"/>
      <c r="BD284" s="71"/>
      <c r="BE284" s="71"/>
      <c r="BF284" s="71"/>
      <c r="BG284" s="540"/>
      <c r="BH284" s="71"/>
      <c r="BI284" s="84"/>
      <c r="BJ284" s="71"/>
      <c r="BK284" s="71" t="s">
        <v>663</v>
      </c>
      <c r="BL284" s="71"/>
      <c r="BM284" s="540"/>
      <c r="BN284" s="71"/>
      <c r="BO284" s="82"/>
      <c r="BP284" s="67"/>
      <c r="BQ284" s="67"/>
      <c r="BR284" s="67"/>
      <c r="BS284" s="540"/>
      <c r="BT284" s="71"/>
      <c r="BU284" s="510"/>
      <c r="BV284" s="509"/>
      <c r="BW284" s="509"/>
      <c r="BX284" s="509"/>
      <c r="BY284" s="508"/>
      <c r="BZ284" s="507"/>
      <c r="CA284" s="510"/>
      <c r="CB284" s="509"/>
      <c r="CC284" s="509"/>
      <c r="CD284" s="509"/>
      <c r="CE284" s="508"/>
      <c r="CF284" s="507"/>
      <c r="CG284" s="510"/>
      <c r="CH284" s="509"/>
      <c r="CI284" s="509"/>
      <c r="CJ284" s="509"/>
      <c r="CK284" s="508"/>
      <c r="CL284" s="507"/>
      <c r="CM284" s="510"/>
      <c r="CN284" s="509"/>
      <c r="CO284" s="509"/>
      <c r="CP284" s="509"/>
      <c r="CQ284" s="508"/>
      <c r="CR284" s="507"/>
      <c r="CS284" s="510"/>
      <c r="CT284" s="509"/>
      <c r="CU284" s="509"/>
      <c r="CV284" s="509"/>
      <c r="CW284" s="508"/>
      <c r="CX284" s="71"/>
      <c r="CY284" s="506"/>
      <c r="CZ284" s="1258">
        <v>0.24</v>
      </c>
      <c r="DA284" s="507"/>
      <c r="DB284" s="507"/>
      <c r="DC284" s="1259">
        <v>0.23</v>
      </c>
      <c r="DD284" s="507"/>
      <c r="DE284" s="506"/>
      <c r="DF284" s="507"/>
      <c r="DG284" s="507"/>
      <c r="DH284" s="898"/>
      <c r="DI284" s="1259">
        <v>0.23</v>
      </c>
      <c r="DJ284" s="509"/>
      <c r="DK284" s="897"/>
      <c r="DL284" s="898"/>
      <c r="DM284" s="898"/>
      <c r="DN284" s="898"/>
      <c r="DO284" s="508"/>
      <c r="DP284" s="509"/>
      <c r="DQ284" s="897"/>
      <c r="DR284" s="898"/>
      <c r="DS284" s="898"/>
      <c r="DT284" s="898"/>
      <c r="DU284" s="508"/>
      <c r="DV284" s="509"/>
      <c r="DW284" s="897"/>
      <c r="DX284" s="898"/>
      <c r="DY284" s="898"/>
      <c r="DZ284" s="898"/>
      <c r="EA284" s="508"/>
      <c r="EB284" s="509"/>
      <c r="EC284" s="897"/>
      <c r="ED284" s="898"/>
      <c r="EE284" s="898"/>
      <c r="EF284" s="898"/>
      <c r="EG284" s="508"/>
    </row>
    <row r="285" spans="1:137" ht="11.25" customHeight="1" outlineLevel="1" x14ac:dyDescent="0.2">
      <c r="A285" s="1205" t="s">
        <v>678</v>
      </c>
      <c r="B285" s="14"/>
      <c r="C285" s="14"/>
      <c r="D285" s="14"/>
      <c r="E285" s="93"/>
      <c r="F285" s="71"/>
      <c r="G285" s="93"/>
      <c r="H285" s="71"/>
      <c r="I285" s="93"/>
      <c r="J285" s="71"/>
      <c r="K285" s="93"/>
      <c r="L285" s="71"/>
      <c r="M285" s="84"/>
      <c r="N285" s="71"/>
      <c r="O285" s="71"/>
      <c r="P285" s="71"/>
      <c r="Q285" s="93"/>
      <c r="R285" s="71"/>
      <c r="S285" s="84"/>
      <c r="T285" s="71"/>
      <c r="U285" s="71"/>
      <c r="V285" s="71"/>
      <c r="W285" s="93"/>
      <c r="X285" s="71"/>
      <c r="Y285" s="84"/>
      <c r="Z285" s="71"/>
      <c r="AA285" s="71"/>
      <c r="AB285" s="71"/>
      <c r="AC285" s="93"/>
      <c r="AD285" s="71"/>
      <c r="AE285" s="84"/>
      <c r="AF285" s="71"/>
      <c r="AG285" s="71"/>
      <c r="AH285" s="71"/>
      <c r="AI285" s="93"/>
      <c r="AJ285" s="71"/>
      <c r="AK285" s="84"/>
      <c r="AL285" s="71"/>
      <c r="AM285" s="71"/>
      <c r="AN285" s="71"/>
      <c r="AO285" s="93"/>
      <c r="AP285" s="71"/>
      <c r="AQ285" s="84"/>
      <c r="AR285" s="71"/>
      <c r="AS285" s="71"/>
      <c r="AT285" s="71"/>
      <c r="AU285" s="93"/>
      <c r="AV285" s="71"/>
      <c r="AW285" s="84"/>
      <c r="AX285" s="71"/>
      <c r="AY285" s="71"/>
      <c r="AZ285" s="71"/>
      <c r="BA285" s="93"/>
      <c r="BB285" s="71"/>
      <c r="BC285" s="84"/>
      <c r="BD285" s="71"/>
      <c r="BE285" s="71"/>
      <c r="BF285" s="71"/>
      <c r="BG285" s="540"/>
      <c r="BH285" s="71"/>
      <c r="BI285" s="84"/>
      <c r="BJ285" s="71"/>
      <c r="BK285" s="71"/>
      <c r="BL285" s="71"/>
      <c r="BM285" s="540"/>
      <c r="BN285" s="71"/>
      <c r="BO285" s="82"/>
      <c r="BP285" s="67"/>
      <c r="BQ285" s="67"/>
      <c r="BR285" s="67"/>
      <c r="BS285" s="540"/>
      <c r="BT285" s="71"/>
      <c r="BU285" s="510"/>
      <c r="BV285" s="509"/>
      <c r="BW285" s="509"/>
      <c r="BX285" s="509"/>
      <c r="BY285" s="508"/>
      <c r="BZ285" s="507"/>
      <c r="CA285" s="510"/>
      <c r="CB285" s="509"/>
      <c r="CC285" s="509"/>
      <c r="CD285" s="509"/>
      <c r="CE285" s="508"/>
      <c r="CF285" s="507"/>
      <c r="CG285" s="510"/>
      <c r="CH285" s="509"/>
      <c r="CI285" s="509"/>
      <c r="CJ285" s="509"/>
      <c r="CK285" s="508"/>
      <c r="CL285" s="507"/>
      <c r="CM285" s="510"/>
      <c r="CN285" s="509"/>
      <c r="CO285" s="509"/>
      <c r="CP285" s="509"/>
      <c r="CQ285" s="508"/>
      <c r="CR285" s="507"/>
      <c r="CS285" s="510"/>
      <c r="CT285" s="509"/>
      <c r="CU285" s="509"/>
      <c r="CV285" s="509"/>
      <c r="CW285" s="508"/>
      <c r="CX285" s="71"/>
      <c r="CY285" s="506"/>
      <c r="CZ285" s="1258">
        <v>0.18</v>
      </c>
      <c r="DA285" s="507"/>
      <c r="DB285" s="507"/>
      <c r="DC285" s="1259">
        <v>0.19</v>
      </c>
      <c r="DD285" s="507"/>
      <c r="DE285" s="506"/>
      <c r="DF285" s="507"/>
      <c r="DG285" s="507"/>
      <c r="DH285" s="898"/>
      <c r="DI285" s="1259">
        <v>0.22</v>
      </c>
      <c r="DJ285" s="509"/>
      <c r="DK285" s="897"/>
      <c r="DL285" s="898"/>
      <c r="DM285" s="898"/>
      <c r="DN285" s="898"/>
      <c r="DO285" s="508"/>
      <c r="DP285" s="509"/>
      <c r="DQ285" s="897"/>
      <c r="DR285" s="898"/>
      <c r="DS285" s="898"/>
      <c r="DT285" s="898"/>
      <c r="DU285" s="508"/>
      <c r="DV285" s="509"/>
      <c r="DW285" s="897"/>
      <c r="DX285" s="898"/>
      <c r="DY285" s="898"/>
      <c r="DZ285" s="898"/>
      <c r="EA285" s="508"/>
      <c r="EB285" s="509"/>
      <c r="EC285" s="897"/>
      <c r="ED285" s="898"/>
      <c r="EE285" s="898"/>
      <c r="EF285" s="898"/>
      <c r="EG285" s="508"/>
    </row>
    <row r="286" spans="1:137" ht="11.25" customHeight="1" outlineLevel="1" x14ac:dyDescent="0.2">
      <c r="A286" s="1205" t="s">
        <v>654</v>
      </c>
      <c r="B286" s="14"/>
      <c r="C286" s="14"/>
      <c r="D286" s="14"/>
      <c r="E286" s="93"/>
      <c r="F286" s="71"/>
      <c r="G286" s="93"/>
      <c r="H286" s="71"/>
      <c r="I286" s="93"/>
      <c r="J286" s="71"/>
      <c r="K286" s="93"/>
      <c r="L286" s="71"/>
      <c r="M286" s="84"/>
      <c r="N286" s="71"/>
      <c r="O286" s="71"/>
      <c r="P286" s="71"/>
      <c r="Q286" s="93"/>
      <c r="R286" s="71"/>
      <c r="S286" s="84"/>
      <c r="T286" s="71"/>
      <c r="U286" s="71"/>
      <c r="V286" s="71"/>
      <c r="W286" s="93"/>
      <c r="X286" s="71"/>
      <c r="Y286" s="84"/>
      <c r="Z286" s="71"/>
      <c r="AA286" s="71"/>
      <c r="AB286" s="71"/>
      <c r="AC286" s="93"/>
      <c r="AD286" s="71"/>
      <c r="AE286" s="84"/>
      <c r="AF286" s="71"/>
      <c r="AG286" s="71"/>
      <c r="AH286" s="71"/>
      <c r="AI286" s="93"/>
      <c r="AJ286" s="71"/>
      <c r="AK286" s="84"/>
      <c r="AL286" s="71"/>
      <c r="AM286" s="71"/>
      <c r="AN286" s="71"/>
      <c r="AO286" s="93"/>
      <c r="AP286" s="71"/>
      <c r="AQ286" s="84"/>
      <c r="AR286" s="71"/>
      <c r="AS286" s="71"/>
      <c r="AT286" s="71"/>
      <c r="AU286" s="93"/>
      <c r="AV286" s="71"/>
      <c r="AW286" s="84"/>
      <c r="AX286" s="71"/>
      <c r="AY286" s="71"/>
      <c r="AZ286" s="71"/>
      <c r="BA286" s="93"/>
      <c r="BB286" s="71"/>
      <c r="BC286" s="84"/>
      <c r="BD286" s="71"/>
      <c r="BE286" s="71"/>
      <c r="BF286" s="71"/>
      <c r="BG286" s="540"/>
      <c r="BH286" s="71"/>
      <c r="BI286" s="84"/>
      <c r="BJ286" s="71"/>
      <c r="BK286" s="71"/>
      <c r="BL286" s="71" t="s">
        <v>663</v>
      </c>
      <c r="BM286" s="540"/>
      <c r="BN286" s="71"/>
      <c r="BO286" s="82"/>
      <c r="BP286" s="67"/>
      <c r="BQ286" s="67"/>
      <c r="BR286" s="67"/>
      <c r="BS286" s="540"/>
      <c r="BT286" s="71"/>
      <c r="BU286" s="510"/>
      <c r="BV286" s="509"/>
      <c r="BW286" s="509"/>
      <c r="BX286" s="509"/>
      <c r="BY286" s="508"/>
      <c r="BZ286" s="507"/>
      <c r="CA286" s="510"/>
      <c r="CB286" s="509"/>
      <c r="CC286" s="509"/>
      <c r="CD286" s="509"/>
      <c r="CE286" s="508"/>
      <c r="CF286" s="507"/>
      <c r="CG286" s="510"/>
      <c r="CH286" s="509"/>
      <c r="CI286" s="509"/>
      <c r="CJ286" s="509"/>
      <c r="CK286" s="508"/>
      <c r="CL286" s="507"/>
      <c r="CM286" s="510"/>
      <c r="CN286" s="509"/>
      <c r="CO286" s="509"/>
      <c r="CP286" s="509"/>
      <c r="CQ286" s="508"/>
      <c r="CR286" s="507"/>
      <c r="CS286" s="510"/>
      <c r="CT286" s="509"/>
      <c r="CU286" s="509"/>
      <c r="CV286" s="509"/>
      <c r="CW286" s="508"/>
      <c r="CX286" s="71"/>
      <c r="CY286" s="506"/>
      <c r="CZ286" s="807" t="s">
        <v>663</v>
      </c>
      <c r="DA286" s="507"/>
      <c r="DB286" s="507"/>
      <c r="DC286" s="806" t="s">
        <v>663</v>
      </c>
      <c r="DD286" s="507"/>
      <c r="DE286" s="506"/>
      <c r="DF286" s="507"/>
      <c r="DG286" s="507"/>
      <c r="DH286" s="898"/>
      <c r="DI286" s="806" t="s">
        <v>663</v>
      </c>
      <c r="DJ286" s="509"/>
      <c r="DK286" s="897"/>
      <c r="DL286" s="898"/>
      <c r="DM286" s="898"/>
      <c r="DN286" s="898"/>
      <c r="DO286" s="508"/>
      <c r="DP286" s="509"/>
      <c r="DQ286" s="897"/>
      <c r="DR286" s="898"/>
      <c r="DS286" s="898"/>
      <c r="DT286" s="898"/>
      <c r="DU286" s="508"/>
      <c r="DV286" s="509"/>
      <c r="DW286" s="897"/>
      <c r="DX286" s="898"/>
      <c r="DY286" s="898"/>
      <c r="DZ286" s="898"/>
      <c r="EA286" s="508"/>
      <c r="EB286" s="509"/>
      <c r="EC286" s="897"/>
      <c r="ED286" s="898"/>
      <c r="EE286" s="898"/>
      <c r="EF286" s="898"/>
      <c r="EG286" s="508"/>
    </row>
    <row r="287" spans="1:137" ht="11.25" customHeight="1" outlineLevel="1" x14ac:dyDescent="0.2">
      <c r="A287" s="1205" t="s">
        <v>655</v>
      </c>
      <c r="B287" s="14"/>
      <c r="C287" s="14"/>
      <c r="D287" s="14"/>
      <c r="E287" s="93"/>
      <c r="F287" s="71"/>
      <c r="G287" s="93"/>
      <c r="H287" s="71"/>
      <c r="I287" s="93"/>
      <c r="J287" s="71"/>
      <c r="K287" s="93"/>
      <c r="L287" s="71"/>
      <c r="M287" s="84"/>
      <c r="N287" s="71"/>
      <c r="O287" s="71"/>
      <c r="P287" s="71"/>
      <c r="Q287" s="93"/>
      <c r="R287" s="71"/>
      <c r="S287" s="84"/>
      <c r="T287" s="71"/>
      <c r="U287" s="71"/>
      <c r="V287" s="71"/>
      <c r="W287" s="93"/>
      <c r="X287" s="71"/>
      <c r="Y287" s="84"/>
      <c r="Z287" s="71"/>
      <c r="AA287" s="71"/>
      <c r="AB287" s="71"/>
      <c r="AC287" s="93"/>
      <c r="AD287" s="71"/>
      <c r="AE287" s="84"/>
      <c r="AF287" s="71"/>
      <c r="AG287" s="71"/>
      <c r="AH287" s="71"/>
      <c r="AI287" s="93"/>
      <c r="AJ287" s="71"/>
      <c r="AK287" s="84"/>
      <c r="AL287" s="71"/>
      <c r="AM287" s="71"/>
      <c r="AN287" s="71"/>
      <c r="AO287" s="93"/>
      <c r="AP287" s="71"/>
      <c r="AQ287" s="84"/>
      <c r="AR287" s="71"/>
      <c r="AS287" s="71"/>
      <c r="AT287" s="71"/>
      <c r="AU287" s="93"/>
      <c r="AV287" s="71"/>
      <c r="AW287" s="84"/>
      <c r="AX287" s="71"/>
      <c r="AY287" s="71"/>
      <c r="AZ287" s="71"/>
      <c r="BA287" s="93"/>
      <c r="BB287" s="71"/>
      <c r="BC287" s="84"/>
      <c r="BD287" s="71"/>
      <c r="BE287" s="71"/>
      <c r="BF287" s="71"/>
      <c r="BG287" s="540"/>
      <c r="BH287" s="71"/>
      <c r="BI287" s="84"/>
      <c r="BJ287" s="71"/>
      <c r="BK287" s="71"/>
      <c r="BL287" s="71"/>
      <c r="BM287" s="540"/>
      <c r="BN287" s="71"/>
      <c r="BO287" s="82"/>
      <c r="BP287" s="67"/>
      <c r="BQ287" s="67"/>
      <c r="BR287" s="67"/>
      <c r="BS287" s="540"/>
      <c r="BT287" s="71"/>
      <c r="BU287" s="510"/>
      <c r="BV287" s="509"/>
      <c r="BW287" s="509"/>
      <c r="BX287" s="509"/>
      <c r="BY287" s="508"/>
      <c r="BZ287" s="507"/>
      <c r="CA287" s="510"/>
      <c r="CB287" s="509"/>
      <c r="CC287" s="509"/>
      <c r="CD287" s="509"/>
      <c r="CE287" s="508"/>
      <c r="CF287" s="507"/>
      <c r="CG287" s="510"/>
      <c r="CH287" s="509"/>
      <c r="CI287" s="509"/>
      <c r="CJ287" s="509"/>
      <c r="CK287" s="508"/>
      <c r="CL287" s="507"/>
      <c r="CM287" s="510"/>
      <c r="CN287" s="509"/>
      <c r="CO287" s="509"/>
      <c r="CP287" s="509"/>
      <c r="CQ287" s="508"/>
      <c r="CR287" s="507"/>
      <c r="CS287" s="510"/>
      <c r="CT287" s="509"/>
      <c r="CU287" s="509"/>
      <c r="CV287" s="509"/>
      <c r="CW287" s="508"/>
      <c r="CX287" s="71"/>
      <c r="CY287" s="506"/>
      <c r="CZ287" s="1258">
        <v>7.0000000000000007E-2</v>
      </c>
      <c r="DA287" s="507"/>
      <c r="DB287" s="507"/>
      <c r="DC287" s="1259">
        <v>7.0000000000000007E-2</v>
      </c>
      <c r="DD287" s="507"/>
      <c r="DE287" s="506"/>
      <c r="DF287" s="507"/>
      <c r="DG287" s="507"/>
      <c r="DH287" s="898"/>
      <c r="DI287" s="1259">
        <v>0.06</v>
      </c>
      <c r="DJ287" s="509"/>
      <c r="DK287" s="897"/>
      <c r="DL287" s="898"/>
      <c r="DM287" s="898"/>
      <c r="DN287" s="898"/>
      <c r="DO287" s="508"/>
      <c r="DP287" s="509"/>
      <c r="DQ287" s="897"/>
      <c r="DR287" s="898"/>
      <c r="DS287" s="898"/>
      <c r="DT287" s="898"/>
      <c r="DU287" s="508"/>
      <c r="DV287" s="509"/>
      <c r="DW287" s="897"/>
      <c r="DX287" s="898"/>
      <c r="DY287" s="898"/>
      <c r="DZ287" s="898"/>
      <c r="EA287" s="508"/>
      <c r="EB287" s="509"/>
      <c r="EC287" s="897"/>
      <c r="ED287" s="898"/>
      <c r="EE287" s="898"/>
      <c r="EF287" s="898"/>
      <c r="EG287" s="508"/>
    </row>
    <row r="288" spans="1:137" ht="11.25" customHeight="1" outlineLevel="1" x14ac:dyDescent="0.2">
      <c r="A288" s="51"/>
      <c r="B288" s="14"/>
      <c r="C288" s="14"/>
      <c r="D288" s="14"/>
      <c r="E288" s="93"/>
      <c r="F288" s="71"/>
      <c r="G288" s="93"/>
      <c r="H288" s="71"/>
      <c r="I288" s="93"/>
      <c r="J288" s="71"/>
      <c r="K288" s="93"/>
      <c r="L288" s="71"/>
      <c r="M288" s="84"/>
      <c r="N288" s="71"/>
      <c r="O288" s="71"/>
      <c r="P288" s="71"/>
      <c r="Q288" s="93"/>
      <c r="R288" s="71"/>
      <c r="S288" s="84"/>
      <c r="T288" s="71"/>
      <c r="U288" s="71"/>
      <c r="V288" s="71"/>
      <c r="W288" s="93"/>
      <c r="X288" s="71"/>
      <c r="Y288" s="84"/>
      <c r="Z288" s="71"/>
      <c r="AA288" s="71"/>
      <c r="AB288" s="71"/>
      <c r="AC288" s="93"/>
      <c r="AD288" s="71"/>
      <c r="AE288" s="84"/>
      <c r="AF288" s="71"/>
      <c r="AG288" s="71"/>
      <c r="AH288" s="71"/>
      <c r="AI288" s="93"/>
      <c r="AJ288" s="71"/>
      <c r="AK288" s="84"/>
      <c r="AL288" s="71"/>
      <c r="AM288" s="71"/>
      <c r="AN288" s="71"/>
      <c r="AO288" s="93"/>
      <c r="AP288" s="71"/>
      <c r="AQ288" s="84"/>
      <c r="AR288" s="71"/>
      <c r="AS288" s="71"/>
      <c r="AT288" s="71"/>
      <c r="AU288" s="93"/>
      <c r="AV288" s="71"/>
      <c r="AW288" s="84"/>
      <c r="AX288" s="71"/>
      <c r="AY288" s="71"/>
      <c r="AZ288" s="71"/>
      <c r="BA288" s="93"/>
      <c r="BB288" s="71"/>
      <c r="BC288" s="84"/>
      <c r="BD288" s="71"/>
      <c r="BE288" s="71"/>
      <c r="BF288" s="71"/>
      <c r="BG288" s="540"/>
      <c r="BH288" s="71"/>
      <c r="BI288" s="84"/>
      <c r="BJ288" s="71"/>
      <c r="BK288" s="71"/>
      <c r="BL288" s="71"/>
      <c r="BM288" s="540"/>
      <c r="BN288" s="71"/>
      <c r="BO288" s="82"/>
      <c r="BP288" s="67"/>
      <c r="BQ288" s="67"/>
      <c r="BR288" s="67"/>
      <c r="BS288" s="540"/>
      <c r="BT288" s="71"/>
      <c r="BU288" s="510"/>
      <c r="BV288" s="509"/>
      <c r="BW288" s="509"/>
      <c r="BX288" s="509"/>
      <c r="BY288" s="508"/>
      <c r="BZ288" s="507"/>
      <c r="CA288" s="510"/>
      <c r="CB288" s="509"/>
      <c r="CC288" s="509"/>
      <c r="CD288" s="509"/>
      <c r="CE288" s="508"/>
      <c r="CF288" s="507"/>
      <c r="CG288" s="510"/>
      <c r="CH288" s="509"/>
      <c r="CI288" s="509"/>
      <c r="CJ288" s="509"/>
      <c r="CK288" s="508"/>
      <c r="CL288" s="507"/>
      <c r="CM288" s="510"/>
      <c r="CN288" s="509"/>
      <c r="CO288" s="509"/>
      <c r="CP288" s="509"/>
      <c r="CQ288" s="508"/>
      <c r="CR288" s="507"/>
      <c r="CS288" s="510"/>
      <c r="CT288" s="509"/>
      <c r="CU288" s="509"/>
      <c r="CV288" s="509"/>
      <c r="CW288" s="508"/>
      <c r="CX288" s="71"/>
      <c r="CY288" s="506"/>
      <c r="CZ288" s="507"/>
      <c r="DA288" s="507"/>
      <c r="DB288" s="507"/>
      <c r="DC288" s="792">
        <f>+DC287+DC285+DC284+DC283</f>
        <v>1</v>
      </c>
      <c r="DD288" s="507"/>
      <c r="DE288" s="506"/>
      <c r="DF288" s="507"/>
      <c r="DG288" s="507"/>
      <c r="DH288" s="898"/>
      <c r="DI288" s="792">
        <f>+DI287+DI285+DI284+DI283</f>
        <v>1</v>
      </c>
      <c r="DJ288" s="509"/>
      <c r="DK288" s="897"/>
      <c r="DL288" s="898"/>
      <c r="DM288" s="898"/>
      <c r="DN288" s="898"/>
      <c r="DO288" s="508"/>
      <c r="DP288" s="509"/>
      <c r="DQ288" s="897"/>
      <c r="DR288" s="898"/>
      <c r="DS288" s="898"/>
      <c r="DT288" s="898"/>
      <c r="DU288" s="508"/>
      <c r="DV288" s="509"/>
      <c r="DW288" s="897"/>
      <c r="DX288" s="898"/>
      <c r="DY288" s="898"/>
      <c r="DZ288" s="898"/>
      <c r="EA288" s="508"/>
      <c r="EB288" s="509"/>
      <c r="EC288" s="897"/>
      <c r="ED288" s="898"/>
      <c r="EE288" s="898"/>
      <c r="EF288" s="898"/>
      <c r="EG288" s="508"/>
    </row>
    <row r="289" spans="1:137" ht="11.25" customHeight="1" outlineLevel="1" x14ac:dyDescent="0.2">
      <c r="A289" s="50" t="s">
        <v>656</v>
      </c>
      <c r="B289" s="14"/>
      <c r="C289" s="14"/>
      <c r="D289" s="14"/>
      <c r="E289" s="93"/>
      <c r="F289" s="71"/>
      <c r="G289" s="93"/>
      <c r="H289" s="71"/>
      <c r="I289" s="93"/>
      <c r="J289" s="71"/>
      <c r="K289" s="93"/>
      <c r="L289" s="71"/>
      <c r="M289" s="84"/>
      <c r="N289" s="71"/>
      <c r="O289" s="71"/>
      <c r="P289" s="71"/>
      <c r="Q289" s="93"/>
      <c r="R289" s="71"/>
      <c r="S289" s="84"/>
      <c r="T289" s="71"/>
      <c r="U289" s="71"/>
      <c r="V289" s="71"/>
      <c r="W289" s="93"/>
      <c r="X289" s="71"/>
      <c r="Y289" s="84"/>
      <c r="Z289" s="71"/>
      <c r="AA289" s="71"/>
      <c r="AB289" s="71"/>
      <c r="AC289" s="93"/>
      <c r="AD289" s="71"/>
      <c r="AE289" s="84"/>
      <c r="AF289" s="71"/>
      <c r="AG289" s="71"/>
      <c r="AH289" s="71"/>
      <c r="AI289" s="93"/>
      <c r="AJ289" s="71"/>
      <c r="AK289" s="84"/>
      <c r="AL289" s="71"/>
      <c r="AM289" s="71"/>
      <c r="AN289" s="71"/>
      <c r="AO289" s="93"/>
      <c r="AP289" s="71"/>
      <c r="AQ289" s="84"/>
      <c r="AR289" s="71"/>
      <c r="AS289" s="71"/>
      <c r="AT289" s="71"/>
      <c r="AU289" s="93"/>
      <c r="AV289" s="71"/>
      <c r="AW289" s="84"/>
      <c r="AX289" s="71"/>
      <c r="AY289" s="71"/>
      <c r="AZ289" s="71"/>
      <c r="BA289" s="93"/>
      <c r="BB289" s="71"/>
      <c r="BC289" s="84"/>
      <c r="BD289" s="71"/>
      <c r="BE289" s="71"/>
      <c r="BF289" s="71"/>
      <c r="BG289" s="540"/>
      <c r="BH289" s="71"/>
      <c r="BI289" s="84"/>
      <c r="BJ289" s="71"/>
      <c r="BK289" s="71"/>
      <c r="BL289" s="71"/>
      <c r="BM289" s="540"/>
      <c r="BN289" s="71"/>
      <c r="BO289" s="82"/>
      <c r="BP289" s="67"/>
      <c r="BQ289" s="67"/>
      <c r="BR289" s="67"/>
      <c r="BS289" s="540"/>
      <c r="BT289" s="71"/>
      <c r="BU289" s="510"/>
      <c r="BV289" s="509"/>
      <c r="BW289" s="509"/>
      <c r="BX289" s="509"/>
      <c r="BY289" s="508"/>
      <c r="BZ289" s="507"/>
      <c r="CA289" s="510"/>
      <c r="CB289" s="509"/>
      <c r="CC289" s="509"/>
      <c r="CD289" s="509"/>
      <c r="CE289" s="508"/>
      <c r="CF289" s="507"/>
      <c r="CG289" s="510"/>
      <c r="CH289" s="509"/>
      <c r="CI289" s="509"/>
      <c r="CJ289" s="509"/>
      <c r="CK289" s="508"/>
      <c r="CL289" s="507"/>
      <c r="CM289" s="510"/>
      <c r="CN289" s="509"/>
      <c r="CO289" s="509"/>
      <c r="CP289" s="509"/>
      <c r="CQ289" s="508"/>
      <c r="CR289" s="507"/>
      <c r="CS289" s="510"/>
      <c r="CT289" s="509"/>
      <c r="CU289" s="509"/>
      <c r="CV289" s="509"/>
      <c r="CW289" s="508"/>
      <c r="CX289" s="71"/>
      <c r="CY289" s="506"/>
      <c r="CZ289" s="507"/>
      <c r="DA289" s="507"/>
      <c r="DB289" s="507"/>
      <c r="DC289" s="508"/>
      <c r="DD289" s="507"/>
      <c r="DE289" s="506"/>
      <c r="DF289" s="507"/>
      <c r="DG289" s="507"/>
      <c r="DH289" s="898"/>
      <c r="DI289" s="508"/>
      <c r="DJ289" s="509"/>
      <c r="DK289" s="897"/>
      <c r="DL289" s="898"/>
      <c r="DM289" s="898"/>
      <c r="DN289" s="898"/>
      <c r="DO289" s="508"/>
      <c r="DP289" s="509"/>
      <c r="DQ289" s="897"/>
      <c r="DR289" s="898"/>
      <c r="DS289" s="898"/>
      <c r="DT289" s="898"/>
      <c r="DU289" s="508"/>
      <c r="DV289" s="509"/>
      <c r="DW289" s="897"/>
      <c r="DX289" s="898"/>
      <c r="DY289" s="898"/>
      <c r="DZ289" s="898"/>
      <c r="EA289" s="508"/>
      <c r="EB289" s="509"/>
      <c r="EC289" s="897"/>
      <c r="ED289" s="898"/>
      <c r="EE289" s="898"/>
      <c r="EF289" s="898"/>
      <c r="EG289" s="508"/>
    </row>
    <row r="290" spans="1:137" ht="11.25" customHeight="1" outlineLevel="1" x14ac:dyDescent="0.2">
      <c r="A290" s="51" t="s">
        <v>653</v>
      </c>
      <c r="B290" s="14"/>
      <c r="C290" s="14"/>
      <c r="D290" s="14"/>
      <c r="E290" s="93"/>
      <c r="F290" s="71"/>
      <c r="G290" s="93"/>
      <c r="H290" s="71"/>
      <c r="I290" s="93"/>
      <c r="J290" s="71"/>
      <c r="K290" s="93"/>
      <c r="L290" s="71"/>
      <c r="M290" s="84"/>
      <c r="N290" s="71"/>
      <c r="O290" s="71"/>
      <c r="P290" s="71"/>
      <c r="Q290" s="93"/>
      <c r="R290" s="71"/>
      <c r="S290" s="84"/>
      <c r="T290" s="71"/>
      <c r="U290" s="71"/>
      <c r="V290" s="71"/>
      <c r="W290" s="93"/>
      <c r="X290" s="71"/>
      <c r="Y290" s="84"/>
      <c r="Z290" s="71"/>
      <c r="AA290" s="71"/>
      <c r="AB290" s="71"/>
      <c r="AC290" s="93"/>
      <c r="AD290" s="71"/>
      <c r="AE290" s="84"/>
      <c r="AF290" s="71"/>
      <c r="AG290" s="71"/>
      <c r="AH290" s="71"/>
      <c r="AI290" s="93"/>
      <c r="AJ290" s="71"/>
      <c r="AK290" s="84"/>
      <c r="AL290" s="71"/>
      <c r="AM290" s="71"/>
      <c r="AN290" s="71"/>
      <c r="AO290" s="93"/>
      <c r="AP290" s="71"/>
      <c r="AQ290" s="84"/>
      <c r="AR290" s="71"/>
      <c r="AS290" s="71"/>
      <c r="AT290" s="71"/>
      <c r="AU290" s="93"/>
      <c r="AV290" s="71"/>
      <c r="AW290" s="84"/>
      <c r="AX290" s="71"/>
      <c r="AY290" s="71"/>
      <c r="AZ290" s="71"/>
      <c r="BA290" s="93"/>
      <c r="BB290" s="71"/>
      <c r="BC290" s="756">
        <v>0.05</v>
      </c>
      <c r="BD290" s="71"/>
      <c r="BE290" s="71"/>
      <c r="BF290" s="71"/>
      <c r="BG290" s="540"/>
      <c r="BH290" s="71"/>
      <c r="BI290" s="84"/>
      <c r="BJ290" s="71"/>
      <c r="BK290" s="71"/>
      <c r="BL290" s="71"/>
      <c r="BM290" s="540"/>
      <c r="BN290" s="71"/>
      <c r="BO290" s="82"/>
      <c r="BP290" s="67"/>
      <c r="BQ290" s="67"/>
      <c r="BR290" s="67"/>
      <c r="BS290" s="540"/>
      <c r="BT290" s="71"/>
      <c r="BU290" s="510"/>
      <c r="BV290" s="509"/>
      <c r="BW290" s="509"/>
      <c r="BX290" s="509"/>
      <c r="BY290" s="508"/>
      <c r="BZ290" s="507"/>
      <c r="CA290" s="510"/>
      <c r="CB290" s="509"/>
      <c r="CC290" s="509"/>
      <c r="CD290" s="509"/>
      <c r="CE290" s="508"/>
      <c r="CF290" s="507"/>
      <c r="CG290" s="510"/>
      <c r="CH290" s="509"/>
      <c r="CI290" s="509"/>
      <c r="CJ290" s="509"/>
      <c r="CK290" s="508"/>
      <c r="CL290" s="507"/>
      <c r="CM290" s="834" t="s">
        <v>663</v>
      </c>
      <c r="CN290" s="807" t="s">
        <v>663</v>
      </c>
      <c r="CO290" s="1260" t="s">
        <v>670</v>
      </c>
      <c r="CP290" s="807" t="s">
        <v>663</v>
      </c>
      <c r="CQ290" s="806" t="s">
        <v>663</v>
      </c>
      <c r="CR290" s="807"/>
      <c r="CS290" s="1261" t="s">
        <v>672</v>
      </c>
      <c r="CT290" s="807" t="s">
        <v>663</v>
      </c>
      <c r="CU290" s="807" t="s">
        <v>663</v>
      </c>
      <c r="CV290" s="807" t="s">
        <v>663</v>
      </c>
      <c r="CW290" s="806" t="s">
        <v>663</v>
      </c>
      <c r="CX290" s="71"/>
      <c r="CY290" s="506" t="s">
        <v>664</v>
      </c>
      <c r="CZ290" s="507" t="s">
        <v>664</v>
      </c>
      <c r="DA290" s="1262" t="s">
        <v>676</v>
      </c>
      <c r="DB290" s="807" t="s">
        <v>663</v>
      </c>
      <c r="DC290" s="1263" t="s">
        <v>634</v>
      </c>
      <c r="DD290" s="507" t="s">
        <v>108</v>
      </c>
      <c r="DE290" s="1264" t="s">
        <v>674</v>
      </c>
      <c r="DF290" s="1262" t="s">
        <v>674</v>
      </c>
      <c r="DG290" s="1262" t="s">
        <v>674</v>
      </c>
      <c r="DH290" s="898"/>
      <c r="DI290" s="508"/>
      <c r="DJ290" s="509"/>
      <c r="DK290" s="897"/>
      <c r="DL290" s="898"/>
      <c r="DM290" s="898"/>
      <c r="DN290" s="898"/>
      <c r="DO290" s="508"/>
      <c r="DP290" s="509"/>
      <c r="DQ290" s="897"/>
      <c r="DR290" s="898"/>
      <c r="DS290" s="898"/>
      <c r="DT290" s="898"/>
      <c r="DU290" s="508"/>
      <c r="DV290" s="509"/>
      <c r="DW290" s="897"/>
      <c r="DX290" s="898"/>
      <c r="DY290" s="898"/>
      <c r="DZ290" s="898"/>
      <c r="EA290" s="508"/>
      <c r="EB290" s="509"/>
      <c r="EC290" s="897"/>
      <c r="ED290" s="898"/>
      <c r="EE290" s="898"/>
      <c r="EF290" s="898"/>
      <c r="EG290" s="508"/>
    </row>
    <row r="291" spans="1:137" ht="11.25" customHeight="1" outlineLevel="1" x14ac:dyDescent="0.2">
      <c r="A291" s="51" t="s">
        <v>666</v>
      </c>
      <c r="B291" s="14"/>
      <c r="C291" s="14"/>
      <c r="D291" s="14"/>
      <c r="E291" s="93"/>
      <c r="F291" s="71"/>
      <c r="G291" s="93"/>
      <c r="H291" s="71"/>
      <c r="I291" s="93"/>
      <c r="J291" s="71"/>
      <c r="K291" s="93"/>
      <c r="L291" s="71"/>
      <c r="M291" s="84"/>
      <c r="N291" s="71"/>
      <c r="O291" s="71"/>
      <c r="P291" s="71"/>
      <c r="Q291" s="93"/>
      <c r="R291" s="71"/>
      <c r="S291" s="84"/>
      <c r="T291" s="71"/>
      <c r="U291" s="71"/>
      <c r="V291" s="71"/>
      <c r="W291" s="93"/>
      <c r="X291" s="71"/>
      <c r="Y291" s="84"/>
      <c r="Z291" s="71"/>
      <c r="AA291" s="71"/>
      <c r="AB291" s="71"/>
      <c r="AC291" s="93"/>
      <c r="AD291" s="71"/>
      <c r="AE291" s="84"/>
      <c r="AF291" s="71"/>
      <c r="AG291" s="71"/>
      <c r="AH291" s="71"/>
      <c r="AI291" s="93"/>
      <c r="AJ291" s="71"/>
      <c r="AK291" s="84"/>
      <c r="AL291" s="71"/>
      <c r="AM291" s="71"/>
      <c r="AN291" s="71"/>
      <c r="AO291" s="93"/>
      <c r="AP291" s="71"/>
      <c r="AQ291" s="84"/>
      <c r="AR291" s="71"/>
      <c r="AS291" s="71"/>
      <c r="AT291" s="71"/>
      <c r="AU291" s="93"/>
      <c r="AV291" s="71"/>
      <c r="AW291" s="84"/>
      <c r="AX291" s="71"/>
      <c r="AY291" s="71"/>
      <c r="AZ291" s="71"/>
      <c r="BA291" s="93"/>
      <c r="BB291" s="71"/>
      <c r="BC291" s="756"/>
      <c r="BD291" s="71"/>
      <c r="BE291" s="71"/>
      <c r="BF291" s="71"/>
      <c r="BG291" s="800"/>
      <c r="BH291" s="71"/>
      <c r="BI291" s="84"/>
      <c r="BJ291" s="71"/>
      <c r="BK291" s="71"/>
      <c r="BL291" s="71"/>
      <c r="BM291" s="800"/>
      <c r="BN291" s="71"/>
      <c r="BO291" s="82"/>
      <c r="BP291" s="67"/>
      <c r="BQ291" s="67"/>
      <c r="BR291" s="67"/>
      <c r="BS291" s="800"/>
      <c r="BT291" s="71"/>
      <c r="BU291" s="510"/>
      <c r="BV291" s="509"/>
      <c r="BW291" s="509"/>
      <c r="BX291" s="509"/>
      <c r="BY291" s="508"/>
      <c r="BZ291" s="507"/>
      <c r="CA291" s="510"/>
      <c r="CB291" s="509"/>
      <c r="CC291" s="509"/>
      <c r="CD291" s="509"/>
      <c r="CE291" s="508"/>
      <c r="CF291" s="507"/>
      <c r="CG291" s="510"/>
      <c r="CH291" s="509"/>
      <c r="CI291" s="509"/>
      <c r="CJ291" s="509"/>
      <c r="CK291" s="508"/>
      <c r="CL291" s="507"/>
      <c r="CM291" s="834" t="s">
        <v>663</v>
      </c>
      <c r="CN291" s="807" t="s">
        <v>663</v>
      </c>
      <c r="CO291" s="807" t="s">
        <v>663</v>
      </c>
      <c r="CP291" s="807" t="s">
        <v>663</v>
      </c>
      <c r="CQ291" s="806" t="s">
        <v>663</v>
      </c>
      <c r="CR291" s="807"/>
      <c r="CS291" s="834" t="s">
        <v>663</v>
      </c>
      <c r="CT291" s="807" t="s">
        <v>663</v>
      </c>
      <c r="CU291" s="807" t="s">
        <v>663</v>
      </c>
      <c r="CV291" s="807" t="s">
        <v>663</v>
      </c>
      <c r="CW291" s="806" t="s">
        <v>663</v>
      </c>
      <c r="CX291" s="71"/>
      <c r="CY291" s="506" t="s">
        <v>663</v>
      </c>
      <c r="CZ291" s="507" t="s">
        <v>663</v>
      </c>
      <c r="DA291" s="507" t="s">
        <v>663</v>
      </c>
      <c r="DB291" s="807" t="s">
        <v>663</v>
      </c>
      <c r="DC291" s="806" t="s">
        <v>663</v>
      </c>
      <c r="DD291" s="507" t="s">
        <v>108</v>
      </c>
      <c r="DE291" s="506" t="s">
        <v>663</v>
      </c>
      <c r="DF291" s="1262" t="s">
        <v>663</v>
      </c>
      <c r="DG291" s="1262" t="s">
        <v>663</v>
      </c>
      <c r="DH291" s="898"/>
      <c r="DI291" s="508"/>
      <c r="DJ291" s="509"/>
      <c r="DK291" s="897"/>
      <c r="DL291" s="898"/>
      <c r="DM291" s="898"/>
      <c r="DN291" s="898"/>
      <c r="DO291" s="508"/>
      <c r="DP291" s="509"/>
      <c r="DQ291" s="897"/>
      <c r="DR291" s="898"/>
      <c r="DS291" s="898"/>
      <c r="DT291" s="898"/>
      <c r="DU291" s="508"/>
      <c r="DV291" s="509"/>
      <c r="DW291" s="897"/>
      <c r="DX291" s="898"/>
      <c r="DY291" s="898"/>
      <c r="DZ291" s="898"/>
      <c r="EA291" s="508"/>
      <c r="EB291" s="509"/>
      <c r="EC291" s="897"/>
      <c r="ED291" s="898"/>
      <c r="EE291" s="898"/>
      <c r="EF291" s="898"/>
      <c r="EG291" s="508"/>
    </row>
    <row r="292" spans="1:137" ht="11.25" customHeight="1" outlineLevel="1" x14ac:dyDescent="0.2">
      <c r="A292" s="104" t="s">
        <v>630</v>
      </c>
      <c r="B292" s="14"/>
      <c r="C292" s="14"/>
      <c r="D292" s="14"/>
      <c r="E292" s="93"/>
      <c r="F292" s="71"/>
      <c r="G292" s="93"/>
      <c r="H292" s="71"/>
      <c r="I292" s="93"/>
      <c r="J292" s="71"/>
      <c r="K292" s="93"/>
      <c r="L292" s="71"/>
      <c r="M292" s="84"/>
      <c r="N292" s="71"/>
      <c r="O292" s="71"/>
      <c r="P292" s="71"/>
      <c r="Q292" s="93"/>
      <c r="R292" s="71"/>
      <c r="S292" s="84"/>
      <c r="T292" s="71"/>
      <c r="U292" s="71"/>
      <c r="V292" s="71"/>
      <c r="W292" s="93"/>
      <c r="X292" s="71"/>
      <c r="Y292" s="84"/>
      <c r="Z292" s="71"/>
      <c r="AA292" s="71"/>
      <c r="AB292" s="71"/>
      <c r="AC292" s="93"/>
      <c r="AD292" s="71"/>
      <c r="AE292" s="84"/>
      <c r="AF292" s="71"/>
      <c r="AG292" s="71"/>
      <c r="AH292" s="71"/>
      <c r="AI292" s="93"/>
      <c r="AJ292" s="71"/>
      <c r="AK292" s="84"/>
      <c r="AL292" s="71"/>
      <c r="AM292" s="71"/>
      <c r="AN292" s="71"/>
      <c r="AO292" s="93"/>
      <c r="AP292" s="71"/>
      <c r="AQ292" s="84"/>
      <c r="AR292" s="71"/>
      <c r="AS292" s="71"/>
      <c r="AT292" s="71"/>
      <c r="AU292" s="93"/>
      <c r="AV292" s="71"/>
      <c r="AW292" s="84"/>
      <c r="AX292" s="71"/>
      <c r="AY292" s="71"/>
      <c r="AZ292" s="71"/>
      <c r="BA292" s="93"/>
      <c r="BB292" s="71"/>
      <c r="BC292" s="717">
        <v>0.05</v>
      </c>
      <c r="BD292" s="71"/>
      <c r="BE292" s="71"/>
      <c r="BF292" s="71"/>
      <c r="BG292" s="540"/>
      <c r="BH292" s="71"/>
      <c r="BI292" s="84"/>
      <c r="BJ292" s="71"/>
      <c r="BK292" s="71"/>
      <c r="BL292" s="71"/>
      <c r="BM292" s="540"/>
      <c r="BN292" s="71"/>
      <c r="BO292" s="82"/>
      <c r="BP292" s="67"/>
      <c r="BQ292" s="67"/>
      <c r="BR292" s="67"/>
      <c r="BS292" s="540"/>
      <c r="BT292" s="71"/>
      <c r="BU292" s="510"/>
      <c r="BV292" s="509"/>
      <c r="BW292" s="509"/>
      <c r="BX292" s="509"/>
      <c r="BY292" s="508"/>
      <c r="BZ292" s="507"/>
      <c r="CA292" s="510"/>
      <c r="CB292" s="509"/>
      <c r="CC292" s="509"/>
      <c r="CD292" s="509"/>
      <c r="CE292" s="508"/>
      <c r="CF292" s="507"/>
      <c r="CG292" s="510"/>
      <c r="CH292" s="509"/>
      <c r="CI292" s="509"/>
      <c r="CJ292" s="509"/>
      <c r="CK292" s="508"/>
      <c r="CL292" s="507"/>
      <c r="CM292" s="834" t="s">
        <v>663</v>
      </c>
      <c r="CN292" s="1260" t="s">
        <v>667</v>
      </c>
      <c r="CO292" s="807" t="s">
        <v>663</v>
      </c>
      <c r="CP292" s="807" t="s">
        <v>663</v>
      </c>
      <c r="CQ292" s="1265" t="s">
        <v>671</v>
      </c>
      <c r="CR292" s="807" t="s">
        <v>108</v>
      </c>
      <c r="CS292" s="834" t="s">
        <v>663</v>
      </c>
      <c r="CT292" s="807" t="s">
        <v>663</v>
      </c>
      <c r="CU292" s="807" t="s">
        <v>663</v>
      </c>
      <c r="CV292" s="807" t="s">
        <v>663</v>
      </c>
      <c r="CW292" s="806" t="s">
        <v>663</v>
      </c>
      <c r="CX292" s="71"/>
      <c r="CY292" s="506" t="s">
        <v>663</v>
      </c>
      <c r="CZ292" s="507" t="s">
        <v>673</v>
      </c>
      <c r="DA292" s="1262" t="s">
        <v>675</v>
      </c>
      <c r="DB292" s="807" t="s">
        <v>663</v>
      </c>
      <c r="DC292" s="1265" t="s">
        <v>679</v>
      </c>
      <c r="DD292" s="507" t="s">
        <v>108</v>
      </c>
      <c r="DE292" s="1264" t="s">
        <v>674</v>
      </c>
      <c r="DF292" s="1262" t="s">
        <v>674</v>
      </c>
      <c r="DG292" s="1262" t="s">
        <v>674</v>
      </c>
      <c r="DH292" s="898"/>
      <c r="DI292" s="508"/>
      <c r="DJ292" s="509"/>
      <c r="DK292" s="897"/>
      <c r="DL292" s="898"/>
      <c r="DM292" s="898"/>
      <c r="DN292" s="898"/>
      <c r="DO292" s="508"/>
      <c r="DP292" s="509"/>
      <c r="DQ292" s="897"/>
      <c r="DR292" s="898"/>
      <c r="DS292" s="898"/>
      <c r="DT292" s="898"/>
      <c r="DU292" s="508"/>
      <c r="DV292" s="509"/>
      <c r="DW292" s="897"/>
      <c r="DX292" s="898"/>
      <c r="DY292" s="898"/>
      <c r="DZ292" s="898"/>
      <c r="EA292" s="508"/>
      <c r="EB292" s="509"/>
      <c r="EC292" s="897"/>
      <c r="ED292" s="898"/>
      <c r="EE292" s="898"/>
      <c r="EF292" s="898"/>
      <c r="EG292" s="508"/>
    </row>
    <row r="293" spans="1:137" ht="11.25" customHeight="1" outlineLevel="1" x14ac:dyDescent="0.2">
      <c r="A293" s="104" t="s">
        <v>654</v>
      </c>
      <c r="B293" s="14"/>
      <c r="C293" s="14"/>
      <c r="D293" s="14"/>
      <c r="E293" s="93"/>
      <c r="F293" s="71"/>
      <c r="G293" s="93"/>
      <c r="H293" s="71"/>
      <c r="I293" s="93"/>
      <c r="J293" s="71"/>
      <c r="K293" s="93"/>
      <c r="L293" s="71"/>
      <c r="M293" s="84"/>
      <c r="N293" s="71"/>
      <c r="O293" s="71"/>
      <c r="P293" s="71"/>
      <c r="Q293" s="93"/>
      <c r="R293" s="71"/>
      <c r="S293" s="84"/>
      <c r="T293" s="71"/>
      <c r="U293" s="71"/>
      <c r="V293" s="71"/>
      <c r="W293" s="93"/>
      <c r="X293" s="71"/>
      <c r="Y293" s="84"/>
      <c r="Z293" s="71"/>
      <c r="AA293" s="71"/>
      <c r="AB293" s="71"/>
      <c r="AC293" s="93"/>
      <c r="AD293" s="71"/>
      <c r="AE293" s="84"/>
      <c r="AF293" s="71"/>
      <c r="AG293" s="71"/>
      <c r="AH293" s="71"/>
      <c r="AI293" s="93"/>
      <c r="AJ293" s="71"/>
      <c r="AK293" s="84"/>
      <c r="AL293" s="71"/>
      <c r="AM293" s="71"/>
      <c r="AN293" s="71"/>
      <c r="AO293" s="93"/>
      <c r="AP293" s="71"/>
      <c r="AQ293" s="84"/>
      <c r="AR293" s="71"/>
      <c r="AS293" s="71"/>
      <c r="AT293" s="71"/>
      <c r="AU293" s="93"/>
      <c r="AV293" s="71"/>
      <c r="AW293" s="84"/>
      <c r="AX293" s="71"/>
      <c r="AY293" s="71"/>
      <c r="AZ293" s="71"/>
      <c r="BA293" s="93"/>
      <c r="BB293" s="71"/>
      <c r="BC293" s="717">
        <v>-7.0000000000000007E-2</v>
      </c>
      <c r="BD293" s="71"/>
      <c r="BE293" s="71"/>
      <c r="BF293" s="71"/>
      <c r="BG293" s="540"/>
      <c r="BH293" s="71"/>
      <c r="BI293" s="84"/>
      <c r="BJ293" s="71"/>
      <c r="BK293" s="71"/>
      <c r="BL293" s="71"/>
      <c r="BM293" s="540"/>
      <c r="BN293" s="71"/>
      <c r="BO293" s="82"/>
      <c r="BP293" s="67"/>
      <c r="BQ293" s="67"/>
      <c r="BR293" s="67"/>
      <c r="BS293" s="540"/>
      <c r="BT293" s="71"/>
      <c r="BU293" s="510"/>
      <c r="BV293" s="509"/>
      <c r="BW293" s="509"/>
      <c r="BX293" s="509"/>
      <c r="BY293" s="508"/>
      <c r="BZ293" s="507"/>
      <c r="CA293" s="510"/>
      <c r="CB293" s="509"/>
      <c r="CC293" s="509"/>
      <c r="CD293" s="509"/>
      <c r="CE293" s="508"/>
      <c r="CF293" s="507"/>
      <c r="CG293" s="510"/>
      <c r="CH293" s="509"/>
      <c r="CI293" s="509"/>
      <c r="CJ293" s="509"/>
      <c r="CK293" s="508"/>
      <c r="CL293" s="507"/>
      <c r="CM293" s="834" t="s">
        <v>663</v>
      </c>
      <c r="CN293" s="1260" t="s">
        <v>668</v>
      </c>
      <c r="CO293" s="1260" t="s">
        <v>669</v>
      </c>
      <c r="CP293" s="1258">
        <v>0.3</v>
      </c>
      <c r="CQ293" s="1265" t="s">
        <v>671</v>
      </c>
      <c r="CR293" s="807" t="s">
        <v>108</v>
      </c>
      <c r="CS293" s="834" t="s">
        <v>663</v>
      </c>
      <c r="CT293" s="807" t="s">
        <v>663</v>
      </c>
      <c r="CU293" s="807" t="s">
        <v>663</v>
      </c>
      <c r="CV293" s="807" t="s">
        <v>663</v>
      </c>
      <c r="CW293" s="806" t="s">
        <v>663</v>
      </c>
      <c r="CX293" s="71"/>
      <c r="CY293" s="506" t="s">
        <v>663</v>
      </c>
      <c r="CZ293" s="507" t="s">
        <v>664</v>
      </c>
      <c r="DA293" s="1266" t="s">
        <v>677</v>
      </c>
      <c r="DB293" s="807" t="s">
        <v>663</v>
      </c>
      <c r="DC293" s="1265" t="s">
        <v>680</v>
      </c>
      <c r="DD293" s="507" t="s">
        <v>108</v>
      </c>
      <c r="DE293" s="1264" t="s">
        <v>680</v>
      </c>
      <c r="DF293" s="1262" t="s">
        <v>680</v>
      </c>
      <c r="DG293" s="1262" t="s">
        <v>680</v>
      </c>
      <c r="DH293" s="898"/>
      <c r="DI293" s="508"/>
      <c r="DJ293" s="509"/>
      <c r="DK293" s="897"/>
      <c r="DL293" s="898"/>
      <c r="DM293" s="898"/>
      <c r="DN293" s="898"/>
      <c r="DO293" s="508"/>
      <c r="DP293" s="509"/>
      <c r="DQ293" s="897"/>
      <c r="DR293" s="898"/>
      <c r="DS293" s="898"/>
      <c r="DT293" s="898"/>
      <c r="DU293" s="508"/>
      <c r="DV293" s="509"/>
      <c r="DW293" s="897"/>
      <c r="DX293" s="898"/>
      <c r="DY293" s="898"/>
      <c r="DZ293" s="898"/>
      <c r="EA293" s="508"/>
      <c r="EB293" s="509"/>
      <c r="EC293" s="897"/>
      <c r="ED293" s="898"/>
      <c r="EE293" s="898"/>
      <c r="EF293" s="898"/>
      <c r="EG293" s="508"/>
    </row>
    <row r="294" spans="1:137" ht="11.25" customHeight="1" outlineLevel="1" x14ac:dyDescent="0.2">
      <c r="A294" s="104" t="s">
        <v>655</v>
      </c>
      <c r="B294" s="14"/>
      <c r="C294" s="14"/>
      <c r="D294" s="14"/>
      <c r="E294" s="93"/>
      <c r="F294" s="71"/>
      <c r="G294" s="93"/>
      <c r="H294" s="71"/>
      <c r="I294" s="93"/>
      <c r="J294" s="71"/>
      <c r="K294" s="93"/>
      <c r="L294" s="71"/>
      <c r="M294" s="84"/>
      <c r="N294" s="71"/>
      <c r="O294" s="71"/>
      <c r="P294" s="71"/>
      <c r="Q294" s="93"/>
      <c r="R294" s="71"/>
      <c r="S294" s="84"/>
      <c r="T294" s="71"/>
      <c r="U294" s="71"/>
      <c r="V294" s="71"/>
      <c r="W294" s="93"/>
      <c r="X294" s="71"/>
      <c r="Y294" s="84"/>
      <c r="Z294" s="71"/>
      <c r="AA294" s="71"/>
      <c r="AB294" s="71"/>
      <c r="AC294" s="93"/>
      <c r="AD294" s="71"/>
      <c r="AE294" s="84"/>
      <c r="AF294" s="71"/>
      <c r="AG294" s="71"/>
      <c r="AH294" s="71"/>
      <c r="AI294" s="93"/>
      <c r="AJ294" s="71"/>
      <c r="AK294" s="84"/>
      <c r="AL294" s="71"/>
      <c r="AM294" s="71"/>
      <c r="AN294" s="71"/>
      <c r="AO294" s="93"/>
      <c r="AP294" s="71"/>
      <c r="AQ294" s="84"/>
      <c r="AR294" s="71"/>
      <c r="AS294" s="71"/>
      <c r="AT294" s="71"/>
      <c r="AU294" s="93"/>
      <c r="AV294" s="71"/>
      <c r="AW294" s="84"/>
      <c r="AX294" s="71"/>
      <c r="AY294" s="71"/>
      <c r="AZ294" s="71"/>
      <c r="BA294" s="93"/>
      <c r="BB294" s="71"/>
      <c r="BC294" s="84"/>
      <c r="BD294" s="71"/>
      <c r="BE294" s="71"/>
      <c r="BF294" s="71"/>
      <c r="BG294" s="93"/>
      <c r="BH294" s="71"/>
      <c r="BI294" s="84"/>
      <c r="BJ294" s="71"/>
      <c r="BK294" s="71"/>
      <c r="BL294" s="71"/>
      <c r="BM294" s="93"/>
      <c r="BN294" s="71"/>
      <c r="BO294" s="82"/>
      <c r="BP294" s="67"/>
      <c r="BQ294" s="67"/>
      <c r="BR294" s="67"/>
      <c r="BS294" s="548"/>
      <c r="BT294" s="71"/>
      <c r="BU294" s="510"/>
      <c r="BV294" s="509"/>
      <c r="BW294" s="509"/>
      <c r="BX294" s="509"/>
      <c r="BY294" s="508"/>
      <c r="BZ294" s="507"/>
      <c r="CA294" s="510"/>
      <c r="CB294" s="509"/>
      <c r="CC294" s="509"/>
      <c r="CD294" s="509"/>
      <c r="CE294" s="508"/>
      <c r="CF294" s="507"/>
      <c r="CG294" s="510"/>
      <c r="CH294" s="509"/>
      <c r="CI294" s="509"/>
      <c r="CJ294" s="509"/>
      <c r="CK294" s="508"/>
      <c r="CL294" s="507"/>
      <c r="CM294" s="834" t="s">
        <v>663</v>
      </c>
      <c r="CN294" s="807" t="s">
        <v>663</v>
      </c>
      <c r="CO294" s="807" t="s">
        <v>663</v>
      </c>
      <c r="CP294" s="807" t="s">
        <v>663</v>
      </c>
      <c r="CQ294" s="806" t="s">
        <v>663</v>
      </c>
      <c r="CR294" s="807"/>
      <c r="CS294" s="834" t="s">
        <v>663</v>
      </c>
      <c r="CT294" s="807" t="s">
        <v>663</v>
      </c>
      <c r="CU294" s="807" t="s">
        <v>663</v>
      </c>
      <c r="CV294" s="807" t="s">
        <v>663</v>
      </c>
      <c r="CW294" s="806" t="s">
        <v>663</v>
      </c>
      <c r="CX294" s="71"/>
      <c r="CY294" s="506" t="s">
        <v>663</v>
      </c>
      <c r="CZ294" s="507" t="s">
        <v>663</v>
      </c>
      <c r="DA294" s="507" t="s">
        <v>663</v>
      </c>
      <c r="DB294" s="807" t="s">
        <v>663</v>
      </c>
      <c r="DC294" s="806" t="s">
        <v>663</v>
      </c>
      <c r="DD294" s="507" t="s">
        <v>108</v>
      </c>
      <c r="DE294" s="506" t="s">
        <v>663</v>
      </c>
      <c r="DF294" s="1262" t="s">
        <v>663</v>
      </c>
      <c r="DG294" s="1262" t="s">
        <v>663</v>
      </c>
      <c r="DH294" s="898"/>
      <c r="DI294" s="508"/>
      <c r="DJ294" s="509"/>
      <c r="DK294" s="897"/>
      <c r="DL294" s="898"/>
      <c r="DM294" s="898"/>
      <c r="DN294" s="898"/>
      <c r="DO294" s="508"/>
      <c r="DP294" s="509"/>
      <c r="DQ294" s="897"/>
      <c r="DR294" s="898"/>
      <c r="DS294" s="898"/>
      <c r="DT294" s="898"/>
      <c r="DU294" s="508"/>
      <c r="DV294" s="509"/>
      <c r="DW294" s="897"/>
      <c r="DX294" s="898"/>
      <c r="DY294" s="898"/>
      <c r="DZ294" s="898"/>
      <c r="EA294" s="508"/>
      <c r="EB294" s="509"/>
      <c r="EC294" s="897"/>
      <c r="ED294" s="898"/>
      <c r="EE294" s="898"/>
      <c r="EF294" s="898"/>
      <c r="EG294" s="508"/>
    </row>
    <row r="295" spans="1:137" ht="11.25" customHeight="1" outlineLevel="1" x14ac:dyDescent="0.2">
      <c r="A295" s="106" t="s">
        <v>113</v>
      </c>
      <c r="B295" s="74"/>
      <c r="C295" s="74"/>
      <c r="D295" s="74"/>
      <c r="E295" s="107"/>
      <c r="F295" s="75"/>
      <c r="G295" s="107"/>
      <c r="H295" s="75"/>
      <c r="I295" s="107"/>
      <c r="J295" s="75"/>
      <c r="K295" s="107"/>
      <c r="L295" s="75"/>
      <c r="M295" s="109"/>
      <c r="N295" s="110"/>
      <c r="O295" s="110"/>
      <c r="P295" s="110"/>
      <c r="Q295" s="107"/>
      <c r="R295" s="75"/>
      <c r="S295" s="109"/>
      <c r="T295" s="110"/>
      <c r="U295" s="110"/>
      <c r="V295" s="110"/>
      <c r="W295" s="107"/>
      <c r="X295" s="75"/>
      <c r="Y295" s="109"/>
      <c r="Z295" s="110"/>
      <c r="AA295" s="110"/>
      <c r="AB295" s="110"/>
      <c r="AC295" s="107"/>
      <c r="AD295" s="75"/>
      <c r="AE295" s="109"/>
      <c r="AF295" s="110"/>
      <c r="AG295" s="110"/>
      <c r="AH295" s="110"/>
      <c r="AI295" s="107"/>
      <c r="AJ295" s="75"/>
      <c r="AK295" s="109"/>
      <c r="AL295" s="110"/>
      <c r="AM295" s="110"/>
      <c r="AN295" s="110"/>
      <c r="AO295" s="107"/>
      <c r="AP295" s="75"/>
      <c r="AQ295" s="109"/>
      <c r="AR295" s="110"/>
      <c r="AS295" s="110"/>
      <c r="AT295" s="110"/>
      <c r="AU295" s="107"/>
      <c r="AV295" s="75"/>
      <c r="AW295" s="109"/>
      <c r="AX295" s="110"/>
      <c r="AY295" s="110"/>
      <c r="AZ295" s="110"/>
      <c r="BA295" s="107"/>
      <c r="BB295" s="75"/>
      <c r="BC295" s="109"/>
      <c r="BD295" s="110"/>
      <c r="BE295" s="110"/>
      <c r="BF295" s="110"/>
      <c r="BG295" s="107"/>
      <c r="BH295" s="75"/>
      <c r="BI295" s="109"/>
      <c r="BJ295" s="110"/>
      <c r="BK295" s="110"/>
      <c r="BL295" s="110"/>
      <c r="BM295" s="107"/>
      <c r="BN295" s="75"/>
      <c r="BO295" s="109"/>
      <c r="BP295" s="110"/>
      <c r="BQ295" s="110"/>
      <c r="BR295" s="110"/>
      <c r="BS295" s="107"/>
      <c r="BT295" s="75"/>
      <c r="BU295" s="109"/>
      <c r="BV295" s="110"/>
      <c r="BW295" s="110"/>
      <c r="BX295" s="110"/>
      <c r="BY295" s="107"/>
      <c r="BZ295" s="75"/>
      <c r="CA295" s="109"/>
      <c r="CB295" s="110"/>
      <c r="CC295" s="110"/>
      <c r="CD295" s="110"/>
      <c r="CE295" s="107"/>
      <c r="CF295" s="75"/>
      <c r="CG295" s="109"/>
      <c r="CH295" s="110"/>
      <c r="CI295" s="110"/>
      <c r="CJ295" s="110"/>
      <c r="CK295" s="107"/>
      <c r="CL295" s="75"/>
      <c r="CM295" s="109"/>
      <c r="CN295" s="110"/>
      <c r="CO295" s="110"/>
      <c r="CP295" s="110"/>
      <c r="CQ295" s="107"/>
      <c r="CR295" s="75"/>
      <c r="CS295" s="109"/>
      <c r="CT295" s="110"/>
      <c r="CU295" s="110"/>
      <c r="CV295" s="110"/>
      <c r="CW295" s="107"/>
      <c r="CX295" s="75"/>
      <c r="CY295" s="109"/>
      <c r="CZ295" s="110"/>
      <c r="DA295" s="110"/>
      <c r="DB295" s="110"/>
      <c r="DC295" s="107"/>
      <c r="DD295" s="75"/>
      <c r="DE295" s="109"/>
      <c r="DF295" s="110"/>
      <c r="DG295" s="110"/>
      <c r="DH295" s="110"/>
      <c r="DI295" s="107"/>
      <c r="DJ295" s="75"/>
      <c r="DK295" s="109"/>
      <c r="DL295" s="110"/>
      <c r="DM295" s="110"/>
      <c r="DN295" s="110"/>
      <c r="DO295" s="107"/>
      <c r="DP295" s="75"/>
      <c r="DQ295" s="109"/>
      <c r="DR295" s="110"/>
      <c r="DS295" s="110"/>
      <c r="DT295" s="110"/>
      <c r="DU295" s="107"/>
      <c r="DV295" s="75"/>
      <c r="DW295" s="109"/>
      <c r="DX295" s="110"/>
      <c r="DY295" s="110"/>
      <c r="DZ295" s="110"/>
      <c r="EA295" s="107"/>
      <c r="EB295" s="75"/>
      <c r="EC295" s="109"/>
      <c r="ED295" s="110"/>
      <c r="EE295" s="110"/>
      <c r="EF295" s="110"/>
      <c r="EG295" s="107"/>
    </row>
    <row r="296" spans="1:137" ht="11.25" customHeight="1" outlineLevel="1" x14ac:dyDescent="0.2">
      <c r="A296" s="436" t="s">
        <v>163</v>
      </c>
      <c r="B296" s="14"/>
      <c r="C296" s="14"/>
      <c r="D296" s="14"/>
      <c r="E296" s="92"/>
      <c r="F296" s="71"/>
      <c r="G296" s="92"/>
      <c r="H296" s="71"/>
      <c r="I296" s="92"/>
      <c r="J296" s="71"/>
      <c r="K296" s="92"/>
      <c r="L296" s="71"/>
      <c r="M296" s="84"/>
      <c r="N296" s="71"/>
      <c r="O296" s="71"/>
      <c r="P296" s="71"/>
      <c r="Q296" s="92"/>
      <c r="R296" s="71"/>
      <c r="S296" s="84"/>
      <c r="T296" s="71"/>
      <c r="U296" s="71"/>
      <c r="V296" s="71"/>
      <c r="W296" s="92"/>
      <c r="X296" s="71"/>
      <c r="Y296" s="84"/>
      <c r="Z296" s="71"/>
      <c r="AA296" s="71"/>
      <c r="AB296" s="71"/>
      <c r="AC296" s="92"/>
      <c r="AD296" s="71"/>
      <c r="AE296" s="84"/>
      <c r="AF296" s="71"/>
      <c r="AG296" s="71"/>
      <c r="AH296" s="71"/>
      <c r="AI296" s="92"/>
      <c r="AJ296" s="71"/>
      <c r="AK296" s="84"/>
      <c r="AL296" s="71"/>
      <c r="AM296" s="71"/>
      <c r="AN296" s="71"/>
      <c r="AO296" s="92"/>
      <c r="AP296" s="71"/>
      <c r="AQ296" s="84"/>
      <c r="AR296" s="71"/>
      <c r="AS296" s="71"/>
      <c r="AT296" s="71"/>
      <c r="AU296" s="92"/>
      <c r="AV296" s="71"/>
      <c r="AW296" s="84"/>
      <c r="AX296" s="71"/>
      <c r="AY296" s="71"/>
      <c r="AZ296" s="71"/>
      <c r="BA296" s="92"/>
      <c r="BB296" s="71"/>
      <c r="BC296" s="84"/>
      <c r="BD296" s="71"/>
      <c r="BE296" s="71"/>
      <c r="BF296" s="71"/>
      <c r="BG296" s="91"/>
      <c r="BH296" s="71"/>
      <c r="BI296" s="81"/>
      <c r="BJ296" s="69"/>
      <c r="BK296" s="69"/>
      <c r="BL296" s="69"/>
      <c r="BM296" s="91"/>
      <c r="BN296" s="71"/>
      <c r="BO296" s="81"/>
      <c r="BP296" s="69"/>
      <c r="BQ296" s="69"/>
      <c r="BR296" s="69"/>
      <c r="BS296" s="91"/>
      <c r="BT296" s="71"/>
      <c r="BU296" s="81"/>
      <c r="BV296" s="69"/>
      <c r="BW296" s="69"/>
      <c r="BX296" s="69"/>
      <c r="BY296" s="91"/>
      <c r="BZ296" s="71"/>
      <c r="CA296" s="81"/>
      <c r="CB296" s="69"/>
      <c r="CC296" s="69"/>
      <c r="CD296" s="69"/>
      <c r="CE296" s="91"/>
      <c r="CF296" s="71"/>
      <c r="CG296" s="81"/>
      <c r="CH296" s="69"/>
      <c r="CI296" s="69"/>
      <c r="CJ296" s="69"/>
      <c r="CK296" s="91"/>
      <c r="CL296" s="71"/>
      <c r="CM296" s="81"/>
      <c r="CN296" s="69"/>
      <c r="CO296" s="69"/>
      <c r="CP296" s="69"/>
      <c r="CQ296" s="91"/>
      <c r="CR296" s="71"/>
      <c r="CS296" s="442"/>
      <c r="CT296" s="347"/>
      <c r="CU296" s="347"/>
      <c r="CV296" s="347"/>
      <c r="CW296" s="47"/>
      <c r="CX296" s="15"/>
      <c r="CY296" s="442"/>
      <c r="CZ296" s="347"/>
      <c r="DA296" s="347"/>
      <c r="DB296" s="347"/>
      <c r="DC296" s="47"/>
      <c r="DD296" s="71"/>
      <c r="DE296" s="82"/>
      <c r="DF296" s="67"/>
      <c r="DG296" s="67"/>
      <c r="DH296" s="67"/>
      <c r="DI296" s="93"/>
      <c r="DJ296" s="71"/>
      <c r="DK296" s="82"/>
      <c r="DL296" s="67"/>
      <c r="DM296" s="67"/>
      <c r="DN296" s="67"/>
      <c r="DO296" s="93"/>
      <c r="DP296" s="71"/>
      <c r="DQ296" s="82"/>
      <c r="DR296" s="67"/>
      <c r="DS296" s="67"/>
      <c r="DT296" s="67"/>
      <c r="DU296" s="93"/>
      <c r="DV296" s="71"/>
      <c r="DW296" s="82"/>
      <c r="DX296" s="67"/>
      <c r="DY296" s="67"/>
      <c r="DZ296" s="67"/>
      <c r="EA296" s="93"/>
      <c r="EB296" s="71"/>
      <c r="EC296" s="82"/>
      <c r="ED296" s="67"/>
      <c r="EE296" s="67"/>
      <c r="EF296" s="67"/>
      <c r="EG296" s="93"/>
    </row>
    <row r="297" spans="1:137" ht="11.25" customHeight="1" outlineLevel="1" x14ac:dyDescent="0.2">
      <c r="A297" s="455" t="s">
        <v>391</v>
      </c>
      <c r="B297" s="40"/>
      <c r="C297" s="40"/>
      <c r="D297" s="40"/>
      <c r="E297" s="436"/>
      <c r="F297" s="40"/>
      <c r="G297" s="436"/>
      <c r="H297" s="40"/>
      <c r="I297" s="436"/>
      <c r="J297" s="40"/>
      <c r="K297" s="436"/>
      <c r="L297" s="40"/>
      <c r="M297" s="430"/>
      <c r="N297" s="40"/>
      <c r="O297" s="40"/>
      <c r="P297" s="40"/>
      <c r="Q297" s="436"/>
      <c r="R297" s="40"/>
      <c r="S297" s="430"/>
      <c r="T297" s="40"/>
      <c r="U297" s="40"/>
      <c r="V297" s="40"/>
      <c r="W297" s="436"/>
      <c r="X297" s="40"/>
      <c r="Y297" s="430"/>
      <c r="Z297" s="40"/>
      <c r="AA297" s="40"/>
      <c r="AB297" s="40"/>
      <c r="AC297" s="436"/>
      <c r="AD297" s="40"/>
      <c r="AE297" s="430"/>
      <c r="AF297" s="40"/>
      <c r="AG297" s="40"/>
      <c r="AH297" s="40"/>
      <c r="AI297" s="436"/>
      <c r="AJ297" s="40"/>
      <c r="AK297" s="430"/>
      <c r="AL297" s="40"/>
      <c r="AM297" s="40"/>
      <c r="AN297" s="40"/>
      <c r="AO297" s="436"/>
      <c r="AP297" s="40"/>
      <c r="AQ297" s="430"/>
      <c r="AR297" s="40"/>
      <c r="AS297" s="40"/>
      <c r="AT297" s="40"/>
      <c r="AU297" s="436"/>
      <c r="AV297" s="40"/>
      <c r="AW297" s="430"/>
      <c r="AX297" s="40"/>
      <c r="AY297" s="40"/>
      <c r="AZ297" s="40"/>
      <c r="BA297" s="436"/>
      <c r="BB297" s="40"/>
      <c r="BC297" s="430"/>
      <c r="BD297" s="40"/>
      <c r="BE297" s="40"/>
      <c r="BF297" s="40"/>
      <c r="BG297" s="436"/>
      <c r="BH297" s="40"/>
      <c r="BI297" s="430"/>
      <c r="BJ297" s="40"/>
      <c r="BK297" s="40"/>
      <c r="BL297" s="40"/>
      <c r="BM297" s="436"/>
      <c r="BN297" s="40"/>
      <c r="BO297" s="430"/>
      <c r="BP297" s="40"/>
      <c r="BQ297" s="40"/>
      <c r="BR297" s="40"/>
      <c r="BS297" s="436"/>
      <c r="BT297" s="40"/>
      <c r="BU297" s="430"/>
      <c r="BV297" s="40"/>
      <c r="BW297" s="40"/>
      <c r="BX297" s="40"/>
      <c r="BY297" s="436"/>
      <c r="BZ297" s="40"/>
      <c r="CA297" s="430"/>
      <c r="CB297" s="40"/>
      <c r="CC297" s="40"/>
      <c r="CD297" s="40"/>
      <c r="CE297" s="436"/>
      <c r="CF297" s="40"/>
      <c r="CG297" s="430"/>
      <c r="CH297" s="40"/>
      <c r="CI297" s="40"/>
      <c r="CJ297" s="40"/>
      <c r="CK297" s="436"/>
      <c r="CL297" s="40"/>
      <c r="CM297" s="430"/>
      <c r="CN297" s="40"/>
      <c r="CO297" s="40"/>
      <c r="CP297" s="40"/>
      <c r="CQ297" s="449"/>
      <c r="CR297" s="40"/>
      <c r="CS297" s="430" t="s">
        <v>108</v>
      </c>
      <c r="CT297" s="40"/>
      <c r="CU297" s="40"/>
      <c r="CV297" s="40"/>
      <c r="CW297" s="436"/>
      <c r="CX297" s="40"/>
      <c r="CY297" s="430"/>
      <c r="CZ297" s="40"/>
      <c r="DA297" s="40"/>
      <c r="DB297" s="40"/>
      <c r="DC297" s="436"/>
      <c r="DD297" s="40"/>
      <c r="DE297" s="430"/>
      <c r="DF297" s="40"/>
      <c r="DG297" s="40"/>
      <c r="DH297" s="40"/>
      <c r="DI297" s="436"/>
      <c r="DJ297" s="40"/>
      <c r="DK297" s="430"/>
      <c r="DL297" s="40"/>
      <c r="DM297" s="40"/>
      <c r="DN297" s="40"/>
      <c r="DO297" s="436"/>
      <c r="DP297" s="40"/>
      <c r="DQ297" s="430"/>
      <c r="DR297" s="40"/>
      <c r="DS297" s="40"/>
      <c r="DT297" s="40"/>
      <c r="DU297" s="436"/>
      <c r="DV297" s="40"/>
      <c r="DW297" s="430"/>
      <c r="DX297" s="40"/>
      <c r="DY297" s="40"/>
      <c r="DZ297" s="40"/>
      <c r="EA297" s="436"/>
      <c r="EB297" s="40"/>
      <c r="EC297" s="430"/>
      <c r="ED297" s="40"/>
      <c r="EE297" s="40"/>
      <c r="EF297" s="40"/>
      <c r="EG297" s="436"/>
    </row>
    <row r="298" spans="1:137" ht="11.25" customHeight="1" outlineLevel="1" x14ac:dyDescent="0.2">
      <c r="A298" s="452" t="s">
        <v>77</v>
      </c>
      <c r="B298" s="38"/>
      <c r="C298" s="38"/>
      <c r="D298" s="38"/>
      <c r="E298" s="452"/>
      <c r="F298" s="38"/>
      <c r="G298" s="452"/>
      <c r="H298" s="38"/>
      <c r="I298" s="452"/>
      <c r="J298" s="38"/>
      <c r="K298" s="452"/>
      <c r="L298" s="38"/>
      <c r="M298" s="433"/>
      <c r="N298" s="38"/>
      <c r="O298" s="38"/>
      <c r="P298" s="38"/>
      <c r="Q298" s="452"/>
      <c r="R298" s="38"/>
      <c r="S298" s="433"/>
      <c r="T298" s="38"/>
      <c r="U298" s="38"/>
      <c r="V298" s="38"/>
      <c r="W298" s="452"/>
      <c r="X298" s="38"/>
      <c r="Y298" s="433"/>
      <c r="Z298" s="38"/>
      <c r="AA298" s="38"/>
      <c r="AB298" s="38"/>
      <c r="AC298" s="452"/>
      <c r="AD298" s="38"/>
      <c r="AE298" s="433"/>
      <c r="AF298" s="38"/>
      <c r="AG298" s="38"/>
      <c r="AH298" s="38"/>
      <c r="AI298" s="452"/>
      <c r="AJ298" s="38"/>
      <c r="AK298" s="433"/>
      <c r="AL298" s="38"/>
      <c r="AM298" s="38"/>
      <c r="AN298" s="38"/>
      <c r="AO298" s="452"/>
      <c r="AP298" s="38"/>
      <c r="AQ298" s="433"/>
      <c r="AR298" s="38"/>
      <c r="AS298" s="38"/>
      <c r="AT298" s="38"/>
      <c r="AU298" s="452"/>
      <c r="AV298" s="38"/>
      <c r="AW298" s="433"/>
      <c r="AX298" s="38"/>
      <c r="AY298" s="38"/>
      <c r="AZ298" s="38"/>
      <c r="BA298" s="452"/>
      <c r="BB298" s="38"/>
      <c r="BC298" s="433"/>
      <c r="BD298" s="38"/>
      <c r="BE298" s="38"/>
      <c r="BF298" s="38"/>
      <c r="BG298" s="445" t="s">
        <v>383</v>
      </c>
      <c r="BH298" s="44"/>
      <c r="BI298" s="442" t="s">
        <v>396</v>
      </c>
      <c r="BJ298" s="347" t="s">
        <v>134</v>
      </c>
      <c r="BK298" s="347" t="s">
        <v>14</v>
      </c>
      <c r="BL298" s="347" t="s">
        <v>385</v>
      </c>
      <c r="BM298" s="445" t="s">
        <v>14</v>
      </c>
      <c r="BN298" s="44"/>
      <c r="BO298" s="442" t="s">
        <v>14</v>
      </c>
      <c r="BP298" s="347" t="s">
        <v>395</v>
      </c>
      <c r="BQ298" s="347" t="s">
        <v>14</v>
      </c>
      <c r="BR298" s="347"/>
      <c r="BS298" s="445" t="s">
        <v>14</v>
      </c>
      <c r="BT298" s="44"/>
      <c r="BU298" s="442" t="s">
        <v>382</v>
      </c>
      <c r="BV298" s="347" t="s">
        <v>384</v>
      </c>
      <c r="BW298" s="347" t="s">
        <v>382</v>
      </c>
      <c r="BX298" s="347" t="s">
        <v>382</v>
      </c>
      <c r="BY298" s="445"/>
      <c r="BZ298" s="44"/>
      <c r="CA298" s="442" t="s">
        <v>392</v>
      </c>
      <c r="CB298" s="347" t="s">
        <v>382</v>
      </c>
      <c r="CC298" s="347" t="s">
        <v>383</v>
      </c>
      <c r="CD298" s="347" t="s">
        <v>382</v>
      </c>
      <c r="CE298" s="445" t="s">
        <v>382</v>
      </c>
      <c r="CF298" s="44"/>
      <c r="CG298" s="442" t="s">
        <v>383</v>
      </c>
      <c r="CH298" s="347" t="s">
        <v>382</v>
      </c>
      <c r="CI298" s="347" t="s">
        <v>382</v>
      </c>
      <c r="CJ298" s="347" t="s">
        <v>383</v>
      </c>
      <c r="CK298" s="445" t="s">
        <v>383</v>
      </c>
      <c r="CL298" s="44"/>
      <c r="CM298" s="442" t="s">
        <v>382</v>
      </c>
      <c r="CN298" s="347"/>
      <c r="CO298" s="347" t="s">
        <v>383</v>
      </c>
      <c r="CP298" s="347" t="s">
        <v>383</v>
      </c>
      <c r="CQ298" s="445" t="s">
        <v>128</v>
      </c>
      <c r="CR298" s="44"/>
      <c r="CS298" s="442" t="s">
        <v>108</v>
      </c>
      <c r="CT298" s="347"/>
      <c r="CU298" s="347" t="s">
        <v>204</v>
      </c>
      <c r="CV298" s="347" t="s">
        <v>209</v>
      </c>
      <c r="CW298" s="445"/>
      <c r="CX298" s="44"/>
      <c r="CY298" s="442" t="s">
        <v>212</v>
      </c>
      <c r="CZ298" s="1157"/>
      <c r="DA298" s="347"/>
      <c r="DB298" s="347"/>
      <c r="DC298" s="445"/>
      <c r="DD298" s="44"/>
      <c r="DE298" s="431"/>
      <c r="DF298" s="1157" t="s">
        <v>635</v>
      </c>
      <c r="DG298" s="1157" t="s">
        <v>646</v>
      </c>
      <c r="DH298" s="553" t="s">
        <v>720</v>
      </c>
      <c r="DI298" s="437"/>
      <c r="DJ298" s="44"/>
      <c r="DK298" s="431"/>
      <c r="DL298" s="37"/>
      <c r="DM298" s="37"/>
      <c r="DN298" s="37"/>
      <c r="DO298" s="437"/>
      <c r="DP298" s="44"/>
      <c r="DQ298" s="431"/>
      <c r="DR298" s="37"/>
      <c r="DS298" s="37"/>
      <c r="DT298" s="37"/>
      <c r="DU298" s="437"/>
      <c r="DV298" s="44"/>
      <c r="DW298" s="431"/>
      <c r="DX298" s="37"/>
      <c r="DY298" s="37"/>
      <c r="DZ298" s="37"/>
      <c r="EA298" s="437"/>
      <c r="EB298" s="44"/>
      <c r="EC298" s="431"/>
      <c r="ED298" s="37"/>
      <c r="EE298" s="37"/>
      <c r="EF298" s="37"/>
      <c r="EG298" s="437"/>
    </row>
    <row r="299" spans="1:137" ht="11.25" customHeight="1" outlineLevel="1" x14ac:dyDescent="0.2">
      <c r="A299" s="452" t="s">
        <v>633</v>
      </c>
      <c r="B299" s="38"/>
      <c r="C299" s="38"/>
      <c r="D299" s="38"/>
      <c r="E299" s="452"/>
      <c r="F299" s="38"/>
      <c r="G299" s="452"/>
      <c r="H299" s="38"/>
      <c r="I299" s="452"/>
      <c r="J299" s="38"/>
      <c r="K299" s="452"/>
      <c r="L299" s="38"/>
      <c r="M299" s="433"/>
      <c r="N299" s="38"/>
      <c r="O299" s="38"/>
      <c r="P299" s="38"/>
      <c r="Q299" s="452"/>
      <c r="R299" s="38"/>
      <c r="S299" s="433"/>
      <c r="T299" s="38"/>
      <c r="U299" s="38"/>
      <c r="V299" s="38"/>
      <c r="W299" s="452"/>
      <c r="X299" s="38"/>
      <c r="Y299" s="433"/>
      <c r="Z299" s="38"/>
      <c r="AA299" s="38"/>
      <c r="AB299" s="38"/>
      <c r="AC299" s="452"/>
      <c r="AD299" s="38"/>
      <c r="AE299" s="433"/>
      <c r="AF299" s="38"/>
      <c r="AG299" s="38"/>
      <c r="AH299" s="38"/>
      <c r="AI299" s="452"/>
      <c r="AJ299" s="38"/>
      <c r="AK299" s="433"/>
      <c r="AL299" s="38"/>
      <c r="AM299" s="38"/>
      <c r="AN299" s="38"/>
      <c r="AO299" s="452"/>
      <c r="AP299" s="38"/>
      <c r="AQ299" s="433"/>
      <c r="AR299" s="38"/>
      <c r="AS299" s="38"/>
      <c r="AT299" s="38"/>
      <c r="AU299" s="452"/>
      <c r="AV299" s="38"/>
      <c r="AW299" s="433"/>
      <c r="AX299" s="38"/>
      <c r="AY299" s="38"/>
      <c r="AZ299" s="38"/>
      <c r="BA299" s="452"/>
      <c r="BB299" s="38"/>
      <c r="BC299" s="433"/>
      <c r="BD299" s="38"/>
      <c r="BE299" s="38"/>
      <c r="BF299" s="38"/>
      <c r="BG299" s="445" t="s">
        <v>382</v>
      </c>
      <c r="BH299" s="44"/>
      <c r="BI299" s="442" t="s">
        <v>383</v>
      </c>
      <c r="BJ299" s="347" t="s">
        <v>134</v>
      </c>
      <c r="BK299" s="347" t="s">
        <v>134</v>
      </c>
      <c r="BL299" s="347"/>
      <c r="BM299" s="445" t="s">
        <v>399</v>
      </c>
      <c r="BN299" s="44"/>
      <c r="BO299" s="442" t="s">
        <v>382</v>
      </c>
      <c r="BP299" s="347" t="s">
        <v>385</v>
      </c>
      <c r="BQ299" s="347" t="s">
        <v>400</v>
      </c>
      <c r="BR299" s="347"/>
      <c r="BS299" s="445" t="s">
        <v>395</v>
      </c>
      <c r="BT299" s="44"/>
      <c r="BU299" s="442" t="s">
        <v>394</v>
      </c>
      <c r="BV299" s="347" t="s">
        <v>394</v>
      </c>
      <c r="BW299" s="347" t="s">
        <v>394</v>
      </c>
      <c r="BX299" s="347"/>
      <c r="BY299" s="445"/>
      <c r="BZ299" s="44"/>
      <c r="CA299" s="442"/>
      <c r="CB299" s="347"/>
      <c r="CC299" s="347"/>
      <c r="CD299" s="347"/>
      <c r="CE299" s="445"/>
      <c r="CF299" s="44"/>
      <c r="CG299" s="442"/>
      <c r="CH299" s="347"/>
      <c r="CI299" s="347"/>
      <c r="CJ299" s="347"/>
      <c r="CK299" s="445"/>
      <c r="CL299" s="44"/>
      <c r="CM299" s="442"/>
      <c r="CN299" s="347"/>
      <c r="CO299" s="347"/>
      <c r="CP299" s="347"/>
      <c r="CQ299" s="445"/>
      <c r="CR299" s="44"/>
      <c r="CS299" s="442"/>
      <c r="CT299" s="347"/>
      <c r="CU299" s="347"/>
      <c r="CV299" s="347"/>
      <c r="CW299" s="445"/>
      <c r="CX299" s="44"/>
      <c r="CY299" s="442"/>
      <c r="CZ299" s="1157"/>
      <c r="DA299" s="347"/>
      <c r="DB299" s="347"/>
      <c r="DC299" s="445"/>
      <c r="DD299" s="44"/>
      <c r="DE299" s="431"/>
      <c r="DF299" s="1157" t="s">
        <v>634</v>
      </c>
      <c r="DG299" s="1157" t="s">
        <v>647</v>
      </c>
      <c r="DH299" s="1158" t="s">
        <v>647</v>
      </c>
      <c r="DI299" s="437"/>
      <c r="DJ299" s="44"/>
      <c r="DK299" s="431"/>
      <c r="DL299" s="37"/>
      <c r="DM299" s="37"/>
      <c r="DN299" s="37"/>
      <c r="DO299" s="437"/>
      <c r="DP299" s="44"/>
      <c r="DQ299" s="431"/>
      <c r="DR299" s="37"/>
      <c r="DS299" s="37"/>
      <c r="DT299" s="37"/>
      <c r="DU299" s="437"/>
      <c r="DV299" s="44"/>
      <c r="DW299" s="431"/>
      <c r="DX299" s="37"/>
      <c r="DY299" s="37"/>
      <c r="DZ299" s="37"/>
      <c r="EA299" s="437"/>
      <c r="EB299" s="44"/>
      <c r="EC299" s="431"/>
      <c r="ED299" s="37"/>
      <c r="EE299" s="37"/>
      <c r="EF299" s="37"/>
      <c r="EG299" s="437"/>
    </row>
    <row r="300" spans="1:137" ht="11.25" customHeight="1" outlineLevel="1" x14ac:dyDescent="0.2">
      <c r="A300" s="452" t="s">
        <v>112</v>
      </c>
      <c r="B300" s="38"/>
      <c r="C300" s="38"/>
      <c r="D300" s="38"/>
      <c r="E300" s="452"/>
      <c r="F300" s="38"/>
      <c r="G300" s="452"/>
      <c r="H300" s="38"/>
      <c r="I300" s="452"/>
      <c r="J300" s="38"/>
      <c r="K300" s="452"/>
      <c r="L300" s="38"/>
      <c r="M300" s="433"/>
      <c r="N300" s="38"/>
      <c r="O300" s="38"/>
      <c r="P300" s="38"/>
      <c r="Q300" s="452"/>
      <c r="R300" s="38"/>
      <c r="S300" s="433"/>
      <c r="T300" s="38"/>
      <c r="U300" s="38"/>
      <c r="V300" s="38"/>
      <c r="W300" s="452"/>
      <c r="X300" s="38"/>
      <c r="Y300" s="433"/>
      <c r="Z300" s="38"/>
      <c r="AA300" s="38"/>
      <c r="AB300" s="38"/>
      <c r="AC300" s="452"/>
      <c r="AD300" s="38"/>
      <c r="AE300" s="433"/>
      <c r="AF300" s="38"/>
      <c r="AG300" s="38"/>
      <c r="AH300" s="38"/>
      <c r="AI300" s="452"/>
      <c r="AJ300" s="38"/>
      <c r="AK300" s="433"/>
      <c r="AL300" s="38"/>
      <c r="AM300" s="38"/>
      <c r="AN300" s="38"/>
      <c r="AO300" s="452"/>
      <c r="AP300" s="38"/>
      <c r="AQ300" s="433"/>
      <c r="AR300" s="38"/>
      <c r="AS300" s="38"/>
      <c r="AT300" s="38"/>
      <c r="AU300" s="452"/>
      <c r="AV300" s="38"/>
      <c r="AW300" s="433"/>
      <c r="AX300" s="38"/>
      <c r="AY300" s="38"/>
      <c r="AZ300" s="38"/>
      <c r="BA300" s="452"/>
      <c r="BB300" s="38"/>
      <c r="BC300" s="433"/>
      <c r="BD300" s="38"/>
      <c r="BE300" s="38"/>
      <c r="BF300" s="38"/>
      <c r="BG300" s="445"/>
      <c r="BH300" s="44"/>
      <c r="BI300" s="442"/>
      <c r="BJ300" s="347"/>
      <c r="BK300" s="347"/>
      <c r="BL300" s="347"/>
      <c r="BM300" s="445"/>
      <c r="BN300" s="44"/>
      <c r="BO300" s="442"/>
      <c r="BP300" s="347"/>
      <c r="BQ300" s="347"/>
      <c r="BR300" s="347"/>
      <c r="BS300" s="445"/>
      <c r="BT300" s="44"/>
      <c r="BU300" s="442"/>
      <c r="BV300" s="347"/>
      <c r="BW300" s="347"/>
      <c r="BX300" s="347"/>
      <c r="BY300" s="445"/>
      <c r="BZ300" s="44"/>
      <c r="CA300" s="442"/>
      <c r="CB300" s="347" t="s">
        <v>383</v>
      </c>
      <c r="CC300" s="347" t="s">
        <v>383</v>
      </c>
      <c r="CD300" s="347"/>
      <c r="CE300" s="445" t="s">
        <v>383</v>
      </c>
      <c r="CF300" s="44"/>
      <c r="CG300" s="442" t="s">
        <v>382</v>
      </c>
      <c r="CH300" s="347"/>
      <c r="CI300" s="347"/>
      <c r="CJ300" s="347" t="s">
        <v>382</v>
      </c>
      <c r="CK300" s="445" t="s">
        <v>383</v>
      </c>
      <c r="CL300" s="44"/>
      <c r="CM300" s="442" t="s">
        <v>382</v>
      </c>
      <c r="CN300" s="347"/>
      <c r="CO300" s="347" t="s">
        <v>382</v>
      </c>
      <c r="CP300" s="347" t="s">
        <v>383</v>
      </c>
      <c r="CQ300" s="445" t="s">
        <v>64</v>
      </c>
      <c r="CR300" s="44"/>
      <c r="CS300" s="442"/>
      <c r="CT300" s="347"/>
      <c r="CU300" s="347"/>
      <c r="CV300" s="347"/>
      <c r="CW300" s="445"/>
      <c r="CX300" s="44"/>
      <c r="CY300" s="442"/>
      <c r="CZ300" s="1157"/>
      <c r="DA300" s="347"/>
      <c r="DB300" s="347"/>
      <c r="DC300" s="445"/>
      <c r="DD300" s="44"/>
      <c r="DE300" s="432"/>
      <c r="DF300" s="1157" t="s">
        <v>634</v>
      </c>
      <c r="DG300" s="1157" t="s">
        <v>634</v>
      </c>
      <c r="DH300" s="553" t="s">
        <v>720</v>
      </c>
      <c r="DI300" s="437"/>
      <c r="DJ300" s="44"/>
      <c r="DK300" s="432"/>
      <c r="DL300" s="37"/>
      <c r="DM300" s="44"/>
      <c r="DN300" s="37"/>
      <c r="DO300" s="437"/>
      <c r="DP300" s="44"/>
      <c r="DQ300" s="432"/>
      <c r="DR300" s="37"/>
      <c r="DS300" s="44"/>
      <c r="DT300" s="37"/>
      <c r="DU300" s="437"/>
      <c r="DV300" s="44"/>
      <c r="DW300" s="432"/>
      <c r="DX300" s="37"/>
      <c r="DY300" s="44"/>
      <c r="DZ300" s="37"/>
      <c r="EA300" s="437"/>
      <c r="EB300" s="44"/>
      <c r="EC300" s="432"/>
      <c r="ED300" s="37"/>
      <c r="EE300" s="44"/>
      <c r="EF300" s="37"/>
      <c r="EG300" s="437"/>
    </row>
    <row r="301" spans="1:137" ht="11.25" customHeight="1" outlineLevel="1" x14ac:dyDescent="0.2">
      <c r="A301" s="452" t="s">
        <v>72</v>
      </c>
      <c r="B301" s="38"/>
      <c r="C301" s="38"/>
      <c r="D301" s="38"/>
      <c r="E301" s="452"/>
      <c r="F301" s="38"/>
      <c r="G301" s="452"/>
      <c r="H301" s="38"/>
      <c r="I301" s="452"/>
      <c r="J301" s="38"/>
      <c r="K301" s="452"/>
      <c r="L301" s="38"/>
      <c r="M301" s="433"/>
      <c r="N301" s="38"/>
      <c r="O301" s="38"/>
      <c r="P301" s="38"/>
      <c r="Q301" s="452"/>
      <c r="R301" s="38"/>
      <c r="S301" s="433"/>
      <c r="T301" s="38"/>
      <c r="U301" s="38"/>
      <c r="V301" s="38"/>
      <c r="W301" s="452"/>
      <c r="X301" s="38"/>
      <c r="Y301" s="433"/>
      <c r="Z301" s="38"/>
      <c r="AA301" s="38"/>
      <c r="AB301" s="38"/>
      <c r="AC301" s="452"/>
      <c r="AD301" s="38"/>
      <c r="AE301" s="433"/>
      <c r="AF301" s="38"/>
      <c r="AG301" s="38"/>
      <c r="AH301" s="38"/>
      <c r="AI301" s="452"/>
      <c r="AJ301" s="38"/>
      <c r="AK301" s="433"/>
      <c r="AL301" s="38"/>
      <c r="AM301" s="38"/>
      <c r="AN301" s="38"/>
      <c r="AO301" s="452"/>
      <c r="AP301" s="38"/>
      <c r="AQ301" s="433"/>
      <c r="AR301" s="38"/>
      <c r="AS301" s="38"/>
      <c r="AT301" s="38"/>
      <c r="AU301" s="452"/>
      <c r="AV301" s="38"/>
      <c r="AW301" s="433"/>
      <c r="AX301" s="38"/>
      <c r="AY301" s="38"/>
      <c r="AZ301" s="38"/>
      <c r="BA301" s="452"/>
      <c r="BB301" s="38"/>
      <c r="BC301" s="433"/>
      <c r="BD301" s="38"/>
      <c r="BE301" s="38"/>
      <c r="BF301" s="38"/>
      <c r="BG301" s="445"/>
      <c r="BH301" s="44"/>
      <c r="BI301" s="442"/>
      <c r="BJ301" s="347"/>
      <c r="BK301" s="347"/>
      <c r="BL301" s="347"/>
      <c r="BM301" s="445"/>
      <c r="BN301" s="44"/>
      <c r="BO301" s="442"/>
      <c r="BP301" s="347"/>
      <c r="BQ301" s="347"/>
      <c r="BR301" s="347"/>
      <c r="BS301" s="445"/>
      <c r="BT301" s="44"/>
      <c r="BU301" s="442"/>
      <c r="BV301" s="347"/>
      <c r="BW301" s="347"/>
      <c r="BX301" s="347"/>
      <c r="BY301" s="445"/>
      <c r="BZ301" s="44"/>
      <c r="CA301" s="442"/>
      <c r="CB301" s="347"/>
      <c r="CC301" s="347"/>
      <c r="CD301" s="347"/>
      <c r="CE301" s="445"/>
      <c r="CF301" s="44"/>
      <c r="CG301" s="442"/>
      <c r="CH301" s="347"/>
      <c r="CI301" s="347" t="s">
        <v>73</v>
      </c>
      <c r="CJ301" s="347"/>
      <c r="CK301" s="445"/>
      <c r="CL301" s="44"/>
      <c r="CM301" s="442"/>
      <c r="CN301" s="347"/>
      <c r="CO301" s="347" t="s">
        <v>388</v>
      </c>
      <c r="CP301" s="347"/>
      <c r="CQ301" s="445"/>
      <c r="CR301" s="44"/>
      <c r="CS301" s="442"/>
      <c r="CT301" s="347"/>
      <c r="CU301" s="347"/>
      <c r="CV301" s="347"/>
      <c r="CW301" s="445"/>
      <c r="CX301" s="44"/>
      <c r="CY301" s="442"/>
      <c r="CZ301" s="347"/>
      <c r="DA301" s="347"/>
      <c r="DB301" s="347"/>
      <c r="DC301" s="445"/>
      <c r="DD301" s="44"/>
      <c r="DE301" s="431"/>
      <c r="DF301" s="347"/>
      <c r="DG301" s="1157" t="s">
        <v>647</v>
      </c>
      <c r="DH301" s="553"/>
      <c r="DI301" s="437"/>
      <c r="DJ301" s="44"/>
      <c r="DK301" s="431"/>
      <c r="DL301" s="37"/>
      <c r="DM301" s="37"/>
      <c r="DN301" s="37"/>
      <c r="DO301" s="437"/>
      <c r="DP301" s="44"/>
      <c r="DQ301" s="431"/>
      <c r="DR301" s="37"/>
      <c r="DS301" s="37"/>
      <c r="DT301" s="37"/>
      <c r="DU301" s="437"/>
      <c r="DV301" s="44"/>
      <c r="DW301" s="431"/>
      <c r="DX301" s="37"/>
      <c r="DY301" s="37"/>
      <c r="DZ301" s="37"/>
      <c r="EA301" s="437"/>
      <c r="EB301" s="44"/>
      <c r="EC301" s="431"/>
      <c r="ED301" s="37"/>
      <c r="EE301" s="37"/>
      <c r="EF301" s="37"/>
      <c r="EG301" s="437"/>
    </row>
    <row r="302" spans="1:137" ht="11.25" customHeight="1" outlineLevel="1" x14ac:dyDescent="0.2">
      <c r="A302" s="452" t="s">
        <v>126</v>
      </c>
      <c r="B302" s="38"/>
      <c r="C302" s="38"/>
      <c r="D302" s="37"/>
      <c r="E302" s="437"/>
      <c r="F302" s="37"/>
      <c r="G302" s="437"/>
      <c r="H302" s="37"/>
      <c r="I302" s="437"/>
      <c r="J302" s="37"/>
      <c r="K302" s="437"/>
      <c r="L302" s="37"/>
      <c r="M302" s="431"/>
      <c r="N302" s="37"/>
      <c r="O302" s="37"/>
      <c r="P302" s="37"/>
      <c r="Q302" s="437"/>
      <c r="R302" s="37"/>
      <c r="S302" s="431"/>
      <c r="T302" s="37"/>
      <c r="U302" s="37"/>
      <c r="V302" s="37"/>
      <c r="W302" s="437"/>
      <c r="X302" s="37"/>
      <c r="Y302" s="431"/>
      <c r="Z302" s="37"/>
      <c r="AA302" s="37"/>
      <c r="AB302" s="37"/>
      <c r="AC302" s="437"/>
      <c r="AD302" s="37"/>
      <c r="AE302" s="431"/>
      <c r="AF302" s="37"/>
      <c r="AG302" s="37"/>
      <c r="AH302" s="37"/>
      <c r="AI302" s="437"/>
      <c r="AJ302" s="37"/>
      <c r="AK302" s="431"/>
      <c r="AL302" s="37"/>
      <c r="AM302" s="37"/>
      <c r="AN302" s="37"/>
      <c r="AO302" s="437"/>
      <c r="AP302" s="37"/>
      <c r="AQ302" s="431"/>
      <c r="AR302" s="37"/>
      <c r="AS302" s="37"/>
      <c r="AT302" s="37"/>
      <c r="AU302" s="437"/>
      <c r="AV302" s="37"/>
      <c r="AW302" s="431"/>
      <c r="AX302" s="37"/>
      <c r="AY302" s="37"/>
      <c r="AZ302" s="37"/>
      <c r="BA302" s="437"/>
      <c r="BB302" s="37"/>
      <c r="BC302" s="431"/>
      <c r="BD302" s="37"/>
      <c r="BE302" s="37"/>
      <c r="BF302" s="37"/>
      <c r="BG302" s="445"/>
      <c r="BH302" s="44"/>
      <c r="BI302" s="442" t="s">
        <v>396</v>
      </c>
      <c r="BJ302" s="347" t="s">
        <v>398</v>
      </c>
      <c r="BK302" s="347" t="s">
        <v>397</v>
      </c>
      <c r="BL302" s="347"/>
      <c r="BM302" s="445"/>
      <c r="BN302" s="44"/>
      <c r="BO302" s="442" t="s">
        <v>382</v>
      </c>
      <c r="BP302" s="347" t="s">
        <v>395</v>
      </c>
      <c r="BQ302" s="347" t="s">
        <v>395</v>
      </c>
      <c r="BR302" s="347" t="s">
        <v>395</v>
      </c>
      <c r="BS302" s="445"/>
      <c r="BT302" s="44"/>
      <c r="BU302" s="442" t="s">
        <v>382</v>
      </c>
      <c r="BV302" s="347" t="s">
        <v>382</v>
      </c>
      <c r="BW302" s="347"/>
      <c r="BX302" s="347" t="s">
        <v>14</v>
      </c>
      <c r="BY302" s="445"/>
      <c r="BZ302" s="44"/>
      <c r="CA302" s="442" t="s">
        <v>392</v>
      </c>
      <c r="CB302" s="347"/>
      <c r="CC302" s="347"/>
      <c r="CD302" s="347" t="s">
        <v>383</v>
      </c>
      <c r="CE302" s="445"/>
      <c r="CF302" s="44"/>
      <c r="CG302" s="442" t="s">
        <v>382</v>
      </c>
      <c r="CH302" s="347" t="s">
        <v>393</v>
      </c>
      <c r="CI302" s="347" t="s">
        <v>383</v>
      </c>
      <c r="CJ302" s="347"/>
      <c r="CK302" s="445"/>
      <c r="CL302" s="44"/>
      <c r="CM302" s="442"/>
      <c r="CN302" s="347"/>
      <c r="CO302" s="347"/>
      <c r="CP302" s="347"/>
      <c r="CQ302" s="445"/>
      <c r="CR302" s="44"/>
      <c r="CS302" s="442"/>
      <c r="CT302" s="347"/>
      <c r="CU302" s="347"/>
      <c r="CV302" s="347"/>
      <c r="CW302" s="445"/>
      <c r="CX302" s="44"/>
      <c r="CY302" s="442"/>
      <c r="CZ302" s="347"/>
      <c r="DA302" s="347"/>
      <c r="DB302" s="347"/>
      <c r="DC302" s="445"/>
      <c r="DD302" s="44"/>
      <c r="DE302" s="431"/>
      <c r="DF302" s="347"/>
      <c r="DG302" s="37"/>
      <c r="DH302" s="37"/>
      <c r="DI302" s="437"/>
      <c r="DJ302" s="44"/>
      <c r="DK302" s="431"/>
      <c r="DL302" s="37"/>
      <c r="DM302" s="37"/>
      <c r="DN302" s="37"/>
      <c r="DO302" s="437"/>
      <c r="DP302" s="44"/>
      <c r="DQ302" s="431"/>
      <c r="DR302" s="37"/>
      <c r="DS302" s="37"/>
      <c r="DT302" s="37"/>
      <c r="DU302" s="437"/>
      <c r="DV302" s="44"/>
      <c r="DW302" s="431"/>
      <c r="DX302" s="37"/>
      <c r="DY302" s="37"/>
      <c r="DZ302" s="37"/>
      <c r="EA302" s="437"/>
      <c r="EB302" s="44"/>
      <c r="EC302" s="431"/>
      <c r="ED302" s="37"/>
      <c r="EE302" s="37"/>
      <c r="EF302" s="37"/>
      <c r="EG302" s="437"/>
    </row>
    <row r="303" spans="1:137" ht="11.25" customHeight="1" outlineLevel="1" x14ac:dyDescent="0.2">
      <c r="A303" s="452" t="s">
        <v>35</v>
      </c>
      <c r="B303" s="38"/>
      <c r="C303" s="38"/>
      <c r="D303" s="37"/>
      <c r="E303" s="437"/>
      <c r="F303" s="37"/>
      <c r="G303" s="437"/>
      <c r="H303" s="37"/>
      <c r="I303" s="437"/>
      <c r="J303" s="37"/>
      <c r="K303" s="437"/>
      <c r="L303" s="37"/>
      <c r="M303" s="431"/>
      <c r="N303" s="37"/>
      <c r="O303" s="37"/>
      <c r="P303" s="37"/>
      <c r="Q303" s="437"/>
      <c r="R303" s="37"/>
      <c r="S303" s="431"/>
      <c r="T303" s="37"/>
      <c r="U303" s="37"/>
      <c r="V303" s="37"/>
      <c r="W303" s="437"/>
      <c r="X303" s="37"/>
      <c r="Y303" s="431"/>
      <c r="Z303" s="37"/>
      <c r="AA303" s="37"/>
      <c r="AB303" s="37"/>
      <c r="AC303" s="437"/>
      <c r="AD303" s="37"/>
      <c r="AE303" s="431"/>
      <c r="AF303" s="37"/>
      <c r="AG303" s="37"/>
      <c r="AH303" s="37"/>
      <c r="AI303" s="437"/>
      <c r="AJ303" s="37"/>
      <c r="AK303" s="431"/>
      <c r="AL303" s="37"/>
      <c r="AM303" s="37"/>
      <c r="AN303" s="37"/>
      <c r="AO303" s="437"/>
      <c r="AP303" s="37"/>
      <c r="AQ303" s="431"/>
      <c r="AR303" s="37"/>
      <c r="AS303" s="37"/>
      <c r="AT303" s="37"/>
      <c r="AU303" s="437"/>
      <c r="AV303" s="37"/>
      <c r="AW303" s="431"/>
      <c r="AX303" s="37"/>
      <c r="AY303" s="37"/>
      <c r="AZ303" s="37"/>
      <c r="BA303" s="437"/>
      <c r="BB303" s="37"/>
      <c r="BC303" s="431"/>
      <c r="BD303" s="37"/>
      <c r="BE303" s="37"/>
      <c r="BF303" s="37"/>
      <c r="BG303" s="445"/>
      <c r="BH303" s="44"/>
      <c r="BI303" s="442" t="s">
        <v>383</v>
      </c>
      <c r="BJ303" s="347" t="s">
        <v>386</v>
      </c>
      <c r="BK303" s="347" t="s">
        <v>382</v>
      </c>
      <c r="BL303" s="347" t="s">
        <v>386</v>
      </c>
      <c r="BM303" s="445"/>
      <c r="BN303" s="44"/>
      <c r="BO303" s="442" t="s">
        <v>14</v>
      </c>
      <c r="BP303" s="347" t="s">
        <v>385</v>
      </c>
      <c r="BQ303" s="347" t="s">
        <v>383</v>
      </c>
      <c r="BR303" s="347" t="s">
        <v>382</v>
      </c>
      <c r="BS303" s="445"/>
      <c r="BT303" s="44"/>
      <c r="BU303" s="442" t="s">
        <v>382</v>
      </c>
      <c r="BV303" s="347" t="s">
        <v>384</v>
      </c>
      <c r="BW303" s="347"/>
      <c r="BX303" s="347"/>
      <c r="BY303" s="445"/>
      <c r="BZ303" s="44"/>
      <c r="CA303" s="442"/>
      <c r="CB303" s="347"/>
      <c r="CC303" s="347"/>
      <c r="CD303" s="347"/>
      <c r="CE303" s="445"/>
      <c r="CF303" s="44"/>
      <c r="CG303" s="442"/>
      <c r="CH303" s="347"/>
      <c r="CI303" s="347"/>
      <c r="CJ303" s="347"/>
      <c r="CK303" s="445"/>
      <c r="CL303" s="44"/>
      <c r="CM303" s="442"/>
      <c r="CN303" s="347"/>
      <c r="CO303" s="347"/>
      <c r="CP303" s="347"/>
      <c r="CQ303" s="445"/>
      <c r="CR303" s="44"/>
      <c r="CS303" s="442"/>
      <c r="CT303" s="347"/>
      <c r="CU303" s="347"/>
      <c r="CV303" s="347"/>
      <c r="CW303" s="445"/>
      <c r="CX303" s="44"/>
      <c r="CY303" s="442"/>
      <c r="CZ303" s="347"/>
      <c r="DA303" s="347"/>
      <c r="DB303" s="347"/>
      <c r="DC303" s="445"/>
      <c r="DD303" s="44"/>
      <c r="DE303" s="431"/>
      <c r="DF303" s="347"/>
      <c r="DG303" s="37"/>
      <c r="DH303" s="37"/>
      <c r="DI303" s="437"/>
      <c r="DJ303" s="44"/>
      <c r="DK303" s="431"/>
      <c r="DL303" s="37"/>
      <c r="DM303" s="37"/>
      <c r="DN303" s="37"/>
      <c r="DO303" s="437"/>
      <c r="DP303" s="44"/>
      <c r="DQ303" s="431"/>
      <c r="DR303" s="37"/>
      <c r="DS303" s="37"/>
      <c r="DT303" s="37"/>
      <c r="DU303" s="437"/>
      <c r="DV303" s="44"/>
      <c r="DW303" s="431"/>
      <c r="DX303" s="37"/>
      <c r="DY303" s="37"/>
      <c r="DZ303" s="37"/>
      <c r="EA303" s="437"/>
      <c r="EB303" s="44"/>
      <c r="EC303" s="431"/>
      <c r="ED303" s="37"/>
      <c r="EE303" s="37"/>
      <c r="EF303" s="37"/>
      <c r="EG303" s="437"/>
    </row>
    <row r="304" spans="1:137" ht="11.25" customHeight="1" outlineLevel="1" x14ac:dyDescent="0.2">
      <c r="A304" s="153" t="s">
        <v>175</v>
      </c>
      <c r="E304" s="153"/>
      <c r="G304" s="153"/>
      <c r="I304" s="153"/>
      <c r="K304" s="153"/>
      <c r="M304" s="150"/>
      <c r="Q304" s="153"/>
      <c r="S304" s="150"/>
      <c r="W304" s="153"/>
      <c r="Y304" s="150"/>
      <c r="AC304" s="153"/>
      <c r="AE304" s="150"/>
      <c r="AI304" s="153"/>
      <c r="AK304" s="150"/>
      <c r="AO304" s="153"/>
      <c r="AQ304" s="150"/>
      <c r="AU304" s="153"/>
      <c r="AW304" s="150"/>
      <c r="BA304" s="153"/>
      <c r="BC304" s="150"/>
      <c r="BG304" s="445"/>
      <c r="BH304" s="44"/>
      <c r="BI304" s="442"/>
      <c r="BJ304" s="347"/>
      <c r="BK304" s="347"/>
      <c r="BL304" s="347"/>
      <c r="BM304" s="445"/>
      <c r="BN304" s="44"/>
      <c r="BO304" s="442"/>
      <c r="BP304" s="347"/>
      <c r="BQ304" s="347"/>
      <c r="BR304" s="347"/>
      <c r="BS304" s="445"/>
      <c r="BT304" s="44"/>
      <c r="BU304" s="442"/>
      <c r="BV304" s="347"/>
      <c r="BW304" s="347"/>
      <c r="BX304" s="347"/>
      <c r="BY304" s="445"/>
      <c r="BZ304" s="44"/>
      <c r="CA304" s="442"/>
      <c r="CB304" s="347"/>
      <c r="CC304" s="347"/>
      <c r="CD304" s="347"/>
      <c r="CE304" s="445"/>
      <c r="CF304" s="44"/>
      <c r="CG304" s="442"/>
      <c r="CH304" s="347"/>
      <c r="CI304" s="347"/>
      <c r="CJ304" s="347"/>
      <c r="CK304" s="445"/>
      <c r="CL304" s="44"/>
      <c r="CM304" s="442"/>
      <c r="CN304" s="347"/>
      <c r="CO304" s="347"/>
      <c r="CP304" s="347"/>
      <c r="CQ304" s="445"/>
      <c r="CR304" s="44"/>
      <c r="CS304" s="442"/>
      <c r="CT304" s="347"/>
      <c r="CU304" s="347"/>
      <c r="CV304" s="347"/>
      <c r="CW304" s="445"/>
      <c r="CX304" s="44"/>
      <c r="CY304" s="442"/>
      <c r="CZ304" s="347"/>
      <c r="DA304" s="347" t="s">
        <v>383</v>
      </c>
      <c r="DB304" s="347"/>
      <c r="DC304" s="445"/>
      <c r="DD304" s="44"/>
      <c r="DE304" s="150"/>
      <c r="DF304" s="347"/>
      <c r="DG304" s="1157" t="s">
        <v>647</v>
      </c>
      <c r="DI304" s="153"/>
      <c r="DJ304" s="44"/>
      <c r="DK304" s="150"/>
      <c r="DO304" s="153"/>
      <c r="DP304" s="44"/>
      <c r="DQ304" s="150"/>
      <c r="DU304" s="153"/>
      <c r="DV304" s="44"/>
      <c r="DW304" s="150"/>
      <c r="EA304" s="153"/>
      <c r="EB304" s="44"/>
      <c r="EC304" s="150"/>
      <c r="EG304" s="153"/>
    </row>
    <row r="305" spans="1:137" ht="11.25" customHeight="1" outlineLevel="1" x14ac:dyDescent="0.2">
      <c r="A305" s="460" t="s">
        <v>607</v>
      </c>
      <c r="E305" s="153"/>
      <c r="G305" s="153"/>
      <c r="I305" s="153"/>
      <c r="K305" s="153"/>
      <c r="M305" s="150"/>
      <c r="Q305" s="153"/>
      <c r="S305" s="150"/>
      <c r="W305" s="153"/>
      <c r="Y305" s="150"/>
      <c r="AC305" s="153"/>
      <c r="AE305" s="150"/>
      <c r="AI305" s="153"/>
      <c r="AK305" s="150"/>
      <c r="AO305" s="153"/>
      <c r="AQ305" s="150"/>
      <c r="AU305" s="153"/>
      <c r="AW305" s="150"/>
      <c r="BA305" s="153"/>
      <c r="BC305" s="150"/>
      <c r="BG305" s="445">
        <v>3.9E-2</v>
      </c>
      <c r="BH305" s="44"/>
      <c r="BI305" s="442"/>
      <c r="BJ305" s="347"/>
      <c r="BK305" s="347"/>
      <c r="BL305" s="347"/>
      <c r="BM305" s="445">
        <v>4.2999999999999997E-2</v>
      </c>
      <c r="BN305" s="44"/>
      <c r="BO305" s="442"/>
      <c r="BP305" s="347"/>
      <c r="BQ305" s="347"/>
      <c r="BR305" s="347"/>
      <c r="BS305" s="445">
        <v>4.4999999999999998E-2</v>
      </c>
      <c r="BT305" s="44"/>
      <c r="BU305" s="442"/>
      <c r="BV305" s="347"/>
      <c r="BW305" s="347"/>
      <c r="BX305" s="347"/>
      <c r="BY305" s="445">
        <v>4.7E-2</v>
      </c>
      <c r="BZ305" s="44"/>
      <c r="CA305" s="442"/>
      <c r="CB305" s="347"/>
      <c r="CC305" s="347"/>
      <c r="CD305" s="347"/>
      <c r="CE305" s="47">
        <f>+CE306+CE307</f>
        <v>4.5999999999999999E-2</v>
      </c>
      <c r="CF305" s="44"/>
      <c r="CG305" s="111"/>
      <c r="CH305" s="15"/>
      <c r="CI305" s="15"/>
      <c r="CJ305" s="15"/>
      <c r="CK305" s="47">
        <f>+CK306+CK307</f>
        <v>0.04</v>
      </c>
      <c r="CL305" s="44"/>
      <c r="CM305" s="111"/>
      <c r="CN305" s="15"/>
      <c r="CO305" s="15"/>
      <c r="CP305" s="15"/>
      <c r="CQ305" s="47">
        <f>+CQ306+CQ307</f>
        <v>3.7999999999999999E-2</v>
      </c>
      <c r="CR305" s="44"/>
      <c r="CS305" s="111"/>
      <c r="CT305" s="15"/>
      <c r="CU305" s="15"/>
      <c r="CV305" s="15"/>
      <c r="CW305" s="47">
        <f>+CW306+CW307</f>
        <v>4.8000000000000001E-2</v>
      </c>
      <c r="CX305" s="44"/>
      <c r="CY305" s="111"/>
      <c r="CZ305" s="15"/>
      <c r="DA305" s="15"/>
      <c r="DB305" s="15"/>
      <c r="DC305" s="47">
        <f>+DC306+DC307</f>
        <v>4.5999999999999999E-2</v>
      </c>
      <c r="DD305" s="44"/>
      <c r="DE305" s="150"/>
      <c r="DF305" s="15"/>
      <c r="DG305" s="1309"/>
      <c r="DI305" s="47">
        <f>+DI306+DI307</f>
        <v>4.5999999999999999E-2</v>
      </c>
      <c r="DJ305" s="44"/>
      <c r="DK305" s="150"/>
      <c r="DO305" s="153"/>
      <c r="DP305" s="44"/>
      <c r="DQ305" s="150"/>
      <c r="DU305" s="153"/>
      <c r="DV305" s="44"/>
      <c r="DW305" s="150"/>
      <c r="EA305" s="153"/>
      <c r="EB305" s="44"/>
      <c r="EC305" s="150"/>
      <c r="EG305" s="153"/>
    </row>
    <row r="306" spans="1:137" ht="11.25" customHeight="1" outlineLevel="1" x14ac:dyDescent="0.2">
      <c r="A306" s="153" t="s">
        <v>114</v>
      </c>
      <c r="E306" s="153"/>
      <c r="G306" s="153"/>
      <c r="I306" s="153"/>
      <c r="K306" s="153"/>
      <c r="M306" s="150"/>
      <c r="Q306" s="153"/>
      <c r="S306" s="150"/>
      <c r="W306" s="153"/>
      <c r="Y306" s="150"/>
      <c r="AC306" s="153"/>
      <c r="AE306" s="150"/>
      <c r="AI306" s="153"/>
      <c r="AK306" s="150"/>
      <c r="AO306" s="153"/>
      <c r="AQ306" s="150"/>
      <c r="AU306" s="153"/>
      <c r="AW306" s="150"/>
      <c r="BA306" s="153"/>
      <c r="BC306" s="150"/>
      <c r="BG306" s="445"/>
      <c r="BH306" s="44"/>
      <c r="BI306" s="442"/>
      <c r="BJ306" s="347"/>
      <c r="BK306" s="347"/>
      <c r="BL306" s="347"/>
      <c r="BM306" s="445"/>
      <c r="BN306" s="44"/>
      <c r="BO306" s="442"/>
      <c r="BP306" s="347"/>
      <c r="BQ306" s="347"/>
      <c r="BR306" s="347"/>
      <c r="BS306" s="445"/>
      <c r="BT306" s="44"/>
      <c r="BU306" s="442"/>
      <c r="BV306" s="347"/>
      <c r="BW306" s="347"/>
      <c r="BX306" s="347"/>
      <c r="BY306" s="445"/>
      <c r="BZ306" s="44"/>
      <c r="CA306" s="442"/>
      <c r="CB306" s="347"/>
      <c r="CC306" s="347"/>
      <c r="CD306" s="347"/>
      <c r="CE306" s="445">
        <v>1.7999999999999999E-2</v>
      </c>
      <c r="CF306" s="44"/>
      <c r="CG306" s="442"/>
      <c r="CH306" s="347"/>
      <c r="CI306" s="347"/>
      <c r="CJ306" s="347"/>
      <c r="CK306" s="445">
        <v>1.7000000000000001E-2</v>
      </c>
      <c r="CL306" s="44"/>
      <c r="CM306" s="442"/>
      <c r="CN306" s="347"/>
      <c r="CO306" s="347"/>
      <c r="CP306" s="347"/>
      <c r="CQ306" s="445">
        <v>1.6E-2</v>
      </c>
      <c r="CR306" s="44"/>
      <c r="CS306" s="442"/>
      <c r="CT306" s="347"/>
      <c r="CU306" s="347"/>
      <c r="CV306" s="347"/>
      <c r="CW306" s="445">
        <v>1.7999999999999999E-2</v>
      </c>
      <c r="CX306" s="44"/>
      <c r="CY306" s="150"/>
      <c r="CZ306" s="347"/>
      <c r="DA306" s="1157"/>
      <c r="DC306" s="445">
        <v>1.6E-2</v>
      </c>
      <c r="DD306" s="44"/>
      <c r="DE306" s="150"/>
      <c r="DF306" s="347"/>
      <c r="DG306" s="1157"/>
      <c r="DI306" s="445">
        <v>1.6E-2</v>
      </c>
      <c r="DJ306" s="44"/>
      <c r="DK306" s="150"/>
      <c r="DO306" s="153"/>
      <c r="DP306" s="44"/>
      <c r="DQ306" s="150"/>
      <c r="DU306" s="153"/>
      <c r="DV306" s="44"/>
      <c r="DW306" s="150"/>
      <c r="EA306" s="153"/>
      <c r="EB306" s="44"/>
      <c r="EC306" s="150"/>
      <c r="EG306" s="153"/>
    </row>
    <row r="307" spans="1:137" ht="11.25" customHeight="1" outlineLevel="1" x14ac:dyDescent="0.2">
      <c r="A307" s="153" t="s">
        <v>129</v>
      </c>
      <c r="E307" s="153"/>
      <c r="G307" s="153"/>
      <c r="I307" s="153"/>
      <c r="K307" s="153"/>
      <c r="M307" s="150"/>
      <c r="Q307" s="153"/>
      <c r="S307" s="150"/>
      <c r="W307" s="153"/>
      <c r="Y307" s="150"/>
      <c r="AC307" s="153"/>
      <c r="AE307" s="150"/>
      <c r="AI307" s="153"/>
      <c r="AK307" s="150"/>
      <c r="AO307" s="153"/>
      <c r="AQ307" s="150"/>
      <c r="AU307" s="153"/>
      <c r="AW307" s="150"/>
      <c r="BA307" s="153"/>
      <c r="BC307" s="150"/>
      <c r="BG307" s="445"/>
      <c r="BH307" s="44"/>
      <c r="BI307" s="442"/>
      <c r="BJ307" s="347"/>
      <c r="BK307" s="347"/>
      <c r="BL307" s="347"/>
      <c r="BM307" s="445"/>
      <c r="BN307" s="44"/>
      <c r="BO307" s="442"/>
      <c r="BP307" s="347"/>
      <c r="BQ307" s="347"/>
      <c r="BR307" s="347"/>
      <c r="BS307" s="445"/>
      <c r="BT307" s="44"/>
      <c r="BU307" s="442"/>
      <c r="BV307" s="347"/>
      <c r="BW307" s="347"/>
      <c r="BX307" s="347"/>
      <c r="BY307" s="445"/>
      <c r="BZ307" s="44"/>
      <c r="CA307" s="442"/>
      <c r="CB307" s="347"/>
      <c r="CC307" s="347"/>
      <c r="CD307" s="347"/>
      <c r="CE307" s="445">
        <v>2.8000000000000001E-2</v>
      </c>
      <c r="CF307" s="44"/>
      <c r="CG307" s="442"/>
      <c r="CH307" s="347"/>
      <c r="CI307" s="347"/>
      <c r="CJ307" s="347"/>
      <c r="CK307" s="445">
        <v>2.3E-2</v>
      </c>
      <c r="CL307" s="44"/>
      <c r="CM307" s="442"/>
      <c r="CN307" s="347"/>
      <c r="CO307" s="347"/>
      <c r="CP307" s="347"/>
      <c r="CQ307" s="445">
        <v>2.1999999999999999E-2</v>
      </c>
      <c r="CR307" s="44"/>
      <c r="CS307" s="442"/>
      <c r="CT307" s="347"/>
      <c r="CU307" s="347"/>
      <c r="CV307" s="347"/>
      <c r="CW307" s="445">
        <v>0.03</v>
      </c>
      <c r="CX307" s="44"/>
      <c r="CY307" s="150"/>
      <c r="CZ307" s="347"/>
      <c r="DC307" s="445">
        <v>0.03</v>
      </c>
      <c r="DD307" s="44"/>
      <c r="DE307" s="150"/>
      <c r="DF307" s="347"/>
      <c r="DI307" s="445">
        <v>0.03</v>
      </c>
      <c r="DJ307" s="44"/>
      <c r="DK307" s="150"/>
      <c r="DO307" s="153"/>
      <c r="DP307" s="44"/>
      <c r="DQ307" s="150"/>
      <c r="DU307" s="153"/>
      <c r="DV307" s="44"/>
      <c r="DW307" s="150"/>
      <c r="EA307" s="153"/>
      <c r="EB307" s="44"/>
      <c r="EC307" s="150"/>
      <c r="EG307" s="153"/>
    </row>
    <row r="308" spans="1:137" ht="11.25" customHeight="1" outlineLevel="1" x14ac:dyDescent="0.2">
      <c r="A308" s="460" t="s">
        <v>11</v>
      </c>
      <c r="E308" s="153"/>
      <c r="G308" s="153"/>
      <c r="I308" s="153"/>
      <c r="K308" s="153"/>
      <c r="M308" s="150"/>
      <c r="Q308" s="153"/>
      <c r="S308" s="150"/>
      <c r="W308" s="153"/>
      <c r="Y308" s="150"/>
      <c r="AC308" s="153"/>
      <c r="AE308" s="150"/>
      <c r="AI308" s="153"/>
      <c r="AK308" s="150"/>
      <c r="AO308" s="153"/>
      <c r="AQ308" s="150"/>
      <c r="AU308" s="153"/>
      <c r="AW308" s="150"/>
      <c r="BA308" s="445">
        <v>0.01</v>
      </c>
      <c r="BC308" s="150"/>
      <c r="BF308" s="53"/>
      <c r="BG308" s="445">
        <v>0.01</v>
      </c>
      <c r="BH308" s="44"/>
      <c r="BI308" s="442"/>
      <c r="BJ308" s="347"/>
      <c r="BK308" s="347"/>
      <c r="BL308" s="53"/>
      <c r="BM308" s="445">
        <v>0.01</v>
      </c>
      <c r="BN308" s="44"/>
      <c r="BO308" s="442"/>
      <c r="BP308" s="347"/>
      <c r="BQ308" s="347"/>
      <c r="BR308" s="53"/>
      <c r="BS308" s="445">
        <v>5.0000000000000001E-3</v>
      </c>
      <c r="BT308" s="44"/>
      <c r="BU308" s="442">
        <v>5.0000000000000001E-3</v>
      </c>
      <c r="BV308" s="347">
        <v>0.01</v>
      </c>
      <c r="BW308" s="347">
        <v>0.01</v>
      </c>
      <c r="BX308" s="53">
        <f>+BY308*4-BW308-BV308-BU308</f>
        <v>1.4999999999999996E-2</v>
      </c>
      <c r="BY308" s="445">
        <v>0.01</v>
      </c>
      <c r="BZ308" s="44"/>
      <c r="CA308" s="442">
        <v>0</v>
      </c>
      <c r="CB308" s="347">
        <v>0</v>
      </c>
      <c r="CC308" s="347">
        <v>0</v>
      </c>
      <c r="CD308" s="53">
        <f>+CE308*4-CC308-CB308-CA308</f>
        <v>0</v>
      </c>
      <c r="CE308" s="445">
        <v>0</v>
      </c>
      <c r="CF308" s="44"/>
      <c r="CG308" s="442">
        <v>1.4999999999999999E-2</v>
      </c>
      <c r="CH308" s="347">
        <v>1.4999999999999999E-2</v>
      </c>
      <c r="CI308" s="347">
        <v>0.01</v>
      </c>
      <c r="CJ308" s="53">
        <f>+CK308*4-CI308-CH308-CG308</f>
        <v>0</v>
      </c>
      <c r="CK308" s="445">
        <v>0.01</v>
      </c>
      <c r="CL308" s="44"/>
      <c r="CM308" s="442">
        <v>0</v>
      </c>
      <c r="CN308" s="347">
        <v>0</v>
      </c>
      <c r="CO308" s="347">
        <v>7.4999999999999997E-3</v>
      </c>
      <c r="CP308" s="53">
        <f>+CQ308*4-CO308-CN308-CM308</f>
        <v>1.2500000000000001E-2</v>
      </c>
      <c r="CQ308" s="445">
        <v>5.0000000000000001E-3</v>
      </c>
      <c r="CR308" s="1160"/>
      <c r="CS308" s="442">
        <v>5.0000000000000001E-3</v>
      </c>
      <c r="CT308" s="347">
        <v>0.01</v>
      </c>
      <c r="CU308" s="347">
        <v>0.01</v>
      </c>
      <c r="CV308" s="53">
        <f>+CW308*4-CU308-CT308-CS308</f>
        <v>-5.0000000000000001E-3</v>
      </c>
      <c r="CW308" s="445">
        <v>5.0000000000000001E-3</v>
      </c>
      <c r="CX308" s="1160"/>
      <c r="CY308" s="442">
        <v>0.01</v>
      </c>
      <c r="CZ308" s="1157">
        <v>5.0000000000000001E-3</v>
      </c>
      <c r="DA308" s="347">
        <v>5.0000000000000001E-3</v>
      </c>
      <c r="DB308" s="53">
        <f>+DC308*4-DA308-CZ308-CY308</f>
        <v>0</v>
      </c>
      <c r="DC308" s="445">
        <v>5.0000000000000001E-3</v>
      </c>
      <c r="DD308" s="44"/>
      <c r="DE308" s="503">
        <v>0</v>
      </c>
      <c r="DF308" s="1157">
        <v>-2E-3</v>
      </c>
      <c r="DG308" s="1157">
        <v>2E-3</v>
      </c>
      <c r="DH308" s="53">
        <f>+DI308*4-DG308-DF308-DE308</f>
        <v>0</v>
      </c>
      <c r="DI308" s="1146">
        <v>0</v>
      </c>
      <c r="DJ308" s="44"/>
      <c r="DK308" s="1170">
        <v>-5.0000000000000001E-3</v>
      </c>
      <c r="DL308" s="1164"/>
      <c r="DM308" s="1164"/>
      <c r="DN308" s="1168"/>
      <c r="DO308" s="1146"/>
      <c r="DP308" s="44"/>
      <c r="DQ308" s="150"/>
      <c r="DU308" s="153"/>
      <c r="DV308" s="44"/>
      <c r="DW308" s="150"/>
      <c r="EA308" s="153"/>
      <c r="EB308" s="44"/>
      <c r="EC308" s="150"/>
      <c r="EG308" s="153"/>
    </row>
    <row r="309" spans="1:137" ht="11.25" customHeight="1" x14ac:dyDescent="0.2">
      <c r="A309" s="892"/>
      <c r="B309" s="14"/>
      <c r="C309" s="14"/>
      <c r="D309" s="14"/>
      <c r="E309" s="416"/>
      <c r="F309" s="416"/>
      <c r="G309" s="416"/>
      <c r="H309" s="416"/>
      <c r="I309" s="416"/>
      <c r="J309" s="416"/>
      <c r="K309" s="416"/>
      <c r="L309" s="416"/>
      <c r="M309" s="416"/>
      <c r="N309" s="416"/>
      <c r="O309" s="416"/>
      <c r="P309" s="416"/>
      <c r="Q309" s="416"/>
      <c r="R309" s="416"/>
      <c r="S309" s="416"/>
      <c r="T309" s="416"/>
      <c r="U309" s="416"/>
      <c r="V309" s="416"/>
      <c r="W309" s="416"/>
      <c r="X309" s="416"/>
      <c r="Y309" s="416"/>
      <c r="Z309" s="416"/>
      <c r="AA309" s="416"/>
      <c r="AB309" s="416"/>
      <c r="AC309" s="416"/>
      <c r="AD309" s="416"/>
      <c r="AE309" s="416"/>
      <c r="AF309" s="416"/>
      <c r="AG309" s="416"/>
      <c r="AH309" s="416"/>
      <c r="AI309" s="416"/>
      <c r="AJ309" s="416"/>
      <c r="AK309" s="416"/>
      <c r="AL309" s="416"/>
      <c r="AM309" s="416"/>
      <c r="AN309" s="416"/>
      <c r="AO309" s="416"/>
      <c r="AP309" s="416"/>
      <c r="AQ309" s="416"/>
      <c r="AR309" s="416"/>
      <c r="AS309" s="416"/>
      <c r="AT309" s="416"/>
      <c r="AU309" s="416"/>
      <c r="AV309" s="416"/>
      <c r="AW309" s="416"/>
      <c r="AX309" s="416"/>
      <c r="AY309" s="416"/>
      <c r="AZ309" s="416"/>
      <c r="BA309" s="416"/>
      <c r="BB309" s="416"/>
      <c r="BC309" s="416"/>
      <c r="BD309" s="416"/>
      <c r="BE309" s="416"/>
      <c r="BF309" s="416"/>
      <c r="BG309" s="420"/>
      <c r="BH309" s="416"/>
      <c r="BI309" s="420"/>
      <c r="BJ309" s="420"/>
      <c r="BK309" s="420"/>
      <c r="BL309" s="420"/>
      <c r="BM309" s="420"/>
      <c r="BN309" s="416"/>
      <c r="BO309" s="420"/>
      <c r="BP309" s="420"/>
      <c r="BQ309" s="420"/>
      <c r="BR309" s="420"/>
      <c r="BS309" s="420"/>
      <c r="BT309" s="71"/>
      <c r="BU309" s="420"/>
      <c r="BV309" s="420"/>
      <c r="BW309" s="420"/>
      <c r="BX309" s="420"/>
      <c r="BY309" s="420"/>
      <c r="BZ309" s="71"/>
      <c r="CA309" s="420"/>
      <c r="CB309" s="420"/>
      <c r="CC309" s="420"/>
      <c r="CD309" s="420"/>
      <c r="CE309" s="420"/>
      <c r="CF309" s="71"/>
      <c r="CG309" s="420"/>
      <c r="CH309" s="420"/>
      <c r="CI309" s="420"/>
      <c r="CJ309" s="420"/>
      <c r="CK309" s="420"/>
      <c r="CL309" s="71"/>
      <c r="CM309" s="420"/>
      <c r="CN309" s="420"/>
      <c r="CO309" s="420"/>
      <c r="CP309" s="420"/>
      <c r="CQ309" s="420"/>
      <c r="CR309" s="71"/>
      <c r="CS309" s="893"/>
      <c r="CT309" s="893"/>
      <c r="CU309" s="893"/>
      <c r="CV309" s="893"/>
      <c r="CW309" s="144"/>
      <c r="CX309" s="15"/>
      <c r="CY309" s="893"/>
      <c r="CZ309" s="893"/>
      <c r="DA309" s="893"/>
      <c r="DB309" s="893"/>
      <c r="DC309" s="144"/>
      <c r="DD309" s="71"/>
      <c r="DE309" s="138"/>
      <c r="DF309" s="138"/>
      <c r="DG309" s="138"/>
      <c r="DH309" s="138"/>
      <c r="DI309" s="138"/>
      <c r="DJ309" s="71"/>
      <c r="DK309" s="138"/>
      <c r="DL309" s="138"/>
      <c r="DM309" s="138"/>
      <c r="DN309" s="138"/>
      <c r="DO309" s="138"/>
      <c r="DP309" s="71"/>
      <c r="DQ309" s="138"/>
      <c r="DR309" s="138"/>
      <c r="DS309" s="138"/>
      <c r="DT309" s="138"/>
      <c r="DU309" s="138"/>
      <c r="DV309" s="71"/>
      <c r="DW309" s="138"/>
      <c r="DX309" s="138"/>
      <c r="DY309" s="138"/>
      <c r="DZ309" s="138"/>
      <c r="EA309" s="138"/>
      <c r="EB309" s="71"/>
      <c r="EC309" s="138"/>
      <c r="ED309" s="138"/>
      <c r="EE309" s="138"/>
      <c r="EF309" s="138"/>
      <c r="EG309" s="138"/>
    </row>
    <row r="310" spans="1:137" ht="11.25" customHeight="1" x14ac:dyDescent="0.2">
      <c r="A310" s="106" t="s">
        <v>502</v>
      </c>
      <c r="B310" s="74"/>
      <c r="C310" s="74"/>
      <c r="D310" s="74"/>
      <c r="E310" s="107"/>
      <c r="F310" s="75"/>
      <c r="G310" s="107"/>
      <c r="H310" s="75"/>
      <c r="I310" s="107"/>
      <c r="J310" s="75"/>
      <c r="K310" s="107"/>
      <c r="L310" s="75"/>
      <c r="M310" s="109"/>
      <c r="N310" s="110"/>
      <c r="O310" s="110"/>
      <c r="P310" s="110"/>
      <c r="Q310" s="107"/>
      <c r="R310" s="75"/>
      <c r="S310" s="109"/>
      <c r="T310" s="110"/>
      <c r="U310" s="110"/>
      <c r="V310" s="110"/>
      <c r="W310" s="107"/>
      <c r="X310" s="75"/>
      <c r="Y310" s="109"/>
      <c r="Z310" s="110"/>
      <c r="AA310" s="110"/>
      <c r="AB310" s="110"/>
      <c r="AC310" s="107"/>
      <c r="AD310" s="75"/>
      <c r="AE310" s="109"/>
      <c r="AF310" s="110"/>
      <c r="AG310" s="110"/>
      <c r="AH310" s="110"/>
      <c r="AI310" s="107"/>
      <c r="AJ310" s="75"/>
      <c r="AK310" s="109"/>
      <c r="AL310" s="110"/>
      <c r="AM310" s="110"/>
      <c r="AN310" s="110"/>
      <c r="AO310" s="107"/>
      <c r="AP310" s="75"/>
      <c r="AQ310" s="109"/>
      <c r="AR310" s="110"/>
      <c r="AS310" s="110"/>
      <c r="AT310" s="110"/>
      <c r="AU310" s="107"/>
      <c r="AV310" s="75"/>
      <c r="AW310" s="109"/>
      <c r="AX310" s="110"/>
      <c r="AY310" s="110"/>
      <c r="AZ310" s="110"/>
      <c r="BA310" s="107"/>
      <c r="BB310" s="75"/>
      <c r="BC310" s="109"/>
      <c r="BD310" s="110"/>
      <c r="BE310" s="110"/>
      <c r="BF310" s="110"/>
      <c r="BG310" s="107"/>
      <c r="BH310" s="75"/>
      <c r="BI310" s="109"/>
      <c r="BJ310" s="110"/>
      <c r="BK310" s="110"/>
      <c r="BL310" s="110"/>
      <c r="BM310" s="107"/>
      <c r="BN310" s="75"/>
      <c r="BO310" s="109"/>
      <c r="BP310" s="110"/>
      <c r="BQ310" s="110"/>
      <c r="BR310" s="110"/>
      <c r="BS310" s="107"/>
      <c r="BT310" s="75"/>
      <c r="BU310" s="109"/>
      <c r="BV310" s="110"/>
      <c r="BW310" s="110"/>
      <c r="BX310" s="110"/>
      <c r="BY310" s="107"/>
      <c r="BZ310" s="75"/>
      <c r="CA310" s="109"/>
      <c r="CB310" s="110"/>
      <c r="CC310" s="110"/>
      <c r="CD310" s="110"/>
      <c r="CE310" s="107"/>
      <c r="CF310" s="75"/>
      <c r="CG310" s="109"/>
      <c r="CH310" s="110"/>
      <c r="CI310" s="110"/>
      <c r="CJ310" s="110"/>
      <c r="CK310" s="107"/>
      <c r="CL310" s="75"/>
      <c r="CM310" s="109"/>
      <c r="CN310" s="110"/>
      <c r="CO310" s="110"/>
      <c r="CP310" s="110"/>
      <c r="CQ310" s="107"/>
      <c r="CR310" s="75"/>
      <c r="CS310" s="109"/>
      <c r="CT310" s="110"/>
      <c r="CU310" s="110"/>
      <c r="CV310" s="110"/>
      <c r="CW310" s="107"/>
      <c r="CX310" s="75"/>
      <c r="CY310" s="109"/>
      <c r="CZ310" s="110"/>
      <c r="DA310" s="110"/>
      <c r="DB310" s="110"/>
      <c r="DC310" s="107"/>
      <c r="DD310" s="75"/>
      <c r="DE310" s="109"/>
      <c r="DF310" s="110"/>
      <c r="DG310" s="110"/>
      <c r="DH310" s="110"/>
      <c r="DI310" s="107"/>
      <c r="DJ310" s="75"/>
      <c r="DK310" s="109"/>
      <c r="DL310" s="110"/>
      <c r="DM310" s="110"/>
      <c r="DN310" s="110"/>
      <c r="DO310" s="107"/>
      <c r="DP310" s="75"/>
      <c r="DQ310" s="109"/>
      <c r="DR310" s="110"/>
      <c r="DS310" s="110"/>
      <c r="DT310" s="110"/>
      <c r="DU310" s="107"/>
      <c r="DV310" s="75"/>
      <c r="DW310" s="109"/>
      <c r="DX310" s="110"/>
      <c r="DY310" s="110"/>
      <c r="DZ310" s="110"/>
      <c r="EA310" s="107"/>
      <c r="EB310" s="75"/>
      <c r="EC310" s="109"/>
      <c r="ED310" s="110"/>
      <c r="EE310" s="110"/>
      <c r="EF310" s="110"/>
      <c r="EG310" s="107"/>
    </row>
    <row r="311" spans="1:137" s="384" customFormat="1" ht="11.25" customHeight="1" outlineLevel="1" x14ac:dyDescent="0.2">
      <c r="A311" s="129" t="s">
        <v>380</v>
      </c>
      <c r="B311" s="343"/>
      <c r="C311" s="343"/>
      <c r="D311" s="343"/>
      <c r="E311" s="852"/>
      <c r="F311" s="344"/>
      <c r="G311" s="852"/>
      <c r="H311" s="344"/>
      <c r="I311" s="852"/>
      <c r="J311" s="344"/>
      <c r="K311" s="852"/>
      <c r="L311" s="344"/>
      <c r="M311" s="853"/>
      <c r="N311" s="854"/>
      <c r="O311" s="854"/>
      <c r="P311" s="854"/>
      <c r="Q311" s="852"/>
      <c r="R311" s="344"/>
      <c r="S311" s="855">
        <v>156.147785</v>
      </c>
      <c r="T311" s="856">
        <v>205.0600718831169</v>
      </c>
      <c r="U311" s="856">
        <v>217.1392228338762</v>
      </c>
      <c r="V311" s="856">
        <v>266.06033028300698</v>
      </c>
      <c r="W311" s="857">
        <v>844.40741000000003</v>
      </c>
      <c r="X311" s="858"/>
      <c r="Y311" s="855">
        <v>223.654507</v>
      </c>
      <c r="Z311" s="856">
        <v>244.50004300000001</v>
      </c>
      <c r="AA311" s="856">
        <v>262.09071899999998</v>
      </c>
      <c r="AB311" s="856">
        <v>320.27545699999996</v>
      </c>
      <c r="AC311" s="857">
        <v>1050.520726</v>
      </c>
      <c r="AD311" s="858"/>
      <c r="AE311" s="859">
        <v>296.03693160000006</v>
      </c>
      <c r="AF311" s="860">
        <v>287.15146960000004</v>
      </c>
      <c r="AG311" s="860">
        <v>323.54052720000004</v>
      </c>
      <c r="AH311" s="860">
        <v>387.44867159999995</v>
      </c>
      <c r="AI311" s="861">
        <v>1294.1776</v>
      </c>
      <c r="AJ311" s="845"/>
      <c r="AK311" s="859">
        <v>369.14457519000007</v>
      </c>
      <c r="AL311" s="860">
        <v>385.56481015999998</v>
      </c>
      <c r="AM311" s="860">
        <v>406.96923801599996</v>
      </c>
      <c r="AN311" s="860">
        <v>463.13189663399982</v>
      </c>
      <c r="AO311" s="861">
        <v>1624.8105199999998</v>
      </c>
      <c r="AP311" s="845"/>
      <c r="AQ311" s="859">
        <v>403.50722594850004</v>
      </c>
      <c r="AR311" s="860">
        <v>408.92408755280007</v>
      </c>
      <c r="AS311" s="860">
        <v>439.48841654783996</v>
      </c>
      <c r="AT311" s="860">
        <v>481.03886995085998</v>
      </c>
      <c r="AU311" s="861">
        <v>1732.9585999999999</v>
      </c>
      <c r="AV311" s="862"/>
      <c r="AW311" s="859">
        <v>458.358698668785</v>
      </c>
      <c r="AX311" s="860">
        <v>472.39734218715608</v>
      </c>
      <c r="AY311" s="860">
        <v>547.09464361559048</v>
      </c>
      <c r="AZ311" s="860">
        <v>596.96774752846852</v>
      </c>
      <c r="BA311" s="861">
        <v>2074.818432</v>
      </c>
      <c r="BB311" s="845"/>
      <c r="BC311" s="859">
        <v>521.81249261864059</v>
      </c>
      <c r="BD311" s="860">
        <v>544.33201060059866</v>
      </c>
      <c r="BE311" s="860">
        <v>571.39648422492246</v>
      </c>
      <c r="BF311" s="860">
        <v>584.9532135558386</v>
      </c>
      <c r="BG311" s="861">
        <v>2222.4942010000004</v>
      </c>
      <c r="BH311" s="845"/>
      <c r="BI311" s="859">
        <v>474.68010354125818</v>
      </c>
      <c r="BJ311" s="860">
        <v>491.75775924802463</v>
      </c>
      <c r="BK311" s="860">
        <v>533.01679235181473</v>
      </c>
      <c r="BL311" s="860">
        <v>623.11284485890258</v>
      </c>
      <c r="BM311" s="861">
        <v>2122.5675000000001</v>
      </c>
      <c r="BN311" s="845"/>
      <c r="BO311" s="859">
        <v>529.72600000000011</v>
      </c>
      <c r="BP311" s="860">
        <v>589.67399999999998</v>
      </c>
      <c r="BQ311" s="860">
        <v>591.42600000000016</v>
      </c>
      <c r="BR311" s="860">
        <v>640.85400000000004</v>
      </c>
      <c r="BS311" s="861">
        <v>2351.6800000000003</v>
      </c>
      <c r="BT311" s="863"/>
      <c r="BU311" s="859">
        <v>661.43358000000001</v>
      </c>
      <c r="BV311" s="860">
        <v>714.64867000000004</v>
      </c>
      <c r="BW311" s="860">
        <v>721.79015000000004</v>
      </c>
      <c r="BX311" s="860">
        <v>769.19559999999979</v>
      </c>
      <c r="BY311" s="861">
        <v>2867.0680000000002</v>
      </c>
      <c r="BZ311" s="863"/>
      <c r="CA311" s="859">
        <v>739.05509660000007</v>
      </c>
      <c r="CB311" s="860">
        <v>807.86077264999994</v>
      </c>
      <c r="CC311" s="860">
        <v>824.16359950000015</v>
      </c>
      <c r="CD311" s="860">
        <v>884.91801124999984</v>
      </c>
      <c r="CE311" s="861">
        <v>3255.99748</v>
      </c>
      <c r="CF311" s="863"/>
      <c r="CG311" s="859">
        <v>786.5474121179999</v>
      </c>
      <c r="CH311" s="860">
        <v>863.87690023124992</v>
      </c>
      <c r="CI311" s="860">
        <v>862.34258531249998</v>
      </c>
      <c r="CJ311" s="860">
        <v>941.76691433824999</v>
      </c>
      <c r="CK311" s="861">
        <v>3454.5338119999997</v>
      </c>
      <c r="CL311" s="863"/>
      <c r="CM311" s="859">
        <v>804.95549228448999</v>
      </c>
      <c r="CN311" s="860">
        <v>884.61197587818754</v>
      </c>
      <c r="CO311" s="860">
        <v>903.37099457812508</v>
      </c>
      <c r="CP311" s="860">
        <v>950.56430725919768</v>
      </c>
      <c r="CQ311" s="849">
        <f>SUM(CM311:CP311)</f>
        <v>3543.5027700000001</v>
      </c>
      <c r="CR311" s="846"/>
      <c r="CS311" s="847">
        <v>847.9</v>
      </c>
      <c r="CT311" s="848">
        <v>895.4</v>
      </c>
      <c r="CU311" s="848">
        <v>879.7</v>
      </c>
      <c r="CV311" s="848">
        <v>926.8</v>
      </c>
      <c r="CW311" s="849">
        <f>SUM(CS311:CV311)</f>
        <v>3549.8</v>
      </c>
      <c r="CX311" s="344"/>
      <c r="CY311" s="406">
        <v>873.9</v>
      </c>
      <c r="CZ311" s="407">
        <v>941.4</v>
      </c>
      <c r="DA311" s="407">
        <v>918.4</v>
      </c>
      <c r="DB311" s="407">
        <v>959.1</v>
      </c>
      <c r="DC311" s="404">
        <f>SUM(CY311:DB311)</f>
        <v>3692.7999999999997</v>
      </c>
      <c r="DD311" s="344"/>
      <c r="DE311" s="406">
        <v>914.8</v>
      </c>
      <c r="DF311" s="407">
        <v>983.2</v>
      </c>
      <c r="DG311" s="407">
        <v>992.9</v>
      </c>
      <c r="DH311" s="407">
        <v>1077.9000000000001</v>
      </c>
      <c r="DI311" s="404">
        <f>SUM(DE311:DH311)</f>
        <v>3968.8</v>
      </c>
      <c r="DJ311" s="344"/>
      <c r="DK311" s="406">
        <v>1027.0999999999999</v>
      </c>
      <c r="DL311" s="401">
        <f>DF311*(1+DL316)</f>
        <v>1086.4359999999999</v>
      </c>
      <c r="DM311" s="401">
        <f>DG311*(1+DM316)</f>
        <v>1072.3320000000001</v>
      </c>
      <c r="DN311" s="401">
        <f>DH311*(1+DN316)</f>
        <v>1142.5740000000001</v>
      </c>
      <c r="DO311" s="404">
        <f>SUM(DK311:DN311)</f>
        <v>4328.4420000000009</v>
      </c>
      <c r="DP311" s="344"/>
      <c r="DQ311" s="400">
        <f>DK311*(1+DQ316)</f>
        <v>1086.15825</v>
      </c>
      <c r="DR311" s="401">
        <f>DL311*(1+DR316)</f>
        <v>1148.90607</v>
      </c>
      <c r="DS311" s="401">
        <f>DM311*(1+DS316)</f>
        <v>1133.9910900000002</v>
      </c>
      <c r="DT311" s="401">
        <f>DN311*(1+DT316)</f>
        <v>1208.2720050000003</v>
      </c>
      <c r="DU311" s="404">
        <f>SUM(DQ311:DT311)</f>
        <v>4577.3274149999997</v>
      </c>
      <c r="DV311" s="344"/>
      <c r="DW311" s="400">
        <f>DQ311*(1+DW316)</f>
        <v>1135.0353712499998</v>
      </c>
      <c r="DX311" s="401">
        <f>DR311*(1+DX316)</f>
        <v>1200.60684315</v>
      </c>
      <c r="DY311" s="401">
        <f>DS311*(1+DY316)</f>
        <v>1185.0206890500001</v>
      </c>
      <c r="DZ311" s="401">
        <f>DT311*(1+DZ316)</f>
        <v>1262.6442452250001</v>
      </c>
      <c r="EA311" s="404">
        <f>SUM(DW311:DZ311)</f>
        <v>4783.3071486750005</v>
      </c>
      <c r="EB311" s="344"/>
      <c r="EC311" s="400">
        <f t="shared" ref="EC311:EF311" si="668">DW311*(1+EC316)</f>
        <v>1186.1119629562497</v>
      </c>
      <c r="ED311" s="401">
        <f t="shared" si="668"/>
        <v>1254.63415109175</v>
      </c>
      <c r="EE311" s="401">
        <f t="shared" si="668"/>
        <v>1238.34662005725</v>
      </c>
      <c r="EF311" s="401">
        <f t="shared" si="668"/>
        <v>1319.4632362601251</v>
      </c>
      <c r="EG311" s="404">
        <f t="shared" ref="EG311" si="669">SUM(EC311:EF311)</f>
        <v>4998.5559703653753</v>
      </c>
    </row>
    <row r="312" spans="1:137" s="783" customFormat="1" ht="11.25" customHeight="1" outlineLevel="1" x14ac:dyDescent="0.2">
      <c r="A312" s="538" t="s">
        <v>619</v>
      </c>
      <c r="B312" s="539"/>
      <c r="C312" s="539"/>
      <c r="D312" s="539"/>
      <c r="E312" s="797"/>
      <c r="F312" s="541"/>
      <c r="G312" s="797"/>
      <c r="H312" s="541"/>
      <c r="I312" s="797"/>
      <c r="J312" s="541"/>
      <c r="K312" s="797"/>
      <c r="L312" s="541"/>
      <c r="M312" s="795"/>
      <c r="N312" s="796"/>
      <c r="O312" s="796"/>
      <c r="P312" s="796"/>
      <c r="Q312" s="797"/>
      <c r="R312" s="541"/>
      <c r="S312" s="825">
        <v>0</v>
      </c>
      <c r="T312" s="826">
        <v>0.01</v>
      </c>
      <c r="U312" s="826">
        <v>0.01</v>
      </c>
      <c r="V312" s="826">
        <v>1.9999999999999997E-2</v>
      </c>
      <c r="W312" s="827">
        <v>0.01</v>
      </c>
      <c r="X312" s="828"/>
      <c r="Y312" s="825">
        <v>5.2507314148888096E-2</v>
      </c>
      <c r="Z312" s="826">
        <v>4.9516091127553841E-2</v>
      </c>
      <c r="AA312" s="826">
        <v>2.2250731414888834E-2</v>
      </c>
      <c r="AB312" s="826">
        <v>9.7434172660007135E-3</v>
      </c>
      <c r="AC312" s="827">
        <v>3.3504388489332876E-2</v>
      </c>
      <c r="AD312" s="828"/>
      <c r="AE312" s="756">
        <v>7.7846707437989965E-2</v>
      </c>
      <c r="AF312" s="775">
        <v>5.9999999999999984E-2</v>
      </c>
      <c r="AG312" s="775">
        <v>7.0000000000000007E-2</v>
      </c>
      <c r="AH312" s="775">
        <v>8.2500000000000018E-2</v>
      </c>
      <c r="AI312" s="728">
        <v>7.2460601427501145E-2</v>
      </c>
      <c r="AJ312" s="725"/>
      <c r="AK312" s="756">
        <v>6.4580697569584913E-2</v>
      </c>
      <c r="AL312" s="775">
        <v>9.7500000000000003E-2</v>
      </c>
      <c r="AM312" s="775">
        <v>0.10750000000000001</v>
      </c>
      <c r="AN312" s="775">
        <v>0.09</v>
      </c>
      <c r="AO312" s="728">
        <v>9.0020965121520774E-2</v>
      </c>
      <c r="AP312" s="725"/>
      <c r="AQ312" s="756">
        <v>8.4497252271346815E-2</v>
      </c>
      <c r="AR312" s="775">
        <v>5.9856357791813378E-2</v>
      </c>
      <c r="AS312" s="775">
        <v>3.3325942697073091E-2</v>
      </c>
      <c r="AT312" s="775">
        <v>-6.6740573029269029E-3</v>
      </c>
      <c r="AU312" s="728">
        <v>4.2751373864326592E-2</v>
      </c>
      <c r="AV312" s="725"/>
      <c r="AW312" s="756">
        <v>2.7000000000000003E-2</v>
      </c>
      <c r="AX312" s="775">
        <v>4.2000000000000003E-2</v>
      </c>
      <c r="AY312" s="775">
        <v>6.1750000000000006E-2</v>
      </c>
      <c r="AZ312" s="775">
        <v>7.400000000000001E-2</v>
      </c>
      <c r="BA312" s="728">
        <v>5.1187500000000011E-2</v>
      </c>
      <c r="BB312" s="725"/>
      <c r="BC312" s="756">
        <v>5.0932549137391439E-2</v>
      </c>
      <c r="BD312" s="775">
        <v>6.4671435378921838E-2</v>
      </c>
      <c r="BE312" s="775">
        <v>1.859683144793052E-2</v>
      </c>
      <c r="BF312" s="775">
        <v>2.3268266826852346E-2</v>
      </c>
      <c r="BG312" s="728">
        <v>3.9367270697774029E-2</v>
      </c>
      <c r="BH312" s="725"/>
      <c r="BI312" s="756">
        <v>-1.6756852255581985E-2</v>
      </c>
      <c r="BJ312" s="775">
        <v>-5.859469486836108E-2</v>
      </c>
      <c r="BK312" s="775">
        <v>-1.8594694868361086E-2</v>
      </c>
      <c r="BL312" s="775">
        <v>-2.3675685225558192E-2</v>
      </c>
      <c r="BM312" s="728">
        <v>-2.9405481804465589E-2</v>
      </c>
      <c r="BN312" s="725"/>
      <c r="BO312" s="756">
        <v>9.6960130630017682E-2</v>
      </c>
      <c r="BP312" s="775">
        <v>0.1256602939175398</v>
      </c>
      <c r="BQ312" s="775">
        <v>0.12740032657504424</v>
      </c>
      <c r="BR312" s="775">
        <v>0.12740032657504424</v>
      </c>
      <c r="BS312" s="728">
        <v>0.11935526942441149</v>
      </c>
      <c r="BT312" s="725"/>
      <c r="BU312" s="756">
        <v>0.11837288826075978</v>
      </c>
      <c r="BV312" s="775">
        <v>9.8106539503074214E-2</v>
      </c>
      <c r="BW312" s="775">
        <v>8.405326975153711E-2</v>
      </c>
      <c r="BX312" s="775">
        <v>5.9733651242314445E-2</v>
      </c>
      <c r="BY312" s="728">
        <v>9.0066587189421399E-2</v>
      </c>
      <c r="BZ312" s="725"/>
      <c r="CA312" s="756">
        <v>2.1337216882612576E-2</v>
      </c>
      <c r="CB312" s="775">
        <v>0.05</v>
      </c>
      <c r="CC312" s="775">
        <v>5.6000000000000001E-2</v>
      </c>
      <c r="CD312" s="775">
        <v>4.9749999999999989E-2</v>
      </c>
      <c r="CE312" s="728">
        <v>4.406631268281111E-2</v>
      </c>
      <c r="CF312" s="725"/>
      <c r="CG312" s="756">
        <v>4.6227998367034076E-2</v>
      </c>
      <c r="CH312" s="775">
        <v>4.3473598040440889E-2</v>
      </c>
      <c r="CI312" s="775">
        <v>3.2544003265931848E-2</v>
      </c>
      <c r="CJ312" s="775">
        <v>5.4999999999999993E-2</v>
      </c>
      <c r="CK312" s="728">
        <v>4.4311399918351702E-2</v>
      </c>
      <c r="CL312" s="725"/>
      <c r="CM312" s="1066">
        <f>+CM313-CM$24</f>
        <v>3.9E-2</v>
      </c>
      <c r="CN312" s="645">
        <f t="shared" ref="CN312:CP312" si="670">+CN313-CN$24</f>
        <v>4.2000000000000003E-2</v>
      </c>
      <c r="CO312" s="645">
        <f t="shared" si="670"/>
        <v>5.45E-2</v>
      </c>
      <c r="CP312" s="645">
        <f t="shared" si="670"/>
        <v>5.5499999999999994E-2</v>
      </c>
      <c r="CQ312" s="540">
        <f>SUMPRODUCT(CM312:CP312,CG$311:CJ$311)/CK$311</f>
        <v>4.8117610819210191E-2</v>
      </c>
      <c r="CR312" s="541"/>
      <c r="CS312" s="1066">
        <f>+CS313-CS$24</f>
        <v>6.9999999999999993E-2</v>
      </c>
      <c r="CT312" s="645">
        <f t="shared" ref="CT312" si="671">+CT313-CT$24</f>
        <v>5.5E-2</v>
      </c>
      <c r="CU312" s="645">
        <f t="shared" ref="CU312" si="672">+CU313-CU$24</f>
        <v>3.5000000000000003E-2</v>
      </c>
      <c r="CV312" s="645">
        <f t="shared" ref="CV312" si="673">+CV313-CV$24</f>
        <v>0.03</v>
      </c>
      <c r="CW312" s="540">
        <f>SUMPRODUCT(CS312:CV312,CM$311:CP$311)/CQ$311</f>
        <v>4.6602322018567212E-2</v>
      </c>
      <c r="CX312" s="541"/>
      <c r="CY312" s="1066">
        <f>+CY313-CY$24</f>
        <v>0.02</v>
      </c>
      <c r="CZ312" s="645">
        <f t="shared" ref="CZ312" si="674">+CZ313-CZ$24</f>
        <v>2.5000000000000001E-2</v>
      </c>
      <c r="DA312" s="645">
        <f t="shared" ref="DA312" si="675">+DA313-DA$24</f>
        <v>0.04</v>
      </c>
      <c r="DB312" s="645">
        <f t="shared" ref="DB312" si="676">+DB313-DB$24</f>
        <v>3.5000000000000003E-2</v>
      </c>
      <c r="DC312" s="540">
        <f>SUMPRODUCT(CY312:DB312,CS$311:CV$311)/CW$311</f>
        <v>3.0133810355512988E-2</v>
      </c>
      <c r="DD312" s="541"/>
      <c r="DE312" s="1066">
        <f>+DE313-DE$24</f>
        <v>4.9999999999999996E-2</v>
      </c>
      <c r="DF312" s="645">
        <f t="shared" ref="DF312:DH312" si="677">+DF313-DF$24</f>
        <v>3.2000000000000001E-2</v>
      </c>
      <c r="DG312" s="645">
        <f t="shared" si="677"/>
        <v>0.03</v>
      </c>
      <c r="DH312" s="645">
        <f t="shared" si="677"/>
        <v>0.06</v>
      </c>
      <c r="DI312" s="540">
        <f>SUMPRODUCT(DE312:DH312,CY$311:DB$311)/DC$311</f>
        <v>4.3034499566724435E-2</v>
      </c>
      <c r="DJ312" s="541"/>
      <c r="DK312" s="1066">
        <f>+DK313-DK$24</f>
        <v>4.4999999999999998E-2</v>
      </c>
      <c r="DL312" s="645">
        <f t="shared" ref="DL312" si="678">+DL313-DL$24</f>
        <v>7.0000000000000007E-2</v>
      </c>
      <c r="DM312" s="645">
        <f t="shared" ref="DM312" si="679">+DM313-DM$24</f>
        <v>7.0000000000000007E-2</v>
      </c>
      <c r="DN312" s="645">
        <f t="shared" ref="DN312" si="680">+DN313-DN$24</f>
        <v>0.04</v>
      </c>
      <c r="DO312" s="540">
        <f>SUMPRODUCT(DK312:DN312,DE$311:DH$311)/DI$311</f>
        <v>5.6089750050393065E-2</v>
      </c>
      <c r="DP312" s="541"/>
      <c r="DQ312" s="1066">
        <f>+DQ313-DQ$24</f>
        <v>5.7500000000000002E-2</v>
      </c>
      <c r="DR312" s="645">
        <f t="shared" ref="DR312" si="681">+DR313-DR$24</f>
        <v>5.7500000000000002E-2</v>
      </c>
      <c r="DS312" s="645">
        <f t="shared" ref="DS312" si="682">+DS313-DS$24</f>
        <v>5.7500000000000002E-2</v>
      </c>
      <c r="DT312" s="645">
        <f t="shared" ref="DT312" si="683">+DT313-DT$24</f>
        <v>5.7500000000000002E-2</v>
      </c>
      <c r="DU312" s="540">
        <f>SUMPRODUCT(DQ312:DT312,DK$311:DN$311)/DO$311</f>
        <v>5.7499999999999996E-2</v>
      </c>
      <c r="DV312" s="541"/>
      <c r="DW312" s="1066">
        <f>+DW313-DW$24</f>
        <v>4.4999999999999998E-2</v>
      </c>
      <c r="DX312" s="645">
        <f t="shared" ref="DX312:DZ312" si="684">+DX313-DX$24</f>
        <v>4.4999999999999998E-2</v>
      </c>
      <c r="DY312" s="645">
        <f t="shared" si="684"/>
        <v>4.4999999999999998E-2</v>
      </c>
      <c r="DZ312" s="645">
        <f t="shared" si="684"/>
        <v>4.4999999999999998E-2</v>
      </c>
      <c r="EA312" s="540">
        <f>SUMPRODUCT(DW312:DZ312,DQ$311:DT$311)/DU$311</f>
        <v>4.5000000000000005E-2</v>
      </c>
      <c r="EB312" s="541"/>
      <c r="EC312" s="1066">
        <f t="shared" ref="EC312:EF312" si="685">+EC313-EC$24</f>
        <v>4.4999999999999998E-2</v>
      </c>
      <c r="ED312" s="645">
        <f t="shared" si="685"/>
        <v>4.4999999999999998E-2</v>
      </c>
      <c r="EE312" s="645">
        <f t="shared" si="685"/>
        <v>4.4999999999999998E-2</v>
      </c>
      <c r="EF312" s="645">
        <f t="shared" si="685"/>
        <v>4.4999999999999998E-2</v>
      </c>
      <c r="EG312" s="540">
        <f t="shared" ref="EG312:EG315" si="686">SUMPRODUCT(EC312:EF312,DW$311:DZ$311)/EA$311</f>
        <v>4.4999999999999991E-2</v>
      </c>
    </row>
    <row r="313" spans="1:137" s="783" customFormat="1" ht="11.25" customHeight="1" outlineLevel="1" x14ac:dyDescent="0.2">
      <c r="A313" s="538" t="s">
        <v>620</v>
      </c>
      <c r="B313" s="539"/>
      <c r="C313" s="539"/>
      <c r="D313" s="539"/>
      <c r="E313" s="797"/>
      <c r="F313" s="541"/>
      <c r="G313" s="797"/>
      <c r="H313" s="541"/>
      <c r="I313" s="797"/>
      <c r="J313" s="541"/>
      <c r="K313" s="797"/>
      <c r="L313" s="541"/>
      <c r="M313" s="795"/>
      <c r="N313" s="796"/>
      <c r="O313" s="796"/>
      <c r="P313" s="796"/>
      <c r="Q313" s="797"/>
      <c r="R313" s="541"/>
      <c r="S313" s="825">
        <v>0</v>
      </c>
      <c r="T313" s="826">
        <v>0.01</v>
      </c>
      <c r="U313" s="826">
        <v>0.01</v>
      </c>
      <c r="V313" s="826">
        <v>1.9999999999999997E-2</v>
      </c>
      <c r="W313" s="827">
        <v>0.01</v>
      </c>
      <c r="X313" s="828"/>
      <c r="Y313" s="825">
        <v>5.2507314148888096E-2</v>
      </c>
      <c r="Z313" s="826">
        <v>4.9516091127553841E-2</v>
      </c>
      <c r="AA313" s="826">
        <v>2.2250731414888834E-2</v>
      </c>
      <c r="AB313" s="826">
        <v>9.7434172660007135E-3</v>
      </c>
      <c r="AC313" s="827">
        <v>3.3504388489332876E-2</v>
      </c>
      <c r="AD313" s="828"/>
      <c r="AE313" s="756">
        <v>7.7846707437989965E-2</v>
      </c>
      <c r="AF313" s="775">
        <v>5.9999999999999984E-2</v>
      </c>
      <c r="AG313" s="775">
        <v>7.0000000000000007E-2</v>
      </c>
      <c r="AH313" s="775">
        <v>8.2500000000000018E-2</v>
      </c>
      <c r="AI313" s="728">
        <v>7.2460601427501145E-2</v>
      </c>
      <c r="AJ313" s="725"/>
      <c r="AK313" s="756">
        <v>6.4580697569584913E-2</v>
      </c>
      <c r="AL313" s="775">
        <v>9.7500000000000003E-2</v>
      </c>
      <c r="AM313" s="775">
        <v>0.10750000000000001</v>
      </c>
      <c r="AN313" s="775">
        <v>0.09</v>
      </c>
      <c r="AO313" s="728">
        <v>9.0020965121520774E-2</v>
      </c>
      <c r="AP313" s="725"/>
      <c r="AQ313" s="756">
        <v>8.4497252271346815E-2</v>
      </c>
      <c r="AR313" s="775">
        <v>5.9856357791813378E-2</v>
      </c>
      <c r="AS313" s="775">
        <v>3.3325942697073091E-2</v>
      </c>
      <c r="AT313" s="775">
        <v>-6.6740573029269029E-3</v>
      </c>
      <c r="AU313" s="728">
        <v>4.2751373864326592E-2</v>
      </c>
      <c r="AV313" s="725"/>
      <c r="AW313" s="756">
        <v>2.7000000000000003E-2</v>
      </c>
      <c r="AX313" s="775">
        <v>4.2000000000000003E-2</v>
      </c>
      <c r="AY313" s="775">
        <v>6.1750000000000006E-2</v>
      </c>
      <c r="AZ313" s="775">
        <v>7.400000000000001E-2</v>
      </c>
      <c r="BA313" s="728">
        <v>5.1187500000000011E-2</v>
      </c>
      <c r="BB313" s="725"/>
      <c r="BC313" s="756">
        <v>5.0932549137391439E-2</v>
      </c>
      <c r="BD313" s="775">
        <v>6.4671435378921838E-2</v>
      </c>
      <c r="BE313" s="775">
        <v>1.859683144793052E-2</v>
      </c>
      <c r="BF313" s="775">
        <v>2.3268266826852346E-2</v>
      </c>
      <c r="BG313" s="728">
        <v>3.9367270697774029E-2</v>
      </c>
      <c r="BH313" s="725"/>
      <c r="BI313" s="756">
        <v>-1.6756852255581985E-2</v>
      </c>
      <c r="BJ313" s="775">
        <v>-5.859469486836108E-2</v>
      </c>
      <c r="BK313" s="775">
        <v>-1.8594694868361086E-2</v>
      </c>
      <c r="BL313" s="775">
        <v>-2.3675685225558192E-2</v>
      </c>
      <c r="BM313" s="728">
        <v>-2.9405481804465589E-2</v>
      </c>
      <c r="BN313" s="725"/>
      <c r="BO313" s="756">
        <v>9.6960130630017682E-2</v>
      </c>
      <c r="BP313" s="775">
        <v>0.1256602939175398</v>
      </c>
      <c r="BQ313" s="775">
        <v>0.12740032657504424</v>
      </c>
      <c r="BR313" s="775">
        <v>0.12740032657504424</v>
      </c>
      <c r="BS313" s="728">
        <v>0.11935526942441149</v>
      </c>
      <c r="BT313" s="725"/>
      <c r="BU313" s="756">
        <v>0.11837288826075978</v>
      </c>
      <c r="BV313" s="775">
        <v>9.8106539503074214E-2</v>
      </c>
      <c r="BW313" s="775">
        <v>8.405326975153711E-2</v>
      </c>
      <c r="BX313" s="775">
        <v>5.9733651242314445E-2</v>
      </c>
      <c r="BY313" s="728">
        <v>9.0066587189421399E-2</v>
      </c>
      <c r="BZ313" s="725"/>
      <c r="CA313" s="756">
        <v>2.1337216882612576E-2</v>
      </c>
      <c r="CB313" s="775">
        <v>0.05</v>
      </c>
      <c r="CC313" s="775">
        <v>5.6000000000000001E-2</v>
      </c>
      <c r="CD313" s="775">
        <v>4.9749999999999989E-2</v>
      </c>
      <c r="CE313" s="728">
        <v>4.406631268281111E-2</v>
      </c>
      <c r="CF313" s="725"/>
      <c r="CG313" s="756">
        <v>4.6227998367034076E-2</v>
      </c>
      <c r="CH313" s="775">
        <v>4.3473598040440889E-2</v>
      </c>
      <c r="CI313" s="775">
        <v>3.2544003265931848E-2</v>
      </c>
      <c r="CJ313" s="775">
        <v>5.4999999999999993E-2</v>
      </c>
      <c r="CK313" s="728">
        <v>4.4311399918351702E-2</v>
      </c>
      <c r="CL313" s="725"/>
      <c r="CM313" s="756">
        <v>3.9E-2</v>
      </c>
      <c r="CN313" s="775">
        <v>4.2000000000000003E-2</v>
      </c>
      <c r="CO313" s="775">
        <v>5.45E-2</v>
      </c>
      <c r="CP313" s="775">
        <v>5.5499999999999994E-2</v>
      </c>
      <c r="CQ313" s="540">
        <f>SUMPRODUCT(CM313:CP313,CG$311:CJ$311)/CK$311</f>
        <v>4.8117610819210191E-2</v>
      </c>
      <c r="CR313" s="541"/>
      <c r="CS313" s="778">
        <v>0.09</v>
      </c>
      <c r="CT313" s="779">
        <v>5.5E-2</v>
      </c>
      <c r="CU313" s="779">
        <v>3.5000000000000003E-2</v>
      </c>
      <c r="CV313" s="779">
        <v>0.01</v>
      </c>
      <c r="CW313" s="540">
        <f>SUMPRODUCT(CS313:CV313,CM$311:CP$311)/CQ$311</f>
        <v>4.5780486538671665E-2</v>
      </c>
      <c r="CX313" s="541"/>
      <c r="CY313" s="778">
        <v>1.4999999999999999E-2</v>
      </c>
      <c r="CZ313" s="779">
        <v>2.5000000000000001E-2</v>
      </c>
      <c r="DA313" s="779">
        <v>3.5000000000000003E-2</v>
      </c>
      <c r="DB313" s="779">
        <v>0.04</v>
      </c>
      <c r="DC313" s="540">
        <f>SUMPRODUCT(CY313:DB313,CS$311:CV$311)/CW$311</f>
        <v>2.9005859485041412E-2</v>
      </c>
      <c r="DD313" s="541"/>
      <c r="DE313" s="778">
        <v>4.4999999999999998E-2</v>
      </c>
      <c r="DF313" s="779">
        <v>0.03</v>
      </c>
      <c r="DG313" s="779">
        <v>0.03</v>
      </c>
      <c r="DH313" s="779">
        <v>0.06</v>
      </c>
      <c r="DI313" s="540">
        <f>SUMPRODUCT(DE313:DH313,CY$311:DB$311)/DC$311</f>
        <v>4.1341394064124778E-2</v>
      </c>
      <c r="DJ313" s="541"/>
      <c r="DK313" s="778">
        <v>4.4999999999999998E-2</v>
      </c>
      <c r="DL313" s="796">
        <v>7.0000000000000007E-2</v>
      </c>
      <c r="DM313" s="796">
        <v>7.0000000000000007E-2</v>
      </c>
      <c r="DN313" s="796">
        <v>0.04</v>
      </c>
      <c r="DO313" s="540">
        <f>SUMPRODUCT(DK313:DN313,DE$311:DH$311)/DI$311</f>
        <v>5.6089750050393065E-2</v>
      </c>
      <c r="DP313" s="541"/>
      <c r="DQ313" s="795">
        <v>5.7500000000000002E-2</v>
      </c>
      <c r="DR313" s="796">
        <f t="shared" ref="DR313:DT313" si="687">+DQ313</f>
        <v>5.7500000000000002E-2</v>
      </c>
      <c r="DS313" s="796">
        <f t="shared" si="687"/>
        <v>5.7500000000000002E-2</v>
      </c>
      <c r="DT313" s="796">
        <f t="shared" si="687"/>
        <v>5.7500000000000002E-2</v>
      </c>
      <c r="DU313" s="540">
        <f>SUMPRODUCT(DQ313:DT313,DK$311:DN$311)/DO$311</f>
        <v>5.7499999999999996E-2</v>
      </c>
      <c r="DV313" s="541"/>
      <c r="DW313" s="795">
        <v>4.4999999999999998E-2</v>
      </c>
      <c r="DX313" s="796">
        <f t="shared" ref="DX313" si="688">+DW313</f>
        <v>4.4999999999999998E-2</v>
      </c>
      <c r="DY313" s="796">
        <f t="shared" ref="DY313" si="689">+DX313</f>
        <v>4.4999999999999998E-2</v>
      </c>
      <c r="DZ313" s="796">
        <f t="shared" ref="DZ313" si="690">+DY313</f>
        <v>4.4999999999999998E-2</v>
      </c>
      <c r="EA313" s="540">
        <f>SUMPRODUCT(DW313:DZ313,DQ$311:DT$311)/DU$311</f>
        <v>4.5000000000000005E-2</v>
      </c>
      <c r="EB313" s="541"/>
      <c r="EC313" s="795">
        <v>4.4999999999999998E-2</v>
      </c>
      <c r="ED313" s="796">
        <f t="shared" ref="ED313" si="691">+EC313</f>
        <v>4.4999999999999998E-2</v>
      </c>
      <c r="EE313" s="796">
        <f t="shared" ref="EE313" si="692">+ED313</f>
        <v>4.4999999999999998E-2</v>
      </c>
      <c r="EF313" s="796">
        <f t="shared" ref="EF313" si="693">+EE313</f>
        <v>4.4999999999999998E-2</v>
      </c>
      <c r="EG313" s="540">
        <f t="shared" si="686"/>
        <v>4.4999999999999991E-2</v>
      </c>
    </row>
    <row r="314" spans="1:137" s="783" customFormat="1" ht="11.25" customHeight="1" outlineLevel="1" x14ac:dyDescent="0.2">
      <c r="A314" s="538" t="s">
        <v>504</v>
      </c>
      <c r="B314" s="539"/>
      <c r="C314" s="539"/>
      <c r="D314" s="539"/>
      <c r="E314" s="797"/>
      <c r="F314" s="541"/>
      <c r="G314" s="797"/>
      <c r="H314" s="541"/>
      <c r="I314" s="797"/>
      <c r="J314" s="541"/>
      <c r="K314" s="797"/>
      <c r="L314" s="541"/>
      <c r="M314" s="795"/>
      <c r="N314" s="796"/>
      <c r="O314" s="796"/>
      <c r="P314" s="796"/>
      <c r="Q314" s="797"/>
      <c r="R314" s="541"/>
      <c r="S314" s="825">
        <v>0</v>
      </c>
      <c r="T314" s="826">
        <v>0</v>
      </c>
      <c r="U314" s="826">
        <v>0</v>
      </c>
      <c r="V314" s="826">
        <v>0</v>
      </c>
      <c r="W314" s="827">
        <v>0</v>
      </c>
      <c r="X314" s="828"/>
      <c r="Y314" s="825">
        <v>0.37981852383850323</v>
      </c>
      <c r="Z314" s="826">
        <v>0.12207076367036454</v>
      </c>
      <c r="AA314" s="826">
        <v>0.17097309915485098</v>
      </c>
      <c r="AB314" s="826">
        <v>0.19402663240402959</v>
      </c>
      <c r="AC314" s="827">
        <v>0.1880805608344549</v>
      </c>
      <c r="AD314" s="828"/>
      <c r="AE314" s="829">
        <v>0.21531768628333056</v>
      </c>
      <c r="AF314" s="606">
        <v>0.10002855237146689</v>
      </c>
      <c r="AG314" s="606">
        <v>0.14375205391950321</v>
      </c>
      <c r="AH314" s="606">
        <v>0.12208837736214967</v>
      </c>
      <c r="AI314" s="728">
        <v>0.12201005767740815</v>
      </c>
      <c r="AJ314" s="830"/>
      <c r="AK314" s="717">
        <v>0.16496071608856633</v>
      </c>
      <c r="AL314" s="652">
        <v>0.22777146131153761</v>
      </c>
      <c r="AM314" s="652">
        <v>0.14536170140109708</v>
      </c>
      <c r="AN314" s="652">
        <v>0.1350591102226914</v>
      </c>
      <c r="AO314" s="728">
        <v>0.16291434361716609</v>
      </c>
      <c r="AP314" s="830"/>
      <c r="AQ314" s="717">
        <v>3.1051295822724201E-2</v>
      </c>
      <c r="AR314" s="652">
        <v>-1.8911928193030211E-3</v>
      </c>
      <c r="AS314" s="652">
        <v>3.1579798312672588E-2</v>
      </c>
      <c r="AT314" s="652">
        <v>7.7863671912765178E-3</v>
      </c>
      <c r="AU314" s="728">
        <v>1.6344962453550382E-2</v>
      </c>
      <c r="AV314" s="830"/>
      <c r="AW314" s="717">
        <v>7.6194019195798907E-2</v>
      </c>
      <c r="AX314" s="652">
        <v>8.3220141259495783E-2</v>
      </c>
      <c r="AY314" s="652">
        <v>0.14809428489149312</v>
      </c>
      <c r="AZ314" s="652">
        <v>0.16280615748146324</v>
      </c>
      <c r="BA314" s="728">
        <v>0.10170580681144097</v>
      </c>
      <c r="BB314" s="830"/>
      <c r="BC314" s="717">
        <v>3.7504430752255999E-2</v>
      </c>
      <c r="BD314" s="652">
        <v>3.7604333321197655E-2</v>
      </c>
      <c r="BE314" s="652">
        <v>-2.208270193199028E-3</v>
      </c>
      <c r="BF314" s="652">
        <v>1.0503229766653889E-2</v>
      </c>
      <c r="BG314" s="728">
        <v>1.6808002628504459E-2</v>
      </c>
      <c r="BH314" s="830"/>
      <c r="BI314" s="717">
        <v>2.041002318354905E-4</v>
      </c>
      <c r="BJ314" s="652">
        <v>2.869847206333774E-2</v>
      </c>
      <c r="BK314" s="652">
        <v>-1.6695184072854238E-2</v>
      </c>
      <c r="BL314" s="652">
        <v>3.898598961825283E-2</v>
      </c>
      <c r="BM314" s="728">
        <v>1.4957497052561379E-2</v>
      </c>
      <c r="BN314" s="830"/>
      <c r="BO314" s="717">
        <v>-1.4229229046120603E-2</v>
      </c>
      <c r="BP314" s="652">
        <v>8.3454491585193746E-2</v>
      </c>
      <c r="BQ314" s="652">
        <v>-1.03073318688926E-3</v>
      </c>
      <c r="BR314" s="652">
        <v>-8.3928509170742752E-2</v>
      </c>
      <c r="BS314" s="728">
        <v>-8.1540940873527229E-3</v>
      </c>
      <c r="BT314" s="830"/>
      <c r="BU314" s="717">
        <v>0.12026051844383809</v>
      </c>
      <c r="BV314" s="652">
        <v>6.586731061060927E-2</v>
      </c>
      <c r="BW314" s="652">
        <v>0.10841869719152609</v>
      </c>
      <c r="BX314" s="652">
        <v>0.14553286812090982</v>
      </c>
      <c r="BY314" s="728">
        <v>0.10909078116001383</v>
      </c>
      <c r="BZ314" s="830"/>
      <c r="CA314" s="717">
        <v>0.10601623922706972</v>
      </c>
      <c r="CB314" s="652">
        <v>0.11543066693176653</v>
      </c>
      <c r="CC314" s="652">
        <v>0.11859011221419358</v>
      </c>
      <c r="CD314" s="652">
        <v>0.10859158911238159</v>
      </c>
      <c r="CE314" s="728">
        <v>0.11158777016419497</v>
      </c>
      <c r="CF314" s="830"/>
      <c r="CG314" s="717">
        <v>4.3700907876436448E-2</v>
      </c>
      <c r="CH314" s="652">
        <v>4.4089551712861261E-2</v>
      </c>
      <c r="CI314" s="652">
        <v>3.1240829704930348E-2</v>
      </c>
      <c r="CJ314" s="652">
        <v>3.3411943078266365E-2</v>
      </c>
      <c r="CK314" s="728">
        <v>4.0098531846524621E-2</v>
      </c>
      <c r="CL314" s="830"/>
      <c r="CM314" s="717">
        <v>-1.5344072251354122E-2</v>
      </c>
      <c r="CN314" s="652">
        <v>-2.5274422195383693E-2</v>
      </c>
      <c r="CO314" s="652">
        <v>-6.9221464132411883E-3</v>
      </c>
      <c r="CP314" s="652">
        <v>-1.2608792479033924E-2</v>
      </c>
      <c r="CQ314" s="540">
        <f>SUMPRODUCT(CM314:CP314,CG$311:CJ$311)/CK$311</f>
        <v>-1.4979339574736038E-2</v>
      </c>
      <c r="CR314" s="541"/>
      <c r="CS314" s="778">
        <v>0.02</v>
      </c>
      <c r="CT314" s="779">
        <v>0.02</v>
      </c>
      <c r="CU314" s="779">
        <v>1.4999999999999999E-2</v>
      </c>
      <c r="CV314" s="779">
        <v>0.03</v>
      </c>
      <c r="CW314" s="777">
        <v>1.6275147299111288E-2</v>
      </c>
      <c r="CX314" s="541"/>
      <c r="CY314" s="778">
        <v>3.5000000000000003E-2</v>
      </c>
      <c r="CZ314" s="779">
        <v>3.5000000000000003E-2</v>
      </c>
      <c r="DA314" s="779">
        <v>0.02</v>
      </c>
      <c r="DB314" s="779">
        <v>0.01</v>
      </c>
      <c r="DC314" s="540">
        <f>SUMPRODUCT(CY314:DB314,CS$311:CV$311)/CW$311</f>
        <v>2.4755620034931543E-2</v>
      </c>
      <c r="DD314" s="541"/>
      <c r="DE314" s="798">
        <v>1.4999999999999999E-2</v>
      </c>
      <c r="DF314" s="779">
        <v>0.03</v>
      </c>
      <c r="DG314" s="779">
        <v>0.03</v>
      </c>
      <c r="DH314" s="779">
        <v>3.5000000000000003E-2</v>
      </c>
      <c r="DI314" s="540">
        <f>SUMPRODUCT(DE314:DH314,CY$311:DB$311)/DC$311</f>
        <v>2.7748862651646451E-2</v>
      </c>
      <c r="DJ314" s="541"/>
      <c r="DK314" s="798">
        <v>2.5000000000000001E-2</v>
      </c>
      <c r="DL314" s="796">
        <v>0</v>
      </c>
      <c r="DM314" s="796">
        <v>0</v>
      </c>
      <c r="DN314" s="796">
        <v>0</v>
      </c>
      <c r="DO314" s="540">
        <f>SUMPRODUCT(DK314:DN314,DE$311:DH$311)/DI$311</f>
        <v>5.7624470872807898E-3</v>
      </c>
      <c r="DP314" s="541"/>
      <c r="DQ314" s="795">
        <v>0</v>
      </c>
      <c r="DR314" s="796">
        <v>0</v>
      </c>
      <c r="DS314" s="796">
        <v>0</v>
      </c>
      <c r="DT314" s="796">
        <v>0</v>
      </c>
      <c r="DU314" s="540">
        <f>SUMPRODUCT(DQ314:DT314,DK$311:DN$311)/DO$311</f>
        <v>0</v>
      </c>
      <c r="DV314" s="541"/>
      <c r="DW314" s="795">
        <v>0</v>
      </c>
      <c r="DX314" s="796">
        <v>0</v>
      </c>
      <c r="DY314" s="796">
        <v>0</v>
      </c>
      <c r="DZ314" s="796">
        <v>0</v>
      </c>
      <c r="EA314" s="540">
        <f>SUMPRODUCT(DW314:DZ314,DQ$311:DT$311)/DU$311</f>
        <v>0</v>
      </c>
      <c r="EB314" s="541"/>
      <c r="EC314" s="795">
        <v>0</v>
      </c>
      <c r="ED314" s="796">
        <v>0</v>
      </c>
      <c r="EE314" s="796">
        <v>0</v>
      </c>
      <c r="EF314" s="796">
        <v>0</v>
      </c>
      <c r="EG314" s="540">
        <f t="shared" si="686"/>
        <v>0</v>
      </c>
    </row>
    <row r="315" spans="1:137" s="783" customFormat="1" ht="11.25" customHeight="1" outlineLevel="1" x14ac:dyDescent="0.2">
      <c r="A315" s="538" t="s">
        <v>379</v>
      </c>
      <c r="B315" s="539"/>
      <c r="C315" s="539"/>
      <c r="D315" s="539"/>
      <c r="E315" s="540"/>
      <c r="F315" s="541"/>
      <c r="G315" s="540"/>
      <c r="H315" s="541"/>
      <c r="I315" s="540"/>
      <c r="J315" s="541"/>
      <c r="K315" s="540"/>
      <c r="L315" s="541"/>
      <c r="M315" s="542"/>
      <c r="N315" s="543"/>
      <c r="O315" s="543"/>
      <c r="P315" s="543"/>
      <c r="Q315" s="540"/>
      <c r="R315" s="541"/>
      <c r="S315" s="825">
        <v>0</v>
      </c>
      <c r="T315" s="826">
        <v>0</v>
      </c>
      <c r="U315" s="826">
        <v>0</v>
      </c>
      <c r="V315" s="826">
        <v>0</v>
      </c>
      <c r="W315" s="827">
        <v>0</v>
      </c>
      <c r="X315" s="828"/>
      <c r="Y315" s="825">
        <v>0</v>
      </c>
      <c r="Z315" s="826">
        <v>2.0746887966804982E-2</v>
      </c>
      <c r="AA315" s="826">
        <v>1.3793103448275862E-2</v>
      </c>
      <c r="AB315" s="826">
        <v>0</v>
      </c>
      <c r="AC315" s="827">
        <v>2.2507314148888104E-2</v>
      </c>
      <c r="AD315" s="828"/>
      <c r="AE315" s="829">
        <v>3.0470598351519999E-2</v>
      </c>
      <c r="AF315" s="606">
        <v>1.4414879526007481E-2</v>
      </c>
      <c r="AG315" s="606">
        <v>2.070801561084926E-2</v>
      </c>
      <c r="AH315" s="606">
        <v>5.1473770700108425E-3</v>
      </c>
      <c r="AI315" s="728">
        <v>3.7468481142000916E-2</v>
      </c>
      <c r="AJ315" s="830"/>
      <c r="AK315" s="717">
        <v>1.7413056498233839E-2</v>
      </c>
      <c r="AL315" s="652">
        <v>1.7451286014425939E-2</v>
      </c>
      <c r="AM315" s="652">
        <v>5.000000000000001E-3</v>
      </c>
      <c r="AN315" s="652">
        <v>-2.9721687277195121E-2</v>
      </c>
      <c r="AO315" s="728">
        <v>2.5419302430415088E-3</v>
      </c>
      <c r="AP315" s="830"/>
      <c r="AQ315" s="717">
        <v>-2.246130513292656E-2</v>
      </c>
      <c r="AR315" s="652">
        <v>2.6194028543786757E-3</v>
      </c>
      <c r="AS315" s="652">
        <v>1.4999999999999999E-2</v>
      </c>
      <c r="AT315" s="652">
        <v>3.7552643760937733E-2</v>
      </c>
      <c r="AU315" s="728">
        <v>7.4640894479533456E-3</v>
      </c>
      <c r="AV315" s="830"/>
      <c r="AW315" s="717">
        <v>3.2742760105609878E-2</v>
      </c>
      <c r="AX315" s="652">
        <v>0.03</v>
      </c>
      <c r="AY315" s="652">
        <v>3.4999999999999996E-2</v>
      </c>
      <c r="AZ315" s="652">
        <v>4.1907448882998856E-3</v>
      </c>
      <c r="BA315" s="728">
        <v>4.4376167485290594E-2</v>
      </c>
      <c r="BB315" s="830"/>
      <c r="BC315" s="717">
        <v>4.9999999999999996E-2</v>
      </c>
      <c r="BD315" s="652">
        <v>0.05</v>
      </c>
      <c r="BE315" s="652">
        <v>2.8031249637088185E-2</v>
      </c>
      <c r="BF315" s="652">
        <v>-5.3897431407190534E-2</v>
      </c>
      <c r="BG315" s="728">
        <v>1.4999999999999998E-2</v>
      </c>
      <c r="BH315" s="830"/>
      <c r="BI315" s="717">
        <v>-7.3771626453386765E-2</v>
      </c>
      <c r="BJ315" s="652">
        <v>-6.6688674516310567E-2</v>
      </c>
      <c r="BK315" s="652">
        <v>-3.1878353508041524E-2</v>
      </c>
      <c r="BL315" s="652">
        <v>4.9925051903747644E-2</v>
      </c>
      <c r="BM315" s="728">
        <v>-3.0513527838337294E-2</v>
      </c>
      <c r="BN315" s="830"/>
      <c r="BO315" s="717">
        <v>3.3233294193601978E-2</v>
      </c>
      <c r="BP315" s="652">
        <v>-0.01</v>
      </c>
      <c r="BQ315" s="652">
        <v>-1.6787290379523388E-2</v>
      </c>
      <c r="BR315" s="652">
        <v>-1.5000000000000001E-2</v>
      </c>
      <c r="BS315" s="728">
        <v>-3.2599673424955778E-3</v>
      </c>
      <c r="BT315" s="830"/>
      <c r="BU315" s="717">
        <v>0.01</v>
      </c>
      <c r="BV315" s="652">
        <v>4.7964729508277126E-2</v>
      </c>
      <c r="BW315" s="652">
        <v>2.7951467265104685E-2</v>
      </c>
      <c r="BX315" s="652">
        <v>-5.0000000000000001E-3</v>
      </c>
      <c r="BY315" s="728">
        <v>0.02</v>
      </c>
      <c r="BZ315" s="830"/>
      <c r="CA315" s="717">
        <v>-0.01</v>
      </c>
      <c r="CB315" s="652">
        <v>-3.5000000000000003E-2</v>
      </c>
      <c r="CC315" s="652">
        <v>-3.2757407099001587E-2</v>
      </c>
      <c r="CD315" s="652">
        <v>-7.8955760956662298E-3</v>
      </c>
      <c r="CE315" s="728">
        <v>-0.02</v>
      </c>
      <c r="CF315" s="830"/>
      <c r="CG315" s="717">
        <v>-2.6972340984343945E-3</v>
      </c>
      <c r="CH315" s="652">
        <v>5.000000000000001E-3</v>
      </c>
      <c r="CI315" s="652">
        <v>4.5223741927481863E-3</v>
      </c>
      <c r="CJ315" s="652">
        <v>-6.6570126722839706E-4</v>
      </c>
      <c r="CK315" s="728">
        <v>-5.0880065318636969E-4</v>
      </c>
      <c r="CL315" s="830"/>
      <c r="CM315" s="717">
        <v>-2.5227797129655509E-4</v>
      </c>
      <c r="CN315" s="652">
        <v>7.2767721151316142E-3</v>
      </c>
      <c r="CO315" s="652">
        <v>0</v>
      </c>
      <c r="CP315" s="652">
        <v>-3.3549837817901863E-2</v>
      </c>
      <c r="CQ315" s="540">
        <f>SUMPRODUCT(CM315:CP315,CG$311:CJ$311)/CK$311</f>
        <v>-7.3840123945681495E-3</v>
      </c>
      <c r="CR315" s="541"/>
      <c r="CS315" s="778">
        <v>-6.5000000000000002E-2</v>
      </c>
      <c r="CT315" s="779">
        <v>-7.0000000000000007E-2</v>
      </c>
      <c r="CU315" s="779">
        <v>-7.0000000000000007E-2</v>
      </c>
      <c r="CV315" s="779">
        <v>-5.5E-2</v>
      </c>
      <c r="CW315" s="540">
        <f>SUMPRODUCT(CS315:CV315,CM$311:CP$311)/CQ$311</f>
        <v>-6.4840347741477747E-2</v>
      </c>
      <c r="CX315" s="541"/>
      <c r="CY315" s="542">
        <f>+CY316-CY314-CY313</f>
        <v>-1.9336006604552439E-2</v>
      </c>
      <c r="CZ315" s="543">
        <f>+CZ316-CZ314-CZ313</f>
        <v>-8.6263122626759128E-3</v>
      </c>
      <c r="DA315" s="543">
        <f>+DA316-DA314-DA313</f>
        <v>-1.1007729907923269E-2</v>
      </c>
      <c r="DB315" s="543">
        <f>+DB316-DB314-DB313</f>
        <v>-1.5148899438929678E-2</v>
      </c>
      <c r="DC315" s="540">
        <f>SUMPRODUCT(CY315:DB315,CS$311:CV$311)/CW$311</f>
        <v>-1.3477519860273858E-2</v>
      </c>
      <c r="DD315" s="541"/>
      <c r="DE315" s="542">
        <f>+DE316-DE314-DE313</f>
        <v>-1.3198306442384788E-2</v>
      </c>
      <c r="DF315" s="543">
        <f>+DF316-DF314-DF313</f>
        <v>-1.5598045464202126E-2</v>
      </c>
      <c r="DG315" s="543">
        <f>+DG316-DG314-DG313</f>
        <v>2.1119337979093988E-2</v>
      </c>
      <c r="DH315" s="543">
        <f>+DH316-DH314-DH313</f>
        <v>2.8866124491710971E-2</v>
      </c>
      <c r="DI315" s="540">
        <f>SUMPRODUCT(DE315:DH315,CY$311:DB$311)/DC$311</f>
        <v>5.6497779462738214E-3</v>
      </c>
      <c r="DJ315" s="541"/>
      <c r="DK315" s="542">
        <f>+DK316-DK314-DK313</f>
        <v>5.2759073021425421E-2</v>
      </c>
      <c r="DL315" s="796">
        <v>3.5000000000000003E-2</v>
      </c>
      <c r="DM315" s="796">
        <v>0.01</v>
      </c>
      <c r="DN315" s="796">
        <v>0.02</v>
      </c>
      <c r="DO315" s="540">
        <f>SUMPRODUCT(DK315:DN315,DE$311:DH$311)/DI$311</f>
        <v>2.8765117919774236E-2</v>
      </c>
      <c r="DP315" s="541"/>
      <c r="DQ315" s="795">
        <v>0</v>
      </c>
      <c r="DR315" s="796">
        <v>0</v>
      </c>
      <c r="DS315" s="796">
        <v>0</v>
      </c>
      <c r="DT315" s="796">
        <v>0</v>
      </c>
      <c r="DU315" s="540">
        <f>SUMPRODUCT(DQ315:DT315,DK$311:DN$311)/DO$311</f>
        <v>0</v>
      </c>
      <c r="DV315" s="541"/>
      <c r="DW315" s="795">
        <v>0</v>
      </c>
      <c r="DX315" s="796">
        <v>0</v>
      </c>
      <c r="DY315" s="796">
        <v>0</v>
      </c>
      <c r="DZ315" s="796">
        <v>0</v>
      </c>
      <c r="EA315" s="540">
        <f>SUMPRODUCT(DW315:DZ315,DQ$311:DT$311)/DU$311</f>
        <v>0</v>
      </c>
      <c r="EB315" s="541"/>
      <c r="EC315" s="795">
        <v>0</v>
      </c>
      <c r="ED315" s="796">
        <v>0</v>
      </c>
      <c r="EE315" s="796">
        <v>0</v>
      </c>
      <c r="EF315" s="796">
        <v>0</v>
      </c>
      <c r="EG315" s="540">
        <f t="shared" si="686"/>
        <v>0</v>
      </c>
    </row>
    <row r="316" spans="1:137" s="783" customFormat="1" ht="11.25" customHeight="1" outlineLevel="1" x14ac:dyDescent="0.2">
      <c r="A316" s="538" t="s">
        <v>503</v>
      </c>
      <c r="B316" s="539"/>
      <c r="C316" s="539"/>
      <c r="D316" s="539"/>
      <c r="E316" s="540"/>
      <c r="F316" s="541"/>
      <c r="G316" s="540"/>
      <c r="H316" s="541"/>
      <c r="I316" s="540"/>
      <c r="J316" s="541"/>
      <c r="K316" s="540"/>
      <c r="L316" s="541"/>
      <c r="M316" s="542"/>
      <c r="N316" s="543"/>
      <c r="O316" s="543"/>
      <c r="P316" s="543"/>
      <c r="Q316" s="540"/>
      <c r="R316" s="541"/>
      <c r="S316" s="825">
        <v>0</v>
      </c>
      <c r="T316" s="826">
        <v>0</v>
      </c>
      <c r="U316" s="826">
        <v>0</v>
      </c>
      <c r="V316" s="826">
        <v>0</v>
      </c>
      <c r="W316" s="827">
        <v>0</v>
      </c>
      <c r="X316" s="828"/>
      <c r="Y316" s="825">
        <v>0.43232583798739133</v>
      </c>
      <c r="Z316" s="826">
        <v>0.19233374276472337</v>
      </c>
      <c r="AA316" s="826">
        <v>0.20701693401801569</v>
      </c>
      <c r="AB316" s="826">
        <v>0.20377004967003032</v>
      </c>
      <c r="AC316" s="827">
        <v>0.24409226347267587</v>
      </c>
      <c r="AD316" s="828"/>
      <c r="AE316" s="829">
        <v>0.32363499207284052</v>
      </c>
      <c r="AF316" s="606">
        <v>0.17444343189747435</v>
      </c>
      <c r="AG316" s="606">
        <v>0.23446006953035248</v>
      </c>
      <c r="AH316" s="606">
        <v>0.20973575443216053</v>
      </c>
      <c r="AI316" s="728">
        <v>0.2319391402469102</v>
      </c>
      <c r="AJ316" s="830"/>
      <c r="AK316" s="717">
        <v>0.24695447015638505</v>
      </c>
      <c r="AL316" s="652">
        <v>0.34272274732596353</v>
      </c>
      <c r="AM316" s="652">
        <v>0.2578617014010971</v>
      </c>
      <c r="AN316" s="652">
        <v>0.19533742294549628</v>
      </c>
      <c r="AO316" s="728">
        <v>0.25547723898172836</v>
      </c>
      <c r="AP316" s="830"/>
      <c r="AQ316" s="717">
        <v>9.3087242961144456E-2</v>
      </c>
      <c r="AR316" s="652">
        <v>6.0584567826889035E-2</v>
      </c>
      <c r="AS316" s="652">
        <v>7.9905741009745679E-2</v>
      </c>
      <c r="AT316" s="652">
        <v>3.8664953649287348E-2</v>
      </c>
      <c r="AU316" s="728">
        <v>6.6560425765830322E-2</v>
      </c>
      <c r="AV316" s="830"/>
      <c r="AW316" s="717">
        <v>0.13593677930140879</v>
      </c>
      <c r="AX316" s="652">
        <v>0.15522014125949579</v>
      </c>
      <c r="AY316" s="652">
        <v>0.24484428489149312</v>
      </c>
      <c r="AZ316" s="652">
        <v>0.24099690236976312</v>
      </c>
      <c r="BA316" s="728">
        <v>0.19726947429673158</v>
      </c>
      <c r="BB316" s="830"/>
      <c r="BC316" s="717">
        <v>0.13843697988964743</v>
      </c>
      <c r="BD316" s="652">
        <v>0.1522757687001195</v>
      </c>
      <c r="BE316" s="652">
        <v>4.4419810891819678E-2</v>
      </c>
      <c r="BF316" s="652">
        <v>-2.0125934813684299E-2</v>
      </c>
      <c r="BG316" s="728">
        <v>7.1175273326278488E-2</v>
      </c>
      <c r="BH316" s="830"/>
      <c r="BI316" s="717">
        <v>-9.032437847713326E-2</v>
      </c>
      <c r="BJ316" s="652">
        <v>-9.6584897321333907E-2</v>
      </c>
      <c r="BK316" s="652">
        <v>-6.7168232449256848E-2</v>
      </c>
      <c r="BL316" s="652">
        <v>6.5235356296442282E-2</v>
      </c>
      <c r="BM316" s="728">
        <v>-4.4961512590241504E-2</v>
      </c>
      <c r="BN316" s="830"/>
      <c r="BO316" s="717">
        <v>0.11596419577749906</v>
      </c>
      <c r="BP316" s="652">
        <v>0.19911478550273354</v>
      </c>
      <c r="BQ316" s="652">
        <v>0.10958230300863159</v>
      </c>
      <c r="BR316" s="652">
        <v>2.8471817404301492E-2</v>
      </c>
      <c r="BS316" s="728">
        <v>0.10794120799456319</v>
      </c>
      <c r="BT316" s="830"/>
      <c r="BU316" s="717">
        <v>0.24863340670459788</v>
      </c>
      <c r="BV316" s="652">
        <v>0.21193857962196061</v>
      </c>
      <c r="BW316" s="652">
        <v>0.2204234342081679</v>
      </c>
      <c r="BX316" s="652">
        <v>0.20026651936322426</v>
      </c>
      <c r="BY316" s="728">
        <v>0.21915736834943522</v>
      </c>
      <c r="BZ316" s="830"/>
      <c r="CA316" s="717">
        <v>0.11735345610968229</v>
      </c>
      <c r="CB316" s="652">
        <v>0.13043066693176653</v>
      </c>
      <c r="CC316" s="652">
        <v>0.14183270511519197</v>
      </c>
      <c r="CD316" s="652">
        <v>0.15044601301671534</v>
      </c>
      <c r="CE316" s="728">
        <v>0.13565408284700609</v>
      </c>
      <c r="CF316" s="830"/>
      <c r="CG316" s="717">
        <v>8.7231672145036132E-2</v>
      </c>
      <c r="CH316" s="652">
        <v>9.2563149753302154E-2</v>
      </c>
      <c r="CI316" s="652">
        <v>6.8307207163610384E-2</v>
      </c>
      <c r="CJ316" s="652">
        <v>8.7746241811037962E-2</v>
      </c>
      <c r="CK316" s="728">
        <v>8.3901131111689953E-2</v>
      </c>
      <c r="CL316" s="830"/>
      <c r="CM316" s="717">
        <v>2.3403649777349322E-2</v>
      </c>
      <c r="CN316" s="652">
        <v>2.4002349919747923E-2</v>
      </c>
      <c r="CO316" s="652">
        <v>4.7577853586758811E-2</v>
      </c>
      <c r="CP316" s="652">
        <v>9.3413697030642062E-3</v>
      </c>
      <c r="CQ316" s="540">
        <f>IF(ISERROR(CQ311/CK311-1),"-",CQ311/CK311-1)</f>
        <v>2.5754258849906009E-2</v>
      </c>
      <c r="CR316" s="541"/>
      <c r="CS316" s="542">
        <f>+CS315+CS314+CS313</f>
        <v>4.4999999999999998E-2</v>
      </c>
      <c r="CT316" s="543">
        <f>+CT315+CT314+CT313</f>
        <v>4.9999999999999975E-3</v>
      </c>
      <c r="CU316" s="543">
        <f>+CU315+CU314+CU313</f>
        <v>-2.0000000000000004E-2</v>
      </c>
      <c r="CV316" s="543">
        <f>+CV315+CV314+CV313</f>
        <v>-1.5000000000000001E-2</v>
      </c>
      <c r="CW316" s="540">
        <f>+CW315+CW314+CW313</f>
        <v>-2.7847139036947938E-3</v>
      </c>
      <c r="CX316" s="543"/>
      <c r="CY316" s="542">
        <f>IF(ISERROR(CY311/CS311-1),"-",CY311/CS311-1)</f>
        <v>3.0663993395447564E-2</v>
      </c>
      <c r="CZ316" s="543">
        <f>IF(ISERROR(CZ311/CT311-1),"-",CZ311/CT311-1)</f>
        <v>5.1373687737324092E-2</v>
      </c>
      <c r="DA316" s="543">
        <f>IF(ISERROR(DA311/CU311-1),"-",DA311/CU311-1)</f>
        <v>4.3992270092076735E-2</v>
      </c>
      <c r="DB316" s="543">
        <f>IF(ISERROR(DB311/CV311-1),"-",DB311/CV311-1)</f>
        <v>3.4851100561070325E-2</v>
      </c>
      <c r="DC316" s="540">
        <f>IF(ISERROR(DC311/CW311-1),"-",DC311/CW311-1)</f>
        <v>4.0283959659699109E-2</v>
      </c>
      <c r="DD316" s="541"/>
      <c r="DE316" s="542">
        <f>IF(ISERROR(DE311/CY311-1),"-",DE311/CY311-1)</f>
        <v>4.6801693557615209E-2</v>
      </c>
      <c r="DF316" s="543">
        <f>IF(ISERROR(DF311/CZ311-1),"-",DF311/CZ311-1)</f>
        <v>4.4401954535797872E-2</v>
      </c>
      <c r="DG316" s="543">
        <f>IF(ISERROR(DG311/DA311-1),"-",DG311/DA311-1)</f>
        <v>8.1119337979093986E-2</v>
      </c>
      <c r="DH316" s="543">
        <f>IF(ISERROR(DH311/DB311-1),"-",DH311/DB311-1)</f>
        <v>0.12386612449171097</v>
      </c>
      <c r="DI316" s="540">
        <f>IF(ISERROR(DI311/DC311-1),"-",DI311/DC311-1)</f>
        <v>7.4740034662045263E-2</v>
      </c>
      <c r="DJ316" s="541"/>
      <c r="DK316" s="542">
        <f>IF(ISERROR(DK311/DE311-1),"-",DK311/DE311-1)</f>
        <v>0.12275907302142541</v>
      </c>
      <c r="DL316" s="543">
        <f>+DL315+DL314+DL313</f>
        <v>0.10500000000000001</v>
      </c>
      <c r="DM316" s="543">
        <f>+DM315+DM314+DM313</f>
        <v>0.08</v>
      </c>
      <c r="DN316" s="543">
        <f>+DN315+DN314+DN313</f>
        <v>0.06</v>
      </c>
      <c r="DO316" s="540">
        <f>IF(ISERROR(DO311/DI311-1),"-",DO311/DI311-1)</f>
        <v>9.06173150574483E-2</v>
      </c>
      <c r="DP316" s="541"/>
      <c r="DQ316" s="542">
        <f>+DQ315+DQ314+DQ313</f>
        <v>5.7500000000000002E-2</v>
      </c>
      <c r="DR316" s="543">
        <f>+DR315+DR314+DR313</f>
        <v>5.7500000000000002E-2</v>
      </c>
      <c r="DS316" s="543">
        <f>+DS315+DS314+DS313</f>
        <v>5.7500000000000002E-2</v>
      </c>
      <c r="DT316" s="543">
        <f>+DT315+DT314+DT313</f>
        <v>5.7500000000000002E-2</v>
      </c>
      <c r="DU316" s="540">
        <f>IF(ISERROR(DU311/DO311-1),"-",DU311/DO311-1)</f>
        <v>5.7499999999999662E-2</v>
      </c>
      <c r="DV316" s="541"/>
      <c r="DW316" s="542">
        <f>+DW315+DW314+DW313</f>
        <v>4.4999999999999998E-2</v>
      </c>
      <c r="DX316" s="543">
        <f>+DX315+DX314+DX313</f>
        <v>4.4999999999999998E-2</v>
      </c>
      <c r="DY316" s="543">
        <f>+DY315+DY314+DY313</f>
        <v>4.4999999999999998E-2</v>
      </c>
      <c r="DZ316" s="543">
        <f>+DZ315+DZ314+DZ313</f>
        <v>4.4999999999999998E-2</v>
      </c>
      <c r="EA316" s="540">
        <f>IF(ISERROR(EA311/DU311-1),"-",EA311/DU311-1)</f>
        <v>4.5000000000000151E-2</v>
      </c>
      <c r="EB316" s="541"/>
      <c r="EC316" s="542">
        <f t="shared" ref="EC316:EF316" si="694">+EC315+EC314+EC313</f>
        <v>4.4999999999999998E-2</v>
      </c>
      <c r="ED316" s="543">
        <f t="shared" si="694"/>
        <v>4.4999999999999998E-2</v>
      </c>
      <c r="EE316" s="543">
        <f t="shared" si="694"/>
        <v>4.4999999999999998E-2</v>
      </c>
      <c r="EF316" s="543">
        <f t="shared" si="694"/>
        <v>4.4999999999999998E-2</v>
      </c>
      <c r="EG316" s="540">
        <f t="shared" ref="EG316" si="695">IF(ISERROR(EG311/EA311-1),"-",EG311/EA311-1)</f>
        <v>4.4999999999999929E-2</v>
      </c>
    </row>
    <row r="317" spans="1:137" ht="11.25" customHeight="1" outlineLevel="1" x14ac:dyDescent="0.2">
      <c r="A317" s="51"/>
      <c r="B317" s="14"/>
      <c r="C317" s="14"/>
      <c r="D317" s="14"/>
      <c r="E317" s="92"/>
      <c r="F317" s="71"/>
      <c r="G317" s="92"/>
      <c r="H317" s="71"/>
      <c r="I317" s="92"/>
      <c r="J317" s="71"/>
      <c r="K317" s="92"/>
      <c r="L317" s="71"/>
      <c r="M317" s="84"/>
      <c r="N317" s="71"/>
      <c r="O317" s="71"/>
      <c r="P317" s="71"/>
      <c r="Q317" s="92"/>
      <c r="R317" s="71"/>
      <c r="S317" s="84"/>
      <c r="T317" s="71"/>
      <c r="U317" s="71"/>
      <c r="V317" s="71"/>
      <c r="W317" s="92"/>
      <c r="X317" s="71"/>
      <c r="Y317" s="84"/>
      <c r="Z317" s="71"/>
      <c r="AA317" s="71"/>
      <c r="AB317" s="71"/>
      <c r="AC317" s="92"/>
      <c r="AD317" s="71"/>
      <c r="AE317" s="84"/>
      <c r="AF317" s="71"/>
      <c r="AG317" s="71"/>
      <c r="AH317" s="71"/>
      <c r="AI317" s="92"/>
      <c r="AJ317" s="71"/>
      <c r="AK317" s="84"/>
      <c r="AL317" s="71"/>
      <c r="AM317" s="71"/>
      <c r="AN317" s="71"/>
      <c r="AO317" s="92"/>
      <c r="AP317" s="71"/>
      <c r="AQ317" s="84"/>
      <c r="AR317" s="71"/>
      <c r="AS317" s="71"/>
      <c r="AT317" s="71"/>
      <c r="AU317" s="92"/>
      <c r="AV317" s="71"/>
      <c r="AW317" s="84"/>
      <c r="AX317" s="71"/>
      <c r="AY317" s="71"/>
      <c r="AZ317" s="71"/>
      <c r="BA317" s="92"/>
      <c r="BB317" s="71"/>
      <c r="BC317" s="84"/>
      <c r="BD317" s="71"/>
      <c r="BE317" s="71"/>
      <c r="BF317" s="71"/>
      <c r="BG317" s="92"/>
      <c r="BH317" s="71"/>
      <c r="BI317" s="84"/>
      <c r="BJ317" s="71"/>
      <c r="BK317" s="71"/>
      <c r="BL317" s="71"/>
      <c r="BM317" s="92"/>
      <c r="BN317" s="71"/>
      <c r="BO317" s="84"/>
      <c r="BP317" s="71"/>
      <c r="BQ317" s="71"/>
      <c r="BR317" s="71"/>
      <c r="BS317" s="92"/>
      <c r="BT317" s="71"/>
      <c r="BU317" s="84"/>
      <c r="BV317" s="71"/>
      <c r="BW317" s="71"/>
      <c r="BX317" s="71"/>
      <c r="BY317" s="92"/>
      <c r="BZ317" s="71"/>
      <c r="CA317" s="84"/>
      <c r="CB317" s="71"/>
      <c r="CC317" s="71"/>
      <c r="CD317" s="71"/>
      <c r="CE317" s="92"/>
      <c r="CF317" s="71"/>
      <c r="CG317" s="84"/>
      <c r="CH317" s="71"/>
      <c r="CI317" s="71"/>
      <c r="CJ317" s="71"/>
      <c r="CK317" s="92"/>
      <c r="CL317" s="71"/>
      <c r="CM317" s="84"/>
      <c r="CN317" s="71"/>
      <c r="CO317" s="71"/>
      <c r="CP317" s="71"/>
      <c r="CQ317" s="92"/>
      <c r="CR317" s="71"/>
      <c r="CS317" s="84"/>
      <c r="CT317" s="71"/>
      <c r="CU317" s="71"/>
      <c r="CV317" s="71"/>
      <c r="CW317" s="92"/>
      <c r="CX317" s="71"/>
      <c r="CY317" s="84"/>
      <c r="CZ317" s="71"/>
      <c r="DA317" s="71"/>
      <c r="DB317" s="71"/>
      <c r="DC317" s="92"/>
      <c r="DD317" s="71"/>
      <c r="DE317" s="84"/>
      <c r="DF317" s="71"/>
      <c r="DG317" s="71"/>
      <c r="DH317" s="71"/>
      <c r="DI317" s="92"/>
      <c r="DJ317" s="71"/>
      <c r="DK317" s="84"/>
      <c r="DL317" s="71"/>
      <c r="DM317" s="71"/>
      <c r="DN317" s="71"/>
      <c r="DO317" s="92"/>
      <c r="DP317" s="71"/>
      <c r="DQ317" s="84"/>
      <c r="DR317" s="71"/>
      <c r="DS317" s="71"/>
      <c r="DT317" s="71"/>
      <c r="DU317" s="92"/>
      <c r="DV317" s="71"/>
      <c r="DW317" s="84"/>
      <c r="DX317" s="71"/>
      <c r="DY317" s="71"/>
      <c r="DZ317" s="71"/>
      <c r="EA317" s="92"/>
      <c r="EB317" s="71"/>
      <c r="EC317" s="84"/>
      <c r="ED317" s="71"/>
      <c r="EE317" s="71"/>
      <c r="EF317" s="71"/>
      <c r="EG317" s="92"/>
    </row>
    <row r="318" spans="1:137" s="384" customFormat="1" ht="11.25" customHeight="1" outlineLevel="1" x14ac:dyDescent="0.2">
      <c r="A318" s="50" t="s">
        <v>407</v>
      </c>
      <c r="B318" s="343"/>
      <c r="C318" s="343"/>
      <c r="D318" s="343"/>
      <c r="E318" s="460"/>
      <c r="F318" s="344"/>
      <c r="G318" s="460"/>
      <c r="H318" s="344"/>
      <c r="I318" s="460"/>
      <c r="J318" s="344"/>
      <c r="K318" s="460"/>
      <c r="M318" s="459"/>
      <c r="Q318" s="460"/>
      <c r="S318" s="459"/>
      <c r="W318" s="460"/>
      <c r="Y318" s="459"/>
      <c r="AC318" s="460"/>
      <c r="AE318" s="459"/>
      <c r="AI318" s="460"/>
      <c r="AK318" s="459"/>
      <c r="AO318" s="460"/>
      <c r="AQ318" s="459"/>
      <c r="AU318" s="460"/>
      <c r="AW318" s="459"/>
      <c r="BA318" s="460"/>
      <c r="BC318" s="459"/>
      <c r="BG318" s="460"/>
      <c r="BI318" s="459"/>
      <c r="BM318" s="460"/>
      <c r="BO318" s="873">
        <v>95.860485206669438</v>
      </c>
      <c r="BP318" s="874">
        <v>124.91673781934195</v>
      </c>
      <c r="BQ318" s="874">
        <v>125.17615759429596</v>
      </c>
      <c r="BR318" s="874">
        <v>132.81766960962096</v>
      </c>
      <c r="BS318" s="163">
        <f>SUM(BO318:BR318)</f>
        <v>478.77105022992828</v>
      </c>
      <c r="BU318" s="873">
        <v>137.04794774459242</v>
      </c>
      <c r="BV318" s="874">
        <v>155.20866794313943</v>
      </c>
      <c r="BW318" s="874">
        <v>157.04238784566445</v>
      </c>
      <c r="BX318" s="874">
        <v>154.03017431521459</v>
      </c>
      <c r="BY318" s="163">
        <f>SUM(BU318:BX318)</f>
        <v>603.32917784861093</v>
      </c>
      <c r="CA318" s="873">
        <v>144.94525521681973</v>
      </c>
      <c r="CB318" s="874">
        <v>177.62719048400439</v>
      </c>
      <c r="CC318" s="874">
        <v>178.77215696924583</v>
      </c>
      <c r="CD318" s="872">
        <f>+CE318-CC318-CB318-CA318</f>
        <v>223.95266422360217</v>
      </c>
      <c r="CE318" s="861">
        <v>725.29726689367203</v>
      </c>
      <c r="CF318" s="868"/>
      <c r="CG318" s="867">
        <v>155.53931704829625</v>
      </c>
      <c r="CH318" s="868">
        <v>195.17887571610811</v>
      </c>
      <c r="CI318" s="868">
        <v>186.92707821672599</v>
      </c>
      <c r="CJ318" s="164">
        <f>CK318-SUM(CG318:CI318)</f>
        <v>210.15082186007521</v>
      </c>
      <c r="CK318" s="861">
        <v>747.79609284120556</v>
      </c>
      <c r="CM318" s="875">
        <v>166.61075182840042</v>
      </c>
      <c r="CN318" s="876">
        <v>198.17209352291118</v>
      </c>
      <c r="CO318" s="876">
        <v>201.64118564500976</v>
      </c>
      <c r="CP318" s="164">
        <f>CQ318-SUM(CM318:CO318)</f>
        <v>215.37596900367862</v>
      </c>
      <c r="CQ318" s="866">
        <v>781.8</v>
      </c>
      <c r="CR318" s="344"/>
      <c r="CS318" s="475">
        <v>209.5</v>
      </c>
      <c r="CT318" s="344">
        <v>236.5</v>
      </c>
      <c r="CU318" s="344">
        <v>215.6</v>
      </c>
      <c r="CV318" s="344">
        <v>205</v>
      </c>
      <c r="CW318" s="163">
        <f>SUM(CS318:CV318)</f>
        <v>866.6</v>
      </c>
      <c r="CX318" s="344"/>
      <c r="CY318" s="475">
        <v>198.4</v>
      </c>
      <c r="CZ318" s="344">
        <v>218.3</v>
      </c>
      <c r="DA318" s="344">
        <v>223.4</v>
      </c>
      <c r="DB318" s="344">
        <v>229.9</v>
      </c>
      <c r="DC318" s="163">
        <f>SUM(CY318:DB318)</f>
        <v>870</v>
      </c>
      <c r="DD318" s="164"/>
      <c r="DE318" s="475">
        <v>208</v>
      </c>
      <c r="DF318" s="344">
        <v>235.2</v>
      </c>
      <c r="DG318" s="344">
        <v>222.8</v>
      </c>
      <c r="DH318" s="344">
        <v>248.6</v>
      </c>
      <c r="DI318" s="163">
        <f>SUM(DE318:DH318)</f>
        <v>914.6</v>
      </c>
      <c r="DJ318" s="164"/>
      <c r="DK318" s="475">
        <v>227.2</v>
      </c>
      <c r="DL318" s="164">
        <f>(DL311-DF311)*DL321+DF318</f>
        <v>266.17079999999993</v>
      </c>
      <c r="DM318" s="164">
        <f>(DM311-DG311)*DM321+DG318</f>
        <v>238.68640000000005</v>
      </c>
      <c r="DN318" s="164">
        <f>(DN311-DH311)*DN321+DH318</f>
        <v>277.70330000000001</v>
      </c>
      <c r="DO318" s="163">
        <f>SUM(DK318:DN318)</f>
        <v>1009.7605</v>
      </c>
      <c r="DP318" s="164"/>
      <c r="DQ318" s="165">
        <f>(DQ311-DK311)*DQ321+DK318</f>
        <v>241.9645625</v>
      </c>
      <c r="DR318" s="164">
        <f>(DR311-DL311)*DR321+DL318</f>
        <v>281.78831749999995</v>
      </c>
      <c r="DS318" s="164">
        <f>(DS311-DM311)*DS321+DM318</f>
        <v>254.10117250000008</v>
      </c>
      <c r="DT318" s="164">
        <f>(DT311-DN311)*DT321+DN318</f>
        <v>294.12780125000006</v>
      </c>
      <c r="DU318" s="163">
        <f>SUM(DQ318:DT318)</f>
        <v>1071.98185375</v>
      </c>
      <c r="DV318" s="164"/>
      <c r="DW318" s="165">
        <f>(DW311-DQ311)*DW321+DQ318</f>
        <v>254.18384281249996</v>
      </c>
      <c r="DX318" s="164">
        <f>(DX311-DR311)*DX321+DR318</f>
        <v>294.71351078749996</v>
      </c>
      <c r="DY318" s="164">
        <f>(DY311-DS311)*DY321+DS318</f>
        <v>266.85857226250005</v>
      </c>
      <c r="DZ318" s="164">
        <f>(DZ311-DT311)*DZ321+DT318</f>
        <v>307.72086130625001</v>
      </c>
      <c r="EA318" s="163">
        <f>SUM(DW318:DZ318)</f>
        <v>1123.47678716875</v>
      </c>
      <c r="EB318" s="164"/>
      <c r="EC318" s="165">
        <f t="shared" ref="EC318:EF318" si="696">(EC311-DW311)*EC321+DW318</f>
        <v>266.95299073906244</v>
      </c>
      <c r="ED318" s="164">
        <f t="shared" si="696"/>
        <v>308.22033777293746</v>
      </c>
      <c r="EE318" s="164">
        <f t="shared" si="696"/>
        <v>280.19005501431252</v>
      </c>
      <c r="EF318" s="164">
        <f t="shared" si="696"/>
        <v>321.92560906503127</v>
      </c>
      <c r="EG318" s="163">
        <f t="shared" ref="EG318" si="697">SUM(EC318:EF318)</f>
        <v>1177.2889925913437</v>
      </c>
    </row>
    <row r="319" spans="1:137" s="783" customFormat="1" ht="11.25" customHeight="1" outlineLevel="1" x14ac:dyDescent="0.2">
      <c r="A319" s="538" t="s">
        <v>408</v>
      </c>
      <c r="B319" s="539"/>
      <c r="C319" s="539"/>
      <c r="D319" s="539"/>
      <c r="E319" s="540"/>
      <c r="F319" s="541"/>
      <c r="G319" s="540"/>
      <c r="H319" s="541"/>
      <c r="I319" s="540"/>
      <c r="J319" s="541"/>
      <c r="K319" s="540"/>
      <c r="L319" s="541"/>
      <c r="M319" s="542"/>
      <c r="N319" s="543"/>
      <c r="O319" s="543"/>
      <c r="P319" s="543"/>
      <c r="Q319" s="540"/>
      <c r="R319" s="541"/>
      <c r="S319" s="542"/>
      <c r="T319" s="543"/>
      <c r="U319" s="543"/>
      <c r="V319" s="543"/>
      <c r="W319" s="540"/>
      <c r="X319" s="541"/>
      <c r="Y319" s="542"/>
      <c r="Z319" s="543"/>
      <c r="AA319" s="543"/>
      <c r="AB319" s="543"/>
      <c r="AC319" s="540"/>
      <c r="AD319" s="541"/>
      <c r="AE319" s="542"/>
      <c r="AF319" s="543"/>
      <c r="AG319" s="543"/>
      <c r="AH319" s="543"/>
      <c r="AI319" s="540"/>
      <c r="AJ319" s="541"/>
      <c r="AK319" s="542"/>
      <c r="AL319" s="543"/>
      <c r="AM319" s="543"/>
      <c r="AN319" s="543"/>
      <c r="AO319" s="540"/>
      <c r="AP319" s="541"/>
      <c r="AQ319" s="542"/>
      <c r="AR319" s="543"/>
      <c r="AS319" s="543"/>
      <c r="AT319" s="543"/>
      <c r="AU319" s="540"/>
      <c r="AV319" s="541"/>
      <c r="AW319" s="542"/>
      <c r="AX319" s="543"/>
      <c r="AY319" s="543"/>
      <c r="AZ319" s="543"/>
      <c r="BA319" s="540"/>
      <c r="BB319" s="541"/>
      <c r="BC319" s="542"/>
      <c r="BD319" s="543"/>
      <c r="BE319" s="543"/>
      <c r="BF319" s="543"/>
      <c r="BG319" s="540"/>
      <c r="BH319" s="541"/>
      <c r="BI319" s="542"/>
      <c r="BJ319" s="543"/>
      <c r="BK319" s="543"/>
      <c r="BL319" s="543"/>
      <c r="BM319" s="540"/>
      <c r="BN319" s="541"/>
      <c r="BO319" s="542">
        <f>+BO318/BO311</f>
        <v>0.18096239415597765</v>
      </c>
      <c r="BP319" s="543">
        <f>+BP318/BP311</f>
        <v>0.21184033520104659</v>
      </c>
      <c r="BQ319" s="543">
        <f>+BQ318/BQ311</f>
        <v>0.21165142823328012</v>
      </c>
      <c r="BR319" s="543">
        <f>+BR318/BR311</f>
        <v>0.20725105813433473</v>
      </c>
      <c r="BS319" s="540">
        <f>+BS318/BS311</f>
        <v>0.20358681888264057</v>
      </c>
      <c r="BT319" s="541"/>
      <c r="BU319" s="542">
        <f>+BU318/BU311</f>
        <v>0.20719835201683051</v>
      </c>
      <c r="BV319" s="543">
        <f>+BV318/BV311</f>
        <v>0.21718177680669221</v>
      </c>
      <c r="BW319" s="543">
        <f>+BW318/BW311</f>
        <v>0.21757347041333888</v>
      </c>
      <c r="BX319" s="543">
        <f>+BX318/BX311</f>
        <v>0.2002483819658025</v>
      </c>
      <c r="BY319" s="540">
        <f>+BY318/BY311</f>
        <v>0.21043420590254952</v>
      </c>
      <c r="BZ319" s="541"/>
      <c r="CA319" s="542">
        <f>+CA318/CA311</f>
        <v>0.19612239450568145</v>
      </c>
      <c r="CB319" s="543">
        <f>+CB318/CB311</f>
        <v>0.21987351842983979</v>
      </c>
      <c r="CC319" s="543">
        <f>+CC318/CC311</f>
        <v>0.21691343451433975</v>
      </c>
      <c r="CD319" s="543">
        <f>+CD318/CD311</f>
        <v>0.25307730363319825</v>
      </c>
      <c r="CE319" s="540">
        <f>+CE318/CE311</f>
        <v>0.22275731825617753</v>
      </c>
      <c r="CF319" s="541"/>
      <c r="CG319" s="542">
        <f>+CG318/CG311</f>
        <v>0.19774944860534591</v>
      </c>
      <c r="CH319" s="543">
        <f>+CH318/CH311</f>
        <v>0.22593366678037224</v>
      </c>
      <c r="CI319" s="543">
        <f>+CI318/CI311</f>
        <v>0.21676660923452648</v>
      </c>
      <c r="CJ319" s="543">
        <f>+CJ318/CJ311</f>
        <v>0.22314525883269279</v>
      </c>
      <c r="CK319" s="540">
        <f>+CK318/CK311</f>
        <v>0.21646801957577877</v>
      </c>
      <c r="CL319" s="541"/>
      <c r="CM319" s="542">
        <f>+CM318/CM311</f>
        <v>0.20698132185613599</v>
      </c>
      <c r="CN319" s="543">
        <f>+CN318/CN311</f>
        <v>0.22402149069503416</v>
      </c>
      <c r="CO319" s="543">
        <f>+CO318/CO311</f>
        <v>0.22320971877027815</v>
      </c>
      <c r="CP319" s="543">
        <f>+CP318/CP311</f>
        <v>0.22657695787535015</v>
      </c>
      <c r="CQ319" s="540">
        <f>+CQ318/CQ311</f>
        <v>0.22062914882383455</v>
      </c>
      <c r="CR319" s="541"/>
      <c r="CS319" s="542">
        <f>+CS318/CS311</f>
        <v>0.24708102370562568</v>
      </c>
      <c r="CT319" s="543">
        <f>+CT318/CT311</f>
        <v>0.26412776412776412</v>
      </c>
      <c r="CU319" s="543">
        <f>+CU318/CU311</f>
        <v>0.24508355121063996</v>
      </c>
      <c r="CV319" s="543">
        <f>+CV318/CV311</f>
        <v>0.22119119551143721</v>
      </c>
      <c r="CW319" s="540">
        <f>+CW318/CW311</f>
        <v>0.2441264296580089</v>
      </c>
      <c r="CX319" s="541"/>
      <c r="CY319" s="542">
        <f>+CY318/CY311</f>
        <v>0.22702826410344434</v>
      </c>
      <c r="CZ319" s="543">
        <f>+CZ318/CZ311</f>
        <v>0.23188867643934569</v>
      </c>
      <c r="DA319" s="543">
        <f>+DA318/DA311</f>
        <v>0.24324912891986064</v>
      </c>
      <c r="DB319" s="543">
        <f>+DB318/DB311</f>
        <v>0.23970388906266291</v>
      </c>
      <c r="DC319" s="540">
        <f>+DC318/DC311</f>
        <v>0.23559358752166379</v>
      </c>
      <c r="DD319" s="543"/>
      <c r="DE319" s="542">
        <f>+DE318/DE311</f>
        <v>0.22737210319195453</v>
      </c>
      <c r="DF319" s="543">
        <f>+DF318/DF311</f>
        <v>0.2392188771358828</v>
      </c>
      <c r="DG319" s="543">
        <f>+DG318/DG311</f>
        <v>0.22439319166079164</v>
      </c>
      <c r="DH319" s="543">
        <f>+DH318/DH311</f>
        <v>0.23063363948418217</v>
      </c>
      <c r="DI319" s="540">
        <f>+DI318/DI311</f>
        <v>0.23044749042531748</v>
      </c>
      <c r="DJ319" s="543"/>
      <c r="DK319" s="542">
        <f>+DK318/DK311</f>
        <v>0.22120533541037873</v>
      </c>
      <c r="DL319" s="543">
        <f>+DL318/DL311</f>
        <v>0.24499445894650027</v>
      </c>
      <c r="DM319" s="543">
        <f>+DM318/DM311</f>
        <v>0.22258628857480708</v>
      </c>
      <c r="DN319" s="543">
        <f>+DN318/DN311</f>
        <v>0.24305060328696435</v>
      </c>
      <c r="DO319" s="540">
        <f>+DO318/DO311</f>
        <v>0.23328497875216989</v>
      </c>
      <c r="DP319" s="543"/>
      <c r="DQ319" s="542">
        <f>+DQ318/DQ311</f>
        <v>0.22277100275213121</v>
      </c>
      <c r="DR319" s="543">
        <f>+DR318/DR311</f>
        <v>0.2452666278453903</v>
      </c>
      <c r="DS319" s="543">
        <f>+DS318/DS311</f>
        <v>0.22407686862865919</v>
      </c>
      <c r="DT319" s="543">
        <f>+DT318/DT311</f>
        <v>0.24342846646521452</v>
      </c>
      <c r="DU319" s="540">
        <f>+DU318/DU311</f>
        <v>0.23419383333538532</v>
      </c>
      <c r="DV319" s="543"/>
      <c r="DW319" s="542">
        <f>+DW318/DW311</f>
        <v>0.22394354330347482</v>
      </c>
      <c r="DX319" s="543">
        <f>+DX318/DX311</f>
        <v>0.24547045726831609</v>
      </c>
      <c r="DY319" s="543">
        <f>+DY318/DY311</f>
        <v>0.22519317572120495</v>
      </c>
      <c r="DZ319" s="543">
        <f>+DZ318/DZ311</f>
        <v>0.2437114511628847</v>
      </c>
      <c r="EA319" s="540">
        <f>+EA318/EA311</f>
        <v>0.23487448166065575</v>
      </c>
      <c r="EB319" s="543"/>
      <c r="EC319" s="542">
        <f t="shared" ref="EC319:EG319" si="698">+EC318/EC311</f>
        <v>0.22506559167796633</v>
      </c>
      <c r="ED319" s="543">
        <f t="shared" si="698"/>
        <v>0.2456655093476709</v>
      </c>
      <c r="EE319" s="543">
        <f t="shared" si="698"/>
        <v>0.22626141217340187</v>
      </c>
      <c r="EF319" s="543">
        <f t="shared" si="698"/>
        <v>0.24398224991663608</v>
      </c>
      <c r="EG319" s="540">
        <f t="shared" si="698"/>
        <v>0.23552581977096246</v>
      </c>
    </row>
    <row r="320" spans="1:137" s="783" customFormat="1" ht="11.25" customHeight="1" outlineLevel="1" x14ac:dyDescent="0.2">
      <c r="A320" s="538" t="s">
        <v>611</v>
      </c>
      <c r="B320" s="539"/>
      <c r="C320" s="539"/>
      <c r="D320" s="539"/>
      <c r="E320" s="540"/>
      <c r="F320" s="541"/>
      <c r="G320" s="540"/>
      <c r="H320" s="541"/>
      <c r="I320" s="540"/>
      <c r="J320" s="541"/>
      <c r="K320" s="540"/>
      <c r="L320" s="541"/>
      <c r="M320" s="542"/>
      <c r="N320" s="543"/>
      <c r="O320" s="543"/>
      <c r="P320" s="543"/>
      <c r="Q320" s="540"/>
      <c r="R320" s="541"/>
      <c r="S320" s="542"/>
      <c r="T320" s="543"/>
      <c r="U320" s="543"/>
      <c r="V320" s="543"/>
      <c r="W320" s="540"/>
      <c r="X320" s="541"/>
      <c r="Y320" s="542"/>
      <c r="Z320" s="543"/>
      <c r="AA320" s="543"/>
      <c r="AB320" s="543"/>
      <c r="AC320" s="540"/>
      <c r="AD320" s="541"/>
      <c r="AE320" s="542"/>
      <c r="AF320" s="543"/>
      <c r="AG320" s="543"/>
      <c r="AH320" s="543"/>
      <c r="AI320" s="540"/>
      <c r="AJ320" s="541"/>
      <c r="AK320" s="542"/>
      <c r="AL320" s="543"/>
      <c r="AM320" s="543"/>
      <c r="AN320" s="543"/>
      <c r="AO320" s="540"/>
      <c r="AP320" s="541"/>
      <c r="AQ320" s="542"/>
      <c r="AR320" s="543"/>
      <c r="AS320" s="543"/>
      <c r="AT320" s="543"/>
      <c r="AU320" s="540"/>
      <c r="AV320" s="541"/>
      <c r="AW320" s="542"/>
      <c r="AX320" s="543"/>
      <c r="AY320" s="543"/>
      <c r="AZ320" s="543"/>
      <c r="BA320" s="540"/>
      <c r="BB320" s="541"/>
      <c r="BC320" s="542"/>
      <c r="BD320" s="543"/>
      <c r="BE320" s="543"/>
      <c r="BF320" s="543"/>
      <c r="BG320" s="540"/>
      <c r="BH320" s="541"/>
      <c r="BI320" s="542"/>
      <c r="BJ320" s="543"/>
      <c r="BK320" s="543"/>
      <c r="BL320" s="543"/>
      <c r="BM320" s="540"/>
      <c r="BN320" s="541"/>
      <c r="BO320" s="542"/>
      <c r="BP320" s="543"/>
      <c r="BQ320" s="543"/>
      <c r="BR320" s="543"/>
      <c r="BS320" s="540"/>
      <c r="BT320" s="541"/>
      <c r="BU320" s="542">
        <f>+BU315*BU$43</f>
        <v>2E-3</v>
      </c>
      <c r="BV320" s="543">
        <f>+BV315*BV$43</f>
        <v>9.592945901655426E-3</v>
      </c>
      <c r="BW320" s="543">
        <f>+BW315*BW$43</f>
        <v>5.5902934530209373E-3</v>
      </c>
      <c r="BX320" s="543">
        <f>+BX315*BX$43</f>
        <v>-1E-3</v>
      </c>
      <c r="BY320" s="540">
        <f>+BY315*BY$43</f>
        <v>4.0000000000000001E-3</v>
      </c>
      <c r="BZ320" s="541"/>
      <c r="CA320" s="542">
        <f>+CA315*CA$43</f>
        <v>-2E-3</v>
      </c>
      <c r="CB320" s="543">
        <f>+CB315*CB$43</f>
        <v>-7.000000000000001E-3</v>
      </c>
      <c r="CC320" s="543">
        <f>+CC315*CC$43</f>
        <v>-6.5514814198003174E-3</v>
      </c>
      <c r="CD320" s="543">
        <f>+CD315*CD$43</f>
        <v>-1.5791152191332461E-3</v>
      </c>
      <c r="CE320" s="540">
        <f>+CE315*CE$43</f>
        <v>-4.0000000000000001E-3</v>
      </c>
      <c r="CF320" s="541"/>
      <c r="CG320" s="542">
        <f>+CG315*CG$43</f>
        <v>-5.3944681968687888E-4</v>
      </c>
      <c r="CH320" s="543">
        <f>+CH315*CH$43</f>
        <v>1.0000000000000002E-3</v>
      </c>
      <c r="CI320" s="543">
        <f>+CI315*CI$43</f>
        <v>9.0447483854963733E-4</v>
      </c>
      <c r="CJ320" s="543">
        <f>+CJ315*CJ$43</f>
        <v>-1.3314025344567942E-4</v>
      </c>
      <c r="CK320" s="540">
        <f>+CK315*CK$43</f>
        <v>-1.0176013063727395E-4</v>
      </c>
      <c r="CL320" s="541"/>
      <c r="CM320" s="542">
        <f>+CM315*CM$43</f>
        <v>-5.0455594259311021E-5</v>
      </c>
      <c r="CN320" s="543">
        <f>+CN315*CN$43</f>
        <v>1.455354423026323E-3</v>
      </c>
      <c r="CO320" s="543">
        <f>+CO315*CO$43</f>
        <v>0</v>
      </c>
      <c r="CP320" s="543">
        <f>+CP315*CP$43</f>
        <v>-6.7099675635803732E-3</v>
      </c>
      <c r="CQ320" s="540">
        <f>+CQ315*CQ$43</f>
        <v>-1.47680247891363E-3</v>
      </c>
      <c r="CR320" s="541"/>
      <c r="CS320" s="542">
        <f>+CS315*CS$43</f>
        <v>-6.5000000000000006E-3</v>
      </c>
      <c r="CT320" s="543">
        <f>+CT315*CT$43</f>
        <v>-7.000000000000001E-3</v>
      </c>
      <c r="CU320" s="543">
        <f>+CU315*CU$43</f>
        <v>-7.000000000000001E-3</v>
      </c>
      <c r="CV320" s="543">
        <f>+CV315*CV$43</f>
        <v>-5.5000000000000005E-3</v>
      </c>
      <c r="CW320" s="540">
        <f>+CW315*CW$43</f>
        <v>-6.484034774147775E-3</v>
      </c>
      <c r="CX320" s="541"/>
      <c r="CY320" s="542">
        <f>+CY315*CY$43</f>
        <v>-3.8672013209104881E-3</v>
      </c>
      <c r="CZ320" s="543">
        <f>+CZ315*CZ$43</f>
        <v>-1.7252624525351827E-3</v>
      </c>
      <c r="DA320" s="543">
        <f>+DA315*DA$43</f>
        <v>-2.2015459815846539E-3</v>
      </c>
      <c r="DB320" s="543">
        <f>+DB315*DB$43</f>
        <v>-3.0297798877859357E-3</v>
      </c>
      <c r="DC320" s="540">
        <f>+DC315*DC$43</f>
        <v>-2.6955039720547719E-3</v>
      </c>
      <c r="DD320" s="541"/>
      <c r="DE320" s="542">
        <f>+DE315*DE$43</f>
        <v>-1.979745966357718E-3</v>
      </c>
      <c r="DF320" s="543">
        <f>+DF315*DF$43</f>
        <v>-2.3397068196303189E-3</v>
      </c>
      <c r="DG320" s="543">
        <f>+DG315*DG$43</f>
        <v>5.2798344947734971E-3</v>
      </c>
      <c r="DH320" s="543">
        <f>+DH315*DH$43</f>
        <v>7.2165311229277426E-3</v>
      </c>
      <c r="DI320" s="540">
        <f>+DI315*DI$43</f>
        <v>1.4124444865684553E-3</v>
      </c>
      <c r="DJ320" s="541"/>
      <c r="DK320" s="542">
        <f>+DK315*DK$43</f>
        <v>3.6931351114997796E-3</v>
      </c>
      <c r="DL320" s="543">
        <f>+DL315*DL$43</f>
        <v>7.000000000000001E-3</v>
      </c>
      <c r="DM320" s="543">
        <f>+DM315*DM$43</f>
        <v>2E-3</v>
      </c>
      <c r="DN320" s="543">
        <f>+DN315*DN$43</f>
        <v>4.0000000000000001E-3</v>
      </c>
      <c r="DO320" s="540">
        <f>+DO315*DO$43</f>
        <v>5.7530235839548475E-3</v>
      </c>
      <c r="DP320" s="541"/>
      <c r="DQ320" s="542">
        <f>+DQ315*DQ$43</f>
        <v>0</v>
      </c>
      <c r="DR320" s="543">
        <f>+DR315*DR$43</f>
        <v>0</v>
      </c>
      <c r="DS320" s="543">
        <f>+DS315*DS$43</f>
        <v>0</v>
      </c>
      <c r="DT320" s="543">
        <f>+DT315*DT$43</f>
        <v>0</v>
      </c>
      <c r="DU320" s="540">
        <f>+DU315*DU$43</f>
        <v>0</v>
      </c>
      <c r="DV320" s="543"/>
      <c r="DW320" s="542">
        <f>+DW315*DW$43</f>
        <v>0</v>
      </c>
      <c r="DX320" s="543">
        <f>+DX315*DX$43</f>
        <v>0</v>
      </c>
      <c r="DY320" s="543">
        <f>+DY315*DY$43</f>
        <v>0</v>
      </c>
      <c r="DZ320" s="543">
        <f>+DZ315*DZ$43</f>
        <v>0</v>
      </c>
      <c r="EA320" s="540">
        <f>+EA315*EA$43</f>
        <v>0</v>
      </c>
      <c r="EB320" s="543"/>
      <c r="EC320" s="542">
        <f t="shared" ref="EC320:EG320" si="699">+EC315*EC$43</f>
        <v>0</v>
      </c>
      <c r="ED320" s="543">
        <f t="shared" si="699"/>
        <v>0</v>
      </c>
      <c r="EE320" s="543">
        <f t="shared" si="699"/>
        <v>0</v>
      </c>
      <c r="EF320" s="543">
        <f t="shared" si="699"/>
        <v>0</v>
      </c>
      <c r="EG320" s="540">
        <f t="shared" si="699"/>
        <v>0</v>
      </c>
    </row>
    <row r="321" spans="1:137" s="783" customFormat="1" ht="11.25" customHeight="1" outlineLevel="1" x14ac:dyDescent="0.2">
      <c r="A321" s="538" t="s">
        <v>609</v>
      </c>
      <c r="B321" s="539"/>
      <c r="C321" s="539"/>
      <c r="D321" s="539"/>
      <c r="E321" s="540"/>
      <c r="F321" s="541"/>
      <c r="G321" s="540"/>
      <c r="H321" s="541"/>
      <c r="I321" s="540"/>
      <c r="J321" s="541"/>
      <c r="K321" s="540"/>
      <c r="L321" s="541"/>
      <c r="M321" s="542"/>
      <c r="N321" s="543"/>
      <c r="O321" s="543"/>
      <c r="P321" s="543"/>
      <c r="Q321" s="540"/>
      <c r="R321" s="541"/>
      <c r="S321" s="542"/>
      <c r="T321" s="543"/>
      <c r="U321" s="543"/>
      <c r="V321" s="543"/>
      <c r="W321" s="540"/>
      <c r="X321" s="541"/>
      <c r="Y321" s="542"/>
      <c r="Z321" s="543"/>
      <c r="AA321" s="543"/>
      <c r="AB321" s="543"/>
      <c r="AC321" s="540"/>
      <c r="AD321" s="541"/>
      <c r="AE321" s="542"/>
      <c r="AF321" s="543"/>
      <c r="AG321" s="543"/>
      <c r="AH321" s="543"/>
      <c r="AI321" s="540"/>
      <c r="AJ321" s="541"/>
      <c r="AK321" s="542"/>
      <c r="AL321" s="543"/>
      <c r="AM321" s="543"/>
      <c r="AN321" s="543"/>
      <c r="AO321" s="540"/>
      <c r="AP321" s="541"/>
      <c r="AQ321" s="542"/>
      <c r="AR321" s="543"/>
      <c r="AS321" s="543"/>
      <c r="AT321" s="543"/>
      <c r="AU321" s="540"/>
      <c r="AV321" s="541"/>
      <c r="AW321" s="542"/>
      <c r="AX321" s="543"/>
      <c r="AY321" s="543"/>
      <c r="AZ321" s="543"/>
      <c r="BA321" s="540"/>
      <c r="BB321" s="541"/>
      <c r="BC321" s="542"/>
      <c r="BD321" s="543"/>
      <c r="BE321" s="543"/>
      <c r="BF321" s="543"/>
      <c r="BG321" s="540"/>
      <c r="BH321" s="541"/>
      <c r="BI321" s="542"/>
      <c r="BJ321" s="543"/>
      <c r="BK321" s="543"/>
      <c r="BL321" s="543"/>
      <c r="BM321" s="540"/>
      <c r="BN321" s="541"/>
      <c r="BO321" s="542"/>
      <c r="BP321" s="543"/>
      <c r="BQ321" s="543"/>
      <c r="BR321" s="543"/>
      <c r="BS321" s="540"/>
      <c r="BT321" s="541"/>
      <c r="BU321" s="542">
        <f>+(BU324-BO318)/(BU311-BO311)</f>
        <v>0.29144607899780672</v>
      </c>
      <c r="BV321" s="543">
        <f>+(BV324-BP318)/(BV311-BP311)</f>
        <v>0.27188299052472126</v>
      </c>
      <c r="BW321" s="543">
        <f>+(BW324-BQ318)/(BW311-BQ311)</f>
        <v>0.25732939059870047</v>
      </c>
      <c r="BX321" s="543">
        <f>+(BX324-BR318)/(BX311-BR311)</f>
        <v>0.20874939460512823</v>
      </c>
      <c r="BY321" s="540">
        <f>+(BY324-BS318)/(BY311-BS311)</f>
        <v>0.18403235802499529</v>
      </c>
      <c r="BZ321" s="541"/>
      <c r="CA321" s="542">
        <f>+(CA324-BU318)/(CA311-BU311)</f>
        <v>0.19529676968224888</v>
      </c>
      <c r="CB321" s="543">
        <f>+(CB324-BV318)/(CB311-BV311)</f>
        <v>0.28651704548384405</v>
      </c>
      <c r="CC321" s="543">
        <f>+(CC324-BW318)/(CC311-BW311)</f>
        <v>0.29405379058903053</v>
      </c>
      <c r="CD321" s="543">
        <f>+(CD324-BX318)/(CD311-BX311)</f>
        <v>0.29774639053272572</v>
      </c>
      <c r="CE321" s="540">
        <f>+(CE324-BY318)/(CE311-BY311)</f>
        <v>0.14173693251062897</v>
      </c>
      <c r="CF321" s="541"/>
      <c r="CG321" s="542">
        <f>+(CG324-CA318)/(CG311-CA311)</f>
        <v>0.32033418596169494</v>
      </c>
      <c r="CH321" s="543">
        <f>+(CH324-CB318)/(CH311-CB311)</f>
        <v>0.35867090478618791</v>
      </c>
      <c r="CI321" s="543">
        <f>+(CI324-CC318)/(CI311-CC311)</f>
        <v>0.39760814223602442</v>
      </c>
      <c r="CJ321" s="543">
        <f>+(CJ324-CD318)/(CJ311-CD311)</f>
        <v>0.33590800600192139</v>
      </c>
      <c r="CK321" s="540">
        <f>+(CK324-CE318)/(CK311-CE311)</f>
        <v>9.4458817098680523E-2</v>
      </c>
      <c r="CL321" s="541"/>
      <c r="CM321" s="542">
        <f>+(CM324-CG318)/(CM311-CG311)</f>
        <v>0.91926768964778061</v>
      </c>
      <c r="CN321" s="543">
        <f>+(CN324-CH318)/(CN311-CH311)</f>
        <v>0.40724966299365578</v>
      </c>
      <c r="CO321" s="543">
        <f>+(CO324-CI318)/(CO311-CI311)</f>
        <v>0.46997570565329716</v>
      </c>
      <c r="CP321" s="543">
        <f>+(CP324-CJ318)/(CP311-CJ311)</f>
        <v>0.62833531732538617</v>
      </c>
      <c r="CQ321" s="540">
        <f>+(CQ324-CK318)/(CQ311-CK311)</f>
        <v>1.8218314272158774E-2</v>
      </c>
      <c r="CR321" s="541"/>
      <c r="CS321" s="542">
        <f>+(CS324-CM318)/(CS311-CM311)</f>
        <v>0.56237484740557042</v>
      </c>
      <c r="CT321" s="543">
        <f>+(CT324-CN318)/(CT311-CN311)</f>
        <v>1.5105128669924288</v>
      </c>
      <c r="CU321" s="543">
        <f>+(CU324-CO318)/(CU311-CO311)</f>
        <v>-0.15771745225500647</v>
      </c>
      <c r="CV321" s="543">
        <f>+(CV324-CP318)/(CV311-CP311)</f>
        <v>-4.6420690624967349E-2</v>
      </c>
      <c r="CW321" s="540">
        <f>+(CW324-CQ318)/(CW311-CQ311)</f>
        <v>-1.0394685449240264</v>
      </c>
      <c r="CX321" s="541"/>
      <c r="CY321" s="542">
        <f>+(CY324-CS318)/(CY311-CS311)</f>
        <v>2.8606023705625951E-2</v>
      </c>
      <c r="CZ321" s="543">
        <f>+(CZ324-CT318)/(CZ311-CT311)</f>
        <v>0.16180167717124175</v>
      </c>
      <c r="DA321" s="543">
        <f>+(DA324-CU318)/(DA311-CU311)</f>
        <v>0.38747114810986477</v>
      </c>
      <c r="DB321" s="543">
        <f>+(DB324-CV318)/(DB311-CV311)</f>
        <v>0.84475466300369517</v>
      </c>
      <c r="DC321" s="540">
        <f>+(DC324-CW318)/(DC311-CW311)</f>
        <v>0.11962503105661026</v>
      </c>
      <c r="DD321" s="543"/>
      <c r="DE321" s="542">
        <f>+(DE324-CY318)/(DE311-CY311)</f>
        <v>0.36122875310099967</v>
      </c>
      <c r="DF321" s="543">
        <f>+(DF324-CZ318)/(DF311-CZ311)</f>
        <v>0.51414704964508751</v>
      </c>
      <c r="DG321" s="543">
        <f>+(DG324-DA318)/(DG311-DA311)</f>
        <v>0.10523020134228196</v>
      </c>
      <c r="DH321" s="543">
        <f>+(DH324-DB318)/(DH311-DB311)</f>
        <v>0.19370033670033648</v>
      </c>
      <c r="DI321" s="540">
        <f>+(DI324-DC318)/(DI311-DC311)</f>
        <v>0.24539032802429045</v>
      </c>
      <c r="DJ321" s="543"/>
      <c r="DK321" s="542">
        <f>+(DK324-DE318)/(DK311-DE311)</f>
        <v>0.23956589492430985</v>
      </c>
      <c r="DL321" s="796">
        <v>0.3</v>
      </c>
      <c r="DM321" s="796">
        <v>0.2</v>
      </c>
      <c r="DN321" s="796">
        <v>0.45</v>
      </c>
      <c r="DO321" s="540">
        <f>+(DO324-DI318)/(DO311-DI311)</f>
        <v>0.28560654451973239</v>
      </c>
      <c r="DP321" s="543"/>
      <c r="DQ321" s="795">
        <v>0.25</v>
      </c>
      <c r="DR321" s="796">
        <f>+DQ321</f>
        <v>0.25</v>
      </c>
      <c r="DS321" s="796">
        <f>+DR321</f>
        <v>0.25</v>
      </c>
      <c r="DT321" s="796">
        <f>+DS321</f>
        <v>0.25</v>
      </c>
      <c r="DU321" s="540">
        <f>+(DU324-DO318)/(DU311-DO311)</f>
        <v>0.25000000000000139</v>
      </c>
      <c r="DV321" s="543"/>
      <c r="DW321" s="795">
        <f>+DT321</f>
        <v>0.25</v>
      </c>
      <c r="DX321" s="796">
        <f>+DW321</f>
        <v>0.25</v>
      </c>
      <c r="DY321" s="796">
        <f>+DX321</f>
        <v>0.25</v>
      </c>
      <c r="DZ321" s="796">
        <f>+DY321</f>
        <v>0.25</v>
      </c>
      <c r="EA321" s="540">
        <f>+(EA324-DU318)/(EA311-DU311)</f>
        <v>0.24999999999999889</v>
      </c>
      <c r="EB321" s="543"/>
      <c r="EC321" s="795">
        <f t="shared" ref="EC321" si="700">+DZ321</f>
        <v>0.25</v>
      </c>
      <c r="ED321" s="796">
        <f t="shared" ref="ED321:EF321" si="701">+EC321</f>
        <v>0.25</v>
      </c>
      <c r="EE321" s="796">
        <f t="shared" si="701"/>
        <v>0.25</v>
      </c>
      <c r="EF321" s="796">
        <f t="shared" si="701"/>
        <v>0.25</v>
      </c>
      <c r="EG321" s="540">
        <f t="shared" ref="EG321" si="702">+(EG324-EA318)/(EG311-EA311)</f>
        <v>0.25</v>
      </c>
    </row>
    <row r="322" spans="1:137" ht="11.25" customHeight="1" outlineLevel="1" x14ac:dyDescent="0.2">
      <c r="A322" s="51" t="s">
        <v>505</v>
      </c>
      <c r="B322" s="14"/>
      <c r="C322" s="14"/>
      <c r="D322" s="14"/>
      <c r="E322" s="158"/>
      <c r="F322" s="71"/>
      <c r="G322" s="158"/>
      <c r="H322" s="71"/>
      <c r="I322" s="158"/>
      <c r="J322" s="71"/>
      <c r="K322" s="158"/>
      <c r="L322" s="71"/>
      <c r="M322" s="149"/>
      <c r="N322" s="22"/>
      <c r="O322" s="22"/>
      <c r="P322" s="22"/>
      <c r="Q322" s="158"/>
      <c r="R322" s="71"/>
      <c r="S322" s="149"/>
      <c r="T322" s="22"/>
      <c r="U322" s="22"/>
      <c r="V322" s="22"/>
      <c r="W322" s="158"/>
      <c r="X322" s="71"/>
      <c r="Y322" s="149"/>
      <c r="Z322" s="22"/>
      <c r="AA322" s="22"/>
      <c r="AB322" s="22"/>
      <c r="AC322" s="158"/>
      <c r="AD322" s="71"/>
      <c r="AE322" s="149"/>
      <c r="AF322" s="22"/>
      <c r="AG322" s="22"/>
      <c r="AH322" s="22"/>
      <c r="AI322" s="158"/>
      <c r="AJ322" s="71"/>
      <c r="AK322" s="149"/>
      <c r="AL322" s="22"/>
      <c r="AM322" s="22"/>
      <c r="AN322" s="22"/>
      <c r="AO322" s="158"/>
      <c r="AP322" s="71"/>
      <c r="AQ322" s="149"/>
      <c r="AR322" s="22"/>
      <c r="AS322" s="22"/>
      <c r="AT322" s="22"/>
      <c r="AU322" s="158"/>
      <c r="AV322" s="71"/>
      <c r="AW322" s="149"/>
      <c r="AX322" s="22"/>
      <c r="AY322" s="22"/>
      <c r="AZ322" s="22"/>
      <c r="BA322" s="158"/>
      <c r="BB322" s="71"/>
      <c r="BC322" s="149"/>
      <c r="BD322" s="22"/>
      <c r="BE322" s="22"/>
      <c r="BF322" s="22"/>
      <c r="BG322" s="158"/>
      <c r="BH322" s="71"/>
      <c r="BI322" s="149"/>
      <c r="BJ322" s="22"/>
      <c r="BK322" s="22"/>
      <c r="BL322" s="22"/>
      <c r="BM322" s="802"/>
      <c r="BN322" s="71"/>
      <c r="BO322" s="803"/>
      <c r="BP322" s="804"/>
      <c r="BQ322" s="804"/>
      <c r="BR322" s="804"/>
      <c r="BS322" s="802"/>
      <c r="BT322" s="71"/>
      <c r="BU322" s="803">
        <f>+(BU319-BO319)*10000</f>
        <v>262.35957860852864</v>
      </c>
      <c r="BV322" s="804">
        <f>+(BV319-BP319)*10000</f>
        <v>53.41441605645619</v>
      </c>
      <c r="BW322" s="804">
        <f>+(BW319-BQ319)*10000</f>
        <v>59.220421800587616</v>
      </c>
      <c r="BX322" s="804">
        <f>+(BX319-BR319)*10000</f>
        <v>-70.026761685322299</v>
      </c>
      <c r="BY322" s="802">
        <f>+(BY319-BS319)*10000</f>
        <v>68.473870199089461</v>
      </c>
      <c r="BZ322" s="71"/>
      <c r="CA322" s="803">
        <f>+(CA319-BU319)*10000</f>
        <v>-110.75957511149065</v>
      </c>
      <c r="CB322" s="804">
        <f>+(CB319-BV319)*10000</f>
        <v>26.917416231475865</v>
      </c>
      <c r="CC322" s="804">
        <f>+(CC319-BW319)*10000</f>
        <v>-6.6003589899912836</v>
      </c>
      <c r="CD322" s="804">
        <f>+(CD319-BX319)*10000</f>
        <v>528.28921667395753</v>
      </c>
      <c r="CE322" s="802">
        <f>+(CE319-BY319)*10000</f>
        <v>123.23112353628012</v>
      </c>
      <c r="CF322" s="71"/>
      <c r="CG322" s="803">
        <f>+(CG319-CA319)*10000</f>
        <v>16.270540996644598</v>
      </c>
      <c r="CH322" s="804">
        <f>+(CH319-CB319)*10000</f>
        <v>60.601483505324516</v>
      </c>
      <c r="CI322" s="804">
        <f>+(CI319-CC319)*10000</f>
        <v>-1.4682527981327298</v>
      </c>
      <c r="CJ322" s="804">
        <f>+(CJ319-CD319)*10000</f>
        <v>-299.32044800505457</v>
      </c>
      <c r="CK322" s="802">
        <f>+(CK319-CE319)*10000</f>
        <v>-62.89298680398764</v>
      </c>
      <c r="CL322" s="71"/>
      <c r="CM322" s="803">
        <f>+(CM319-CG319)*10000</f>
        <v>92.318732507900847</v>
      </c>
      <c r="CN322" s="804">
        <f>+(CN319-CH319)*10000</f>
        <v>-19.121760853380852</v>
      </c>
      <c r="CO322" s="804">
        <f>+(CO319-CI319)*10000</f>
        <v>64.431095357516682</v>
      </c>
      <c r="CP322" s="804">
        <f>+(CP319-CJ319)*10000</f>
        <v>34.316990426573604</v>
      </c>
      <c r="CQ322" s="802">
        <f>+(CQ319-CK319)*10000</f>
        <v>41.611292480557836</v>
      </c>
      <c r="CR322" s="71"/>
      <c r="CS322" s="803">
        <f>+(CS319-CM319)*10000</f>
        <v>400.99701849489691</v>
      </c>
      <c r="CT322" s="804">
        <f>+(CT319-CN319)*10000</f>
        <v>401.06273432729961</v>
      </c>
      <c r="CU322" s="804">
        <f>+(CU319-CO319)*10000</f>
        <v>218.73832440361812</v>
      </c>
      <c r="CV322" s="804">
        <f>+(CV319-CP319)*10000</f>
        <v>-53.857623639129436</v>
      </c>
      <c r="CW322" s="802">
        <f>+(CW319-CQ319)*10000</f>
        <v>234.9728083417435</v>
      </c>
      <c r="CX322" s="71"/>
      <c r="CY322" s="803">
        <f>+(CY319-CS319)*10000</f>
        <v>-200.52759602181337</v>
      </c>
      <c r="CZ322" s="804">
        <f>+(CZ319-CT319)*10000</f>
        <v>-322.39087688418431</v>
      </c>
      <c r="DA322" s="804">
        <f>+(DA319-CU319)*10000</f>
        <v>-18.344222907793196</v>
      </c>
      <c r="DB322" s="804">
        <f>+(DB319-CV319)*10000</f>
        <v>185.12693551225701</v>
      </c>
      <c r="DC322" s="802">
        <f>+(DC319-CW319)*10000</f>
        <v>-85.328421363451142</v>
      </c>
      <c r="DD322" s="71"/>
      <c r="DE322" s="803">
        <f>+(DE319-CY319)*10000</f>
        <v>3.4383908851018385</v>
      </c>
      <c r="DF322" s="804">
        <f>+(DF319-CZ319)*10000</f>
        <v>73.302006965371149</v>
      </c>
      <c r="DG322" s="804">
        <f>+(DG319-DA319)*10000</f>
        <v>-188.55937259069006</v>
      </c>
      <c r="DH322" s="804">
        <f>+(DH319-DB319)*10000</f>
        <v>-90.702495784807383</v>
      </c>
      <c r="DI322" s="802">
        <f>+(DI319-DC319)*10000</f>
        <v>-51.460970963463083</v>
      </c>
      <c r="DJ322" s="71"/>
      <c r="DK322" s="803">
        <f>+(DK319-DE319)*10000</f>
        <v>-61.667677815757941</v>
      </c>
      <c r="DL322" s="804">
        <f>+(DL319-DF319)*10000</f>
        <v>57.755818106174637</v>
      </c>
      <c r="DM322" s="804">
        <f>+(DM319-DG319)*10000</f>
        <v>-18.069030859845515</v>
      </c>
      <c r="DN322" s="804">
        <f>+(DN319-DH319)*10000</f>
        <v>124.16963802782178</v>
      </c>
      <c r="DO322" s="802">
        <f>+(DO319-DI319)*10000</f>
        <v>28.374883268524055</v>
      </c>
      <c r="DP322" s="71"/>
      <c r="DQ322" s="803">
        <f>+(DQ319-DK319)*10000</f>
        <v>15.656673417524802</v>
      </c>
      <c r="DR322" s="804">
        <f>+(DR319-DL319)*10000</f>
        <v>2.7216889889003504</v>
      </c>
      <c r="DS322" s="804">
        <f>+(DS319-DM319)*10000</f>
        <v>14.905800538521085</v>
      </c>
      <c r="DT322" s="804">
        <f>+(DT319-DN319)*10000</f>
        <v>3.7786317825017068</v>
      </c>
      <c r="DU322" s="802">
        <f>+(DU319-DO319)*10000</f>
        <v>9.0885458321543489</v>
      </c>
      <c r="DV322" s="71"/>
      <c r="DW322" s="803">
        <f>+(DW319-DQ319)*10000</f>
        <v>11.725405513436094</v>
      </c>
      <c r="DX322" s="804">
        <f>+(DX319-DR319)*10000</f>
        <v>2.038294229257942</v>
      </c>
      <c r="DY322" s="804">
        <f>+(DY319-DS319)*10000</f>
        <v>11.163070925457596</v>
      </c>
      <c r="DZ322" s="804">
        <f>+(DZ319-DT319)*10000</f>
        <v>2.8298469767018553</v>
      </c>
      <c r="EA322" s="802">
        <f>+(EA319-DU319)*10000</f>
        <v>6.8064832527042762</v>
      </c>
      <c r="EB322" s="71"/>
      <c r="EC322" s="803">
        <f t="shared" ref="EC322:EG322" si="703">+(EC319-DW319)*10000</f>
        <v>11.220483744915077</v>
      </c>
      <c r="ED322" s="804">
        <f t="shared" si="703"/>
        <v>1.9505207935480162</v>
      </c>
      <c r="EE322" s="804">
        <f t="shared" si="703"/>
        <v>10.682364521969189</v>
      </c>
      <c r="EF322" s="804">
        <f t="shared" si="703"/>
        <v>2.707987537513834</v>
      </c>
      <c r="EG322" s="802">
        <f t="shared" si="703"/>
        <v>6.5133811030670952</v>
      </c>
    </row>
    <row r="323" spans="1:137" ht="11.25" customHeight="1" outlineLevel="1" x14ac:dyDescent="0.2">
      <c r="A323" s="51"/>
      <c r="B323" s="14"/>
      <c r="C323" s="14"/>
      <c r="D323" s="14"/>
      <c r="E323" s="92"/>
      <c r="F323" s="71"/>
      <c r="G323" s="92"/>
      <c r="H323" s="71"/>
      <c r="I323" s="92"/>
      <c r="J323" s="71"/>
      <c r="K323" s="92"/>
      <c r="L323" s="71"/>
      <c r="M323" s="84"/>
      <c r="N323" s="71"/>
      <c r="O323" s="71"/>
      <c r="P323" s="71"/>
      <c r="Q323" s="92"/>
      <c r="R323" s="71"/>
      <c r="S323" s="84"/>
      <c r="T323" s="71"/>
      <c r="U323" s="71"/>
      <c r="V323" s="71"/>
      <c r="W323" s="92"/>
      <c r="X323" s="71"/>
      <c r="Y323" s="84"/>
      <c r="Z323" s="71"/>
      <c r="AA323" s="71"/>
      <c r="AB323" s="71"/>
      <c r="AC323" s="92"/>
      <c r="AD323" s="71"/>
      <c r="AE323" s="84"/>
      <c r="AF323" s="71"/>
      <c r="AG323" s="71"/>
      <c r="AH323" s="71"/>
      <c r="AI323" s="92"/>
      <c r="AJ323" s="71"/>
      <c r="AK323" s="84"/>
      <c r="AL323" s="71"/>
      <c r="AM323" s="71"/>
      <c r="AN323" s="71"/>
      <c r="AO323" s="92"/>
      <c r="AP323" s="71"/>
      <c r="AQ323" s="84"/>
      <c r="AR323" s="71"/>
      <c r="AS323" s="71"/>
      <c r="AT323" s="71"/>
      <c r="AU323" s="92"/>
      <c r="AV323" s="71"/>
      <c r="AW323" s="84"/>
      <c r="AX323" s="71"/>
      <c r="AY323" s="71"/>
      <c r="AZ323" s="71"/>
      <c r="BA323" s="92"/>
      <c r="BB323" s="71"/>
      <c r="BC323" s="84"/>
      <c r="BD323" s="71"/>
      <c r="BE323" s="71"/>
      <c r="BF323" s="71"/>
      <c r="BG323" s="92"/>
      <c r="BH323" s="71"/>
      <c r="BI323" s="84"/>
      <c r="BJ323" s="71"/>
      <c r="BK323" s="71"/>
      <c r="BL323" s="71"/>
      <c r="BM323" s="92"/>
      <c r="BN323" s="71"/>
      <c r="BO323" s="84"/>
      <c r="BP323" s="71"/>
      <c r="BQ323" s="71"/>
      <c r="BR323" s="71"/>
      <c r="BS323" s="92"/>
      <c r="BT323" s="71"/>
      <c r="BU323" s="84"/>
      <c r="BV323" s="71"/>
      <c r="BW323" s="71"/>
      <c r="BX323" s="71"/>
      <c r="BY323" s="92"/>
      <c r="BZ323" s="71"/>
      <c r="CA323" s="84"/>
      <c r="CB323" s="71"/>
      <c r="CC323" s="71"/>
      <c r="CD323" s="71"/>
      <c r="CE323" s="92"/>
      <c r="CF323" s="71"/>
      <c r="CG323" s="84"/>
      <c r="CH323" s="71"/>
      <c r="CI323" s="71"/>
      <c r="CJ323" s="71"/>
      <c r="CK323" s="92"/>
      <c r="CL323" s="71"/>
      <c r="CM323" s="84"/>
      <c r="CN323" s="71"/>
      <c r="CO323" s="71"/>
      <c r="CP323" s="71"/>
      <c r="CQ323" s="92"/>
      <c r="CR323" s="71"/>
      <c r="CS323" s="84"/>
      <c r="CT323" s="71"/>
      <c r="CU323" s="71"/>
      <c r="CV323" s="71"/>
      <c r="CW323" s="92"/>
      <c r="CX323" s="71"/>
      <c r="CY323" s="84"/>
      <c r="CZ323" s="71"/>
      <c r="DA323" s="71"/>
      <c r="DB323" s="71"/>
      <c r="DC323" s="92"/>
      <c r="DD323" s="71"/>
      <c r="DE323" s="84"/>
      <c r="DF323" s="71"/>
      <c r="DG323" s="71"/>
      <c r="DH323" s="71"/>
      <c r="DI323" s="92"/>
      <c r="DJ323" s="71"/>
      <c r="DK323" s="84"/>
      <c r="DL323" s="71"/>
      <c r="DM323" s="71"/>
      <c r="DN323" s="71"/>
      <c r="DO323" s="92"/>
      <c r="DP323" s="71"/>
      <c r="DQ323" s="84"/>
      <c r="DR323" s="71"/>
      <c r="DS323" s="71"/>
      <c r="DT323" s="71"/>
      <c r="DU323" s="92"/>
      <c r="DV323" s="71"/>
      <c r="DW323" s="84"/>
      <c r="DX323" s="71"/>
      <c r="DY323" s="71"/>
      <c r="DZ323" s="71"/>
      <c r="EA323" s="92"/>
      <c r="EB323" s="71"/>
      <c r="EC323" s="84"/>
      <c r="ED323" s="71"/>
      <c r="EE323" s="71"/>
      <c r="EF323" s="71"/>
      <c r="EG323" s="92"/>
    </row>
    <row r="324" spans="1:137" s="384" customFormat="1" ht="11.25" customHeight="1" outlineLevel="1" x14ac:dyDescent="0.2">
      <c r="A324" s="50" t="s">
        <v>510</v>
      </c>
      <c r="B324" s="343"/>
      <c r="C324" s="343"/>
      <c r="D324" s="343"/>
      <c r="E324" s="476"/>
      <c r="F324" s="344"/>
      <c r="G324" s="476"/>
      <c r="H324" s="344"/>
      <c r="I324" s="476"/>
      <c r="J324" s="344"/>
      <c r="K324" s="476"/>
      <c r="L324" s="344"/>
      <c r="M324" s="475"/>
      <c r="N324" s="344"/>
      <c r="O324" s="344"/>
      <c r="P324" s="344"/>
      <c r="Q324" s="476"/>
      <c r="R324" s="344"/>
      <c r="S324" s="475"/>
      <c r="T324" s="344"/>
      <c r="U324" s="344"/>
      <c r="V324" s="344"/>
      <c r="W324" s="476"/>
      <c r="X324" s="344"/>
      <c r="Y324" s="475"/>
      <c r="Z324" s="344"/>
      <c r="AA324" s="344"/>
      <c r="AB324" s="344"/>
      <c r="AC324" s="476"/>
      <c r="AD324" s="344"/>
      <c r="AE324" s="475"/>
      <c r="AF324" s="344"/>
      <c r="AG324" s="344"/>
      <c r="AH324" s="344"/>
      <c r="AI324" s="476"/>
      <c r="AJ324" s="344"/>
      <c r="AK324" s="475"/>
      <c r="AL324" s="344"/>
      <c r="AM324" s="344"/>
      <c r="AN324" s="344"/>
      <c r="AO324" s="476"/>
      <c r="AP324" s="344"/>
      <c r="AQ324" s="475"/>
      <c r="AR324" s="344"/>
      <c r="AS324" s="344"/>
      <c r="AT324" s="344"/>
      <c r="AU324" s="476"/>
      <c r="AV324" s="344"/>
      <c r="AW324" s="475"/>
      <c r="AX324" s="344"/>
      <c r="AY324" s="344"/>
      <c r="AZ324" s="344"/>
      <c r="BA324" s="476"/>
      <c r="BB324" s="344"/>
      <c r="BC324" s="475"/>
      <c r="BD324" s="344"/>
      <c r="BE324" s="344"/>
      <c r="BF324" s="344"/>
      <c r="BG324" s="476"/>
      <c r="BH324" s="344"/>
      <c r="BI324" s="475"/>
      <c r="BJ324" s="344"/>
      <c r="BK324" s="344"/>
      <c r="BL324" s="344"/>
      <c r="BM324" s="476"/>
      <c r="BN324" s="344"/>
      <c r="BO324" s="475"/>
      <c r="BP324" s="344"/>
      <c r="BQ324" s="344"/>
      <c r="BR324" s="344"/>
      <c r="BS324" s="476"/>
      <c r="BT324" s="344"/>
      <c r="BU324" s="165">
        <f>+BU325*BU311</f>
        <v>134.24614297195936</v>
      </c>
      <c r="BV324" s="164">
        <f>+BV325*BV311</f>
        <v>158.89522483878213</v>
      </c>
      <c r="BW324" s="164">
        <f>+BW325*BW311</f>
        <v>158.7226848697135</v>
      </c>
      <c r="BX324" s="164">
        <f>+BX325*BX311</f>
        <v>159.60890091227444</v>
      </c>
      <c r="BY324" s="163">
        <f>+BY325*BY311</f>
        <v>573.61911916771453</v>
      </c>
      <c r="BZ324" s="344"/>
      <c r="CA324" s="165">
        <f>+CA325*CA311</f>
        <v>152.20717919440949</v>
      </c>
      <c r="CB324" s="164">
        <f>+CB325*CB311</f>
        <v>181.91552419775419</v>
      </c>
      <c r="CC324" s="164">
        <f>+CC325*CC311</f>
        <v>187.14568872681417</v>
      </c>
      <c r="CD324" s="164">
        <f>+CD325*CD311</f>
        <v>188.4861045686458</v>
      </c>
      <c r="CE324" s="163">
        <f>+CE325*CE311</f>
        <v>658.45484930676491</v>
      </c>
      <c r="CF324" s="344"/>
      <c r="CG324" s="165">
        <f>+CG325*CG311</f>
        <v>160.15866744771418</v>
      </c>
      <c r="CH324" s="164">
        <f>+CH325*CH311</f>
        <v>197.71854564618985</v>
      </c>
      <c r="CI324" s="164">
        <f>+CI325*CI311</f>
        <v>193.95243259060942</v>
      </c>
      <c r="CJ324" s="164">
        <f>+CJ325*CJ311</f>
        <v>243.04866590337275</v>
      </c>
      <c r="CK324" s="163">
        <f>+CK325*CK311</f>
        <v>744.05077396550291</v>
      </c>
      <c r="CL324" s="344"/>
      <c r="CM324" s="165">
        <f>+CM325*CM311</f>
        <v>172.46127037379674</v>
      </c>
      <c r="CN324" s="164">
        <f>+CN325*CN311</f>
        <v>203.62322828547141</v>
      </c>
      <c r="CO324" s="164">
        <f>+CO325*CO311</f>
        <v>206.20943381317042</v>
      </c>
      <c r="CP324" s="164">
        <f>+CP325*CP311</f>
        <v>215.67853453269498</v>
      </c>
      <c r="CQ324" s="163">
        <f>+CQ325*CQ311</f>
        <v>749.41695727851607</v>
      </c>
      <c r="CR324" s="344"/>
      <c r="CS324" s="165">
        <f>+CS325*CS311</f>
        <v>190.76166280181769</v>
      </c>
      <c r="CT324" s="164">
        <f>+CT325*CT311</f>
        <v>214.46754276833357</v>
      </c>
      <c r="CU324" s="164">
        <f>+CU325*CU311</f>
        <v>205.37451460221371</v>
      </c>
      <c r="CV324" s="164">
        <f>+CV325*CV311</f>
        <v>216.4791245588745</v>
      </c>
      <c r="CW324" s="163">
        <f>+CW325*CW311</f>
        <v>775.2542274948479</v>
      </c>
      <c r="CX324" s="344"/>
      <c r="CY324" s="165">
        <f>+CY325*CY311</f>
        <v>210.24375661634627</v>
      </c>
      <c r="CZ324" s="164">
        <f>+CZ325*CZ311</f>
        <v>243.94287714987712</v>
      </c>
      <c r="DA324" s="164">
        <f>+DA325*DA311</f>
        <v>230.59513343185174</v>
      </c>
      <c r="DB324" s="164">
        <f>+DB325*DB311</f>
        <v>232.28557561501941</v>
      </c>
      <c r="DC324" s="163">
        <f>+DC325*DC311</f>
        <v>883.70637944109524</v>
      </c>
      <c r="DD324" s="344"/>
      <c r="DE324" s="165">
        <f>+DE325*DE311</f>
        <v>213.17425600183088</v>
      </c>
      <c r="DF324" s="164">
        <f>+DF325*DF311</f>
        <v>239.7913466751647</v>
      </c>
      <c r="DG324" s="164">
        <f>+DG325*DG311</f>
        <v>231.23965000000001</v>
      </c>
      <c r="DH324" s="164">
        <f>+DH325*DH311</f>
        <v>252.91159999999999</v>
      </c>
      <c r="DI324" s="163">
        <f>+DI325*DI311</f>
        <v>937.72773053470428</v>
      </c>
      <c r="DJ324" s="344"/>
      <c r="DK324" s="165">
        <f>+DK325*DK311</f>
        <v>234.90324999999999</v>
      </c>
      <c r="DL324" s="164">
        <f>+DL325*DL311</f>
        <v>266.17079999999993</v>
      </c>
      <c r="DM324" s="164">
        <f>+DM325*DM311</f>
        <v>238.68640000000005</v>
      </c>
      <c r="DN324" s="164">
        <f>+DN325*DN311</f>
        <v>277.70330000000001</v>
      </c>
      <c r="DO324" s="163">
        <f>+DO325*DO311</f>
        <v>1017.3161088841658</v>
      </c>
      <c r="DP324" s="344"/>
      <c r="DQ324" s="165">
        <f>+DQ325*DQ311</f>
        <v>241.9645625</v>
      </c>
      <c r="DR324" s="164">
        <f>+DR325*DR311</f>
        <v>281.78831749999995</v>
      </c>
      <c r="DS324" s="164">
        <f>+DS325*DS311</f>
        <v>254.1011725000001</v>
      </c>
      <c r="DT324" s="164">
        <f>+DT325*DT311</f>
        <v>294.12780125000006</v>
      </c>
      <c r="DU324" s="163">
        <f>+DU325*DU311</f>
        <v>1071.98185375</v>
      </c>
      <c r="DV324" s="344"/>
      <c r="DW324" s="165">
        <f>+DW325*DW311</f>
        <v>254.18384281249996</v>
      </c>
      <c r="DX324" s="164">
        <f>+DX325*DX311</f>
        <v>294.71351078749996</v>
      </c>
      <c r="DY324" s="164">
        <f>+DY325*DY311</f>
        <v>266.85857226250005</v>
      </c>
      <c r="DZ324" s="164">
        <f>+DZ325*DZ311</f>
        <v>307.72086130625001</v>
      </c>
      <c r="EA324" s="163">
        <f>+EA325*EA311</f>
        <v>1123.47678716875</v>
      </c>
      <c r="EB324" s="344"/>
      <c r="EC324" s="165">
        <f t="shared" ref="EC324:EG324" si="704">+EC325*EC311</f>
        <v>266.95299073906244</v>
      </c>
      <c r="ED324" s="164">
        <f t="shared" si="704"/>
        <v>308.22033777293746</v>
      </c>
      <c r="EE324" s="164">
        <f t="shared" si="704"/>
        <v>280.19005501431252</v>
      </c>
      <c r="EF324" s="164">
        <f t="shared" si="704"/>
        <v>321.92560906503127</v>
      </c>
      <c r="EG324" s="163">
        <f t="shared" si="704"/>
        <v>1177.2889925913437</v>
      </c>
    </row>
    <row r="325" spans="1:137" s="783" customFormat="1" ht="11.25" customHeight="1" outlineLevel="1" x14ac:dyDescent="0.2">
      <c r="A325" s="538" t="s">
        <v>508</v>
      </c>
      <c r="B325" s="539"/>
      <c r="C325" s="539"/>
      <c r="D325" s="539"/>
      <c r="E325" s="776"/>
      <c r="F325" s="541"/>
      <c r="G325" s="776"/>
      <c r="H325" s="541"/>
      <c r="I325" s="776"/>
      <c r="J325" s="541"/>
      <c r="K325" s="776"/>
      <c r="L325" s="541"/>
      <c r="M325" s="782"/>
      <c r="N325" s="541"/>
      <c r="O325" s="541"/>
      <c r="P325" s="541"/>
      <c r="Q325" s="776"/>
      <c r="R325" s="541"/>
      <c r="S325" s="782"/>
      <c r="T325" s="541"/>
      <c r="U325" s="541"/>
      <c r="V325" s="541"/>
      <c r="W325" s="776"/>
      <c r="X325" s="541"/>
      <c r="Y325" s="782"/>
      <c r="Z325" s="541"/>
      <c r="AA325" s="541"/>
      <c r="AB325" s="541"/>
      <c r="AC325" s="776"/>
      <c r="AD325" s="541"/>
      <c r="AE325" s="782"/>
      <c r="AF325" s="541"/>
      <c r="AG325" s="541"/>
      <c r="AH325" s="541"/>
      <c r="AI325" s="776"/>
      <c r="AJ325" s="541"/>
      <c r="AK325" s="782"/>
      <c r="AL325" s="541"/>
      <c r="AM325" s="541"/>
      <c r="AN325" s="541"/>
      <c r="AO325" s="776"/>
      <c r="AP325" s="541"/>
      <c r="AQ325" s="782"/>
      <c r="AR325" s="541"/>
      <c r="AS325" s="541"/>
      <c r="AT325" s="541"/>
      <c r="AU325" s="776"/>
      <c r="AV325" s="541"/>
      <c r="AW325" s="782"/>
      <c r="AX325" s="541"/>
      <c r="AY325" s="541"/>
      <c r="AZ325" s="541"/>
      <c r="BA325" s="776"/>
      <c r="BB325" s="541"/>
      <c r="BC325" s="782"/>
      <c r="BD325" s="541"/>
      <c r="BE325" s="541"/>
      <c r="BF325" s="541"/>
      <c r="BG325" s="776"/>
      <c r="BH325" s="541"/>
      <c r="BI325" s="782"/>
      <c r="BJ325" s="541"/>
      <c r="BK325" s="541"/>
      <c r="BL325" s="541"/>
      <c r="BM325" s="776"/>
      <c r="BN325" s="541"/>
      <c r="BO325" s="542"/>
      <c r="BP325" s="543"/>
      <c r="BQ325" s="543"/>
      <c r="BR325" s="543"/>
      <c r="BS325" s="458"/>
      <c r="BT325" s="830"/>
      <c r="BU325" s="542">
        <f>+BO319+BU326/10000</f>
        <v>0.20296239415597764</v>
      </c>
      <c r="BV325" s="543">
        <f>+BP319+BV326/10000</f>
        <v>0.2223403352010466</v>
      </c>
      <c r="BW325" s="543">
        <f>+BQ319+BW326/10000</f>
        <v>0.21990142823328013</v>
      </c>
      <c r="BX325" s="543">
        <f>+BR319+BX326/10000</f>
        <v>0.20750105813433473</v>
      </c>
      <c r="BY325" s="458">
        <f>+BS319+BY327/10000</f>
        <v>0.20007168269734604</v>
      </c>
      <c r="BZ325" s="830"/>
      <c r="CA325" s="542">
        <f>+BU319+CA326/10000</f>
        <v>0.20594835201683051</v>
      </c>
      <c r="CB325" s="543">
        <f>+BV319+CB326/10000</f>
        <v>0.22518177680669221</v>
      </c>
      <c r="CC325" s="543">
        <f>+BW319+CC326/10000</f>
        <v>0.22707347041333889</v>
      </c>
      <c r="CD325" s="543">
        <f>+BX319+CD326/10000</f>
        <v>0.21299838196580251</v>
      </c>
      <c r="CE325" s="458">
        <f>+BY319+CE327/10000</f>
        <v>0.20222830433725178</v>
      </c>
      <c r="CF325" s="830"/>
      <c r="CG325" s="542">
        <f>+CA319+CG326/10000</f>
        <v>0.20362239450568145</v>
      </c>
      <c r="CH325" s="543">
        <f>+CB319+CH326/10000</f>
        <v>0.2288735184298398</v>
      </c>
      <c r="CI325" s="543">
        <f>+CC319+CI326/10000</f>
        <v>0.22491343451433976</v>
      </c>
      <c r="CJ325" s="543">
        <f>+CD319+CJ326/10000</f>
        <v>0.25807730363319825</v>
      </c>
      <c r="CK325" s="458">
        <f>+CE319+CK327/10000</f>
        <v>0.2153838446683882</v>
      </c>
      <c r="CL325" s="830"/>
      <c r="CM325" s="542">
        <f>+CG319+CM326/10000</f>
        <v>0.21424944860534589</v>
      </c>
      <c r="CN325" s="543">
        <f>+CH319+CN326/10000</f>
        <v>0.23018366678037225</v>
      </c>
      <c r="CO325" s="543">
        <f>+CI319+CO326/10000</f>
        <v>0.22826660923452649</v>
      </c>
      <c r="CP325" s="543">
        <f>+CJ319+CP326/10000</f>
        <v>0.22689525883269279</v>
      </c>
      <c r="CQ325" s="458">
        <f>+CK319+CQ327/10000</f>
        <v>0.21149043924086339</v>
      </c>
      <c r="CR325" s="541"/>
      <c r="CS325" s="542">
        <f>+CM319+CS326/10000</f>
        <v>0.22498132185613598</v>
      </c>
      <c r="CT325" s="543">
        <f>+CN319+CT326/10000</f>
        <v>0.23952149069503414</v>
      </c>
      <c r="CU325" s="543">
        <f>+CO319+CU326/10000</f>
        <v>0.23345971877027816</v>
      </c>
      <c r="CV325" s="543">
        <f>+CP319+CV326/10000</f>
        <v>0.23357695787535016</v>
      </c>
      <c r="CW325" s="458">
        <f>+CQ319+CW327/10000</f>
        <v>0.2183937764084872</v>
      </c>
      <c r="CX325" s="71"/>
      <c r="CY325" s="542">
        <f>+CS319+CY326/10000</f>
        <v>0.24058102370562567</v>
      </c>
      <c r="CZ325" s="543">
        <f>+CT319+CZ326/10000</f>
        <v>0.25912776412776412</v>
      </c>
      <c r="DA325" s="543">
        <f>+CU319+DA326/10000</f>
        <v>0.25108355121063997</v>
      </c>
      <c r="DB325" s="543">
        <f>+CV319+DB326/10000</f>
        <v>0.2421911955114372</v>
      </c>
      <c r="DC325" s="458">
        <f>+CW319+DC327/10000</f>
        <v>0.23930523706702103</v>
      </c>
      <c r="DD325" s="541"/>
      <c r="DE325" s="542">
        <f>+CY319+DE326/10000</f>
        <v>0.23302826410344435</v>
      </c>
      <c r="DF325" s="543">
        <f>+CZ319+DF326/10000</f>
        <v>0.2438886764393457</v>
      </c>
      <c r="DG325" s="543">
        <f>+DA319+DG326/10000</f>
        <v>0.23289319166079164</v>
      </c>
      <c r="DH325" s="543">
        <f>+DB319+DH326/10000</f>
        <v>0.23463363948418217</v>
      </c>
      <c r="DI325" s="540">
        <f>+DC319+DI326/10000</f>
        <v>0.23627487667171543</v>
      </c>
      <c r="DJ325" s="541"/>
      <c r="DK325" s="542">
        <f>+DE319+DK326/10000</f>
        <v>0.22870533541037874</v>
      </c>
      <c r="DL325" s="543">
        <f>+DF319+DL326/10000</f>
        <v>0.24499445894650027</v>
      </c>
      <c r="DM325" s="543">
        <f>+DG319+DM326/10000</f>
        <v>0.22258628857480708</v>
      </c>
      <c r="DN325" s="543">
        <f>+DH319+DN326/10000</f>
        <v>0.24305060328696435</v>
      </c>
      <c r="DO325" s="540">
        <f>+DI319+DO326/10000</f>
        <v>0.23503055115077565</v>
      </c>
      <c r="DP325" s="541"/>
      <c r="DQ325" s="542">
        <f>+DK319+DQ326/10000</f>
        <v>0.22277100275213121</v>
      </c>
      <c r="DR325" s="543">
        <f>+DL319+DR326/10000</f>
        <v>0.2452666278453903</v>
      </c>
      <c r="DS325" s="543">
        <f>+DM319+DS326/10000</f>
        <v>0.22407686862865919</v>
      </c>
      <c r="DT325" s="543">
        <f>+DN319+DT326/10000</f>
        <v>0.24342846646521452</v>
      </c>
      <c r="DU325" s="540">
        <f>+DO319+DU326/10000</f>
        <v>0.23419383333538532</v>
      </c>
      <c r="DV325" s="541"/>
      <c r="DW325" s="542">
        <f>+DQ319+DW326/10000</f>
        <v>0.22394354330347482</v>
      </c>
      <c r="DX325" s="543">
        <f>+DR319+DX326/10000</f>
        <v>0.24547045726831609</v>
      </c>
      <c r="DY325" s="543">
        <f>+DS319+DY326/10000</f>
        <v>0.22519317572120495</v>
      </c>
      <c r="DZ325" s="543">
        <f>+DT319+DZ326/10000</f>
        <v>0.2437114511628847</v>
      </c>
      <c r="EA325" s="540">
        <f>+DU319+EA326/10000</f>
        <v>0.23487448166065575</v>
      </c>
      <c r="EB325" s="541"/>
      <c r="EC325" s="542">
        <f t="shared" ref="EC325:EG325" si="705">+DW319+EC326/10000</f>
        <v>0.22506559167796633</v>
      </c>
      <c r="ED325" s="543">
        <f t="shared" si="705"/>
        <v>0.2456655093476709</v>
      </c>
      <c r="EE325" s="543">
        <f t="shared" si="705"/>
        <v>0.22626141217340187</v>
      </c>
      <c r="EF325" s="543">
        <f t="shared" si="705"/>
        <v>0.24398224991663608</v>
      </c>
      <c r="EG325" s="540">
        <f t="shared" si="705"/>
        <v>0.23552581977096246</v>
      </c>
    </row>
    <row r="326" spans="1:137" ht="11.25" customHeight="1" outlineLevel="1" x14ac:dyDescent="0.2">
      <c r="A326" s="51" t="s">
        <v>233</v>
      </c>
      <c r="B326" s="14"/>
      <c r="C326" s="14"/>
      <c r="D326" s="14"/>
      <c r="E326" s="93"/>
      <c r="F326" s="71"/>
      <c r="G326" s="93"/>
      <c r="H326" s="71"/>
      <c r="I326" s="93"/>
      <c r="J326" s="71"/>
      <c r="K326" s="93"/>
      <c r="L326" s="71"/>
      <c r="M326" s="84"/>
      <c r="N326" s="71"/>
      <c r="O326" s="71"/>
      <c r="P326" s="71"/>
      <c r="Q326" s="93"/>
      <c r="R326" s="71"/>
      <c r="S326" s="84"/>
      <c r="T326" s="71"/>
      <c r="U326" s="71"/>
      <c r="V326" s="71"/>
      <c r="W326" s="93"/>
      <c r="X326" s="71"/>
      <c r="Y326" s="84"/>
      <c r="Z326" s="71"/>
      <c r="AA326" s="71"/>
      <c r="AB326" s="71"/>
      <c r="AC326" s="93"/>
      <c r="AD326" s="71"/>
      <c r="AE326" s="84"/>
      <c r="AF326" s="71"/>
      <c r="AG326" s="71"/>
      <c r="AH326" s="71"/>
      <c r="AI326" s="93"/>
      <c r="AJ326" s="71"/>
      <c r="AK326" s="84"/>
      <c r="AL326" s="71"/>
      <c r="AM326" s="71"/>
      <c r="AN326" s="71"/>
      <c r="AO326" s="93"/>
      <c r="AP326" s="71"/>
      <c r="AQ326" s="84"/>
      <c r="AR326" s="71"/>
      <c r="AS326" s="71"/>
      <c r="AT326" s="71"/>
      <c r="AU326" s="93"/>
      <c r="AV326" s="71"/>
      <c r="AW326" s="84"/>
      <c r="AX326" s="71"/>
      <c r="AY326" s="71"/>
      <c r="AZ326" s="71"/>
      <c r="BA326" s="93"/>
      <c r="BB326" s="71"/>
      <c r="BC326" s="84"/>
      <c r="BD326" s="71"/>
      <c r="BE326" s="71"/>
      <c r="BF326" s="71"/>
      <c r="BG326" s="93"/>
      <c r="BH326" s="71"/>
      <c r="BI326" s="84"/>
      <c r="BJ326" s="71"/>
      <c r="BK326" s="71"/>
      <c r="BL326" s="71"/>
      <c r="BM326" s="93"/>
      <c r="BN326" s="71"/>
      <c r="BO326" s="506"/>
      <c r="BP326" s="507"/>
      <c r="BQ326" s="486"/>
      <c r="BR326" s="486"/>
      <c r="BS326" s="508"/>
      <c r="BT326" s="870"/>
      <c r="BU326" s="506">
        <v>220</v>
      </c>
      <c r="BV326" s="507">
        <v>105</v>
      </c>
      <c r="BW326" s="486">
        <v>82.5</v>
      </c>
      <c r="BX326" s="486">
        <v>2.5</v>
      </c>
      <c r="BY326" s="869">
        <f>BY322-BY327-BY328</f>
        <v>103.62523205203469</v>
      </c>
      <c r="BZ326" s="870"/>
      <c r="CA326" s="506">
        <v>-12.5</v>
      </c>
      <c r="CB326" s="507">
        <v>80</v>
      </c>
      <c r="CC326" s="486">
        <v>95</v>
      </c>
      <c r="CD326" s="486">
        <v>127.5</v>
      </c>
      <c r="CE326" s="869">
        <f>CE322-CE327-CE328</f>
        <v>205.29013918925753</v>
      </c>
      <c r="CF326" s="870"/>
      <c r="CG326" s="506">
        <v>75</v>
      </c>
      <c r="CH326" s="507">
        <v>90</v>
      </c>
      <c r="CI326" s="486">
        <v>80</v>
      </c>
      <c r="CJ326" s="486">
        <v>50</v>
      </c>
      <c r="CK326" s="869">
        <f>CK322-CK327-CK328</f>
        <v>10.841749073905831</v>
      </c>
      <c r="CL326" s="870"/>
      <c r="CM326" s="506">
        <v>165</v>
      </c>
      <c r="CN326" s="507">
        <v>42.5</v>
      </c>
      <c r="CO326" s="486">
        <v>115</v>
      </c>
      <c r="CP326" s="486">
        <v>37.5</v>
      </c>
      <c r="CQ326" s="869">
        <f>CQ322-CQ327-CQ328</f>
        <v>97.251333741040028</v>
      </c>
      <c r="CR326" s="71"/>
      <c r="CS326" s="506">
        <v>180</v>
      </c>
      <c r="CT326" s="507">
        <v>155</v>
      </c>
      <c r="CU326" s="486">
        <v>102.5</v>
      </c>
      <c r="CV326" s="486">
        <v>70</v>
      </c>
      <c r="CW326" s="869">
        <f>CW322-CW327-CW328</f>
        <v>215.64231818614215</v>
      </c>
      <c r="CX326" s="71"/>
      <c r="CY326" s="506">
        <v>-65</v>
      </c>
      <c r="CZ326" s="507">
        <v>-50</v>
      </c>
      <c r="DA326" s="507">
        <v>60</v>
      </c>
      <c r="DB326" s="507">
        <v>210</v>
      </c>
      <c r="DC326" s="869">
        <f>DC322-DC327-DC328</f>
        <v>-37.116495453572455</v>
      </c>
      <c r="DD326" s="507"/>
      <c r="DE326" s="506">
        <v>60</v>
      </c>
      <c r="DF326" s="507">
        <v>120</v>
      </c>
      <c r="DG326" s="509">
        <f>DG322-DG327-DG328</f>
        <v>-103.55937259069006</v>
      </c>
      <c r="DH326" s="509">
        <f>DH322-DH327-DH328</f>
        <v>-50.702495784807383</v>
      </c>
      <c r="DI326" s="508">
        <f>DI322-DI327-DI328</f>
        <v>6.8128915005164359</v>
      </c>
      <c r="DJ326" s="509"/>
      <c r="DK326" s="510">
        <f>DK322-DK327-DK328</f>
        <v>13.332322184242059</v>
      </c>
      <c r="DL326" s="509">
        <f>DL322-DL327-DL328</f>
        <v>57.755818106174637</v>
      </c>
      <c r="DM326" s="509">
        <f>DM322-DM327-DM328</f>
        <v>-18.069030859845515</v>
      </c>
      <c r="DN326" s="509">
        <f>DN322-DN327-DN328</f>
        <v>124.16963802782178</v>
      </c>
      <c r="DO326" s="508">
        <f>DO322-DO327-DO328</f>
        <v>45.830607254581622</v>
      </c>
      <c r="DP326" s="509"/>
      <c r="DQ326" s="510">
        <f>DQ322-DQ327-DQ328</f>
        <v>15.656673417524802</v>
      </c>
      <c r="DR326" s="509">
        <f>DR322-DR327-DR328</f>
        <v>2.7216889889003504</v>
      </c>
      <c r="DS326" s="509">
        <f>DS322-DS327-DS328</f>
        <v>14.905800538521085</v>
      </c>
      <c r="DT326" s="509">
        <f>DT322-DT327-DT328</f>
        <v>3.7786317825017068</v>
      </c>
      <c r="DU326" s="508">
        <f>DU322-DU327-DU328</f>
        <v>9.0885458321543489</v>
      </c>
      <c r="DV326" s="509"/>
      <c r="DW326" s="510">
        <f>DW322-DW327-DW328</f>
        <v>11.725405513436094</v>
      </c>
      <c r="DX326" s="509">
        <f>DX322-DX327-DX328</f>
        <v>2.038294229257942</v>
      </c>
      <c r="DY326" s="509">
        <f>DY322-DY327-DY328</f>
        <v>11.163070925457596</v>
      </c>
      <c r="DZ326" s="509">
        <f>DZ322-DZ327-DZ328</f>
        <v>2.8298469767018553</v>
      </c>
      <c r="EA326" s="508">
        <f>EA322-EA327-EA328</f>
        <v>6.8064832527042762</v>
      </c>
      <c r="EB326" s="509"/>
      <c r="EC326" s="510">
        <f t="shared" ref="EC326:EG326" si="706">EC322-EC327-EC328</f>
        <v>11.220483744915077</v>
      </c>
      <c r="ED326" s="509">
        <f t="shared" si="706"/>
        <v>1.9505207935480162</v>
      </c>
      <c r="EE326" s="509">
        <f t="shared" si="706"/>
        <v>10.682364521969189</v>
      </c>
      <c r="EF326" s="509">
        <f t="shared" si="706"/>
        <v>2.707987537513834</v>
      </c>
      <c r="EG326" s="508">
        <f t="shared" si="706"/>
        <v>6.5133811030670952</v>
      </c>
    </row>
    <row r="327" spans="1:137" ht="11.25" customHeight="1" outlineLevel="1" x14ac:dyDescent="0.2">
      <c r="A327" s="51" t="s">
        <v>235</v>
      </c>
      <c r="B327" s="14"/>
      <c r="C327" s="14"/>
      <c r="D327" s="14"/>
      <c r="E327" s="93"/>
      <c r="F327" s="71"/>
      <c r="G327" s="93"/>
      <c r="H327" s="71"/>
      <c r="I327" s="93"/>
      <c r="J327" s="71"/>
      <c r="K327" s="93"/>
      <c r="L327" s="71"/>
      <c r="M327" s="84"/>
      <c r="N327" s="71"/>
      <c r="O327" s="71"/>
      <c r="P327" s="71"/>
      <c r="Q327" s="93"/>
      <c r="R327" s="71"/>
      <c r="S327" s="84"/>
      <c r="T327" s="71"/>
      <c r="U327" s="71"/>
      <c r="V327" s="71"/>
      <c r="W327" s="93"/>
      <c r="X327" s="71"/>
      <c r="Y327" s="84"/>
      <c r="Z327" s="71"/>
      <c r="AA327" s="71"/>
      <c r="AB327" s="71"/>
      <c r="AC327" s="93"/>
      <c r="AD327" s="71"/>
      <c r="AE327" s="84"/>
      <c r="AF327" s="71"/>
      <c r="AG327" s="71"/>
      <c r="AH327" s="71"/>
      <c r="AI327" s="93"/>
      <c r="AJ327" s="71"/>
      <c r="AK327" s="84"/>
      <c r="AL327" s="71"/>
      <c r="AM327" s="71"/>
      <c r="AN327" s="71"/>
      <c r="AO327" s="93"/>
      <c r="AP327" s="71"/>
      <c r="AQ327" s="84"/>
      <c r="AR327" s="71"/>
      <c r="AS327" s="71"/>
      <c r="AT327" s="71"/>
      <c r="AU327" s="93"/>
      <c r="AV327" s="71"/>
      <c r="AW327" s="84"/>
      <c r="AX327" s="71"/>
      <c r="AY327" s="71"/>
      <c r="AZ327" s="71"/>
      <c r="BA327" s="93"/>
      <c r="BB327" s="71"/>
      <c r="BC327" s="84"/>
      <c r="BD327" s="71"/>
      <c r="BE327" s="71"/>
      <c r="BF327" s="71"/>
      <c r="BG327" s="93"/>
      <c r="BH327" s="71"/>
      <c r="BI327" s="84"/>
      <c r="BJ327" s="71"/>
      <c r="BK327" s="71"/>
      <c r="BL327" s="71"/>
      <c r="BM327" s="93"/>
      <c r="BN327" s="71"/>
      <c r="BO327" s="506"/>
      <c r="BP327" s="507"/>
      <c r="BQ327" s="486"/>
      <c r="BR327" s="486"/>
      <c r="BS327" s="508"/>
      <c r="BT327" s="870"/>
      <c r="BU327" s="506">
        <v>42.5</v>
      </c>
      <c r="BV327" s="507">
        <v>-50</v>
      </c>
      <c r="BW327" s="486">
        <v>-22.5</v>
      </c>
      <c r="BX327" s="486">
        <v>-100</v>
      </c>
      <c r="BY327" s="508">
        <f>SUMPRODUCT(BU327:BX327,BU$311:BX$311)/BY$311</f>
        <v>-35.151361852945229</v>
      </c>
      <c r="BZ327" s="870"/>
      <c r="CA327" s="506">
        <v>-97.5</v>
      </c>
      <c r="CB327" s="507">
        <v>-55</v>
      </c>
      <c r="CC327" s="486">
        <v>-105</v>
      </c>
      <c r="CD327" s="486">
        <v>-72.5</v>
      </c>
      <c r="CE327" s="508">
        <f>SUMPRODUCT(CA327:CD327,CA$311:CD$311)/CE$311</f>
        <v>-82.059015652977408</v>
      </c>
      <c r="CF327" s="870"/>
      <c r="CG327" s="506">
        <v>-60</v>
      </c>
      <c r="CH327" s="507">
        <v>-35</v>
      </c>
      <c r="CI327" s="486">
        <v>-80</v>
      </c>
      <c r="CJ327" s="486">
        <v>-115</v>
      </c>
      <c r="CK327" s="508">
        <f>SUMPRODUCT(CG327:CJ327,CG$311:CJ$311)/CK$311</f>
        <v>-73.734735877893471</v>
      </c>
      <c r="CL327" s="870"/>
      <c r="CM327" s="506">
        <v>-70</v>
      </c>
      <c r="CN327" s="507">
        <v>-57.5</v>
      </c>
      <c r="CO327" s="486">
        <v>-45</v>
      </c>
      <c r="CP327" s="486">
        <v>-30</v>
      </c>
      <c r="CQ327" s="508">
        <f>SUMPRODUCT(CM327:CP327,CM$311:CP$311)/CQ$311</f>
        <v>-49.775803349153755</v>
      </c>
      <c r="CR327" s="71"/>
      <c r="CS327" s="506">
        <v>-45</v>
      </c>
      <c r="CT327" s="507">
        <v>10</v>
      </c>
      <c r="CU327" s="486">
        <v>-17.5</v>
      </c>
      <c r="CV327" s="486">
        <v>-37.5</v>
      </c>
      <c r="CW327" s="508">
        <f>SUMPRODUCT(CS327:CV327,CS$311:CV$311)/CW$311</f>
        <v>-22.353724153473433</v>
      </c>
      <c r="CX327" s="71"/>
      <c r="CY327" s="506">
        <v>-60</v>
      </c>
      <c r="CZ327" s="507">
        <v>-35</v>
      </c>
      <c r="DA327" s="507">
        <v>-80</v>
      </c>
      <c r="DB327" s="507">
        <v>-20</v>
      </c>
      <c r="DC327" s="508">
        <f>SUMPRODUCT(CY327:DB327,CY$311:DB$311)/DC$311</f>
        <v>-48.211925909878687</v>
      </c>
      <c r="DD327" s="507"/>
      <c r="DE327" s="506">
        <v>-60</v>
      </c>
      <c r="DF327" s="507">
        <v>-50</v>
      </c>
      <c r="DG327" s="507">
        <v>-85</v>
      </c>
      <c r="DH327" s="507">
        <v>-40</v>
      </c>
      <c r="DI327" s="508">
        <f>SUMPRODUCT(DE327:DH327,DE$213:DH$213)/DI$213</f>
        <v>-58.273862463979519</v>
      </c>
      <c r="DJ327" s="507"/>
      <c r="DK327" s="834">
        <v>-75</v>
      </c>
      <c r="DL327" s="898">
        <v>0</v>
      </c>
      <c r="DM327" s="898">
        <v>0</v>
      </c>
      <c r="DN327" s="898">
        <v>0</v>
      </c>
      <c r="DO327" s="508">
        <f>SUMPRODUCT(DK327:DN327,DK$213:DN$213)/DO$213</f>
        <v>-17.455723986057567</v>
      </c>
      <c r="DP327" s="507"/>
      <c r="DQ327" s="897">
        <v>0</v>
      </c>
      <c r="DR327" s="898">
        <v>0</v>
      </c>
      <c r="DS327" s="898">
        <v>0</v>
      </c>
      <c r="DT327" s="898">
        <v>0</v>
      </c>
      <c r="DU327" s="508">
        <f>SUMPRODUCT(DQ327:DT327,DQ$213:DT$213)/DU$213</f>
        <v>0</v>
      </c>
      <c r="DV327" s="507"/>
      <c r="DW327" s="897">
        <v>0</v>
      </c>
      <c r="DX327" s="898">
        <v>0</v>
      </c>
      <c r="DY327" s="898">
        <v>0</v>
      </c>
      <c r="DZ327" s="898">
        <v>0</v>
      </c>
      <c r="EA327" s="508">
        <f>SUMPRODUCT(DW327:DZ327,DW$213:DZ$213)/EA$213</f>
        <v>0</v>
      </c>
      <c r="EB327" s="507"/>
      <c r="EC327" s="897">
        <v>0</v>
      </c>
      <c r="ED327" s="898">
        <v>0</v>
      </c>
      <c r="EE327" s="898">
        <v>0</v>
      </c>
      <c r="EF327" s="898">
        <v>0</v>
      </c>
      <c r="EG327" s="508">
        <f t="shared" ref="EG327:EG328" si="707">SUMPRODUCT(EC327:EF327,EC$213:EF$213)/EG$213</f>
        <v>0</v>
      </c>
    </row>
    <row r="328" spans="1:137" ht="11.25" customHeight="1" outlineLevel="1" x14ac:dyDescent="0.2">
      <c r="A328" s="199" t="s">
        <v>234</v>
      </c>
      <c r="B328" s="14"/>
      <c r="C328" s="14"/>
      <c r="D328" s="14"/>
      <c r="E328" s="196"/>
      <c r="F328" s="71"/>
      <c r="G328" s="196"/>
      <c r="H328" s="71"/>
      <c r="I328" s="196"/>
      <c r="J328" s="71"/>
      <c r="K328" s="196"/>
      <c r="L328" s="71"/>
      <c r="M328" s="419"/>
      <c r="N328" s="222"/>
      <c r="O328" s="222"/>
      <c r="P328" s="222"/>
      <c r="Q328" s="196"/>
      <c r="R328" s="71"/>
      <c r="S328" s="419"/>
      <c r="T328" s="222"/>
      <c r="U328" s="222"/>
      <c r="V328" s="222"/>
      <c r="W328" s="196"/>
      <c r="X328" s="71"/>
      <c r="Y328" s="419"/>
      <c r="Z328" s="222"/>
      <c r="AA328" s="222"/>
      <c r="AB328" s="222"/>
      <c r="AC328" s="196"/>
      <c r="AD328" s="71"/>
      <c r="AE328" s="419"/>
      <c r="AF328" s="222"/>
      <c r="AG328" s="222"/>
      <c r="AH328" s="222"/>
      <c r="AI328" s="196"/>
      <c r="AJ328" s="71"/>
      <c r="AK328" s="419"/>
      <c r="AL328" s="222"/>
      <c r="AM328" s="222"/>
      <c r="AN328" s="222"/>
      <c r="AO328" s="196"/>
      <c r="AP328" s="71"/>
      <c r="AQ328" s="419"/>
      <c r="AR328" s="222"/>
      <c r="AS328" s="222"/>
      <c r="AT328" s="222"/>
      <c r="AU328" s="196"/>
      <c r="AV328" s="71"/>
      <c r="AW328" s="419"/>
      <c r="AX328" s="222"/>
      <c r="AY328" s="222"/>
      <c r="AZ328" s="222"/>
      <c r="BA328" s="196"/>
      <c r="BB328" s="71"/>
      <c r="BC328" s="419"/>
      <c r="BD328" s="222"/>
      <c r="BE328" s="222"/>
      <c r="BF328" s="222"/>
      <c r="BG328" s="196"/>
      <c r="BH328" s="71"/>
      <c r="BI328" s="419"/>
      <c r="BJ328" s="222"/>
      <c r="BK328" s="222"/>
      <c r="BL328" s="222"/>
      <c r="BM328" s="196"/>
      <c r="BN328" s="71"/>
      <c r="BO328" s="511"/>
      <c r="BP328" s="512"/>
      <c r="BQ328" s="512"/>
      <c r="BR328" s="512"/>
      <c r="BS328" s="513"/>
      <c r="BT328" s="870"/>
      <c r="BU328" s="511">
        <v>0</v>
      </c>
      <c r="BV328" s="512">
        <v>0</v>
      </c>
      <c r="BW328" s="512">
        <v>0</v>
      </c>
      <c r="BX328" s="512">
        <v>0</v>
      </c>
      <c r="BY328" s="513">
        <f>SUMPRODUCT(BU328:BX328,BU$311:BX$311)/BY$311</f>
        <v>0</v>
      </c>
      <c r="BZ328" s="870"/>
      <c r="CA328" s="511">
        <v>0</v>
      </c>
      <c r="CB328" s="512">
        <v>0</v>
      </c>
      <c r="CC328" s="512">
        <v>0</v>
      </c>
      <c r="CD328" s="512">
        <v>0</v>
      </c>
      <c r="CE328" s="513">
        <f>SUMPRODUCT(CA328:CD328,CA$311:CD$311)/CE$311</f>
        <v>0</v>
      </c>
      <c r="CF328" s="870"/>
      <c r="CG328" s="511">
        <v>0</v>
      </c>
      <c r="CH328" s="512">
        <v>0</v>
      </c>
      <c r="CI328" s="512">
        <v>0</v>
      </c>
      <c r="CJ328" s="512">
        <v>0</v>
      </c>
      <c r="CK328" s="513">
        <f>SUMPRODUCT(CG328:CJ328,CG$311:CJ$311)/CK$311</f>
        <v>0</v>
      </c>
      <c r="CL328" s="870"/>
      <c r="CM328" s="511">
        <v>0</v>
      </c>
      <c r="CN328" s="512">
        <v>0</v>
      </c>
      <c r="CO328" s="512">
        <v>0</v>
      </c>
      <c r="CP328" s="871">
        <v>-21.860639121457211</v>
      </c>
      <c r="CQ328" s="513">
        <f>SUMPRODUCT(CM328:CP328,CM$311:CP$311)/CQ$311</f>
        <v>-5.8642379113284253</v>
      </c>
      <c r="CR328" s="71"/>
      <c r="CS328" s="511">
        <v>0</v>
      </c>
      <c r="CT328" s="512">
        <v>0</v>
      </c>
      <c r="CU328" s="512">
        <v>0</v>
      </c>
      <c r="CV328" s="871">
        <v>159.65755713676495</v>
      </c>
      <c r="CW328" s="513">
        <f>SUMPRODUCT(CS328:CV328,CS$311:CV$311)/CW$311</f>
        <v>41.684214309074804</v>
      </c>
      <c r="CX328" s="71"/>
      <c r="CY328" s="511">
        <v>0</v>
      </c>
      <c r="CZ328" s="512">
        <v>0</v>
      </c>
      <c r="DA328" s="512">
        <v>0</v>
      </c>
      <c r="DB328" s="512">
        <v>0</v>
      </c>
      <c r="DC328" s="513">
        <f>SUMPRODUCT(CY328:DB328,CY$311:DB$311)/DC$311</f>
        <v>0</v>
      </c>
      <c r="DD328" s="507"/>
      <c r="DE328" s="511">
        <v>0</v>
      </c>
      <c r="DF328" s="512">
        <v>0</v>
      </c>
      <c r="DG328" s="512">
        <v>0</v>
      </c>
      <c r="DH328" s="512">
        <v>0</v>
      </c>
      <c r="DI328" s="513">
        <f>SUMPRODUCT(DE328:DH328,DE$213:DH$213)/DI$213</f>
        <v>0</v>
      </c>
      <c r="DJ328" s="507"/>
      <c r="DK328" s="835">
        <v>0</v>
      </c>
      <c r="DL328" s="899">
        <v>0</v>
      </c>
      <c r="DM328" s="899">
        <v>0</v>
      </c>
      <c r="DN328" s="899">
        <v>0</v>
      </c>
      <c r="DO328" s="513">
        <f>SUMPRODUCT(DK328:DN328,DK$213:DN$213)/DO$213</f>
        <v>0</v>
      </c>
      <c r="DP328" s="507"/>
      <c r="DQ328" s="900">
        <v>0</v>
      </c>
      <c r="DR328" s="899">
        <v>0</v>
      </c>
      <c r="DS328" s="899">
        <v>0</v>
      </c>
      <c r="DT328" s="899">
        <v>0</v>
      </c>
      <c r="DU328" s="513">
        <f>SUMPRODUCT(DQ328:DT328,DQ$213:DT$213)/DU$213</f>
        <v>0</v>
      </c>
      <c r="DV328" s="507"/>
      <c r="DW328" s="900">
        <v>0</v>
      </c>
      <c r="DX328" s="899">
        <v>0</v>
      </c>
      <c r="DY328" s="899">
        <v>0</v>
      </c>
      <c r="DZ328" s="899">
        <v>0</v>
      </c>
      <c r="EA328" s="513">
        <f>SUMPRODUCT(DW328:DZ328,DW$213:DZ$213)/EA$213</f>
        <v>0</v>
      </c>
      <c r="EB328" s="507"/>
      <c r="EC328" s="900">
        <v>0</v>
      </c>
      <c r="ED328" s="899">
        <v>0</v>
      </c>
      <c r="EE328" s="899">
        <v>0</v>
      </c>
      <c r="EF328" s="899">
        <v>0</v>
      </c>
      <c r="EG328" s="513">
        <f t="shared" si="707"/>
        <v>0</v>
      </c>
    </row>
    <row r="329" spans="1:137" ht="11.25" customHeight="1" outlineLevel="1" x14ac:dyDescent="0.2">
      <c r="A329" s="106" t="s">
        <v>113</v>
      </c>
      <c r="B329" s="74"/>
      <c r="C329" s="74"/>
      <c r="D329" s="74"/>
      <c r="E329" s="107"/>
      <c r="F329" s="75"/>
      <c r="G329" s="107"/>
      <c r="H329" s="75"/>
      <c r="I329" s="107"/>
      <c r="J329" s="75"/>
      <c r="K329" s="107"/>
      <c r="L329" s="75"/>
      <c r="M329" s="109"/>
      <c r="N329" s="110"/>
      <c r="O329" s="110"/>
      <c r="P329" s="110"/>
      <c r="Q329" s="107"/>
      <c r="R329" s="75"/>
      <c r="S329" s="109"/>
      <c r="T329" s="110"/>
      <c r="U329" s="110"/>
      <c r="V329" s="110"/>
      <c r="W329" s="107"/>
      <c r="X329" s="75"/>
      <c r="Y329" s="109"/>
      <c r="Z329" s="110"/>
      <c r="AA329" s="110"/>
      <c r="AB329" s="110"/>
      <c r="AC329" s="107"/>
      <c r="AD329" s="75"/>
      <c r="AE329" s="109"/>
      <c r="AF329" s="110"/>
      <c r="AG329" s="110"/>
      <c r="AH329" s="110"/>
      <c r="AI329" s="107"/>
      <c r="AJ329" s="75"/>
      <c r="AK329" s="109"/>
      <c r="AL329" s="110"/>
      <c r="AM329" s="110"/>
      <c r="AN329" s="110"/>
      <c r="AO329" s="107"/>
      <c r="AP329" s="75"/>
      <c r="AQ329" s="109"/>
      <c r="AR329" s="110"/>
      <c r="AS329" s="110"/>
      <c r="AT329" s="110"/>
      <c r="AU329" s="107"/>
      <c r="AV329" s="75"/>
      <c r="AW329" s="109"/>
      <c r="AX329" s="110"/>
      <c r="AY329" s="110"/>
      <c r="AZ329" s="110"/>
      <c r="BA329" s="107"/>
      <c r="BB329" s="75"/>
      <c r="BC329" s="109"/>
      <c r="BD329" s="110"/>
      <c r="BE329" s="110"/>
      <c r="BF329" s="110"/>
      <c r="BG329" s="107"/>
      <c r="BH329" s="75"/>
      <c r="BI329" s="109"/>
      <c r="BJ329" s="110"/>
      <c r="BK329" s="110"/>
      <c r="BL329" s="110"/>
      <c r="BM329" s="107"/>
      <c r="BN329" s="75"/>
      <c r="BO329" s="109"/>
      <c r="BP329" s="110"/>
      <c r="BQ329" s="110"/>
      <c r="BR329" s="110"/>
      <c r="BS329" s="107"/>
      <c r="BT329" s="75"/>
      <c r="BU329" s="109"/>
      <c r="BV329" s="110"/>
      <c r="BW329" s="110"/>
      <c r="BX329" s="110"/>
      <c r="BY329" s="107"/>
      <c r="BZ329" s="75"/>
      <c r="CA329" s="109"/>
      <c r="CB329" s="110"/>
      <c r="CC329" s="110"/>
      <c r="CD329" s="110"/>
      <c r="CE329" s="107"/>
      <c r="CF329" s="75"/>
      <c r="CG329" s="109"/>
      <c r="CH329" s="110"/>
      <c r="CI329" s="110"/>
      <c r="CJ329" s="110"/>
      <c r="CK329" s="107"/>
      <c r="CL329" s="75"/>
      <c r="CM329" s="109"/>
      <c r="CN329" s="110"/>
      <c r="CO329" s="110"/>
      <c r="CP329" s="110"/>
      <c r="CQ329" s="107"/>
      <c r="CR329" s="75"/>
      <c r="CS329" s="109"/>
      <c r="CT329" s="110"/>
      <c r="CU329" s="110"/>
      <c r="CV329" s="110"/>
      <c r="CW329" s="107"/>
      <c r="CX329" s="75"/>
      <c r="CY329" s="109"/>
      <c r="CZ329" s="110"/>
      <c r="DA329" s="110"/>
      <c r="DB329" s="110"/>
      <c r="DC329" s="107"/>
      <c r="DD329" s="75"/>
      <c r="DE329" s="109"/>
      <c r="DF329" s="110"/>
      <c r="DG329" s="110"/>
      <c r="DH329" s="110"/>
      <c r="DI329" s="107"/>
      <c r="DJ329" s="75"/>
      <c r="DK329" s="109"/>
      <c r="DL329" s="110"/>
      <c r="DM329" s="110"/>
      <c r="DN329" s="110"/>
      <c r="DO329" s="107"/>
      <c r="DP329" s="75"/>
      <c r="DQ329" s="109"/>
      <c r="DR329" s="110"/>
      <c r="DS329" s="110"/>
      <c r="DT329" s="110"/>
      <c r="DU329" s="107"/>
      <c r="DV329" s="75"/>
      <c r="DW329" s="109"/>
      <c r="DX329" s="110"/>
      <c r="DY329" s="110"/>
      <c r="DZ329" s="110"/>
      <c r="EA329" s="107"/>
      <c r="EB329" s="75"/>
      <c r="EC329" s="109"/>
      <c r="ED329" s="110"/>
      <c r="EE329" s="110"/>
      <c r="EF329" s="110"/>
      <c r="EG329" s="107"/>
    </row>
    <row r="330" spans="1:137" ht="11.25" customHeight="1" outlineLevel="1" x14ac:dyDescent="0.2">
      <c r="A330" s="455" t="s">
        <v>391</v>
      </c>
      <c r="B330" s="38"/>
      <c r="C330" s="40"/>
      <c r="D330" s="44"/>
      <c r="E330" s="450"/>
      <c r="F330" s="44"/>
      <c r="G330" s="450"/>
      <c r="H330" s="44"/>
      <c r="I330" s="450"/>
      <c r="J330" s="44"/>
      <c r="K330" s="450"/>
      <c r="L330" s="44"/>
      <c r="M330" s="432"/>
      <c r="N330" s="44"/>
      <c r="O330" s="44"/>
      <c r="P330" s="44"/>
      <c r="Q330" s="450"/>
      <c r="R330" s="44"/>
      <c r="S330" s="432"/>
      <c r="T330" s="44"/>
      <c r="U330" s="44"/>
      <c r="V330" s="44"/>
      <c r="W330" s="450"/>
      <c r="X330" s="44"/>
      <c r="Y330" s="432"/>
      <c r="Z330" s="44"/>
      <c r="AA330" s="44"/>
      <c r="AB330" s="44"/>
      <c r="AC330" s="450"/>
      <c r="AD330" s="44"/>
      <c r="AE330" s="432"/>
      <c r="AF330" s="44"/>
      <c r="AG330" s="44"/>
      <c r="AH330" s="44"/>
      <c r="AI330" s="450"/>
      <c r="AJ330" s="44"/>
      <c r="AK330" s="432"/>
      <c r="AL330" s="44"/>
      <c r="AM330" s="44"/>
      <c r="AN330" s="44"/>
      <c r="AO330" s="450"/>
      <c r="AP330" s="44"/>
      <c r="AQ330" s="432"/>
      <c r="AR330" s="44"/>
      <c r="AS330" s="44"/>
      <c r="AT330" s="44"/>
      <c r="AU330" s="450"/>
      <c r="AV330" s="44"/>
      <c r="AW330" s="432"/>
      <c r="AX330" s="44"/>
      <c r="AY330" s="44"/>
      <c r="AZ330" s="44"/>
      <c r="BA330" s="450"/>
      <c r="BB330" s="44"/>
      <c r="BC330" s="432"/>
      <c r="BD330" s="44"/>
      <c r="BE330" s="44"/>
      <c r="BF330" s="44"/>
      <c r="BG330" s="450"/>
      <c r="BH330" s="44"/>
      <c r="BI330" s="432"/>
      <c r="BJ330" s="44"/>
      <c r="BK330" s="44"/>
      <c r="BL330" s="44"/>
      <c r="BM330" s="450"/>
      <c r="BN330" s="44"/>
      <c r="BO330" s="432"/>
      <c r="BP330" s="44"/>
      <c r="BQ330" s="44"/>
      <c r="BR330" s="44"/>
      <c r="BS330" s="450"/>
      <c r="BT330" s="44"/>
      <c r="BU330" s="432"/>
      <c r="BV330" s="44"/>
      <c r="BW330" s="44"/>
      <c r="BX330" s="44"/>
      <c r="BY330" s="450"/>
      <c r="BZ330" s="44"/>
      <c r="CA330" s="432"/>
      <c r="CB330" s="44"/>
      <c r="CC330" s="44"/>
      <c r="CD330" s="44"/>
      <c r="CE330" s="450"/>
      <c r="CF330" s="44"/>
      <c r="CG330" s="432"/>
      <c r="CH330" s="44"/>
      <c r="CI330" s="44"/>
      <c r="CJ330" s="44"/>
      <c r="CK330" s="450"/>
      <c r="CL330" s="44"/>
      <c r="CM330" s="432"/>
      <c r="CN330" s="44"/>
      <c r="CO330" s="44"/>
      <c r="CP330" s="44"/>
      <c r="CQ330" s="450"/>
      <c r="CR330" s="44"/>
      <c r="CS330" s="432"/>
      <c r="CT330" s="44"/>
      <c r="CU330" s="44"/>
      <c r="CV330" s="44"/>
      <c r="CW330" s="450"/>
      <c r="CX330" s="44"/>
      <c r="CY330" s="432"/>
      <c r="CZ330" s="44"/>
      <c r="DA330" s="44"/>
      <c r="DB330" s="44"/>
      <c r="DC330" s="436"/>
      <c r="DD330" s="44"/>
      <c r="DE330" s="155"/>
      <c r="DF330" s="37"/>
      <c r="DG330" s="37"/>
      <c r="DH330" s="37"/>
      <c r="DI330" s="436"/>
      <c r="DJ330" s="44"/>
      <c r="DK330" s="431"/>
      <c r="DL330" s="37"/>
      <c r="DM330" s="37"/>
      <c r="DN330" s="37"/>
      <c r="DO330" s="436"/>
      <c r="DP330" s="44"/>
      <c r="DQ330" s="431"/>
      <c r="DR330" s="37"/>
      <c r="DS330" s="37"/>
      <c r="DT330" s="37"/>
      <c r="DU330" s="436"/>
      <c r="DV330" s="44"/>
      <c r="DW330" s="431"/>
      <c r="DX330" s="37"/>
      <c r="DY330" s="37"/>
      <c r="DZ330" s="37"/>
      <c r="EA330" s="436"/>
      <c r="EB330" s="44"/>
      <c r="EC330" s="431"/>
      <c r="ED330" s="37"/>
      <c r="EE330" s="37"/>
      <c r="EF330" s="37"/>
      <c r="EG330" s="436"/>
    </row>
    <row r="331" spans="1:137" ht="11.25" customHeight="1" outlineLevel="1" x14ac:dyDescent="0.2">
      <c r="A331" s="436" t="s">
        <v>17</v>
      </c>
      <c r="B331" s="38"/>
      <c r="C331" s="38"/>
      <c r="D331" s="44"/>
      <c r="E331" s="450"/>
      <c r="F331" s="44"/>
      <c r="G331" s="450"/>
      <c r="H331" s="44"/>
      <c r="I331" s="450"/>
      <c r="J331" s="44"/>
      <c r="K331" s="450"/>
      <c r="L331" s="44"/>
      <c r="M331" s="432"/>
      <c r="N331" s="44"/>
      <c r="O331" s="44"/>
      <c r="P331" s="44"/>
      <c r="Q331" s="450"/>
      <c r="R331" s="44"/>
      <c r="S331" s="557" t="s">
        <v>467</v>
      </c>
      <c r="T331" s="554" t="s">
        <v>468</v>
      </c>
      <c r="U331" s="554" t="s">
        <v>468</v>
      </c>
      <c r="V331" s="554"/>
      <c r="W331" s="558" t="s">
        <v>469</v>
      </c>
      <c r="X331" s="430"/>
      <c r="Y331" s="557" t="s">
        <v>470</v>
      </c>
      <c r="Z331" s="553" t="s">
        <v>467</v>
      </c>
      <c r="AA331" s="554" t="s">
        <v>64</v>
      </c>
      <c r="AB331" s="555">
        <v>0.03</v>
      </c>
      <c r="AC331" s="558"/>
      <c r="AD331" s="554"/>
      <c r="AE331" s="557" t="s">
        <v>471</v>
      </c>
      <c r="AF331" s="554" t="s">
        <v>472</v>
      </c>
      <c r="AG331" s="554" t="s">
        <v>473</v>
      </c>
      <c r="AH331" s="554"/>
      <c r="AI331" s="558" t="s">
        <v>473</v>
      </c>
      <c r="AJ331" s="554"/>
      <c r="AK331" s="557" t="s">
        <v>474</v>
      </c>
      <c r="AL331" s="554" t="s">
        <v>474</v>
      </c>
      <c r="AM331" s="554" t="s">
        <v>474</v>
      </c>
      <c r="AN331" s="554" t="s">
        <v>474</v>
      </c>
      <c r="AO331" s="558" t="s">
        <v>474</v>
      </c>
      <c r="AP331" s="554"/>
      <c r="AQ331" s="557" t="s">
        <v>475</v>
      </c>
      <c r="AR331" s="554" t="s">
        <v>475</v>
      </c>
      <c r="AS331" s="554" t="s">
        <v>474</v>
      </c>
      <c r="AT331" s="554" t="s">
        <v>475</v>
      </c>
      <c r="AU331" s="558" t="s">
        <v>475</v>
      </c>
      <c r="AV331" s="554"/>
      <c r="AW331" s="557" t="s">
        <v>474</v>
      </c>
      <c r="AX331" s="554" t="s">
        <v>476</v>
      </c>
      <c r="AY331" s="554" t="s">
        <v>476</v>
      </c>
      <c r="AZ331" s="554" t="s">
        <v>476</v>
      </c>
      <c r="BA331" s="558" t="s">
        <v>476</v>
      </c>
      <c r="BB331" s="554"/>
      <c r="BC331" s="557" t="s">
        <v>476</v>
      </c>
      <c r="BD331" s="554" t="s">
        <v>476</v>
      </c>
      <c r="BE331" s="554" t="s">
        <v>475</v>
      </c>
      <c r="BF331" s="554"/>
      <c r="BG331" s="559" t="s">
        <v>477</v>
      </c>
      <c r="BH331" s="553"/>
      <c r="BI331" s="560" t="s">
        <v>478</v>
      </c>
      <c r="BJ331" s="553" t="s">
        <v>479</v>
      </c>
      <c r="BK331" s="553" t="s">
        <v>478</v>
      </c>
      <c r="BL331" s="553" t="s">
        <v>479</v>
      </c>
      <c r="BM331" s="559" t="s">
        <v>14</v>
      </c>
      <c r="BN331" s="553"/>
      <c r="BO331" s="560" t="s">
        <v>477</v>
      </c>
      <c r="BP331" s="553" t="s">
        <v>480</v>
      </c>
      <c r="BQ331" s="553" t="s">
        <v>476</v>
      </c>
      <c r="BR331" s="553" t="s">
        <v>480</v>
      </c>
      <c r="BS331" s="559" t="s">
        <v>476</v>
      </c>
      <c r="BT331" s="553"/>
      <c r="BU331" s="560" t="s">
        <v>477</v>
      </c>
      <c r="BV331" s="553" t="s">
        <v>477</v>
      </c>
      <c r="BW331" s="553" t="s">
        <v>477</v>
      </c>
      <c r="BX331" s="553" t="s">
        <v>477</v>
      </c>
      <c r="BY331" s="559" t="s">
        <v>474</v>
      </c>
      <c r="BZ331" s="553"/>
      <c r="CA331" s="560" t="s">
        <v>478</v>
      </c>
      <c r="CB331" s="553" t="s">
        <v>481</v>
      </c>
      <c r="CC331" s="553" t="s">
        <v>478</v>
      </c>
      <c r="CD331" s="553" t="s">
        <v>478</v>
      </c>
      <c r="CE331" s="559" t="s">
        <v>478</v>
      </c>
      <c r="CF331" s="553"/>
      <c r="CG331" s="560" t="s">
        <v>478</v>
      </c>
      <c r="CH331" s="553" t="s">
        <v>478</v>
      </c>
      <c r="CI331" s="553" t="s">
        <v>481</v>
      </c>
      <c r="CJ331" s="553" t="s">
        <v>481</v>
      </c>
      <c r="CK331" s="559" t="s">
        <v>481</v>
      </c>
      <c r="CL331" s="553"/>
      <c r="CM331" s="560" t="s">
        <v>478</v>
      </c>
      <c r="CN331" s="553" t="s">
        <v>481</v>
      </c>
      <c r="CO331" s="553" t="s">
        <v>481</v>
      </c>
      <c r="CP331" s="553" t="s">
        <v>481</v>
      </c>
      <c r="CQ331" s="559" t="s">
        <v>475</v>
      </c>
      <c r="CR331" s="553"/>
      <c r="CS331" s="560" t="s">
        <v>474</v>
      </c>
      <c r="CT331" s="553" t="s">
        <v>481</v>
      </c>
      <c r="CU331" s="553" t="s">
        <v>481</v>
      </c>
      <c r="CV331" s="553" t="s">
        <v>482</v>
      </c>
      <c r="CW331" s="559" t="s">
        <v>475</v>
      </c>
      <c r="CX331" s="556"/>
      <c r="CY331" s="553" t="s">
        <v>483</v>
      </c>
      <c r="CZ331" s="553" t="s">
        <v>193</v>
      </c>
      <c r="DA331" s="553" t="s">
        <v>64</v>
      </c>
      <c r="DB331" s="553" t="s">
        <v>64</v>
      </c>
      <c r="DC331" s="559" t="s">
        <v>64</v>
      </c>
      <c r="DD331" s="44"/>
      <c r="DE331" s="560" t="s">
        <v>475</v>
      </c>
      <c r="DF331" s="1158" t="s">
        <v>383</v>
      </c>
      <c r="DG331" s="1158" t="s">
        <v>383</v>
      </c>
      <c r="DH331" s="37"/>
      <c r="DI331" s="559" t="s">
        <v>64</v>
      </c>
      <c r="DJ331" s="44"/>
      <c r="DK331" s="1330" t="s">
        <v>382</v>
      </c>
      <c r="DL331" s="37"/>
      <c r="DM331" s="37"/>
      <c r="DN331" s="37"/>
      <c r="DO331" s="437"/>
      <c r="DP331" s="44"/>
      <c r="DQ331" s="431"/>
      <c r="DR331" s="37"/>
      <c r="DS331" s="37"/>
      <c r="DT331" s="37"/>
      <c r="DU331" s="437"/>
      <c r="DV331" s="44"/>
      <c r="DW331" s="431"/>
      <c r="DX331" s="37"/>
      <c r="DY331" s="37"/>
      <c r="DZ331" s="37"/>
      <c r="EA331" s="437"/>
      <c r="EB331" s="44"/>
      <c r="EC331" s="431"/>
      <c r="ED331" s="37"/>
      <c r="EE331" s="37"/>
      <c r="EF331" s="37"/>
      <c r="EG331" s="437"/>
    </row>
    <row r="332" spans="1:137" ht="11.25" customHeight="1" outlineLevel="1" x14ac:dyDescent="0.2">
      <c r="A332" s="1020" t="s">
        <v>135</v>
      </c>
      <c r="B332" s="38"/>
      <c r="C332" s="38"/>
      <c r="D332" s="44"/>
      <c r="E332" s="450"/>
      <c r="F332" s="44"/>
      <c r="G332" s="450"/>
      <c r="H332" s="44"/>
      <c r="I332" s="450"/>
      <c r="J332" s="44"/>
      <c r="K332" s="450"/>
      <c r="L332" s="44"/>
      <c r="M332" s="432"/>
      <c r="N332" s="44"/>
      <c r="O332" s="44"/>
      <c r="P332" s="44"/>
      <c r="Q332" s="450"/>
      <c r="R332" s="44"/>
      <c r="S332" s="432"/>
      <c r="T332" s="44"/>
      <c r="U332" s="44"/>
      <c r="V332" s="44"/>
      <c r="W332" s="450"/>
      <c r="X332" s="44"/>
      <c r="Y332" s="432"/>
      <c r="Z332" s="44"/>
      <c r="AA332" s="44"/>
      <c r="AB332" s="44"/>
      <c r="AC332" s="450"/>
      <c r="AD332" s="44"/>
      <c r="AE332" s="432"/>
      <c r="AF332" s="44"/>
      <c r="AG332" s="44"/>
      <c r="AH332" s="44"/>
      <c r="AI332" s="450"/>
      <c r="AJ332" s="44"/>
      <c r="AK332" s="432"/>
      <c r="AL332" s="44"/>
      <c r="AM332" s="44"/>
      <c r="AN332" s="44"/>
      <c r="AO332" s="450"/>
      <c r="AP332" s="44"/>
      <c r="AQ332" s="432"/>
      <c r="AR332" s="44"/>
      <c r="AS332" s="44"/>
      <c r="AT332" s="44"/>
      <c r="AU332" s="450"/>
      <c r="AV332" s="44"/>
      <c r="AW332" s="432"/>
      <c r="AX332" s="44"/>
      <c r="AY332" s="44"/>
      <c r="AZ332" s="44"/>
      <c r="BA332" s="450"/>
      <c r="BB332" s="44"/>
      <c r="BC332" s="432"/>
      <c r="BD332" s="44"/>
      <c r="BE332" s="44"/>
      <c r="BF332" s="44"/>
      <c r="BG332" s="450"/>
      <c r="BH332" s="44"/>
      <c r="BI332" s="432"/>
      <c r="BJ332" s="44"/>
      <c r="BK332" s="44"/>
      <c r="BL332" s="44"/>
      <c r="BM332" s="450"/>
      <c r="BN332" s="44"/>
      <c r="BO332" s="432"/>
      <c r="BP332" s="44"/>
      <c r="BQ332" s="44"/>
      <c r="BR332" s="44"/>
      <c r="BS332" s="450"/>
      <c r="BT332" s="44"/>
      <c r="BU332" s="432"/>
      <c r="BV332" s="44"/>
      <c r="BW332" s="44"/>
      <c r="BX332" s="44"/>
      <c r="BY332" s="450"/>
      <c r="BZ332" s="44"/>
      <c r="CA332" s="432"/>
      <c r="CB332" s="44"/>
      <c r="CC332" s="44"/>
      <c r="CD332" s="44"/>
      <c r="CE332" s="450"/>
      <c r="CF332" s="44"/>
      <c r="CG332" s="432"/>
      <c r="CH332" s="44"/>
      <c r="CI332" s="44"/>
      <c r="CJ332" s="44"/>
      <c r="CK332" s="450"/>
      <c r="CL332" s="44"/>
      <c r="CM332" s="432"/>
      <c r="CN332" s="44"/>
      <c r="CO332" s="44"/>
      <c r="CP332" s="44"/>
      <c r="CQ332" s="450"/>
      <c r="CR332" s="44"/>
      <c r="CS332" s="442" t="s">
        <v>191</v>
      </c>
      <c r="CT332" s="347"/>
      <c r="CU332" s="347" t="s">
        <v>382</v>
      </c>
      <c r="CV332" s="347" t="s">
        <v>208</v>
      </c>
      <c r="CW332" s="445"/>
      <c r="CX332" s="44"/>
      <c r="CY332" s="442" t="s">
        <v>211</v>
      </c>
      <c r="CZ332" s="347"/>
      <c r="DA332" s="347" t="s">
        <v>388</v>
      </c>
      <c r="DB332" s="347"/>
      <c r="DC332" s="445"/>
      <c r="DD332" s="44"/>
      <c r="DE332" s="560"/>
      <c r="DF332" s="1157" t="s">
        <v>382</v>
      </c>
      <c r="DG332" s="1157" t="s">
        <v>386</v>
      </c>
      <c r="DH332" s="37"/>
      <c r="DI332" s="445"/>
      <c r="DJ332" s="44"/>
      <c r="DK332" s="1330" t="s">
        <v>384</v>
      </c>
      <c r="DL332" s="37"/>
      <c r="DM332" s="37"/>
      <c r="DN332" s="37"/>
      <c r="DO332" s="437"/>
      <c r="DP332" s="44"/>
      <c r="DQ332" s="431"/>
      <c r="DR332" s="37"/>
      <c r="DS332" s="37"/>
      <c r="DT332" s="37"/>
      <c r="DU332" s="437"/>
      <c r="DV332" s="44"/>
      <c r="DW332" s="431"/>
      <c r="DX332" s="37"/>
      <c r="DY332" s="37"/>
      <c r="DZ332" s="37"/>
      <c r="EA332" s="437"/>
      <c r="EB332" s="44"/>
      <c r="EC332" s="431"/>
      <c r="ED332" s="37"/>
      <c r="EE332" s="37"/>
      <c r="EF332" s="37"/>
      <c r="EG332" s="437"/>
    </row>
    <row r="333" spans="1:137" ht="11.25" customHeight="1" outlineLevel="1" x14ac:dyDescent="0.2">
      <c r="A333" s="1020" t="s">
        <v>164</v>
      </c>
      <c r="B333" s="38"/>
      <c r="C333" s="38"/>
      <c r="D333" s="44"/>
      <c r="E333" s="450"/>
      <c r="F333" s="44"/>
      <c r="G333" s="450"/>
      <c r="H333" s="44"/>
      <c r="I333" s="450"/>
      <c r="J333" s="44"/>
      <c r="K333" s="450"/>
      <c r="L333" s="44"/>
      <c r="M333" s="432"/>
      <c r="N333" s="44"/>
      <c r="O333" s="44"/>
      <c r="P333" s="44"/>
      <c r="Q333" s="450"/>
      <c r="R333" s="44"/>
      <c r="S333" s="432"/>
      <c r="T333" s="44"/>
      <c r="U333" s="44"/>
      <c r="V333" s="44"/>
      <c r="W333" s="450"/>
      <c r="X333" s="44"/>
      <c r="Y333" s="432"/>
      <c r="Z333" s="44"/>
      <c r="AA333" s="44"/>
      <c r="AB333" s="44"/>
      <c r="AC333" s="450"/>
      <c r="AD333" s="44"/>
      <c r="AE333" s="432"/>
      <c r="AF333" s="44"/>
      <c r="AG333" s="44"/>
      <c r="AH333" s="44"/>
      <c r="AI333" s="450"/>
      <c r="AJ333" s="44"/>
      <c r="AK333" s="432"/>
      <c r="AL333" s="44"/>
      <c r="AM333" s="44"/>
      <c r="AN333" s="44"/>
      <c r="AO333" s="450"/>
      <c r="AP333" s="44"/>
      <c r="AQ333" s="432"/>
      <c r="AR333" s="44"/>
      <c r="AS333" s="44"/>
      <c r="AT333" s="44"/>
      <c r="AU333" s="450"/>
      <c r="AV333" s="44"/>
      <c r="AW333" s="432"/>
      <c r="AX333" s="44"/>
      <c r="AY333" s="44"/>
      <c r="AZ333" s="44"/>
      <c r="BA333" s="450"/>
      <c r="BB333" s="44"/>
      <c r="BC333" s="432"/>
      <c r="BD333" s="44"/>
      <c r="BE333" s="44"/>
      <c r="BF333" s="44"/>
      <c r="BG333" s="450"/>
      <c r="BH333" s="44"/>
      <c r="BI333" s="432"/>
      <c r="BJ333" s="44"/>
      <c r="BK333" s="44"/>
      <c r="BL333" s="44"/>
      <c r="BM333" s="450"/>
      <c r="BN333" s="44"/>
      <c r="BO333" s="432"/>
      <c r="BP333" s="44"/>
      <c r="BQ333" s="44"/>
      <c r="BR333" s="44"/>
      <c r="BS333" s="450"/>
      <c r="BT333" s="44"/>
      <c r="BU333" s="432"/>
      <c r="BV333" s="44"/>
      <c r="BW333" s="44"/>
      <c r="BX333" s="44"/>
      <c r="BY333" s="450"/>
      <c r="BZ333" s="44"/>
      <c r="CA333" s="432"/>
      <c r="CB333" s="44"/>
      <c r="CC333" s="44"/>
      <c r="CD333" s="44"/>
      <c r="CE333" s="450"/>
      <c r="CF333" s="44"/>
      <c r="CG333" s="432"/>
      <c r="CH333" s="44"/>
      <c r="CI333" s="44"/>
      <c r="CJ333" s="44"/>
      <c r="CK333" s="450"/>
      <c r="CL333" s="44"/>
      <c r="CM333" s="432"/>
      <c r="CN333" s="44"/>
      <c r="CO333" s="44"/>
      <c r="CP333" s="44"/>
      <c r="CQ333" s="450"/>
      <c r="CR333" s="44"/>
      <c r="CS333" s="442" t="s">
        <v>190</v>
      </c>
      <c r="CT333" s="347"/>
      <c r="CU333" s="347" t="s">
        <v>382</v>
      </c>
      <c r="CV333" s="347" t="s">
        <v>207</v>
      </c>
      <c r="CW333" s="445"/>
      <c r="CX333" s="44"/>
      <c r="CY333" s="442" t="s">
        <v>193</v>
      </c>
      <c r="CZ333" s="347"/>
      <c r="DA333" s="347" t="s">
        <v>382</v>
      </c>
      <c r="DB333" s="347"/>
      <c r="DC333" s="445"/>
      <c r="DD333" s="44"/>
      <c r="DE333" s="560"/>
      <c r="DF333" s="1157" t="s">
        <v>382</v>
      </c>
      <c r="DG333" s="1157" t="s">
        <v>383</v>
      </c>
      <c r="DH333" s="37"/>
      <c r="DI333" s="445"/>
      <c r="DJ333" s="44"/>
      <c r="DK333" s="1330" t="s">
        <v>383</v>
      </c>
      <c r="DL333" s="37"/>
      <c r="DM333" s="37"/>
      <c r="DN333" s="37"/>
      <c r="DO333" s="437"/>
      <c r="DP333" s="44"/>
      <c r="DQ333" s="431"/>
      <c r="DR333" s="37"/>
      <c r="DS333" s="37"/>
      <c r="DT333" s="37"/>
      <c r="DU333" s="437"/>
      <c r="DV333" s="44"/>
      <c r="DW333" s="431"/>
      <c r="DX333" s="37"/>
      <c r="DY333" s="37"/>
      <c r="DZ333" s="37"/>
      <c r="EA333" s="437"/>
      <c r="EB333" s="44"/>
      <c r="EC333" s="431"/>
      <c r="ED333" s="37"/>
      <c r="EE333" s="37"/>
      <c r="EF333" s="37"/>
      <c r="EG333" s="437"/>
    </row>
    <row r="334" spans="1:137" ht="11.25" customHeight="1" outlineLevel="1" x14ac:dyDescent="0.2">
      <c r="A334" s="1020" t="s">
        <v>138</v>
      </c>
      <c r="B334" s="38"/>
      <c r="C334" s="38"/>
      <c r="D334" s="44"/>
      <c r="E334" s="450"/>
      <c r="F334" s="44"/>
      <c r="G334" s="450"/>
      <c r="H334" s="44"/>
      <c r="I334" s="450"/>
      <c r="J334" s="44"/>
      <c r="K334" s="450"/>
      <c r="L334" s="44"/>
      <c r="M334" s="432"/>
      <c r="N334" s="44"/>
      <c r="O334" s="44"/>
      <c r="P334" s="44"/>
      <c r="Q334" s="450"/>
      <c r="R334" s="44"/>
      <c r="S334" s="432"/>
      <c r="T334" s="44"/>
      <c r="U334" s="44"/>
      <c r="V334" s="44"/>
      <c r="W334" s="450"/>
      <c r="X334" s="44"/>
      <c r="Y334" s="432"/>
      <c r="Z334" s="44"/>
      <c r="AA334" s="44"/>
      <c r="AB334" s="44"/>
      <c r="AC334" s="450"/>
      <c r="AD334" s="44"/>
      <c r="AE334" s="432"/>
      <c r="AF334" s="44"/>
      <c r="AG334" s="44"/>
      <c r="AH334" s="44"/>
      <c r="AI334" s="450"/>
      <c r="AJ334" s="44"/>
      <c r="AK334" s="432"/>
      <c r="AL334" s="44"/>
      <c r="AM334" s="44"/>
      <c r="AN334" s="44"/>
      <c r="AO334" s="450"/>
      <c r="AP334" s="44"/>
      <c r="AQ334" s="432"/>
      <c r="AR334" s="44"/>
      <c r="AS334" s="44"/>
      <c r="AT334" s="44"/>
      <c r="AU334" s="450"/>
      <c r="AV334" s="44"/>
      <c r="AW334" s="432"/>
      <c r="AX334" s="44"/>
      <c r="AY334" s="44"/>
      <c r="AZ334" s="44"/>
      <c r="BA334" s="450"/>
      <c r="BB334" s="44"/>
      <c r="BC334" s="432"/>
      <c r="BD334" s="44"/>
      <c r="BE334" s="44"/>
      <c r="BF334" s="44"/>
      <c r="BG334" s="450"/>
      <c r="BH334" s="44"/>
      <c r="BI334" s="432"/>
      <c r="BJ334" s="44"/>
      <c r="BK334" s="44"/>
      <c r="BL334" s="44"/>
      <c r="BM334" s="450"/>
      <c r="BN334" s="44"/>
      <c r="BO334" s="432"/>
      <c r="BP334" s="44"/>
      <c r="BQ334" s="44"/>
      <c r="BR334" s="44"/>
      <c r="BS334" s="450"/>
      <c r="BT334" s="44"/>
      <c r="BU334" s="432"/>
      <c r="BV334" s="44"/>
      <c r="BW334" s="44"/>
      <c r="BX334" s="44"/>
      <c r="BY334" s="450"/>
      <c r="BZ334" s="44"/>
      <c r="CA334" s="432"/>
      <c r="CB334" s="44"/>
      <c r="CC334" s="44"/>
      <c r="CD334" s="44"/>
      <c r="CE334" s="450"/>
      <c r="CF334" s="44"/>
      <c r="CG334" s="432"/>
      <c r="CH334" s="44"/>
      <c r="CI334" s="44"/>
      <c r="CJ334" s="44"/>
      <c r="CK334" s="450"/>
      <c r="CL334" s="44"/>
      <c r="CM334" s="432"/>
      <c r="CN334" s="44"/>
      <c r="CO334" s="44"/>
      <c r="CP334" s="44"/>
      <c r="CQ334" s="450"/>
      <c r="CR334" s="44"/>
      <c r="CS334" s="442" t="s">
        <v>388</v>
      </c>
      <c r="CT334" s="347" t="s">
        <v>382</v>
      </c>
      <c r="CU334" s="347" t="s">
        <v>382</v>
      </c>
      <c r="CV334" s="347" t="s">
        <v>206</v>
      </c>
      <c r="CW334" s="445"/>
      <c r="CX334" s="44"/>
      <c r="CY334" s="442" t="s">
        <v>14</v>
      </c>
      <c r="CZ334" s="347"/>
      <c r="DA334" s="347" t="s">
        <v>221</v>
      </c>
      <c r="DB334" s="347"/>
      <c r="DC334" s="445"/>
      <c r="DD334" s="44"/>
      <c r="DE334" s="560"/>
      <c r="DF334" s="1157" t="s">
        <v>383</v>
      </c>
      <c r="DG334" s="1157" t="s">
        <v>383</v>
      </c>
      <c r="DH334" s="37"/>
      <c r="DI334" s="445"/>
      <c r="DJ334" s="44"/>
      <c r="DK334" s="1330" t="s">
        <v>382</v>
      </c>
      <c r="DL334" s="37"/>
      <c r="DM334" s="37"/>
      <c r="DN334" s="37"/>
      <c r="DO334" s="437"/>
      <c r="DP334" s="44"/>
      <c r="DQ334" s="431"/>
      <c r="DR334" s="37"/>
      <c r="DS334" s="37"/>
      <c r="DT334" s="37"/>
      <c r="DU334" s="437"/>
      <c r="DV334" s="44"/>
      <c r="DW334" s="431"/>
      <c r="DX334" s="37"/>
      <c r="DY334" s="37"/>
      <c r="DZ334" s="37"/>
      <c r="EA334" s="437"/>
      <c r="EB334" s="44"/>
      <c r="EC334" s="431"/>
      <c r="ED334" s="37"/>
      <c r="EE334" s="37"/>
      <c r="EF334" s="37"/>
      <c r="EG334" s="437"/>
    </row>
    <row r="335" spans="1:137" ht="11.25" customHeight="1" outlineLevel="1" x14ac:dyDescent="0.2">
      <c r="A335" s="452"/>
      <c r="B335" s="38"/>
      <c r="C335" s="38"/>
      <c r="D335" s="44"/>
      <c r="E335" s="450"/>
      <c r="F335" s="44"/>
      <c r="G335" s="450"/>
      <c r="H335" s="44"/>
      <c r="I335" s="450"/>
      <c r="J335" s="44"/>
      <c r="K335" s="450"/>
      <c r="L335" s="44"/>
      <c r="M335" s="432"/>
      <c r="N335" s="44"/>
      <c r="O335" s="44"/>
      <c r="P335" s="44"/>
      <c r="Q335" s="450"/>
      <c r="R335" s="44"/>
      <c r="S335" s="432"/>
      <c r="T335" s="44"/>
      <c r="U335" s="44"/>
      <c r="V335" s="44"/>
      <c r="W335" s="450"/>
      <c r="X335" s="44"/>
      <c r="Y335" s="432"/>
      <c r="Z335" s="44"/>
      <c r="AA335" s="44"/>
      <c r="AB335" s="44"/>
      <c r="AC335" s="450"/>
      <c r="AD335" s="44"/>
      <c r="AE335" s="432"/>
      <c r="AF335" s="44"/>
      <c r="AG335" s="44"/>
      <c r="AH335" s="44"/>
      <c r="AI335" s="450"/>
      <c r="AJ335" s="44"/>
      <c r="AK335" s="432"/>
      <c r="AL335" s="44"/>
      <c r="AM335" s="44"/>
      <c r="AN335" s="44"/>
      <c r="AO335" s="450"/>
      <c r="AP335" s="44"/>
      <c r="AQ335" s="432"/>
      <c r="AR335" s="44"/>
      <c r="AS335" s="44"/>
      <c r="AT335" s="44"/>
      <c r="AU335" s="450"/>
      <c r="AV335" s="44"/>
      <c r="AW335" s="432"/>
      <c r="AX335" s="44"/>
      <c r="AY335" s="44"/>
      <c r="AZ335" s="44"/>
      <c r="BA335" s="450"/>
      <c r="BB335" s="44"/>
      <c r="BC335" s="432"/>
      <c r="BD335" s="44"/>
      <c r="BE335" s="44"/>
      <c r="BF335" s="44"/>
      <c r="BG335" s="450"/>
      <c r="BH335" s="44"/>
      <c r="BI335" s="432"/>
      <c r="BJ335" s="44"/>
      <c r="BK335" s="44"/>
      <c r="BL335" s="44"/>
      <c r="BM335" s="450"/>
      <c r="BN335" s="44"/>
      <c r="BO335" s="432"/>
      <c r="BP335" s="44"/>
      <c r="BQ335" s="44"/>
      <c r="BR335" s="44"/>
      <c r="BS335" s="450"/>
      <c r="BT335" s="44"/>
      <c r="BU335" s="432"/>
      <c r="BV335" s="44"/>
      <c r="BW335" s="44"/>
      <c r="BX335" s="44"/>
      <c r="BY335" s="450"/>
      <c r="BZ335" s="44"/>
      <c r="CA335" s="432"/>
      <c r="CB335" s="44"/>
      <c r="CC335" s="44"/>
      <c r="CD335" s="44"/>
      <c r="CE335" s="450"/>
      <c r="CF335" s="44"/>
      <c r="CG335" s="432"/>
      <c r="CH335" s="44"/>
      <c r="CI335" s="44"/>
      <c r="CJ335" s="44"/>
      <c r="CK335" s="450"/>
      <c r="CL335" s="44"/>
      <c r="CM335" s="432"/>
      <c r="CN335" s="44"/>
      <c r="CO335" s="44"/>
      <c r="CP335" s="44"/>
      <c r="CQ335" s="450"/>
      <c r="CR335" s="44"/>
      <c r="CS335" s="442"/>
      <c r="CT335" s="347"/>
      <c r="CU335" s="347"/>
      <c r="CV335" s="347"/>
      <c r="CW335" s="445"/>
      <c r="CX335" s="44"/>
      <c r="CY335" s="442"/>
      <c r="CZ335" s="347"/>
      <c r="DA335" s="347"/>
      <c r="DB335" s="347"/>
      <c r="DC335" s="445"/>
      <c r="DD335" s="44"/>
      <c r="DE335" s="560"/>
      <c r="DF335" s="347"/>
      <c r="DG335" s="37"/>
      <c r="DH335" s="37"/>
      <c r="DI335" s="445"/>
      <c r="DJ335" s="44"/>
      <c r="DK335" s="431"/>
      <c r="DL335" s="37"/>
      <c r="DM335" s="37"/>
      <c r="DN335" s="37"/>
      <c r="DO335" s="437"/>
      <c r="DP335" s="44"/>
      <c r="DQ335" s="431"/>
      <c r="DR335" s="37"/>
      <c r="DS335" s="37"/>
      <c r="DT335" s="37"/>
      <c r="DU335" s="437"/>
      <c r="DV335" s="44"/>
      <c r="DW335" s="431"/>
      <c r="DX335" s="37"/>
      <c r="DY335" s="37"/>
      <c r="DZ335" s="37"/>
      <c r="EA335" s="437"/>
      <c r="EB335" s="44"/>
      <c r="EC335" s="431"/>
      <c r="ED335" s="37"/>
      <c r="EE335" s="37"/>
      <c r="EF335" s="37"/>
      <c r="EG335" s="437"/>
    </row>
    <row r="336" spans="1:137" ht="11.25" customHeight="1" outlineLevel="1" x14ac:dyDescent="0.2">
      <c r="A336" s="436" t="s">
        <v>105</v>
      </c>
      <c r="B336" s="38"/>
      <c r="C336" s="38"/>
      <c r="D336" s="44"/>
      <c r="E336" s="450"/>
      <c r="F336" s="44"/>
      <c r="G336" s="450"/>
      <c r="H336" s="44"/>
      <c r="I336" s="450"/>
      <c r="J336" s="44"/>
      <c r="K336" s="450"/>
      <c r="L336" s="44"/>
      <c r="M336" s="432"/>
      <c r="N336" s="44"/>
      <c r="O336" s="44"/>
      <c r="P336" s="44"/>
      <c r="Q336" s="450"/>
      <c r="R336" s="44"/>
      <c r="S336" s="432"/>
      <c r="T336" s="44"/>
      <c r="U336" s="44"/>
      <c r="V336" s="44"/>
      <c r="W336" s="450"/>
      <c r="X336" s="44"/>
      <c r="Y336" s="501">
        <v>0.08</v>
      </c>
      <c r="Z336" s="385">
        <v>0.11</v>
      </c>
      <c r="AA336" s="385">
        <v>2.5000000000000001E-2</v>
      </c>
      <c r="AB336" s="385" t="e">
        <f>+#REF!</f>
        <v>#REF!</v>
      </c>
      <c r="AC336" s="1151"/>
      <c r="AD336" s="385"/>
      <c r="AE336" s="501"/>
      <c r="AF336" s="385"/>
      <c r="AG336" s="385"/>
      <c r="AH336" s="385"/>
      <c r="AI336" s="1151"/>
      <c r="AJ336" s="385"/>
      <c r="AK336" s="501"/>
      <c r="AL336" s="385"/>
      <c r="AM336" s="385"/>
      <c r="AN336" s="385"/>
      <c r="AO336" s="1151">
        <v>9.5000000000000001E-2</v>
      </c>
      <c r="AP336" s="385"/>
      <c r="AQ336" s="501"/>
      <c r="AR336" s="385"/>
      <c r="AS336" s="385"/>
      <c r="AT336" s="385"/>
      <c r="AU336" s="1151"/>
      <c r="AV336" s="385"/>
      <c r="AW336" s="501"/>
      <c r="AX336" s="385"/>
      <c r="AY336" s="385"/>
      <c r="AZ336" s="385"/>
      <c r="BA336" s="1151"/>
      <c r="BB336" s="385"/>
      <c r="BC336" s="501"/>
      <c r="BD336" s="385"/>
      <c r="BE336" s="385"/>
      <c r="BF336" s="385"/>
      <c r="BG336" s="1151" t="s">
        <v>484</v>
      </c>
      <c r="BH336" s="385"/>
      <c r="BI336" s="501">
        <v>-0.08</v>
      </c>
      <c r="BJ336" s="385">
        <v>-0.125</v>
      </c>
      <c r="BK336" s="385">
        <v>-8.5000000000000006E-2</v>
      </c>
      <c r="BL336" s="385">
        <v>-1.4999999999999999E-2</v>
      </c>
      <c r="BM336" s="1151"/>
      <c r="BN336" s="385"/>
      <c r="BO336" s="501"/>
      <c r="BP336" s="385"/>
      <c r="BQ336" s="385"/>
      <c r="BR336" s="385"/>
      <c r="BS336" s="1151" t="s">
        <v>485</v>
      </c>
      <c r="BT336" s="385"/>
      <c r="BU336" s="501" t="s">
        <v>486</v>
      </c>
      <c r="BV336" s="385" t="s">
        <v>480</v>
      </c>
      <c r="BW336" s="385" t="s">
        <v>477</v>
      </c>
      <c r="BX336" s="385" t="s">
        <v>478</v>
      </c>
      <c r="BY336" s="1151" t="s">
        <v>474</v>
      </c>
      <c r="BZ336" s="385"/>
      <c r="CA336" s="501" t="s">
        <v>487</v>
      </c>
      <c r="CB336" s="385" t="s">
        <v>481</v>
      </c>
      <c r="CC336" s="385" t="s">
        <v>480</v>
      </c>
      <c r="CD336" s="385" t="s">
        <v>477</v>
      </c>
      <c r="CE336" s="1151" t="s">
        <v>481</v>
      </c>
      <c r="CF336" s="385"/>
      <c r="CG336" s="501" t="s">
        <v>481</v>
      </c>
      <c r="CH336" s="385" t="s">
        <v>488</v>
      </c>
      <c r="CI336" s="385" t="s">
        <v>14</v>
      </c>
      <c r="CJ336" s="385" t="s">
        <v>481</v>
      </c>
      <c r="CK336" s="1151" t="s">
        <v>481</v>
      </c>
      <c r="CL336" s="385"/>
      <c r="CM336" s="501" t="s">
        <v>481</v>
      </c>
      <c r="CN336" s="385" t="s">
        <v>478</v>
      </c>
      <c r="CO336" s="385" t="s">
        <v>481</v>
      </c>
      <c r="CP336" s="385" t="s">
        <v>481</v>
      </c>
      <c r="CQ336" s="1151" t="s">
        <v>489</v>
      </c>
      <c r="CR336" s="385"/>
      <c r="CS336" s="442" t="s">
        <v>477</v>
      </c>
      <c r="CT336" s="347" t="s">
        <v>477</v>
      </c>
      <c r="CU336" s="347" t="s">
        <v>482</v>
      </c>
      <c r="CV336" s="347" t="s">
        <v>207</v>
      </c>
      <c r="CW336" s="445" t="s">
        <v>475</v>
      </c>
      <c r="CX336" s="385"/>
      <c r="CY336" s="442" t="s">
        <v>64</v>
      </c>
      <c r="CZ336" s="347" t="s">
        <v>478</v>
      </c>
      <c r="DA336" s="347" t="s">
        <v>475</v>
      </c>
      <c r="DB336" s="347" t="s">
        <v>481</v>
      </c>
      <c r="DC336" s="445" t="s">
        <v>475</v>
      </c>
      <c r="DD336" s="44"/>
      <c r="DE336" s="1152" t="s">
        <v>475</v>
      </c>
      <c r="DF336" s="1157" t="s">
        <v>382</v>
      </c>
      <c r="DG336" s="1158" t="s">
        <v>382</v>
      </c>
      <c r="DH336" s="37"/>
      <c r="DI336" s="445" t="s">
        <v>475</v>
      </c>
      <c r="DJ336" s="44"/>
      <c r="DK336" s="1330" t="s">
        <v>382</v>
      </c>
      <c r="DL336" s="1153"/>
      <c r="DM336" s="1153"/>
      <c r="DN336" s="37"/>
      <c r="DO336" s="437"/>
      <c r="DP336" s="44"/>
      <c r="DQ336" s="1154"/>
      <c r="DR336" s="1153"/>
      <c r="DS336" s="1153"/>
      <c r="DT336" s="37"/>
      <c r="DU336" s="437"/>
      <c r="DV336" s="44"/>
      <c r="DW336" s="1154"/>
      <c r="DX336" s="1153"/>
      <c r="DY336" s="1153"/>
      <c r="DZ336" s="37"/>
      <c r="EA336" s="437"/>
      <c r="EB336" s="44"/>
      <c r="EC336" s="1154"/>
      <c r="ED336" s="1153"/>
      <c r="EE336" s="1153"/>
      <c r="EF336" s="37"/>
      <c r="EG336" s="437"/>
    </row>
    <row r="337" spans="1:137" ht="11.25" customHeight="1" outlineLevel="1" x14ac:dyDescent="0.2">
      <c r="A337" s="1020" t="s">
        <v>636</v>
      </c>
      <c r="B337" s="38"/>
      <c r="C337" s="38"/>
      <c r="D337" s="44"/>
      <c r="E337" s="450"/>
      <c r="F337" s="44"/>
      <c r="G337" s="450"/>
      <c r="H337" s="44"/>
      <c r="I337" s="450"/>
      <c r="J337" s="44"/>
      <c r="K337" s="450"/>
      <c r="L337" s="44"/>
      <c r="M337" s="432"/>
      <c r="N337" s="44"/>
      <c r="O337" s="44"/>
      <c r="P337" s="44"/>
      <c r="Q337" s="450"/>
      <c r="R337" s="44"/>
      <c r="S337" s="432"/>
      <c r="T337" s="44"/>
      <c r="U337" s="44"/>
      <c r="V337" s="44"/>
      <c r="W337" s="450"/>
      <c r="X337" s="44"/>
      <c r="Y337" s="501"/>
      <c r="Z337" s="385"/>
      <c r="AA337" s="385"/>
      <c r="AB337" s="385"/>
      <c r="AC337" s="1151"/>
      <c r="AD337" s="385"/>
      <c r="AE337" s="501"/>
      <c r="AF337" s="385"/>
      <c r="AG337" s="385"/>
      <c r="AH337" s="385"/>
      <c r="AI337" s="1151"/>
      <c r="AJ337" s="385"/>
      <c r="AK337" s="501"/>
      <c r="AL337" s="385"/>
      <c r="AM337" s="385"/>
      <c r="AN337" s="385"/>
      <c r="AO337" s="1151"/>
      <c r="AP337" s="385"/>
      <c r="AQ337" s="501"/>
      <c r="AR337" s="385"/>
      <c r="AS337" s="385"/>
      <c r="AT337" s="385"/>
      <c r="AU337" s="1151"/>
      <c r="AV337" s="385"/>
      <c r="AW337" s="501"/>
      <c r="AX337" s="385"/>
      <c r="AY337" s="385"/>
      <c r="AZ337" s="385"/>
      <c r="BA337" s="1151"/>
      <c r="BB337" s="385"/>
      <c r="BC337" s="501"/>
      <c r="BD337" s="385"/>
      <c r="BE337" s="385"/>
      <c r="BF337" s="385"/>
      <c r="BG337" s="1151"/>
      <c r="BH337" s="385"/>
      <c r="BI337" s="501"/>
      <c r="BJ337" s="385"/>
      <c r="BK337" s="385"/>
      <c r="BL337" s="385"/>
      <c r="BM337" s="1151"/>
      <c r="BN337" s="385"/>
      <c r="BO337" s="501"/>
      <c r="BP337" s="385"/>
      <c r="BQ337" s="385"/>
      <c r="BR337" s="385"/>
      <c r="BS337" s="1151"/>
      <c r="BT337" s="385"/>
      <c r="BU337" s="501"/>
      <c r="BV337" s="385"/>
      <c r="BW337" s="385"/>
      <c r="BX337" s="385"/>
      <c r="BY337" s="1151"/>
      <c r="BZ337" s="385"/>
      <c r="CA337" s="501"/>
      <c r="CB337" s="385"/>
      <c r="CC337" s="385"/>
      <c r="CD337" s="385"/>
      <c r="CE337" s="1151"/>
      <c r="CF337" s="385"/>
      <c r="CG337" s="501"/>
      <c r="CH337" s="385"/>
      <c r="CI337" s="385"/>
      <c r="CJ337" s="385"/>
      <c r="CK337" s="1151"/>
      <c r="CL337" s="385"/>
      <c r="CM337" s="501"/>
      <c r="CN337" s="385"/>
      <c r="CO337" s="385"/>
      <c r="CP337" s="385"/>
      <c r="CQ337" s="1151"/>
      <c r="CR337" s="385"/>
      <c r="CS337" s="442"/>
      <c r="CT337" s="347"/>
      <c r="CU337" s="347"/>
      <c r="CV337" s="347"/>
      <c r="CW337" s="445"/>
      <c r="CX337" s="385"/>
      <c r="CY337" s="442"/>
      <c r="CZ337" s="347"/>
      <c r="DA337" s="347"/>
      <c r="DB337" s="347"/>
      <c r="DC337" s="445"/>
      <c r="DD337" s="44"/>
      <c r="DE337" s="1152"/>
      <c r="DF337" s="1157" t="s">
        <v>382</v>
      </c>
      <c r="DG337" s="1158" t="s">
        <v>382</v>
      </c>
      <c r="DH337" s="37"/>
      <c r="DI337" s="437"/>
      <c r="DJ337" s="44"/>
      <c r="DK337" s="1330" t="s">
        <v>384</v>
      </c>
      <c r="DL337" s="1153"/>
      <c r="DM337" s="1153"/>
      <c r="DN337" s="37"/>
      <c r="DO337" s="437"/>
      <c r="DP337" s="44"/>
      <c r="DQ337" s="1154"/>
      <c r="DR337" s="1153"/>
      <c r="DS337" s="1153"/>
      <c r="DT337" s="37"/>
      <c r="DU337" s="437"/>
      <c r="DV337" s="44"/>
      <c r="DW337" s="1154"/>
      <c r="DX337" s="1153"/>
      <c r="DY337" s="1153"/>
      <c r="DZ337" s="37"/>
      <c r="EA337" s="437"/>
      <c r="EB337" s="44"/>
      <c r="EC337" s="1154"/>
      <c r="ED337" s="1153"/>
      <c r="EE337" s="1153"/>
      <c r="EF337" s="37"/>
      <c r="EG337" s="437"/>
    </row>
    <row r="338" spans="1:137" ht="11.25" customHeight="1" outlineLevel="1" x14ac:dyDescent="0.2">
      <c r="A338" s="1020" t="s">
        <v>637</v>
      </c>
      <c r="B338" s="38"/>
      <c r="C338" s="38"/>
      <c r="D338" s="44"/>
      <c r="E338" s="450"/>
      <c r="F338" s="44"/>
      <c r="G338" s="450"/>
      <c r="H338" s="44"/>
      <c r="I338" s="450"/>
      <c r="J338" s="44"/>
      <c r="K338" s="450"/>
      <c r="L338" s="44"/>
      <c r="M338" s="432"/>
      <c r="N338" s="44"/>
      <c r="O338" s="44"/>
      <c r="P338" s="44"/>
      <c r="Q338" s="450"/>
      <c r="R338" s="44"/>
      <c r="S338" s="432"/>
      <c r="T338" s="44"/>
      <c r="U338" s="44"/>
      <c r="V338" s="44"/>
      <c r="W338" s="450"/>
      <c r="X338" s="44"/>
      <c r="Y338" s="501"/>
      <c r="Z338" s="385"/>
      <c r="AA338" s="385"/>
      <c r="AB338" s="385"/>
      <c r="AC338" s="1151"/>
      <c r="AD338" s="385"/>
      <c r="AE338" s="501"/>
      <c r="AF338" s="385"/>
      <c r="AG338" s="385"/>
      <c r="AH338" s="385"/>
      <c r="AI338" s="1151"/>
      <c r="AJ338" s="385"/>
      <c r="AK338" s="501"/>
      <c r="AL338" s="385"/>
      <c r="AM338" s="385"/>
      <c r="AN338" s="385"/>
      <c r="AO338" s="1151"/>
      <c r="AP338" s="385"/>
      <c r="AQ338" s="501"/>
      <c r="AR338" s="385"/>
      <c r="AS338" s="385"/>
      <c r="AT338" s="385"/>
      <c r="AU338" s="1151"/>
      <c r="AV338" s="385"/>
      <c r="AW338" s="501"/>
      <c r="AX338" s="385"/>
      <c r="AY338" s="385"/>
      <c r="AZ338" s="385"/>
      <c r="BA338" s="1151"/>
      <c r="BB338" s="385"/>
      <c r="BC338" s="501"/>
      <c r="BD338" s="385"/>
      <c r="BE338" s="385"/>
      <c r="BF338" s="385"/>
      <c r="BG338" s="1151"/>
      <c r="BH338" s="385"/>
      <c r="BI338" s="501"/>
      <c r="BJ338" s="385"/>
      <c r="BK338" s="385"/>
      <c r="BL338" s="385"/>
      <c r="BM338" s="1151"/>
      <c r="BN338" s="385"/>
      <c r="BO338" s="501"/>
      <c r="BP338" s="385"/>
      <c r="BQ338" s="385"/>
      <c r="BR338" s="385"/>
      <c r="BS338" s="1151"/>
      <c r="BT338" s="385"/>
      <c r="BU338" s="501"/>
      <c r="BV338" s="385"/>
      <c r="BW338" s="385"/>
      <c r="BX338" s="385"/>
      <c r="BY338" s="1151"/>
      <c r="BZ338" s="385"/>
      <c r="CA338" s="501"/>
      <c r="CB338" s="385"/>
      <c r="CC338" s="385"/>
      <c r="CD338" s="385"/>
      <c r="CE338" s="1151"/>
      <c r="CF338" s="385"/>
      <c r="CG338" s="501"/>
      <c r="CH338" s="385"/>
      <c r="CI338" s="385"/>
      <c r="CJ338" s="385"/>
      <c r="CK338" s="1151"/>
      <c r="CL338" s="385"/>
      <c r="CM338" s="501"/>
      <c r="CN338" s="385"/>
      <c r="CO338" s="385"/>
      <c r="CP338" s="385"/>
      <c r="CQ338" s="1151"/>
      <c r="CR338" s="385"/>
      <c r="CS338" s="442"/>
      <c r="CT338" s="347"/>
      <c r="CU338" s="347"/>
      <c r="CV338" s="347"/>
      <c r="CW338" s="445"/>
      <c r="CX338" s="385"/>
      <c r="CY338" s="442"/>
      <c r="CZ338" s="347"/>
      <c r="DA338" s="347"/>
      <c r="DB338" s="347"/>
      <c r="DC338" s="445"/>
      <c r="DD338" s="44"/>
      <c r="DE338" s="1152"/>
      <c r="DF338" s="1157" t="s">
        <v>382</v>
      </c>
      <c r="DG338" s="1158" t="s">
        <v>382</v>
      </c>
      <c r="DH338" s="37"/>
      <c r="DI338" s="437"/>
      <c r="DJ338" s="44"/>
      <c r="DK338" s="1330" t="s">
        <v>383</v>
      </c>
      <c r="DL338" s="1153"/>
      <c r="DM338" s="1153"/>
      <c r="DN338" s="37"/>
      <c r="DO338" s="437"/>
      <c r="DP338" s="44"/>
      <c r="DQ338" s="1154"/>
      <c r="DR338" s="1153"/>
      <c r="DS338" s="1153"/>
      <c r="DT338" s="37"/>
      <c r="DU338" s="437"/>
      <c r="DV338" s="44"/>
      <c r="DW338" s="1154"/>
      <c r="DX338" s="1153"/>
      <c r="DY338" s="1153"/>
      <c r="DZ338" s="37"/>
      <c r="EA338" s="437"/>
      <c r="EB338" s="44"/>
      <c r="EC338" s="1154"/>
      <c r="ED338" s="1153"/>
      <c r="EE338" s="1153"/>
      <c r="EF338" s="37"/>
      <c r="EG338" s="437"/>
    </row>
    <row r="339" spans="1:137" ht="11.25" customHeight="1" outlineLevel="1" x14ac:dyDescent="0.2">
      <c r="A339" s="452"/>
      <c r="B339" s="38"/>
      <c r="C339" s="38"/>
      <c r="D339" s="44"/>
      <c r="E339" s="450"/>
      <c r="F339" s="44"/>
      <c r="G339" s="450"/>
      <c r="H339" s="44"/>
      <c r="I339" s="450"/>
      <c r="J339" s="44"/>
      <c r="K339" s="450"/>
      <c r="L339" s="44"/>
      <c r="M339" s="432"/>
      <c r="N339" s="44"/>
      <c r="O339" s="44"/>
      <c r="P339" s="44"/>
      <c r="Q339" s="450"/>
      <c r="R339" s="44"/>
      <c r="S339" s="432"/>
      <c r="T339" s="44"/>
      <c r="U339" s="44"/>
      <c r="V339" s="44"/>
      <c r="W339" s="450"/>
      <c r="X339" s="44"/>
      <c r="Y339" s="432"/>
      <c r="Z339" s="44"/>
      <c r="AA339" s="44"/>
      <c r="AB339" s="44"/>
      <c r="AC339" s="450"/>
      <c r="AD339" s="44"/>
      <c r="AE339" s="432"/>
      <c r="AF339" s="44"/>
      <c r="AG339" s="44"/>
      <c r="AH339" s="44"/>
      <c r="AI339" s="450"/>
      <c r="AJ339" s="44"/>
      <c r="AK339" s="432"/>
      <c r="AL339" s="44"/>
      <c r="AM339" s="44"/>
      <c r="AN339" s="44"/>
      <c r="AO339" s="450"/>
      <c r="AP339" s="44"/>
      <c r="AQ339" s="432"/>
      <c r="AR339" s="44"/>
      <c r="AS339" s="44"/>
      <c r="AT339" s="44"/>
      <c r="AU339" s="450"/>
      <c r="AV339" s="44"/>
      <c r="AW339" s="432"/>
      <c r="AX339" s="44"/>
      <c r="AY339" s="44"/>
      <c r="AZ339" s="44"/>
      <c r="BA339" s="450"/>
      <c r="BB339" s="44"/>
      <c r="BC339" s="432"/>
      <c r="BD339" s="44"/>
      <c r="BE339" s="44"/>
      <c r="BF339" s="44"/>
      <c r="BG339" s="450"/>
      <c r="BH339" s="44"/>
      <c r="BI339" s="432"/>
      <c r="BJ339" s="44"/>
      <c r="BK339" s="44"/>
      <c r="BL339" s="44"/>
      <c r="BM339" s="450"/>
      <c r="BN339" s="44"/>
      <c r="BO339" s="432"/>
      <c r="BP339" s="44"/>
      <c r="BQ339" s="44"/>
      <c r="BR339" s="44"/>
      <c r="BS339" s="450"/>
      <c r="BT339" s="44"/>
      <c r="BU339" s="432"/>
      <c r="BV339" s="44"/>
      <c r="BW339" s="44"/>
      <c r="BX339" s="44"/>
      <c r="BY339" s="450"/>
      <c r="BZ339" s="44"/>
      <c r="CA339" s="432"/>
      <c r="CB339" s="44"/>
      <c r="CC339" s="44"/>
      <c r="CD339" s="44"/>
      <c r="CE339" s="450"/>
      <c r="CF339" s="44"/>
      <c r="CG339" s="432"/>
      <c r="CH339" s="44"/>
      <c r="CI339" s="44"/>
      <c r="CJ339" s="44"/>
      <c r="CK339" s="450"/>
      <c r="CL339" s="44"/>
      <c r="CM339" s="432"/>
      <c r="CN339" s="44"/>
      <c r="CO339" s="44"/>
      <c r="CP339" s="44"/>
      <c r="CQ339" s="450"/>
      <c r="CR339" s="44"/>
      <c r="CS339" s="442"/>
      <c r="CT339" s="347"/>
      <c r="CU339" s="347"/>
      <c r="CV339" s="347"/>
      <c r="CW339" s="445"/>
      <c r="CX339" s="44"/>
      <c r="CY339" s="442"/>
      <c r="CZ339" s="347"/>
      <c r="DA339" s="347"/>
      <c r="DB339" s="347"/>
      <c r="DC339" s="445"/>
      <c r="DD339" s="44"/>
      <c r="DE339" s="560"/>
      <c r="DF339" s="37"/>
      <c r="DG339" s="1157"/>
      <c r="DH339" s="37"/>
      <c r="DI339" s="436"/>
      <c r="DJ339" s="44"/>
      <c r="DK339" s="431"/>
      <c r="DL339" s="37"/>
      <c r="DM339" s="37"/>
      <c r="DN339" s="37"/>
      <c r="DO339" s="436"/>
      <c r="DP339" s="44"/>
      <c r="DQ339" s="431"/>
      <c r="DR339" s="37"/>
      <c r="DS339" s="37"/>
      <c r="DT339" s="37"/>
      <c r="DU339" s="436"/>
      <c r="DV339" s="44"/>
      <c r="DW339" s="431"/>
      <c r="DX339" s="37"/>
      <c r="DY339" s="37"/>
      <c r="DZ339" s="37"/>
      <c r="EA339" s="436"/>
      <c r="EB339" s="44"/>
      <c r="EC339" s="431"/>
      <c r="ED339" s="37"/>
      <c r="EE339" s="37"/>
      <c r="EF339" s="37"/>
      <c r="EG339" s="436"/>
    </row>
    <row r="340" spans="1:137" ht="11.25" customHeight="1" outlineLevel="1" x14ac:dyDescent="0.2">
      <c r="A340" s="436" t="s">
        <v>11</v>
      </c>
      <c r="B340" s="42"/>
      <c r="C340" s="42"/>
      <c r="D340" s="54"/>
      <c r="E340" s="453"/>
      <c r="F340" s="54"/>
      <c r="G340" s="453"/>
      <c r="H340" s="54"/>
      <c r="I340" s="453"/>
      <c r="J340" s="54"/>
      <c r="K340" s="453"/>
      <c r="L340" s="54"/>
      <c r="M340" s="451"/>
      <c r="N340" s="54"/>
      <c r="O340" s="54"/>
      <c r="P340" s="54"/>
      <c r="Q340" s="453"/>
      <c r="R340" s="54"/>
      <c r="S340" s="451"/>
      <c r="T340" s="54"/>
      <c r="U340" s="54"/>
      <c r="V340" s="54"/>
      <c r="W340" s="453"/>
      <c r="X340" s="54"/>
      <c r="Y340" s="451"/>
      <c r="Z340" s="54"/>
      <c r="AA340" s="54"/>
      <c r="AB340" s="54"/>
      <c r="AC340" s="453"/>
      <c r="AD340" s="54"/>
      <c r="AE340" s="451"/>
      <c r="AF340" s="54"/>
      <c r="AG340" s="54"/>
      <c r="AH340" s="54"/>
      <c r="AI340" s="453"/>
      <c r="AJ340" s="54"/>
      <c r="AK340" s="451"/>
      <c r="AL340" s="54"/>
      <c r="AM340" s="54"/>
      <c r="AN340" s="54"/>
      <c r="AO340" s="453"/>
      <c r="AP340" s="54"/>
      <c r="AQ340" s="451"/>
      <c r="AR340" s="54"/>
      <c r="AS340" s="54"/>
      <c r="AT340" s="54"/>
      <c r="AU340" s="453"/>
      <c r="AV340" s="54"/>
      <c r="AW340" s="451"/>
      <c r="AX340" s="54"/>
      <c r="AY340" s="54"/>
      <c r="AZ340" s="54"/>
      <c r="BA340" s="453"/>
      <c r="BB340" s="54"/>
      <c r="BC340" s="451"/>
      <c r="BD340" s="54"/>
      <c r="BE340" s="54"/>
      <c r="BF340" s="54"/>
      <c r="BG340" s="453"/>
      <c r="BH340" s="54"/>
      <c r="BI340" s="451"/>
      <c r="BJ340" s="54"/>
      <c r="BK340" s="54"/>
      <c r="BL340" s="54"/>
      <c r="BM340" s="453"/>
      <c r="BN340" s="54"/>
      <c r="BO340" s="451"/>
      <c r="BP340" s="54"/>
      <c r="BQ340" s="54"/>
      <c r="BR340" s="54"/>
      <c r="BS340" s="453"/>
      <c r="BT340" s="54"/>
      <c r="BU340" s="451"/>
      <c r="BV340" s="54"/>
      <c r="BW340" s="54"/>
      <c r="BX340" s="54"/>
      <c r="BY340" s="453"/>
      <c r="BZ340" s="54"/>
      <c r="CA340" s="451"/>
      <c r="CB340" s="54"/>
      <c r="CC340" s="54"/>
      <c r="CD340" s="54"/>
      <c r="CE340" s="453"/>
      <c r="CF340" s="54"/>
      <c r="CG340" s="451"/>
      <c r="CH340" s="54"/>
      <c r="CI340" s="54"/>
      <c r="CJ340" s="54"/>
      <c r="CK340" s="453"/>
      <c r="CL340" s="54"/>
      <c r="CM340" s="451"/>
      <c r="CN340" s="54"/>
      <c r="CO340" s="54"/>
      <c r="CP340" s="388" t="s">
        <v>449</v>
      </c>
      <c r="CQ340" s="693">
        <v>5.0000000000000001E-3</v>
      </c>
      <c r="CR340" s="54"/>
      <c r="CS340" s="442">
        <v>5.0000000000000001E-3</v>
      </c>
      <c r="CT340" s="347">
        <v>5.0000000000000001E-3</v>
      </c>
      <c r="CU340" s="347">
        <v>1.4999999999999999E-2</v>
      </c>
      <c r="CV340" s="347" t="s">
        <v>449</v>
      </c>
      <c r="CW340" s="445">
        <v>0.01</v>
      </c>
      <c r="CX340" s="54"/>
      <c r="CY340" s="442">
        <v>0.01</v>
      </c>
      <c r="CZ340" s="347">
        <v>0.01</v>
      </c>
      <c r="DA340" s="347">
        <v>0.01</v>
      </c>
      <c r="DB340" s="347" t="s">
        <v>449</v>
      </c>
      <c r="DC340" s="445">
        <v>0.01</v>
      </c>
      <c r="DD340" s="54"/>
      <c r="DE340" s="504">
        <v>5.0000000000000001E-3</v>
      </c>
      <c r="DF340" s="1157">
        <v>5.0000000000000001E-3</v>
      </c>
      <c r="DG340" s="1157">
        <v>0.01</v>
      </c>
      <c r="DH340" s="43"/>
      <c r="DI340" s="1146">
        <v>0.01</v>
      </c>
      <c r="DJ340" s="54"/>
      <c r="DK340" s="504">
        <v>1.4999999999999999E-2</v>
      </c>
      <c r="DL340" s="1157"/>
      <c r="DM340" s="1157"/>
      <c r="DN340" s="43"/>
      <c r="DO340" s="1146"/>
      <c r="DP340" s="54"/>
      <c r="DQ340" s="434"/>
      <c r="DR340" s="43"/>
      <c r="DS340" s="43"/>
      <c r="DT340" s="43"/>
      <c r="DU340" s="438"/>
      <c r="DV340" s="54"/>
      <c r="DW340" s="434"/>
      <c r="DX340" s="43"/>
      <c r="DY340" s="43"/>
      <c r="DZ340" s="43"/>
      <c r="EA340" s="438"/>
      <c r="EB340" s="54"/>
      <c r="EC340" s="434"/>
      <c r="ED340" s="43"/>
      <c r="EE340" s="43"/>
      <c r="EF340" s="43"/>
      <c r="EG340" s="438"/>
    </row>
    <row r="341" spans="1:137" ht="11.25" customHeight="1" x14ac:dyDescent="0.2">
      <c r="A341" s="892"/>
      <c r="B341" s="14"/>
      <c r="C341" s="14"/>
      <c r="D341" s="14"/>
      <c r="E341" s="416"/>
      <c r="F341" s="416"/>
      <c r="G341" s="416"/>
      <c r="H341" s="416"/>
      <c r="I341" s="416"/>
      <c r="J341" s="416"/>
      <c r="K341" s="416"/>
      <c r="L341" s="416"/>
      <c r="M341" s="416"/>
      <c r="N341" s="416"/>
      <c r="O341" s="416"/>
      <c r="P341" s="416"/>
      <c r="Q341" s="416"/>
      <c r="R341" s="416"/>
      <c r="S341" s="416"/>
      <c r="T341" s="416"/>
      <c r="U341" s="416"/>
      <c r="V341" s="416"/>
      <c r="W341" s="416"/>
      <c r="X341" s="416"/>
      <c r="Y341" s="416"/>
      <c r="Z341" s="416"/>
      <c r="AA341" s="416"/>
      <c r="AB341" s="416"/>
      <c r="AC341" s="416"/>
      <c r="AD341" s="416"/>
      <c r="AE341" s="416"/>
      <c r="AF341" s="416"/>
      <c r="AG341" s="416"/>
      <c r="AH341" s="416"/>
      <c r="AI341" s="416"/>
      <c r="AJ341" s="416"/>
      <c r="AK341" s="416"/>
      <c r="AL341" s="416"/>
      <c r="AM341" s="416"/>
      <c r="AN341" s="416"/>
      <c r="AO341" s="416"/>
      <c r="AP341" s="416"/>
      <c r="AQ341" s="416"/>
      <c r="AR341" s="416"/>
      <c r="AS341" s="416"/>
      <c r="AT341" s="416"/>
      <c r="AU341" s="416"/>
      <c r="AV341" s="416"/>
      <c r="AW341" s="416"/>
      <c r="AX341" s="416"/>
      <c r="AY341" s="416"/>
      <c r="AZ341" s="416"/>
      <c r="BA341" s="416"/>
      <c r="BB341" s="416"/>
      <c r="BC341" s="416"/>
      <c r="BD341" s="416"/>
      <c r="BE341" s="416"/>
      <c r="BF341" s="416"/>
      <c r="BG341" s="420"/>
      <c r="BH341" s="416"/>
      <c r="BI341" s="420"/>
      <c r="BJ341" s="420"/>
      <c r="BK341" s="420"/>
      <c r="BL341" s="420"/>
      <c r="BM341" s="420"/>
      <c r="BN341" s="416"/>
      <c r="BO341" s="420"/>
      <c r="BP341" s="420"/>
      <c r="BQ341" s="420"/>
      <c r="BR341" s="420"/>
      <c r="BS341" s="420"/>
      <c r="BT341" s="71"/>
      <c r="BU341" s="420"/>
      <c r="BV341" s="420"/>
      <c r="BW341" s="420"/>
      <c r="BX341" s="420"/>
      <c r="BY341" s="420"/>
      <c r="BZ341" s="71"/>
      <c r="CA341" s="420"/>
      <c r="CB341" s="420"/>
      <c r="CC341" s="420"/>
      <c r="CD341" s="420"/>
      <c r="CE341" s="420"/>
      <c r="CF341" s="71"/>
      <c r="CG341" s="420"/>
      <c r="CH341" s="420"/>
      <c r="CI341" s="420"/>
      <c r="CJ341" s="420"/>
      <c r="CK341" s="420"/>
      <c r="CL341" s="71"/>
      <c r="CM341" s="420"/>
      <c r="CN341" s="420"/>
      <c r="CO341" s="420"/>
      <c r="CP341" s="420"/>
      <c r="CQ341" s="420"/>
      <c r="CR341" s="71"/>
      <c r="CS341" s="893"/>
      <c r="CT341" s="893"/>
      <c r="CU341" s="893"/>
      <c r="CV341" s="893"/>
      <c r="CW341" s="144"/>
      <c r="CX341" s="15"/>
      <c r="CY341" s="893"/>
      <c r="CZ341" s="893"/>
      <c r="DA341" s="893"/>
      <c r="DB341" s="893"/>
      <c r="DC341" s="144"/>
      <c r="DD341" s="71"/>
      <c r="DE341" s="138"/>
      <c r="DF341" s="138"/>
      <c r="DG341" s="138"/>
      <c r="DH341" s="138"/>
      <c r="DI341" s="138"/>
      <c r="DJ341" s="71"/>
      <c r="DK341" s="138"/>
      <c r="DL341" s="138"/>
      <c r="DM341" s="138"/>
      <c r="DN341" s="138"/>
      <c r="DO341" s="138"/>
      <c r="DP341" s="71"/>
      <c r="DQ341" s="138"/>
      <c r="DR341" s="138"/>
      <c r="DS341" s="138"/>
      <c r="DT341" s="138"/>
      <c r="DU341" s="138"/>
      <c r="DV341" s="71"/>
      <c r="DW341" s="138"/>
      <c r="DX341" s="138"/>
      <c r="DY341" s="138"/>
      <c r="DZ341" s="138"/>
      <c r="EA341" s="138"/>
      <c r="EB341" s="71"/>
      <c r="EC341" s="138"/>
      <c r="ED341" s="138"/>
      <c r="EE341" s="138"/>
      <c r="EF341" s="138"/>
      <c r="EG341" s="138"/>
    </row>
    <row r="342" spans="1:137" ht="11.25" customHeight="1" x14ac:dyDescent="0.2">
      <c r="A342" s="106" t="s">
        <v>422</v>
      </c>
      <c r="B342" s="74"/>
      <c r="C342" s="74"/>
      <c r="D342" s="74"/>
      <c r="E342" s="107"/>
      <c r="F342" s="75"/>
      <c r="G342" s="107"/>
      <c r="H342" s="75"/>
      <c r="I342" s="107"/>
      <c r="J342" s="75"/>
      <c r="K342" s="107"/>
      <c r="L342" s="75"/>
      <c r="M342" s="109"/>
      <c r="N342" s="110"/>
      <c r="O342" s="110"/>
      <c r="P342" s="110"/>
      <c r="Q342" s="107"/>
      <c r="R342" s="75"/>
      <c r="S342" s="109"/>
      <c r="T342" s="110"/>
      <c r="U342" s="110"/>
      <c r="V342" s="110"/>
      <c r="W342" s="107"/>
      <c r="X342" s="75"/>
      <c r="Y342" s="109"/>
      <c r="Z342" s="110"/>
      <c r="AA342" s="110"/>
      <c r="AB342" s="110"/>
      <c r="AC342" s="107"/>
      <c r="AD342" s="75"/>
      <c r="AE342" s="109"/>
      <c r="AF342" s="110"/>
      <c r="AG342" s="110"/>
      <c r="AH342" s="110"/>
      <c r="AI342" s="107"/>
      <c r="AJ342" s="75"/>
      <c r="AK342" s="109"/>
      <c r="AL342" s="110"/>
      <c r="AM342" s="110"/>
      <c r="AN342" s="110"/>
      <c r="AO342" s="107"/>
      <c r="AP342" s="75"/>
      <c r="AQ342" s="109"/>
      <c r="AR342" s="110"/>
      <c r="AS342" s="110"/>
      <c r="AT342" s="110"/>
      <c r="AU342" s="107"/>
      <c r="AV342" s="75"/>
      <c r="AW342" s="109"/>
      <c r="AX342" s="110"/>
      <c r="AY342" s="110"/>
      <c r="AZ342" s="110"/>
      <c r="BA342" s="107"/>
      <c r="BB342" s="75"/>
      <c r="BC342" s="109"/>
      <c r="BD342" s="110"/>
      <c r="BE342" s="110"/>
      <c r="BF342" s="110"/>
      <c r="BG342" s="107"/>
      <c r="BH342" s="75"/>
      <c r="BI342" s="109"/>
      <c r="BJ342" s="110"/>
      <c r="BK342" s="110"/>
      <c r="BL342" s="110"/>
      <c r="BM342" s="107"/>
      <c r="BN342" s="75"/>
      <c r="BO342" s="109"/>
      <c r="BP342" s="110"/>
      <c r="BQ342" s="110"/>
      <c r="BR342" s="110"/>
      <c r="BS342" s="107"/>
      <c r="BT342" s="75"/>
      <c r="BU342" s="109"/>
      <c r="BV342" s="110"/>
      <c r="BW342" s="110"/>
      <c r="BX342" s="110"/>
      <c r="BY342" s="107"/>
      <c r="BZ342" s="75"/>
      <c r="CA342" s="109"/>
      <c r="CB342" s="110"/>
      <c r="CC342" s="110"/>
      <c r="CD342" s="110"/>
      <c r="CE342" s="107"/>
      <c r="CF342" s="75"/>
      <c r="CG342" s="109"/>
      <c r="CH342" s="110"/>
      <c r="CI342" s="110"/>
      <c r="CJ342" s="110"/>
      <c r="CK342" s="107"/>
      <c r="CL342" s="75"/>
      <c r="CM342" s="109"/>
      <c r="CN342" s="110"/>
      <c r="CO342" s="110"/>
      <c r="CP342" s="110"/>
      <c r="CQ342" s="107"/>
      <c r="CR342" s="75"/>
      <c r="CS342" s="109"/>
      <c r="CT342" s="110"/>
      <c r="CU342" s="110"/>
      <c r="CV342" s="110"/>
      <c r="CW342" s="107"/>
      <c r="CX342" s="75"/>
      <c r="CY342" s="109"/>
      <c r="CZ342" s="110"/>
      <c r="DA342" s="110"/>
      <c r="DB342" s="110"/>
      <c r="DC342" s="107"/>
      <c r="DD342" s="75"/>
      <c r="DE342" s="109"/>
      <c r="DF342" s="110"/>
      <c r="DG342" s="110"/>
      <c r="DH342" s="110"/>
      <c r="DI342" s="107"/>
      <c r="DJ342" s="75"/>
      <c r="DK342" s="109"/>
      <c r="DL342" s="110"/>
      <c r="DM342" s="110"/>
      <c r="DN342" s="110"/>
      <c r="DO342" s="107"/>
      <c r="DP342" s="75"/>
      <c r="DQ342" s="109"/>
      <c r="DR342" s="110"/>
      <c r="DS342" s="110"/>
      <c r="DT342" s="110"/>
      <c r="DU342" s="107"/>
      <c r="DV342" s="75"/>
      <c r="DW342" s="109"/>
      <c r="DX342" s="110"/>
      <c r="DY342" s="110"/>
      <c r="DZ342" s="110"/>
      <c r="EA342" s="107"/>
      <c r="EB342" s="75"/>
      <c r="EC342" s="109"/>
      <c r="ED342" s="110"/>
      <c r="EE342" s="110"/>
      <c r="EF342" s="110"/>
      <c r="EG342" s="107"/>
    </row>
    <row r="343" spans="1:137" ht="11.25" customHeight="1" x14ac:dyDescent="0.2">
      <c r="A343" s="129" t="s">
        <v>403</v>
      </c>
      <c r="B343" s="343"/>
      <c r="C343" s="343"/>
      <c r="D343" s="343"/>
      <c r="E343" s="404"/>
      <c r="F343" s="344"/>
      <c r="G343" s="404"/>
      <c r="H343" s="344"/>
      <c r="I343" s="404"/>
      <c r="J343" s="344"/>
      <c r="K343" s="404"/>
      <c r="L343" s="344"/>
      <c r="M343" s="400"/>
      <c r="N343" s="401"/>
      <c r="O343" s="401"/>
      <c r="P343" s="401"/>
      <c r="Q343" s="404"/>
      <c r="R343" s="344"/>
      <c r="S343" s="400">
        <f>+S70+S146+S213+S311</f>
        <v>156.147785</v>
      </c>
      <c r="T343" s="401">
        <f>+T70+T146+T213+T311</f>
        <v>205.0600718831169</v>
      </c>
      <c r="U343" s="401">
        <f>+U70+U146+U213+U311</f>
        <v>217.1392228338762</v>
      </c>
      <c r="V343" s="401">
        <f>+V70+V146+V213+V311</f>
        <v>266.06033028300698</v>
      </c>
      <c r="W343" s="404">
        <f>+W70+W146+W213+W311</f>
        <v>844.40741000000003</v>
      </c>
      <c r="X343" s="344"/>
      <c r="Y343" s="400">
        <f>+Y70+Y146+Y213+Y311</f>
        <v>223.654507</v>
      </c>
      <c r="Z343" s="401">
        <f>+Z70+Z146+Z213+Z311</f>
        <v>244.50004300000001</v>
      </c>
      <c r="AA343" s="401">
        <f>+AA70+AA146+AA213+AA311</f>
        <v>262.09071899999998</v>
      </c>
      <c r="AB343" s="401">
        <f>+AB70+AB146+AB213+AB311</f>
        <v>320.27545699999996</v>
      </c>
      <c r="AC343" s="404">
        <f>+AC70+AC146+AC213+AC311</f>
        <v>1050.520726</v>
      </c>
      <c r="AD343" s="344"/>
      <c r="AE343" s="400">
        <f>+AE70+AE146+AE213+AE311</f>
        <v>374.78693160000006</v>
      </c>
      <c r="AF343" s="401">
        <f>+AF70+AF146+AF213+AF311</f>
        <v>397.55146960000002</v>
      </c>
      <c r="AG343" s="401">
        <f>+AG70+AG146+AG213+AG311</f>
        <v>531.41052720000005</v>
      </c>
      <c r="AH343" s="401">
        <f>+AH70+AH146+AH213+AH311</f>
        <v>663.35467160000007</v>
      </c>
      <c r="AI343" s="404">
        <f>+AI70+AI146+AI213+AI311</f>
        <v>1967.1035999999999</v>
      </c>
      <c r="AJ343" s="344"/>
      <c r="AK343" s="400">
        <f>+AK70+AK146+AK213+AK311</f>
        <v>580.52810019000003</v>
      </c>
      <c r="AL343" s="401">
        <f>+AL70+AL146+AL213+AL311</f>
        <v>612.07239015999994</v>
      </c>
      <c r="AM343" s="401">
        <f>+AM70+AM146+AM213+AM311</f>
        <v>698.74651801599998</v>
      </c>
      <c r="AN343" s="401">
        <f>+AN70+AN146+AN213+AN311</f>
        <v>914.99751163399992</v>
      </c>
      <c r="AO343" s="404">
        <f>+AO70+AO146+AO213+AO311</f>
        <v>2806.3445199999996</v>
      </c>
      <c r="AP343" s="344"/>
      <c r="AQ343" s="400">
        <f>+AQ70+AQ146+AQ213+AQ311</f>
        <v>793.97562594850001</v>
      </c>
      <c r="AR343" s="401">
        <f>+AR70+AR146+AR213+AR311</f>
        <v>917.10867355280004</v>
      </c>
      <c r="AS343" s="401">
        <f>+AS70+AS146+AS213+AS311</f>
        <v>1064.49084854784</v>
      </c>
      <c r="AT343" s="401">
        <f>+AT70+AT146+AT213+AT311</f>
        <v>1177.3594519508601</v>
      </c>
      <c r="AU343" s="404">
        <f>+AU70+AU146+AU213+AU311</f>
        <v>3952.9346</v>
      </c>
      <c r="AV343" s="344"/>
      <c r="AW343" s="400">
        <f>+AW70+AW146+AW213+AW311</f>
        <v>1133.297698668785</v>
      </c>
      <c r="AX343" s="401">
        <f>+AX70+AX146+AX213+AX311</f>
        <v>1170.310342187156</v>
      </c>
      <c r="AY343" s="401">
        <f>+AY70+AY146+AY213+AY311</f>
        <v>1279.2776436155905</v>
      </c>
      <c r="AZ343" s="401">
        <f>+AZ70+AZ146+AZ213+AZ311</f>
        <v>1453.9187475284687</v>
      </c>
      <c r="BA343" s="404">
        <f>+BA70+BA146+BA213+BA311</f>
        <v>5036.8044320000008</v>
      </c>
      <c r="BB343" s="344"/>
      <c r="BC343" s="400">
        <f>+BC70+BC146+BC213+BC311</f>
        <v>1270.6932926186405</v>
      </c>
      <c r="BD343" s="401">
        <f>+BD70+BD146+BD213+BD311</f>
        <v>1374.5970106005987</v>
      </c>
      <c r="BE343" s="401">
        <f>+BE70+BE146+BE213+BE311</f>
        <v>1396.6854842249224</v>
      </c>
      <c r="BF343" s="401">
        <f>+BF70+BF146+BF213+BF311</f>
        <v>1418.6644135558386</v>
      </c>
      <c r="BG343" s="404">
        <f>+BG70+BG146+BG213+BG311</f>
        <v>5460.6402010000002</v>
      </c>
      <c r="BH343" s="344"/>
      <c r="BI343" s="400">
        <f>+BI70+BI146+BI213+BI311</f>
        <v>1182.6266517368181</v>
      </c>
      <c r="BJ343" s="401">
        <f>+BJ70+BJ146+BJ213+BJ311</f>
        <v>1219.8267844244151</v>
      </c>
      <c r="BK343" s="401">
        <f>+BK70+BK146+BK213+BK311</f>
        <v>1289.88488646357</v>
      </c>
      <c r="BL343" s="401">
        <f>+BL70+BL146+BL213+BL311</f>
        <v>1534.4297321593156</v>
      </c>
      <c r="BM343" s="404">
        <f>+BM70+BM146+BM213+BM311</f>
        <v>5226.7680547841192</v>
      </c>
      <c r="BN343" s="344"/>
      <c r="BO343" s="400">
        <f>+BO70+BO146+BO213+BO311</f>
        <v>1468.6536596595502</v>
      </c>
      <c r="BP343" s="401">
        <f>+BP70+BP146+BP213+BP311</f>
        <v>1547.8888683911962</v>
      </c>
      <c r="BQ343" s="401">
        <f>+BQ70+BQ146+BQ213+BQ311</f>
        <v>1584.0443499420053</v>
      </c>
      <c r="BR343" s="401">
        <f>+BR70+BR146+BR213+BR311</f>
        <v>1833.2606111255113</v>
      </c>
      <c r="BS343" s="404">
        <f>+BS70+BS146+BS213+BS311</f>
        <v>6433.8474891182632</v>
      </c>
      <c r="BT343" s="344"/>
      <c r="BU343" s="400">
        <f>+BU70+BU146+BU213+BU311</f>
        <v>1741.3674587117498</v>
      </c>
      <c r="BV343" s="401">
        <f>+BV70+BV146+BV213+BV311</f>
        <v>1913.5618555288188</v>
      </c>
      <c r="BW343" s="401">
        <f>+BW70+BW146+BW213+BW311</f>
        <v>2771.197900866513</v>
      </c>
      <c r="BX343" s="401">
        <f>+BX70+BX146+BX213+BX311</f>
        <v>3037.0781452571764</v>
      </c>
      <c r="BY343" s="404">
        <f>+BY70+BY146+BY213+BY311</f>
        <v>9463.205360364258</v>
      </c>
      <c r="BZ343" s="344"/>
      <c r="CA343" s="400">
        <f>+CA70+CA146+CA213+CA311</f>
        <v>2739.2851894380619</v>
      </c>
      <c r="CB343" s="401">
        <f>+CB70+CB146+CB213+CB311</f>
        <v>2879.2599284048788</v>
      </c>
      <c r="CC343" s="401">
        <f>+CC70+CC146+CC213+CC311</f>
        <v>2820.3650155954101</v>
      </c>
      <c r="CD343" s="401">
        <f>+CD70+CD146+CD213+CD311</f>
        <v>3281.8800335712622</v>
      </c>
      <c r="CE343" s="404">
        <f>+CE70+CE146+CE213+CE311</f>
        <v>11720.790167009613</v>
      </c>
      <c r="CF343" s="344"/>
      <c r="CG343" s="400">
        <f>+CG70+CG146+CG213+CG311</f>
        <v>2822.9628970617086</v>
      </c>
      <c r="CH343" s="401">
        <f>+CH70+CH146+CH213+CH311</f>
        <v>3041.6415387446232</v>
      </c>
      <c r="CI343" s="401">
        <f>+CI70+CI146+CI213+CI311</f>
        <v>3036.4124760985433</v>
      </c>
      <c r="CJ343" s="401">
        <f>+CJ70+CJ146+CJ213+CJ311</f>
        <v>3459.884404543398</v>
      </c>
      <c r="CK343" s="404">
        <f>+CK70+CK146+CK213+CK311</f>
        <v>12360.901316448271</v>
      </c>
      <c r="CL343" s="344"/>
      <c r="CM343" s="400">
        <f>+CM70+CM146+CM213+CM311</f>
        <v>2960.2517827254806</v>
      </c>
      <c r="CN343" s="401">
        <f>+CN70+CN146+CN213+CN311</f>
        <v>3181.9661183308053</v>
      </c>
      <c r="CO343" s="401">
        <f>+CO70+CO146+CO213+CO311</f>
        <v>3160.5174480486394</v>
      </c>
      <c r="CP343" s="401">
        <f>+CP70+CP146+CP213+CP311</f>
        <v>3564.1214493992011</v>
      </c>
      <c r="CQ343" s="404">
        <f>+CQ70+CQ146+CQ213+CQ311</f>
        <v>12866.856798504126</v>
      </c>
      <c r="CR343" s="344"/>
      <c r="CS343" s="400">
        <f>+CS70+CS146+CS213+CS311</f>
        <v>3192.2000000000003</v>
      </c>
      <c r="CT343" s="401">
        <f>+CT70+CT146+CT213+CT311</f>
        <v>3406.3</v>
      </c>
      <c r="CU343" s="401">
        <f>+CU70+CU146+CU213+CU311</f>
        <v>3512.2</v>
      </c>
      <c r="CV343" s="401">
        <f>+CV70+CV146+CV213+CV311</f>
        <v>4323.0000000000009</v>
      </c>
      <c r="CW343" s="404">
        <f>+CW70+CW146+CW213+CW311</f>
        <v>14433.7</v>
      </c>
      <c r="CX343" s="344"/>
      <c r="CY343" s="400">
        <f>+CY70+CY146+CY213+CY311</f>
        <v>3924.1000000000004</v>
      </c>
      <c r="CZ343" s="401">
        <f>+CZ70+CZ146+CZ213+CZ311</f>
        <v>4241.8999999999996</v>
      </c>
      <c r="DA343" s="401">
        <f>+DA70+DA146+DA213+DA311</f>
        <v>4132.1000000000004</v>
      </c>
      <c r="DB343" s="401">
        <f>+DB70+DB146+DB213+DB311</f>
        <v>4584.3</v>
      </c>
      <c r="DC343" s="404">
        <f>+DC70+DC146+DC213+DC311</f>
        <v>16882.400000000001</v>
      </c>
      <c r="DD343" s="344"/>
      <c r="DE343" s="400">
        <f>+DE70+DE146+DE213+DE311</f>
        <v>4205.7</v>
      </c>
      <c r="DF343" s="401">
        <f>+DF70+DF146+DF213+DF311</f>
        <v>4510.1000000000004</v>
      </c>
      <c r="DG343" s="401">
        <f>+DG70+DG146+DG213+DG311</f>
        <v>4528.2</v>
      </c>
      <c r="DH343" s="401">
        <f>+DH70+DH146+DH213+DH311</f>
        <v>5085.7000000000007</v>
      </c>
      <c r="DI343" s="404">
        <f>+DI70+DI146+DI213+DI311</f>
        <v>18329.7</v>
      </c>
      <c r="DJ343" s="344"/>
      <c r="DK343" s="400">
        <f>+DK70+DK146+DK213+DK311</f>
        <v>4695.3999999999996</v>
      </c>
      <c r="DL343" s="401">
        <f>+DL70+DL146+DL213+DL311</f>
        <v>4930.1925000000001</v>
      </c>
      <c r="DM343" s="401">
        <f>+DM70+DM146+DM213+DM311</f>
        <v>4850.5630000000001</v>
      </c>
      <c r="DN343" s="401">
        <f>+DN70+DN146+DN213+DN311</f>
        <v>5438.3014999999996</v>
      </c>
      <c r="DO343" s="404">
        <f>+DO70+DO146+DO213+DO311</f>
        <v>19914.457000000002</v>
      </c>
      <c r="DP343" s="344"/>
      <c r="DQ343" s="400">
        <f>+DQ70+DQ146+DQ213+DQ311</f>
        <v>4913.6762500000004</v>
      </c>
      <c r="DR343" s="401">
        <f>+DR70+DR146+DR213+DR311</f>
        <v>5168.4449199999999</v>
      </c>
      <c r="DS343" s="401">
        <f>+DS70+DS146+DS213+DS311</f>
        <v>5041.1305800000009</v>
      </c>
      <c r="DT343" s="401">
        <f>+DT70+DT146+DT213+DT311</f>
        <v>5650.8861350000006</v>
      </c>
      <c r="DU343" s="404">
        <f>+DU70+DU146+DU213+DU311</f>
        <v>20774.137884999996</v>
      </c>
      <c r="DV343" s="344"/>
      <c r="DW343" s="400">
        <f>+DW70+DW146+DW213+DW311</f>
        <v>5123.9233112499996</v>
      </c>
      <c r="DX343" s="401">
        <f>+DX70+DX146+DX213+DX311</f>
        <v>5389.6040598500003</v>
      </c>
      <c r="DY343" s="401">
        <f>+DY70+DY146+DY213+DY311</f>
        <v>5256.8937671500007</v>
      </c>
      <c r="DZ343" s="401">
        <f>+DZ70+DZ146+DZ213+DZ311</f>
        <v>5892.3971533250015</v>
      </c>
      <c r="EA343" s="404">
        <f>+EA70+EA146+EA213+EA311</f>
        <v>21662.818291575</v>
      </c>
      <c r="EB343" s="344"/>
      <c r="EC343" s="400">
        <f t="shared" ref="EC343:EG343" si="708">+EC70+EC146+EC213+EC311</f>
        <v>5343.3766571562501</v>
      </c>
      <c r="ED343" s="401">
        <f t="shared" si="708"/>
        <v>5620.4517111407504</v>
      </c>
      <c r="EE343" s="401">
        <f t="shared" si="708"/>
        <v>5482.1094238462501</v>
      </c>
      <c r="EF343" s="401">
        <f t="shared" si="708"/>
        <v>6144.4747495411257</v>
      </c>
      <c r="EG343" s="404">
        <f t="shared" si="708"/>
        <v>22590.412541684378</v>
      </c>
    </row>
    <row r="344" spans="1:137" ht="11.25" customHeight="1" x14ac:dyDescent="0.2">
      <c r="A344" s="51"/>
      <c r="B344" s="14"/>
      <c r="C344" s="14"/>
      <c r="D344" s="14"/>
      <c r="E344" s="93"/>
      <c r="F344" s="71"/>
      <c r="G344" s="93"/>
      <c r="H344" s="71"/>
      <c r="I344" s="93"/>
      <c r="J344" s="71"/>
      <c r="K344" s="93"/>
      <c r="L344" s="67"/>
      <c r="M344" s="82"/>
      <c r="N344" s="67"/>
      <c r="O344" s="67"/>
      <c r="P344" s="67"/>
      <c r="Q344" s="93"/>
      <c r="R344" s="67"/>
      <c r="S344" s="82"/>
      <c r="T344" s="67"/>
      <c r="U344" s="67"/>
      <c r="V344" s="67"/>
      <c r="W344" s="93"/>
      <c r="X344" s="67"/>
      <c r="Y344" s="82"/>
      <c r="Z344" s="67"/>
      <c r="AA344" s="67"/>
      <c r="AB344" s="67"/>
      <c r="AC344" s="93"/>
      <c r="AD344" s="67"/>
      <c r="AE344" s="82"/>
      <c r="AF344" s="67"/>
      <c r="AG344" s="67"/>
      <c r="AH344" s="67"/>
      <c r="AI344" s="93"/>
      <c r="AJ344" s="67"/>
      <c r="AK344" s="82"/>
      <c r="AL344" s="67"/>
      <c r="AM344" s="67"/>
      <c r="AN344" s="67"/>
      <c r="AO344" s="93"/>
      <c r="AP344" s="67"/>
      <c r="AQ344" s="82"/>
      <c r="AR344" s="67"/>
      <c r="AS344" s="67"/>
      <c r="AT344" s="67"/>
      <c r="AU344" s="93"/>
      <c r="AV344" s="67"/>
      <c r="AW344" s="82"/>
      <c r="AX344" s="67"/>
      <c r="AY344" s="67"/>
      <c r="AZ344" s="67"/>
      <c r="BA344" s="93"/>
      <c r="BB344" s="67"/>
      <c r="BC344" s="82"/>
      <c r="BD344" s="67"/>
      <c r="BE344" s="67"/>
      <c r="BF344" s="67"/>
      <c r="BG344" s="93"/>
      <c r="BH344" s="67"/>
      <c r="BI344" s="82"/>
      <c r="BJ344" s="67"/>
      <c r="BK344" s="67"/>
      <c r="BL344" s="67"/>
      <c r="BM344" s="93"/>
      <c r="BN344" s="67"/>
      <c r="BO344" s="82"/>
      <c r="BP344" s="67"/>
      <c r="BQ344" s="67"/>
      <c r="BR344" s="67"/>
      <c r="BS344" s="93"/>
      <c r="BT344" s="67"/>
      <c r="BU344" s="82"/>
      <c r="BV344" s="67"/>
      <c r="BW344" s="67"/>
      <c r="BX344" s="67"/>
      <c r="BY344" s="93"/>
      <c r="BZ344" s="67"/>
      <c r="CA344" s="82"/>
      <c r="CB344" s="67"/>
      <c r="CC344" s="67"/>
      <c r="CD344" s="67"/>
      <c r="CE344" s="93"/>
      <c r="CF344" s="67"/>
      <c r="CG344" s="82"/>
      <c r="CH344" s="67"/>
      <c r="CI344" s="67"/>
      <c r="CJ344" s="67"/>
      <c r="CK344" s="93"/>
      <c r="CL344" s="67"/>
      <c r="CM344" s="82"/>
      <c r="CN344" s="67"/>
      <c r="CO344" s="67"/>
      <c r="CP344" s="67"/>
      <c r="CQ344" s="93"/>
      <c r="CR344" s="67"/>
      <c r="CS344" s="82"/>
      <c r="CT344" s="67"/>
      <c r="CU344" s="67"/>
      <c r="CV344" s="67"/>
      <c r="CW344" s="93"/>
      <c r="CX344" s="67"/>
      <c r="CY344" s="82"/>
      <c r="CZ344" s="67"/>
      <c r="DA344" s="67"/>
      <c r="DB344" s="67"/>
      <c r="DC344" s="93"/>
      <c r="DD344" s="67"/>
      <c r="DE344" s="82"/>
      <c r="DF344" s="67"/>
      <c r="DG344" s="67"/>
      <c r="DH344" s="67"/>
      <c r="DI344" s="93"/>
      <c r="DJ344" s="67"/>
      <c r="DK344" s="82"/>
      <c r="DL344" s="67"/>
      <c r="DM344" s="67"/>
      <c r="DN344" s="67"/>
      <c r="DO344" s="93"/>
      <c r="DP344" s="67"/>
      <c r="DQ344" s="82"/>
      <c r="DR344" s="67"/>
      <c r="DS344" s="67"/>
      <c r="DT344" s="67"/>
      <c r="DU344" s="93"/>
      <c r="DV344" s="67"/>
      <c r="DW344" s="82"/>
      <c r="DX344" s="67"/>
      <c r="DY344" s="67"/>
      <c r="DZ344" s="67"/>
      <c r="EA344" s="93"/>
      <c r="EB344" s="67"/>
      <c r="EC344" s="82"/>
      <c r="ED344" s="67"/>
      <c r="EE344" s="67"/>
      <c r="EF344" s="67"/>
      <c r="EG344" s="93"/>
    </row>
    <row r="345" spans="1:137" ht="11.25" customHeight="1" x14ac:dyDescent="0.2">
      <c r="A345" s="51" t="s">
        <v>407</v>
      </c>
      <c r="B345" s="14"/>
      <c r="C345" s="14"/>
      <c r="D345" s="14"/>
      <c r="E345" s="163"/>
      <c r="F345" s="71"/>
      <c r="G345" s="163"/>
      <c r="H345" s="71"/>
      <c r="I345" s="163"/>
      <c r="J345" s="71"/>
      <c r="K345" s="163"/>
      <c r="L345" s="164"/>
      <c r="M345" s="165"/>
      <c r="N345" s="164"/>
      <c r="O345" s="164"/>
      <c r="P345" s="164"/>
      <c r="Q345" s="163"/>
      <c r="R345" s="164"/>
      <c r="S345" s="165">
        <f>+S33</f>
        <v>0</v>
      </c>
      <c r="T345" s="164">
        <f>+T33</f>
        <v>0</v>
      </c>
      <c r="U345" s="164">
        <f>+U33</f>
        <v>0</v>
      </c>
      <c r="V345" s="164">
        <f>+V33</f>
        <v>0</v>
      </c>
      <c r="W345" s="163"/>
      <c r="X345" s="164"/>
      <c r="Y345" s="165"/>
      <c r="Z345" s="164"/>
      <c r="AA345" s="164"/>
      <c r="AB345" s="164"/>
      <c r="AC345" s="163"/>
      <c r="AD345" s="164"/>
      <c r="AE345" s="165"/>
      <c r="AF345" s="164"/>
      <c r="AG345" s="164"/>
      <c r="AH345" s="164"/>
      <c r="AI345" s="163"/>
      <c r="AJ345" s="164"/>
      <c r="AK345" s="165"/>
      <c r="AL345" s="164"/>
      <c r="AM345" s="164"/>
      <c r="AN345" s="164"/>
      <c r="AO345" s="163"/>
      <c r="AP345" s="164"/>
      <c r="AQ345" s="165"/>
      <c r="AR345" s="164"/>
      <c r="AS345" s="164"/>
      <c r="AT345" s="164"/>
      <c r="AU345" s="163"/>
      <c r="AV345" s="164"/>
      <c r="AW345" s="165"/>
      <c r="AX345" s="164"/>
      <c r="AY345" s="164"/>
      <c r="AZ345" s="164"/>
      <c r="BA345" s="163"/>
      <c r="BB345" s="164"/>
      <c r="BC345" s="165"/>
      <c r="BD345" s="164"/>
      <c r="BE345" s="164"/>
      <c r="BF345" s="164"/>
      <c r="BG345" s="163"/>
      <c r="BH345" s="164"/>
      <c r="BI345" s="165"/>
      <c r="BJ345" s="164"/>
      <c r="BK345" s="164"/>
      <c r="BL345" s="164"/>
      <c r="BM345" s="163"/>
      <c r="BN345" s="164"/>
      <c r="BO345" s="165">
        <f>+BO33</f>
        <v>160.37148729877168</v>
      </c>
      <c r="BP345" s="164">
        <f>+BP33</f>
        <v>194.09715259738596</v>
      </c>
      <c r="BQ345" s="164">
        <f>+BQ33</f>
        <v>241.9757949645859</v>
      </c>
      <c r="BR345" s="164">
        <f>+BR33</f>
        <v>274.63681440359341</v>
      </c>
      <c r="BS345" s="163">
        <f>+BS33</f>
        <v>871.08124926433698</v>
      </c>
      <c r="BT345" s="164"/>
      <c r="BU345" s="165">
        <f>+BU33</f>
        <v>266.46199399919368</v>
      </c>
      <c r="BV345" s="164">
        <f>+BV33</f>
        <v>233.28761236149532</v>
      </c>
      <c r="BW345" s="164">
        <f>+BW33</f>
        <v>264.93315203733187</v>
      </c>
      <c r="BX345" s="164">
        <f>+BX33</f>
        <v>422.31740743276873</v>
      </c>
      <c r="BY345" s="163">
        <f>+BY33</f>
        <v>1187.0001658307899</v>
      </c>
      <c r="BZ345" s="164"/>
      <c r="CA345" s="165">
        <f>+CA33</f>
        <v>380.43400746836932</v>
      </c>
      <c r="CB345" s="164">
        <f>+CB33</f>
        <v>426.33626218529963</v>
      </c>
      <c r="CC345" s="164">
        <f>+CC33</f>
        <v>410.17017779863568</v>
      </c>
      <c r="CD345" s="164">
        <f>+CD33</f>
        <v>537.35560171264729</v>
      </c>
      <c r="CE345" s="163">
        <f>+CE33</f>
        <v>1754.2960491649519</v>
      </c>
      <c r="CF345" s="164"/>
      <c r="CG345" s="165">
        <f>+CG33</f>
        <v>387.35278895526562</v>
      </c>
      <c r="CH345" s="164">
        <f>+CH33</f>
        <v>482.01569040948107</v>
      </c>
      <c r="CI345" s="164">
        <f>+CI33</f>
        <v>483.31618353655983</v>
      </c>
      <c r="CJ345" s="164">
        <f>+CJ33</f>
        <v>577.21533709869311</v>
      </c>
      <c r="CK345" s="163">
        <f>+CK33</f>
        <v>1929.8999999999996</v>
      </c>
      <c r="CL345" s="164"/>
      <c r="CM345" s="165">
        <f>+CM33</f>
        <v>427.68797700682632</v>
      </c>
      <c r="CN345" s="164">
        <f>+CN33</f>
        <v>520.77950914982989</v>
      </c>
      <c r="CO345" s="164">
        <f>+CO33</f>
        <v>529.75857259379097</v>
      </c>
      <c r="CP345" s="164">
        <f>+CP33</f>
        <v>566.77394124955276</v>
      </c>
      <c r="CQ345" s="163">
        <f>+CQ33</f>
        <v>2044.9999999999998</v>
      </c>
      <c r="CR345" s="164"/>
      <c r="CS345" s="165">
        <f>+CS33</f>
        <v>447.7</v>
      </c>
      <c r="CT345" s="164">
        <f>+CT33</f>
        <v>582.9</v>
      </c>
      <c r="CU345" s="164">
        <f>+CU33</f>
        <v>480</v>
      </c>
      <c r="CV345" s="164">
        <f>+CV33</f>
        <v>651.6</v>
      </c>
      <c r="CW345" s="163">
        <f>+CW33</f>
        <v>2162.1999999999998</v>
      </c>
      <c r="CX345" s="164"/>
      <c r="CY345" s="165">
        <f>+CY33</f>
        <v>613.1</v>
      </c>
      <c r="CZ345" s="164">
        <f>+CZ33</f>
        <v>710.1</v>
      </c>
      <c r="DA345" s="164">
        <f>+DA33</f>
        <v>699.1</v>
      </c>
      <c r="DB345" s="164">
        <f>+DB33</f>
        <v>728.6</v>
      </c>
      <c r="DC345" s="163">
        <f>+DC33</f>
        <v>2750.9</v>
      </c>
      <c r="DD345" s="164"/>
      <c r="DE345" s="165">
        <f>+DE33</f>
        <v>617</v>
      </c>
      <c r="DF345" s="164">
        <f>+DF33</f>
        <v>675.7</v>
      </c>
      <c r="DG345" s="164">
        <f>+DG33</f>
        <v>760.5</v>
      </c>
      <c r="DH345" s="164">
        <f>+DH33</f>
        <v>938.1</v>
      </c>
      <c r="DI345" s="163">
        <f>+DI33</f>
        <v>2991.2999999999997</v>
      </c>
      <c r="DJ345" s="164"/>
      <c r="DK345" s="165">
        <f>+DK33</f>
        <v>742.99999999999989</v>
      </c>
      <c r="DL345" s="164">
        <f>+DL33</f>
        <v>846.67385112525926</v>
      </c>
      <c r="DM345" s="164">
        <f>+DM33</f>
        <v>838.35817036357366</v>
      </c>
      <c r="DN345" s="164">
        <f>+DN33</f>
        <v>1083.699182697</v>
      </c>
      <c r="DO345" s="163">
        <f>+DO33</f>
        <v>3511.7312041858327</v>
      </c>
      <c r="DP345" s="164"/>
      <c r="DQ345" s="165">
        <f>+DQ33</f>
        <v>831.01285591470992</v>
      </c>
      <c r="DR345" s="164">
        <f>+DR33</f>
        <v>936.69450175582881</v>
      </c>
      <c r="DS345" s="164">
        <f>+DS33</f>
        <v>912.44778798650054</v>
      </c>
      <c r="DT345" s="164">
        <f>+DT33</f>
        <v>1164.2544783239418</v>
      </c>
      <c r="DU345" s="163">
        <f>+DU33</f>
        <v>3844.4096239809815</v>
      </c>
      <c r="DV345" s="164"/>
      <c r="DW345" s="165">
        <f>+DW33</f>
        <v>915.13431627624288</v>
      </c>
      <c r="DX345" s="164">
        <f>+DX33</f>
        <v>1024.0005010559764</v>
      </c>
      <c r="DY345" s="164">
        <f>+DY33</f>
        <v>998.13822701194158</v>
      </c>
      <c r="DZ345" s="164">
        <f>+DZ33</f>
        <v>1258.0119481572931</v>
      </c>
      <c r="EA345" s="163">
        <f>+EA33</f>
        <v>4195.2849925014534</v>
      </c>
      <c r="EB345" s="164"/>
      <c r="EC345" s="165">
        <f t="shared" ref="EC345:EG345" si="709">+EC33</f>
        <v>997.17471445038109</v>
      </c>
      <c r="ED345" s="164">
        <f t="shared" si="709"/>
        <v>1109.4064849579897</v>
      </c>
      <c r="EE345" s="164">
        <f t="shared" si="709"/>
        <v>1081.7769862924092</v>
      </c>
      <c r="EF345" s="164">
        <f t="shared" si="709"/>
        <v>1344.0020318694014</v>
      </c>
      <c r="EG345" s="163">
        <f t="shared" si="709"/>
        <v>4532.3602175701817</v>
      </c>
    </row>
    <row r="346" spans="1:137" ht="11.25" customHeight="1" x14ac:dyDescent="0.2">
      <c r="A346" s="51" t="s">
        <v>408</v>
      </c>
      <c r="B346" s="14"/>
      <c r="C346" s="14"/>
      <c r="D346" s="14"/>
      <c r="E346" s="158"/>
      <c r="F346" s="71"/>
      <c r="G346" s="158"/>
      <c r="H346" s="71"/>
      <c r="I346" s="158"/>
      <c r="J346" s="71"/>
      <c r="K346" s="158"/>
      <c r="L346" s="22"/>
      <c r="M346" s="149"/>
      <c r="N346" s="22"/>
      <c r="O346" s="22"/>
      <c r="P346" s="22"/>
      <c r="Q346" s="158"/>
      <c r="R346" s="22"/>
      <c r="S346" s="149">
        <f>+S345/S343</f>
        <v>0</v>
      </c>
      <c r="T346" s="22">
        <f>+T345/T343</f>
        <v>0</v>
      </c>
      <c r="U346" s="22">
        <f>+U345/U343</f>
        <v>0</v>
      </c>
      <c r="V346" s="22">
        <f>+V345/V343</f>
        <v>0</v>
      </c>
      <c r="W346" s="158"/>
      <c r="X346" s="22"/>
      <c r="Y346" s="149"/>
      <c r="Z346" s="22"/>
      <c r="AA346" s="22"/>
      <c r="AB346" s="22"/>
      <c r="AC346" s="158"/>
      <c r="AD346" s="22"/>
      <c r="AE346" s="149"/>
      <c r="AF346" s="22"/>
      <c r="AG346" s="22"/>
      <c r="AH346" s="22"/>
      <c r="AI346" s="158"/>
      <c r="AJ346" s="22"/>
      <c r="AK346" s="149"/>
      <c r="AL346" s="22"/>
      <c r="AM346" s="22"/>
      <c r="AN346" s="22"/>
      <c r="AO346" s="158"/>
      <c r="AP346" s="22"/>
      <c r="AQ346" s="149"/>
      <c r="AR346" s="22"/>
      <c r="AS346" s="22"/>
      <c r="AT346" s="22"/>
      <c r="AU346" s="158"/>
      <c r="AV346" s="22"/>
      <c r="AW346" s="149"/>
      <c r="AX346" s="22"/>
      <c r="AY346" s="22"/>
      <c r="AZ346" s="22"/>
      <c r="BA346" s="158"/>
      <c r="BB346" s="22"/>
      <c r="BC346" s="149"/>
      <c r="BD346" s="22"/>
      <c r="BE346" s="22"/>
      <c r="BF346" s="22"/>
      <c r="BG346" s="158"/>
      <c r="BH346" s="22"/>
      <c r="BI346" s="149"/>
      <c r="BJ346" s="22"/>
      <c r="BK346" s="22"/>
      <c r="BL346" s="22"/>
      <c r="BM346" s="158"/>
      <c r="BN346" s="22"/>
      <c r="BO346" s="149">
        <f>+BO345/BO343</f>
        <v>0.10919626029185638</v>
      </c>
      <c r="BP346" s="22">
        <f>+BP345/BP343</f>
        <v>0.12539475963744187</v>
      </c>
      <c r="BQ346" s="22">
        <f>+BQ345/BQ343</f>
        <v>0.1527582197893923</v>
      </c>
      <c r="BR346" s="22">
        <f>+BR345/BR343</f>
        <v>0.14980784114211834</v>
      </c>
      <c r="BS346" s="158">
        <f>+BS345/BS343</f>
        <v>0.13539040997437687</v>
      </c>
      <c r="BT346" s="22"/>
      <c r="BU346" s="149">
        <f>+BU345/BU343</f>
        <v>0.15301882016120838</v>
      </c>
      <c r="BV346" s="22">
        <f>+BV345/BV343</f>
        <v>0.12191276267734004</v>
      </c>
      <c r="BW346" s="22">
        <f>+BW345/BW343</f>
        <v>9.5602393446708067E-2</v>
      </c>
      <c r="BX346" s="22">
        <f>+BX345/BX343</f>
        <v>0.13905384953372918</v>
      </c>
      <c r="BY346" s="158">
        <f>+BY345/BY343</f>
        <v>0.12543320372211597</v>
      </c>
      <c r="BZ346" s="22"/>
      <c r="CA346" s="149">
        <f>+CA345/CA343</f>
        <v>0.1388807594533126</v>
      </c>
      <c r="CB346" s="22">
        <f>+CB345/CB343</f>
        <v>0.14807147419354097</v>
      </c>
      <c r="CC346" s="22">
        <f>+CC345/CC343</f>
        <v>0.14543159326206725</v>
      </c>
      <c r="CD346" s="22">
        <f>+CD345/CD343</f>
        <v>0.1637340780942288</v>
      </c>
      <c r="CE346" s="158">
        <f>+CE345/CE343</f>
        <v>0.14967387216800032</v>
      </c>
      <c r="CF346" s="22"/>
      <c r="CG346" s="149">
        <f>+CG345/CG343</f>
        <v>0.13721497698692506</v>
      </c>
      <c r="CH346" s="22">
        <f>+CH345/CH343</f>
        <v>0.15847222109164888</v>
      </c>
      <c r="CI346" s="22">
        <f>+CI345/CI343</f>
        <v>0.15917342829442199</v>
      </c>
      <c r="CJ346" s="22">
        <f>+CJ345/CJ343</f>
        <v>0.16683081560202251</v>
      </c>
      <c r="CK346" s="158">
        <f>+CK345/CK343</f>
        <v>0.15612939142487459</v>
      </c>
      <c r="CL346" s="22"/>
      <c r="CM346" s="149">
        <f>+CM345/CM343</f>
        <v>0.14447689196662095</v>
      </c>
      <c r="CN346" s="22">
        <f>+CN345/CN343</f>
        <v>0.16366595047939109</v>
      </c>
      <c r="CO346" s="22">
        <f>+CO345/CO343</f>
        <v>0.16761767061937072</v>
      </c>
      <c r="CP346" s="22">
        <f>+CP345/CP343</f>
        <v>0.1590220617608564</v>
      </c>
      <c r="CQ346" s="158">
        <f>+CQ345/CQ343</f>
        <v>0.15893547523104068</v>
      </c>
      <c r="CR346" s="22"/>
      <c r="CS346" s="149">
        <f>+CS345/CS343</f>
        <v>0.14024810475534114</v>
      </c>
      <c r="CT346" s="22">
        <f>+CT345/CT343</f>
        <v>0.17112409359128672</v>
      </c>
      <c r="CU346" s="22">
        <f>+CU345/CU343</f>
        <v>0.1366664768521155</v>
      </c>
      <c r="CV346" s="22">
        <f>+CV345/CV343</f>
        <v>0.15072866065232474</v>
      </c>
      <c r="CW346" s="158">
        <f>+CW345/CW343</f>
        <v>0.14980219902034819</v>
      </c>
      <c r="CX346" s="22"/>
      <c r="CY346" s="149">
        <f>+CY345/CY343</f>
        <v>0.1562396473076629</v>
      </c>
      <c r="CZ346" s="22">
        <f>+CZ345/CZ343</f>
        <v>0.1674014003158962</v>
      </c>
      <c r="DA346" s="22">
        <f>+DA345/DA343</f>
        <v>0.16918758016504923</v>
      </c>
      <c r="DB346" s="22">
        <f>+DB345/DB343</f>
        <v>0.15893375215409114</v>
      </c>
      <c r="DC346" s="158">
        <f>+DC345/DC343</f>
        <v>0.1629448419655973</v>
      </c>
      <c r="DD346" s="22"/>
      <c r="DE346" s="149">
        <f>+DE345/DE343</f>
        <v>0.14670566136433888</v>
      </c>
      <c r="DF346" s="22">
        <f>+DF345/DF343</f>
        <v>0.14981929447240638</v>
      </c>
      <c r="DG346" s="22">
        <f>+DG345/DG343</f>
        <v>0.16794752881939845</v>
      </c>
      <c r="DH346" s="22">
        <f>+DH345/DH343</f>
        <v>0.18445838331006545</v>
      </c>
      <c r="DI346" s="158">
        <f>+DI345/DI343</f>
        <v>0.16319416029722253</v>
      </c>
      <c r="DJ346" s="22"/>
      <c r="DK346" s="149">
        <f>+DK345/DK343</f>
        <v>0.15823997955445754</v>
      </c>
      <c r="DL346" s="22">
        <f>+DL345/DL343</f>
        <v>0.1717324122993695</v>
      </c>
      <c r="DM346" s="22">
        <f>+DM345/DM343</f>
        <v>0.17283729133372222</v>
      </c>
      <c r="DN346" s="22">
        <f>+DN345/DN343</f>
        <v>0.1992716260209185</v>
      </c>
      <c r="DO346" s="158">
        <f>+DO345/DO343</f>
        <v>0.176340796245955</v>
      </c>
      <c r="DP346" s="22"/>
      <c r="DQ346" s="149">
        <f>+DQ345/DQ343</f>
        <v>0.16912242761510993</v>
      </c>
      <c r="DR346" s="22">
        <f>+DR345/DR343</f>
        <v>0.18123333347931447</v>
      </c>
      <c r="DS346" s="22">
        <f>+DS345/DS343</f>
        <v>0.18100062545622461</v>
      </c>
      <c r="DT346" s="22">
        <f>+DT345/DT343</f>
        <v>0.20603042611545061</v>
      </c>
      <c r="DU346" s="158">
        <f>+DU345/DU343</f>
        <v>0.18505748085733292</v>
      </c>
      <c r="DV346" s="22"/>
      <c r="DW346" s="149">
        <f>+DW345/DW343</f>
        <v>0.17860031477578703</v>
      </c>
      <c r="DX346" s="22">
        <f>+DX345/DX343</f>
        <v>0.18999549682773464</v>
      </c>
      <c r="DY346" s="22">
        <f>+DY345/DY343</f>
        <v>0.18987224608746037</v>
      </c>
      <c r="DZ346" s="22">
        <f>+DZ345/DZ343</f>
        <v>0.21349748080836908</v>
      </c>
      <c r="EA346" s="158">
        <f>+EA345/EA343</f>
        <v>0.19366293600556414</v>
      </c>
      <c r="EB346" s="22"/>
      <c r="EC346" s="149">
        <f t="shared" ref="EC346:EG346" si="710">+EC345/EC343</f>
        <v>0.18661883270289209</v>
      </c>
      <c r="ED346" s="22">
        <f t="shared" si="710"/>
        <v>0.19738742399635703</v>
      </c>
      <c r="EE346" s="22">
        <f t="shared" si="710"/>
        <v>0.19732860157567486</v>
      </c>
      <c r="EF346" s="22">
        <f t="shared" si="710"/>
        <v>0.21873342908110618</v>
      </c>
      <c r="EG346" s="158">
        <f t="shared" si="710"/>
        <v>0.20063202516585124</v>
      </c>
    </row>
    <row r="347" spans="1:137" ht="11.25" customHeight="1" x14ac:dyDescent="0.2">
      <c r="A347" s="199" t="s">
        <v>421</v>
      </c>
      <c r="B347" s="14"/>
      <c r="C347" s="14"/>
      <c r="D347" s="14"/>
      <c r="E347" s="214"/>
      <c r="F347" s="71"/>
      <c r="G347" s="214"/>
      <c r="H347" s="71"/>
      <c r="I347" s="214"/>
      <c r="J347" s="71"/>
      <c r="K347" s="214"/>
      <c r="L347" s="22"/>
      <c r="M347" s="212"/>
      <c r="N347" s="157"/>
      <c r="O347" s="157"/>
      <c r="P347" s="157"/>
      <c r="Q347" s="214"/>
      <c r="R347" s="22"/>
      <c r="S347" s="212"/>
      <c r="T347" s="157"/>
      <c r="U347" s="157"/>
      <c r="V347" s="157"/>
      <c r="W347" s="214"/>
      <c r="X347" s="22"/>
      <c r="Y347" s="212"/>
      <c r="Z347" s="157"/>
      <c r="AA347" s="157"/>
      <c r="AB347" s="157"/>
      <c r="AC347" s="214"/>
      <c r="AD347" s="22"/>
      <c r="AE347" s="212"/>
      <c r="AF347" s="157"/>
      <c r="AG347" s="157"/>
      <c r="AH347" s="157"/>
      <c r="AI347" s="214"/>
      <c r="AJ347" s="22"/>
      <c r="AK347" s="212"/>
      <c r="AL347" s="157"/>
      <c r="AM347" s="157"/>
      <c r="AN347" s="157"/>
      <c r="AO347" s="214"/>
      <c r="AP347" s="22"/>
      <c r="AQ347" s="212"/>
      <c r="AR347" s="157"/>
      <c r="AS347" s="157"/>
      <c r="AT347" s="157"/>
      <c r="AU347" s="214"/>
      <c r="AV347" s="22"/>
      <c r="AW347" s="212"/>
      <c r="AX347" s="157"/>
      <c r="AY347" s="157"/>
      <c r="AZ347" s="157"/>
      <c r="BA347" s="214"/>
      <c r="BB347" s="22"/>
      <c r="BC347" s="212"/>
      <c r="BD347" s="157"/>
      <c r="BE347" s="157"/>
      <c r="BF347" s="157"/>
      <c r="BG347" s="214"/>
      <c r="BH347" s="22"/>
      <c r="BI347" s="212"/>
      <c r="BJ347" s="157"/>
      <c r="BK347" s="157"/>
      <c r="BL347" s="157"/>
      <c r="BM347" s="214"/>
      <c r="BN347" s="22"/>
      <c r="BO347" s="212">
        <f>+(BO345-BI345)/(BO343-BI343)</f>
        <v>0.56068651860349761</v>
      </c>
      <c r="BP347" s="157">
        <f>+(BP345-BJ345)/(BP343-BJ343)</f>
        <v>0.59164762428638307</v>
      </c>
      <c r="BQ347" s="157">
        <f>+(BQ345-BK345)/(BQ343-BK343)</f>
        <v>0.8226007489380841</v>
      </c>
      <c r="BR347" s="157">
        <f>+(BR345-BL345)/(BR343-BL343)</f>
        <v>0.91903760198309614</v>
      </c>
      <c r="BS347" s="214">
        <f>+(BS345-BM345)/(BS343-BM343)</f>
        <v>0.72164368349531838</v>
      </c>
      <c r="BT347" s="22"/>
      <c r="BU347" s="212">
        <f>+(BU345-BO345)/(BU343-BO343)</f>
        <v>0.38901774339667866</v>
      </c>
      <c r="BV347" s="157">
        <f>+(BV345-BP345)/(BV343-BP343)</f>
        <v>0.10717351607205228</v>
      </c>
      <c r="BW347" s="157">
        <f>+(BW345-BQ345)/(BW343-BQ343)</f>
        <v>1.9338153059364302E-2</v>
      </c>
      <c r="BX347" s="157">
        <f>+(BX345-BR345)/(BX343-BR343)</f>
        <v>0.12267689150723324</v>
      </c>
      <c r="BY347" s="214">
        <f>+(BY345-BS345)/(BY343-BS343)</f>
        <v>0.10428576945797209</v>
      </c>
      <c r="BZ347" s="22"/>
      <c r="CA347" s="212">
        <f>+(CA345-BU345)/(CA343-BU343)</f>
        <v>0.11420982908703671</v>
      </c>
      <c r="CB347" s="157">
        <f>+(CB345-BV345)/(CB343-BV343)</f>
        <v>0.1999058041493893</v>
      </c>
      <c r="CC347" s="157">
        <f>+(CC345-BW345)/(CC343-BW343)</f>
        <v>2.9539464856159907</v>
      </c>
      <c r="CD347" s="157">
        <f>+(CD345-BX345)/(CD343-BX343)</f>
        <v>0.46992363936458786</v>
      </c>
      <c r="CE347" s="214">
        <f>+(CE345-BY345)/(CE343-BY343)</f>
        <v>0.25128441760605758</v>
      </c>
      <c r="CF347" s="22"/>
      <c r="CG347" s="212">
        <f>+(CG345-CA345)/(CG343-CA343)</f>
        <v>8.2683688205400951E-2</v>
      </c>
      <c r="CH347" s="157">
        <f>+(CH345-CB345)/(CH343-CB343)</f>
        <v>0.34289245012218844</v>
      </c>
      <c r="CI347" s="157">
        <f>+(CI345-CC345)/(CI343-CC343)</f>
        <v>0.33856452451503533</v>
      </c>
      <c r="CJ347" s="157">
        <f>+(CJ345-CD345)/(CJ343-CD343)</f>
        <v>0.22392559895220401</v>
      </c>
      <c r="CK347" s="214">
        <f>+(CK345-CE345)/(CK343-CE343)</f>
        <v>0.27433352940195227</v>
      </c>
      <c r="CL347" s="22"/>
      <c r="CM347" s="212">
        <f>+(CM345-CG345)/(CM343-CG343)</f>
        <v>0.29379791274833278</v>
      </c>
      <c r="CN347" s="157">
        <f>+(CN345-CH345)/(CN343-CH343)</f>
        <v>0.27624396848124189</v>
      </c>
      <c r="CO347" s="157">
        <f>+(CO345-CI345)/(CO343-CI343)</f>
        <v>0.37421860161981346</v>
      </c>
      <c r="CP347" s="157">
        <f>+(CP345-CJ345)/(CP343-CJ343)</f>
        <v>-0.1001697224205129</v>
      </c>
      <c r="CQ347" s="214">
        <f>+(CQ345-CK345)/(CQ343-CK343)</f>
        <v>0.22749037036284872</v>
      </c>
      <c r="CR347" s="22"/>
      <c r="CS347" s="212">
        <f>+(CS345-CM345)/(CS343-CM343)</f>
        <v>8.6277977163707484E-2</v>
      </c>
      <c r="CT347" s="157">
        <f>+(CT345-CN345)/(CT343-CN343)</f>
        <v>0.27691087225858119</v>
      </c>
      <c r="CU347" s="157">
        <f>+(CU345-CO345)/(CU343-CO343)</f>
        <v>-0.14148718017910894</v>
      </c>
      <c r="CV347" s="157">
        <f>+(CV345-CP345)/(CV343-CP343)</f>
        <v>0.11177817410083729</v>
      </c>
      <c r="CW347" s="214">
        <f>+(CW345-CQ345)/(CW343-CQ343)</f>
        <v>7.4800082029974999E-2</v>
      </c>
      <c r="CX347" s="22"/>
      <c r="CY347" s="212">
        <f>+(CY345-CS345)/(CY343-CS343)</f>
        <v>0.22598715671539829</v>
      </c>
      <c r="CZ347" s="157">
        <f>+(CZ345-CT345)/(CZ343-CT343)</f>
        <v>0.15222594542843482</v>
      </c>
      <c r="DA347" s="157">
        <f>+(DA345-CU345)/(DA343-CU343)</f>
        <v>0.35344410388772357</v>
      </c>
      <c r="DB347" s="157">
        <f>+(DB345-CV345)/(DB343-CV343)</f>
        <v>0.29468044393417608</v>
      </c>
      <c r="DC347" s="214">
        <f>+(DC345-CW345)/(DC343-CW343)</f>
        <v>0.24041328051619232</v>
      </c>
      <c r="DD347" s="22"/>
      <c r="DE347" s="212">
        <f>+(DE345-CY345)/(DE343-CY343)</f>
        <v>1.3849431818181764E-2</v>
      </c>
      <c r="DF347" s="157">
        <f>+(DF345-CZ345)/(DF343-CZ343)</f>
        <v>-0.12826249067859763</v>
      </c>
      <c r="DG347" s="157">
        <f>+(DG345-DA345)/(DG343-DA343)</f>
        <v>0.15501136076748312</v>
      </c>
      <c r="DH347" s="157">
        <f>+(DH345-DB345)/(DH343-DB343)</f>
        <v>0.41783007578779374</v>
      </c>
      <c r="DI347" s="214">
        <f>+(DI345-DC345)/(DI343-DC343)</f>
        <v>0.16610239756788486</v>
      </c>
      <c r="DJ347" s="22"/>
      <c r="DK347" s="212">
        <f>+(DK345-DE345)/(DK343-DE343)</f>
        <v>0.25730038799264843</v>
      </c>
      <c r="DL347" s="157">
        <f>+(DL345-DF345)/(DL343-DF343)</f>
        <v>0.40699096300281323</v>
      </c>
      <c r="DM347" s="157">
        <f>+(DM345-DG345)/(DM343-DG343)</f>
        <v>0.24152328388671651</v>
      </c>
      <c r="DN347" s="157">
        <f>+(DN345-DH345)/(DN343-DH343)</f>
        <v>0.41292842684163406</v>
      </c>
      <c r="DO347" s="214">
        <f>+(DO345-DI345)/(DO343-DI343)</f>
        <v>0.32839811036381761</v>
      </c>
      <c r="DP347" s="22"/>
      <c r="DQ347" s="212">
        <f>+(DQ345-DK345)/(DQ343-DK343)</f>
        <v>0.40321773859826576</v>
      </c>
      <c r="DR347" s="157">
        <f>+(DR345-DL345)/(DR343-DL343)</f>
        <v>0.37783729806635175</v>
      </c>
      <c r="DS347" s="157">
        <f>+(DS345-DM345)/(DS343-DM343)</f>
        <v>0.38878395592223275</v>
      </c>
      <c r="DT347" s="157">
        <f>+(DT345-DN345)/(DT343-DN343)</f>
        <v>0.37893282187088201</v>
      </c>
      <c r="DU347" s="214">
        <f>+(DU345-DO345)/(DU343-DO343)</f>
        <v>0.38697896579979324</v>
      </c>
      <c r="DV347" s="22"/>
      <c r="DW347" s="212">
        <f>+(DW345-DQ345)/(DW343-DQ343)</f>
        <v>0.40010766315304819</v>
      </c>
      <c r="DX347" s="157">
        <f>+(DX345-DR345)/(DX343-DR343)</f>
        <v>0.3947655039686005</v>
      </c>
      <c r="DY347" s="157">
        <f>+(DY345-DS345)/(DY343-DS343)</f>
        <v>0.39715041364247439</v>
      </c>
      <c r="DZ347" s="157">
        <f>+(DZ345-DT345)/(DZ343-DT343)</f>
        <v>0.38821197676033997</v>
      </c>
      <c r="EA347" s="214">
        <f>+(EA345-DU345)/(EA343-DU343)</f>
        <v>0.39482739343016943</v>
      </c>
      <c r="EB347" s="22"/>
      <c r="EC347" s="212">
        <f t="shared" ref="EC347:EG347" si="711">+(EC345-DW345)/(EC343-DW343)</f>
        <v>0.37383981472392552</v>
      </c>
      <c r="ED347" s="157">
        <f t="shared" si="711"/>
        <v>0.3699668739295312</v>
      </c>
      <c r="EE347" s="157">
        <f t="shared" si="711"/>
        <v>0.37137186866751476</v>
      </c>
      <c r="EF347" s="157">
        <f t="shared" si="711"/>
        <v>0.34112545106302455</v>
      </c>
      <c r="EG347" s="214">
        <f t="shared" si="711"/>
        <v>0.36338649687509583</v>
      </c>
    </row>
    <row r="348" spans="1:137" ht="11.25" customHeight="1" x14ac:dyDescent="0.2">
      <c r="A348" s="2"/>
      <c r="B348" s="14"/>
      <c r="C348" s="14"/>
      <c r="D348" s="14"/>
      <c r="E348" s="71"/>
      <c r="F348" s="71"/>
      <c r="G348" s="71"/>
      <c r="H348" s="71"/>
      <c r="I348" s="71"/>
      <c r="J348" s="71"/>
      <c r="K348" s="71"/>
      <c r="L348" s="71"/>
      <c r="M348" s="71"/>
      <c r="N348" s="71"/>
      <c r="O348" s="71"/>
      <c r="P348" s="71"/>
      <c r="Q348" s="71"/>
      <c r="R348" s="71"/>
      <c r="S348" s="71"/>
      <c r="T348" s="71"/>
      <c r="U348" s="71"/>
      <c r="V348" s="71"/>
      <c r="W348" s="71"/>
      <c r="X348" s="71"/>
      <c r="Y348" s="71"/>
      <c r="Z348" s="71"/>
      <c r="AA348" s="71"/>
      <c r="AB348" s="71"/>
      <c r="AC348" s="71"/>
      <c r="AD348" s="71"/>
      <c r="AE348" s="71"/>
      <c r="AF348" s="71"/>
      <c r="AG348" s="71"/>
      <c r="AH348" s="71"/>
      <c r="AI348" s="71"/>
      <c r="AJ348" s="71"/>
      <c r="AK348" s="71"/>
      <c r="AL348" s="71"/>
      <c r="AM348" s="71"/>
      <c r="AN348" s="71"/>
      <c r="AO348" s="71"/>
      <c r="AP348" s="71"/>
      <c r="AQ348" s="71"/>
      <c r="AR348" s="71"/>
      <c r="AS348" s="71"/>
      <c r="AT348" s="71"/>
      <c r="AU348" s="71"/>
      <c r="AV348" s="71"/>
      <c r="AW348" s="71"/>
      <c r="AX348" s="71"/>
      <c r="AY348" s="71"/>
      <c r="AZ348" s="71"/>
      <c r="BA348" s="71"/>
      <c r="BB348" s="71"/>
      <c r="BC348" s="71"/>
      <c r="BD348" s="71"/>
      <c r="BE348" s="71"/>
      <c r="BF348" s="71"/>
      <c r="BG348" s="71"/>
      <c r="BH348" s="71"/>
      <c r="BI348" s="71"/>
      <c r="BJ348" s="71"/>
      <c r="BK348" s="71"/>
      <c r="BL348" s="71"/>
      <c r="BM348" s="67"/>
      <c r="BN348" s="71"/>
      <c r="BO348" s="71"/>
      <c r="BP348" s="71"/>
      <c r="BQ348" s="71"/>
      <c r="BR348" s="71"/>
      <c r="BS348" s="67"/>
      <c r="BT348" s="71"/>
      <c r="BU348" s="71"/>
      <c r="BV348" s="71"/>
      <c r="BW348" s="71"/>
      <c r="BX348" s="71"/>
      <c r="BY348" s="67"/>
      <c r="BZ348" s="71"/>
      <c r="CA348" s="71"/>
      <c r="CB348" s="71"/>
      <c r="CC348" s="71"/>
      <c r="CD348" s="71"/>
      <c r="CE348" s="67"/>
      <c r="CF348" s="71"/>
      <c r="CG348" s="71"/>
      <c r="CH348" s="71"/>
      <c r="CI348" s="71"/>
      <c r="CJ348" s="71"/>
      <c r="CK348" s="67"/>
      <c r="CL348" s="71"/>
      <c r="CM348" s="71"/>
      <c r="CN348" s="71"/>
      <c r="CO348" s="71"/>
      <c r="CP348" s="71"/>
      <c r="CQ348" s="67"/>
      <c r="CR348" s="71"/>
      <c r="CS348" s="71"/>
      <c r="CT348" s="71"/>
      <c r="CU348" s="71"/>
      <c r="CV348" s="71"/>
      <c r="CW348" s="67"/>
      <c r="CX348" s="71"/>
      <c r="CY348" s="71"/>
      <c r="CZ348" s="71"/>
      <c r="DA348" s="71"/>
      <c r="DB348" s="71"/>
      <c r="DC348" s="67"/>
      <c r="DD348" s="71"/>
      <c r="DE348" s="67"/>
      <c r="DF348" s="67"/>
      <c r="DG348" s="67"/>
      <c r="DH348" s="67"/>
      <c r="DI348" s="67"/>
      <c r="DJ348" s="67"/>
      <c r="DK348" s="67"/>
      <c r="DL348" s="67"/>
      <c r="DM348" s="67"/>
      <c r="DN348" s="67"/>
      <c r="DO348" s="67"/>
      <c r="DP348" s="67"/>
      <c r="DQ348" s="67"/>
      <c r="DR348" s="67"/>
      <c r="DS348" s="67"/>
      <c r="DT348" s="67"/>
      <c r="DU348" s="67"/>
      <c r="DV348" s="67"/>
      <c r="DW348" s="67"/>
      <c r="DX348" s="67"/>
      <c r="DY348" s="67"/>
      <c r="DZ348" s="67"/>
      <c r="EA348" s="67"/>
      <c r="EB348" s="67"/>
      <c r="EC348" s="67"/>
      <c r="ED348" s="67"/>
      <c r="EE348" s="67"/>
      <c r="EF348" s="67"/>
      <c r="EG348" s="67"/>
    </row>
    <row r="349" spans="1:137" ht="11.25" customHeight="1" x14ac:dyDescent="0.2">
      <c r="A349" s="106" t="s">
        <v>531</v>
      </c>
      <c r="B349" s="74"/>
      <c r="C349" s="74"/>
      <c r="D349" s="74"/>
      <c r="E349" s="107"/>
      <c r="F349" s="75"/>
      <c r="G349" s="107"/>
      <c r="H349" s="75"/>
      <c r="I349" s="107"/>
      <c r="J349" s="75"/>
      <c r="K349" s="107"/>
      <c r="L349" s="75"/>
      <c r="M349" s="109"/>
      <c r="N349" s="110"/>
      <c r="O349" s="110"/>
      <c r="P349" s="110"/>
      <c r="Q349" s="107"/>
      <c r="R349" s="75"/>
      <c r="S349" s="109"/>
      <c r="T349" s="110"/>
      <c r="U349" s="110"/>
      <c r="V349" s="110"/>
      <c r="W349" s="107"/>
      <c r="X349" s="75"/>
      <c r="Y349" s="109"/>
      <c r="Z349" s="110"/>
      <c r="AA349" s="110"/>
      <c r="AB349" s="110"/>
      <c r="AC349" s="107"/>
      <c r="AD349" s="75"/>
      <c r="AE349" s="109"/>
      <c r="AF349" s="110"/>
      <c r="AG349" s="110"/>
      <c r="AH349" s="110"/>
      <c r="AI349" s="107"/>
      <c r="AJ349" s="75"/>
      <c r="AK349" s="109"/>
      <c r="AL349" s="110"/>
      <c r="AM349" s="110"/>
      <c r="AN349" s="110"/>
      <c r="AO349" s="107"/>
      <c r="AP349" s="75"/>
      <c r="AQ349" s="109"/>
      <c r="AR349" s="110"/>
      <c r="AS349" s="110"/>
      <c r="AT349" s="110"/>
      <c r="AU349" s="107"/>
      <c r="AV349" s="75"/>
      <c r="AW349" s="109"/>
      <c r="AX349" s="110"/>
      <c r="AY349" s="110"/>
      <c r="AZ349" s="110"/>
      <c r="BA349" s="107"/>
      <c r="BB349" s="75"/>
      <c r="BC349" s="109"/>
      <c r="BD349" s="110"/>
      <c r="BE349" s="110"/>
      <c r="BF349" s="110"/>
      <c r="BG349" s="107"/>
      <c r="BH349" s="75"/>
      <c r="BI349" s="109"/>
      <c r="BJ349" s="110"/>
      <c r="BK349" s="110"/>
      <c r="BL349" s="110"/>
      <c r="BM349" s="107"/>
      <c r="BN349" s="75"/>
      <c r="BO349" s="109"/>
      <c r="BP349" s="110"/>
      <c r="BQ349" s="110"/>
      <c r="BR349" s="110"/>
      <c r="BS349" s="107"/>
      <c r="BT349" s="75"/>
      <c r="BU349" s="109"/>
      <c r="BV349" s="110"/>
      <c r="BW349" s="110"/>
      <c r="BX349" s="110"/>
      <c r="BY349" s="107"/>
      <c r="BZ349" s="75"/>
      <c r="CA349" s="109"/>
      <c r="CB349" s="110"/>
      <c r="CC349" s="110"/>
      <c r="CD349" s="110"/>
      <c r="CE349" s="107"/>
      <c r="CF349" s="75"/>
      <c r="CG349" s="109"/>
      <c r="CH349" s="110"/>
      <c r="CI349" s="110"/>
      <c r="CJ349" s="110"/>
      <c r="CK349" s="107"/>
      <c r="CL349" s="75"/>
      <c r="CM349" s="109"/>
      <c r="CN349" s="110"/>
      <c r="CO349" s="110"/>
      <c r="CP349" s="110"/>
      <c r="CQ349" s="107"/>
      <c r="CR349" s="75"/>
      <c r="CS349" s="109"/>
      <c r="CT349" s="110"/>
      <c r="CU349" s="110"/>
      <c r="CV349" s="110"/>
      <c r="CW349" s="107"/>
      <c r="CX349" s="75"/>
      <c r="CY349" s="109"/>
      <c r="CZ349" s="110"/>
      <c r="DA349" s="110"/>
      <c r="DB349" s="110"/>
      <c r="DC349" s="107"/>
      <c r="DD349" s="75"/>
      <c r="DE349" s="109"/>
      <c r="DF349" s="110"/>
      <c r="DG349" s="110"/>
      <c r="DH349" s="110"/>
      <c r="DI349" s="107"/>
      <c r="DJ349" s="75"/>
      <c r="DK349" s="109"/>
      <c r="DL349" s="110"/>
      <c r="DM349" s="110"/>
      <c r="DN349" s="110"/>
      <c r="DO349" s="107"/>
      <c r="DP349" s="75"/>
      <c r="DQ349" s="109"/>
      <c r="DR349" s="110"/>
      <c r="DS349" s="110"/>
      <c r="DT349" s="110"/>
      <c r="DU349" s="107"/>
      <c r="DV349" s="75"/>
      <c r="DW349" s="109"/>
      <c r="DX349" s="110"/>
      <c r="DY349" s="110"/>
      <c r="DZ349" s="110"/>
      <c r="EA349" s="107"/>
      <c r="EB349" s="75"/>
      <c r="EC349" s="109"/>
      <c r="ED349" s="110"/>
      <c r="EE349" s="110"/>
      <c r="EF349" s="110"/>
      <c r="EG349" s="107"/>
    </row>
    <row r="350" spans="1:137" ht="11.25" customHeight="1" x14ac:dyDescent="0.2">
      <c r="A350" s="129" t="s">
        <v>405</v>
      </c>
      <c r="B350" s="343"/>
      <c r="C350" s="343"/>
      <c r="D350" s="343"/>
      <c r="E350" s="404"/>
      <c r="F350" s="344"/>
      <c r="G350" s="404"/>
      <c r="H350" s="344"/>
      <c r="I350" s="404"/>
      <c r="J350" s="344"/>
      <c r="K350" s="404"/>
      <c r="L350" s="344"/>
      <c r="M350" s="400"/>
      <c r="N350" s="401"/>
      <c r="O350" s="401"/>
      <c r="P350" s="401"/>
      <c r="Q350" s="404"/>
      <c r="R350" s="344"/>
      <c r="S350" s="400"/>
      <c r="T350" s="401"/>
      <c r="U350" s="401"/>
      <c r="V350" s="401"/>
      <c r="W350" s="404"/>
      <c r="X350" s="344"/>
      <c r="Y350" s="400"/>
      <c r="Z350" s="401"/>
      <c r="AA350" s="401"/>
      <c r="AB350" s="401"/>
      <c r="AC350" s="404"/>
      <c r="AD350" s="344"/>
      <c r="AE350" s="400"/>
      <c r="AF350" s="401"/>
      <c r="AG350" s="401"/>
      <c r="AH350" s="401"/>
      <c r="AI350" s="404"/>
      <c r="AJ350" s="344"/>
      <c r="AK350" s="400"/>
      <c r="AL350" s="401"/>
      <c r="AM350" s="401"/>
      <c r="AN350" s="401"/>
      <c r="AO350" s="404"/>
      <c r="AP350" s="344"/>
      <c r="AQ350" s="400"/>
      <c r="AR350" s="401"/>
      <c r="AS350" s="401"/>
      <c r="AT350" s="401"/>
      <c r="AU350" s="404"/>
      <c r="AV350" s="344"/>
      <c r="AW350" s="400"/>
      <c r="AX350" s="401"/>
      <c r="AY350" s="401"/>
      <c r="AZ350" s="401"/>
      <c r="BA350" s="404"/>
      <c r="BB350" s="344"/>
      <c r="BC350" s="400"/>
      <c r="BD350" s="401"/>
      <c r="BE350" s="401"/>
      <c r="BF350" s="401"/>
      <c r="BG350" s="404"/>
      <c r="BH350" s="344"/>
      <c r="BI350" s="400"/>
      <c r="BJ350" s="401"/>
      <c r="BK350" s="401"/>
      <c r="BL350" s="401"/>
      <c r="BM350" s="404"/>
      <c r="BN350" s="344"/>
      <c r="BO350" s="400">
        <f>+BO359+BO362+BO364</f>
        <v>703.77334137280525</v>
      </c>
      <c r="BP350" s="401">
        <f>+BP359+BP362+BP364</f>
        <v>766.81603390212854</v>
      </c>
      <c r="BQ350" s="401">
        <f>+BQ359+BQ362+BQ364</f>
        <v>828.07220444312793</v>
      </c>
      <c r="BR350" s="401">
        <f>+BR359+BR362+BR364</f>
        <v>952.94324052003265</v>
      </c>
      <c r="BS350" s="473">
        <f>+'Pro Forma IS'!BS13</f>
        <v>3251.6048202380948</v>
      </c>
      <c r="BT350" s="344"/>
      <c r="BU350" s="400">
        <f>+BU359+BU362+BU364</f>
        <v>910.76795372254105</v>
      </c>
      <c r="BV350" s="401">
        <f>+BV359+BV362+BV364</f>
        <v>941.30549890715827</v>
      </c>
      <c r="BW350" s="401">
        <f>+BW359+BW362+BW364</f>
        <v>1290.2763753579416</v>
      </c>
      <c r="BX350" s="401">
        <f>+BX359+BX362+BX364</f>
        <v>1546.036321177924</v>
      </c>
      <c r="BY350" s="473">
        <f>+'Pro Forma IS'!BY13</f>
        <v>4688.3861491655643</v>
      </c>
      <c r="BZ350" s="344"/>
      <c r="CA350" s="400">
        <f>+CA359+CA362+CA364</f>
        <v>1393.9695275604522</v>
      </c>
      <c r="CB350" s="401">
        <f>+CB359+CB362+CB364</f>
        <v>1491.6624356951049</v>
      </c>
      <c r="CC350" s="401">
        <f>+CC359+CC362+CC364</f>
        <v>1453.7052335689373</v>
      </c>
      <c r="CD350" s="401">
        <f>+CD359+CD362+CD364</f>
        <v>1751.6512141340143</v>
      </c>
      <c r="CE350" s="473">
        <f>+'Pro Forma IS'!CE13</f>
        <v>6090.9884109585082</v>
      </c>
      <c r="CF350" s="344"/>
      <c r="CG350" s="400">
        <f>+CG359+CG362+CG364</f>
        <v>1426.839926124487</v>
      </c>
      <c r="CH350" s="401">
        <f>+CH359+CH362+CH364</f>
        <v>1602.025896245183</v>
      </c>
      <c r="CI350" s="401">
        <f>+CI359+CI362+CI364</f>
        <v>1601.4009147704844</v>
      </c>
      <c r="CJ350" s="401">
        <f>+CJ359+CJ362+CJ364</f>
        <v>1851.2332628598458</v>
      </c>
      <c r="CK350" s="473">
        <f>+'Pro Forma IS'!CK13</f>
        <v>6481.5013164482734</v>
      </c>
      <c r="CL350" s="344"/>
      <c r="CM350" s="400">
        <f>+CM359+CM362+CM364</f>
        <v>1534.8221437461561</v>
      </c>
      <c r="CN350" s="401">
        <f>+CN359+CN362+CN364</f>
        <v>1710.8348374055511</v>
      </c>
      <c r="CO350" s="401">
        <f>+CO359+CO362+CO364</f>
        <v>1711.792098163982</v>
      </c>
      <c r="CP350" s="401">
        <f>+CP359+CP362+CP364</f>
        <v>1899.755363324854</v>
      </c>
      <c r="CQ350" s="473">
        <f>+'Pro Forma IS'!CQ13</f>
        <v>6857.2044426405428</v>
      </c>
      <c r="CR350" s="344"/>
      <c r="CS350" s="471">
        <f>+'Pro Forma IS'!CS13</f>
        <v>1741.6</v>
      </c>
      <c r="CT350" s="472">
        <f>+'Pro Forma IS'!CT13</f>
        <v>1878.9</v>
      </c>
      <c r="CU350" s="472">
        <f>+'Pro Forma IS'!CU13</f>
        <v>1893.3999999999999</v>
      </c>
      <c r="CV350" s="472">
        <f>+'Pro Forma IS'!CV13</f>
        <v>2257.1999999999998</v>
      </c>
      <c r="CW350" s="473">
        <f>+'Pro Forma IS'!CW13</f>
        <v>7771.1</v>
      </c>
      <c r="CX350" s="344"/>
      <c r="CY350" s="471">
        <f>+'Pro Forma IS'!CY13</f>
        <v>2167.3000000000002</v>
      </c>
      <c r="CZ350" s="472">
        <f>+'Pro Forma IS'!CZ13</f>
        <v>2381.2999999999997</v>
      </c>
      <c r="DA350" s="472">
        <f>+'Pro Forma IS'!DA13</f>
        <v>2286.0000000000005</v>
      </c>
      <c r="DB350" s="472">
        <f>+'Pro Forma IS'!DB13</f>
        <v>2500</v>
      </c>
      <c r="DC350" s="473">
        <f>+'Pro Forma IS'!DC13</f>
        <v>9334.6000000000022</v>
      </c>
      <c r="DD350" s="344"/>
      <c r="DE350" s="400">
        <f>+DE359+DE362+DE364</f>
        <v>2334.2999999999997</v>
      </c>
      <c r="DF350" s="401">
        <f>+DF359+DF362+DF364</f>
        <v>2427.3000000000002</v>
      </c>
      <c r="DG350" s="401">
        <f>+DG359+DG362+DG364</f>
        <v>2536.7999999999993</v>
      </c>
      <c r="DH350" s="401">
        <f>+DH359+DH362+DH364</f>
        <v>2839.1</v>
      </c>
      <c r="DI350" s="404">
        <f>+SUM(DE350:DH350)</f>
        <v>10137.5</v>
      </c>
      <c r="DJ350" s="344"/>
      <c r="DK350" s="400">
        <f>+DK359+DK362+DK364</f>
        <v>2643.5999999999995</v>
      </c>
      <c r="DL350" s="401">
        <f>+DL359+DL362+DL364</f>
        <v>2744.1706624642811</v>
      </c>
      <c r="DM350" s="401">
        <f>+DM359+DM362+DM364</f>
        <v>2724.1361702491577</v>
      </c>
      <c r="DN350" s="401">
        <f>+DN359+DN362+DN364</f>
        <v>3097.4651651015997</v>
      </c>
      <c r="DO350" s="404">
        <f>+SUM(DK350:DN350)</f>
        <v>11209.371997815038</v>
      </c>
      <c r="DP350" s="344"/>
      <c r="DQ350" s="400">
        <f>+DQ359+DQ362+DQ364</f>
        <v>2802.7686630078492</v>
      </c>
      <c r="DR350" s="401">
        <f>+DR359+DR362+DR364</f>
        <v>2907.7986231358768</v>
      </c>
      <c r="DS350" s="401">
        <f>+DS359+DS362+DS364</f>
        <v>2854.6697562757786</v>
      </c>
      <c r="DT350" s="401">
        <f>+DT359+DT362+DT364</f>
        <v>3236.9610007923561</v>
      </c>
      <c r="DU350" s="404">
        <f>+SUM(DQ350:DT350)</f>
        <v>11802.198043211862</v>
      </c>
      <c r="DV350" s="344"/>
      <c r="DW350" s="400">
        <f>+DW359+DW362+DW364</f>
        <v>2953.3241528721128</v>
      </c>
      <c r="DX350" s="401">
        <f>+DX359+DX362+DX364</f>
        <v>3060.5850805319969</v>
      </c>
      <c r="DY350" s="401">
        <f>+DY359+DY362+DY364</f>
        <v>3005.0892454842387</v>
      </c>
      <c r="DZ350" s="401">
        <f>+DZ359+DZ362+DZ364</f>
        <v>3398.6796761677624</v>
      </c>
      <c r="EA350" s="404">
        <f>+SUM(DW350:DZ350)</f>
        <v>12417.67815505611</v>
      </c>
      <c r="EB350" s="344"/>
      <c r="EC350" s="400">
        <f t="shared" ref="EC350:EF350" si="712">+EC359+EC362+EC364</f>
        <v>3103.9566971681579</v>
      </c>
      <c r="ED350" s="401">
        <f t="shared" si="712"/>
        <v>3213.5505233518866</v>
      </c>
      <c r="EE350" s="401">
        <f t="shared" si="712"/>
        <v>3155.5223462754593</v>
      </c>
      <c r="EF350" s="401">
        <f t="shared" si="712"/>
        <v>3554.742171005666</v>
      </c>
      <c r="EG350" s="404">
        <f t="shared" ref="EG350" si="713">+SUM(EC350:EF350)</f>
        <v>13027.771737801169</v>
      </c>
    </row>
    <row r="351" spans="1:137" ht="11.25" customHeight="1" x14ac:dyDescent="0.2">
      <c r="A351" s="199" t="s">
        <v>404</v>
      </c>
      <c r="B351" s="14"/>
      <c r="C351" s="14"/>
      <c r="D351" s="14"/>
      <c r="E351" s="214"/>
      <c r="F351" s="71"/>
      <c r="G351" s="214"/>
      <c r="H351" s="71"/>
      <c r="I351" s="214"/>
      <c r="J351" s="71"/>
      <c r="K351" s="214"/>
      <c r="L351" s="71"/>
      <c r="M351" s="212"/>
      <c r="N351" s="157"/>
      <c r="O351" s="157"/>
      <c r="P351" s="157"/>
      <c r="Q351" s="214"/>
      <c r="R351" s="71"/>
      <c r="S351" s="212"/>
      <c r="T351" s="157"/>
      <c r="U351" s="157"/>
      <c r="V351" s="157"/>
      <c r="W351" s="214"/>
      <c r="X351" s="71"/>
      <c r="Y351" s="212"/>
      <c r="Z351" s="157"/>
      <c r="AA351" s="157"/>
      <c r="AB351" s="157"/>
      <c r="AC351" s="214"/>
      <c r="AD351" s="71"/>
      <c r="AE351" s="212"/>
      <c r="AF351" s="157"/>
      <c r="AG351" s="157"/>
      <c r="AH351" s="157"/>
      <c r="AI351" s="214"/>
      <c r="AJ351" s="71"/>
      <c r="AK351" s="212"/>
      <c r="AL351" s="157"/>
      <c r="AM351" s="157"/>
      <c r="AN351" s="157"/>
      <c r="AO351" s="214"/>
      <c r="AP351" s="71"/>
      <c r="AQ351" s="212"/>
      <c r="AR351" s="157"/>
      <c r="AS351" s="157"/>
      <c r="AT351" s="157"/>
      <c r="AU351" s="214"/>
      <c r="AV351" s="71"/>
      <c r="AW351" s="212"/>
      <c r="AX351" s="157"/>
      <c r="AY351" s="157"/>
      <c r="AZ351" s="157"/>
      <c r="BA351" s="214"/>
      <c r="BB351" s="71"/>
      <c r="BC351" s="212"/>
      <c r="BD351" s="157"/>
      <c r="BE351" s="157"/>
      <c r="BF351" s="157"/>
      <c r="BG351" s="214"/>
      <c r="BH351" s="71"/>
      <c r="BI351" s="212"/>
      <c r="BJ351" s="157"/>
      <c r="BK351" s="157"/>
      <c r="BL351" s="157"/>
      <c r="BM351" s="214"/>
      <c r="BN351" s="71"/>
      <c r="BO351" s="212">
        <f>+BO350/BO$343</f>
        <v>0.47919626029185636</v>
      </c>
      <c r="BP351" s="157">
        <f>+BP350/BP$343</f>
        <v>0.49539475963744189</v>
      </c>
      <c r="BQ351" s="157">
        <f>+BQ350/BQ$343</f>
        <v>0.5227582197893923</v>
      </c>
      <c r="BR351" s="157">
        <f>+BR350/BR$343</f>
        <v>0.51980784114211842</v>
      </c>
      <c r="BS351" s="214">
        <f>+BS350/BS$343</f>
        <v>0.50539040997437701</v>
      </c>
      <c r="BT351" s="71"/>
      <c r="BU351" s="212">
        <f>+BU350/BU$343</f>
        <v>0.52301882016120838</v>
      </c>
      <c r="BV351" s="157">
        <f>+BV350/BV$343</f>
        <v>0.49191276267734002</v>
      </c>
      <c r="BW351" s="157">
        <f>+BW350/BW$343</f>
        <v>0.46560239344670801</v>
      </c>
      <c r="BX351" s="157">
        <f>+BX350/BX$343</f>
        <v>0.50905384953372923</v>
      </c>
      <c r="BY351" s="214">
        <f>+BY350/BY$343</f>
        <v>0.49543320372211586</v>
      </c>
      <c r="BZ351" s="71"/>
      <c r="CA351" s="212">
        <f>+CA350/CA$343</f>
        <v>0.50888075945331257</v>
      </c>
      <c r="CB351" s="157">
        <f>+CB350/CB$343</f>
        <v>0.51807147419354105</v>
      </c>
      <c r="CC351" s="157">
        <f>+CC350/CC$343</f>
        <v>0.51543159326206722</v>
      </c>
      <c r="CD351" s="157">
        <f>+CD350/CD$343</f>
        <v>0.53373407809422879</v>
      </c>
      <c r="CE351" s="214">
        <f>+CE350/CE$343</f>
        <v>0.51967387216800032</v>
      </c>
      <c r="CF351" s="71"/>
      <c r="CG351" s="212">
        <f>+CG350/CG$343</f>
        <v>0.50544055241024188</v>
      </c>
      <c r="CH351" s="157">
        <f>+CH350/CH$343</f>
        <v>0.52669779651496584</v>
      </c>
      <c r="CI351" s="157">
        <f>+CI350/CI$343</f>
        <v>0.52739900371773896</v>
      </c>
      <c r="CJ351" s="157">
        <f>+CJ350/CJ$343</f>
        <v>0.53505639102533942</v>
      </c>
      <c r="CK351" s="214">
        <f>+CK350/CK$343</f>
        <v>0.52435507334918519</v>
      </c>
      <c r="CL351" s="71"/>
      <c r="CM351" s="212">
        <f>+CM350/CM$343</f>
        <v>0.51847689196662095</v>
      </c>
      <c r="CN351" s="157">
        <f>+CN350/CN$343</f>
        <v>0.53766595047939114</v>
      </c>
      <c r="CO351" s="157">
        <f>+CO350/CO$343</f>
        <v>0.54161767061937072</v>
      </c>
      <c r="CP351" s="157">
        <f>+CP350/CP$343</f>
        <v>0.53302206176085642</v>
      </c>
      <c r="CQ351" s="214">
        <f>+CQ350/CQ$343</f>
        <v>0.53293547523104068</v>
      </c>
      <c r="CR351" s="71"/>
      <c r="CS351" s="212">
        <f>+CS350/CS$343</f>
        <v>0.54557985088653582</v>
      </c>
      <c r="CT351" s="157">
        <f>+CT350/CT$343</f>
        <v>0.5515955729090215</v>
      </c>
      <c r="CU351" s="157">
        <f>+CU350/CU$343</f>
        <v>0.53909230681624054</v>
      </c>
      <c r="CV351" s="157">
        <f>+CV350/CV$343</f>
        <v>0.52213740458015256</v>
      </c>
      <c r="CW351" s="214">
        <f>+CW350/CW$343</f>
        <v>0.53839971732819725</v>
      </c>
      <c r="CX351" s="71"/>
      <c r="CY351" s="212">
        <f>+CY350/CY$343</f>
        <v>0.55230498713080711</v>
      </c>
      <c r="CZ351" s="157">
        <f>+CZ350/CZ$343</f>
        <v>0.56137579858082465</v>
      </c>
      <c r="DA351" s="157">
        <f>+DA350/DA$343</f>
        <v>0.55322959270104799</v>
      </c>
      <c r="DB351" s="157">
        <f>+DB350/DB$343</f>
        <v>0.54533952839037581</v>
      </c>
      <c r="DC351" s="214">
        <f>+DC350/DC$343</f>
        <v>0.55291901625361328</v>
      </c>
      <c r="DD351" s="71"/>
      <c r="DE351" s="212">
        <f>+DE350/DE$343</f>
        <v>0.55503245595263562</v>
      </c>
      <c r="DF351" s="157">
        <f>+DF350/DF$343</f>
        <v>0.53819205782576884</v>
      </c>
      <c r="DG351" s="157">
        <f>+DG350/DG$343</f>
        <v>0.56022260500861254</v>
      </c>
      <c r="DH351" s="157">
        <f>+DH350/DH$343</f>
        <v>0.5582515681223823</v>
      </c>
      <c r="DI351" s="214">
        <f>+DI350/DI$343</f>
        <v>0.55306415271390141</v>
      </c>
      <c r="DJ351" s="67"/>
      <c r="DK351" s="212">
        <f>+DK350/DK$343</f>
        <v>0.56301912510116281</v>
      </c>
      <c r="DL351" s="157">
        <f>+DL350/DL$343</f>
        <v>0.55660517565273182</v>
      </c>
      <c r="DM351" s="157">
        <f>+DM350/DM$343</f>
        <v>0.56161236752293653</v>
      </c>
      <c r="DN351" s="157">
        <f>+DN350/DN$343</f>
        <v>0.56956481083323529</v>
      </c>
      <c r="DO351" s="214">
        <f>+DO350/DO$343</f>
        <v>0.56287610542507072</v>
      </c>
      <c r="DP351" s="67"/>
      <c r="DQ351" s="212">
        <f>+DQ350/DQ$343</f>
        <v>0.57040157316181528</v>
      </c>
      <c r="DR351" s="157">
        <f>+DR350/DR$343</f>
        <v>0.56260609683267693</v>
      </c>
      <c r="DS351" s="157">
        <f>+DS350/DS$343</f>
        <v>0.56627570164543883</v>
      </c>
      <c r="DT351" s="157">
        <f>+DT350/DT$343</f>
        <v>0.57282361092776746</v>
      </c>
      <c r="DU351" s="214">
        <f>+DU350/DU$343</f>
        <v>0.56811975103590984</v>
      </c>
      <c r="DV351" s="67"/>
      <c r="DW351" s="212">
        <f>+DW350/DW$343</f>
        <v>0.57637946032249232</v>
      </c>
      <c r="DX351" s="157">
        <f>+DX350/DX$343</f>
        <v>0.56786826018109704</v>
      </c>
      <c r="DY351" s="157">
        <f>+DY350/DY$343</f>
        <v>0.5716473222766747</v>
      </c>
      <c r="DZ351" s="157">
        <f>+DZ350/DZ$343</f>
        <v>0.57679066562068593</v>
      </c>
      <c r="EA351" s="214">
        <f>+EA350/EA$343</f>
        <v>0.57322542191500236</v>
      </c>
      <c r="EB351" s="67"/>
      <c r="EC351" s="212">
        <f t="shared" ref="EC351:EG351" si="714">+EC350/EC$343</f>
        <v>0.58089797824959744</v>
      </c>
      <c r="ED351" s="157">
        <f t="shared" si="714"/>
        <v>0.57176018734971945</v>
      </c>
      <c r="EE351" s="157">
        <f t="shared" si="714"/>
        <v>0.57560367776488919</v>
      </c>
      <c r="EF351" s="157">
        <f t="shared" si="714"/>
        <v>0.57852661389342308</v>
      </c>
      <c r="EG351" s="214">
        <f t="shared" si="714"/>
        <v>0.57669472453245418</v>
      </c>
    </row>
    <row r="352" spans="1:137" ht="11.25" customHeight="1" x14ac:dyDescent="0.2">
      <c r="A352" s="2"/>
      <c r="B352" s="14"/>
      <c r="C352" s="14"/>
      <c r="D352" s="14"/>
      <c r="E352" s="71"/>
      <c r="F352" s="71"/>
      <c r="G352" s="71"/>
      <c r="H352" s="71"/>
      <c r="I352" s="71"/>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c r="AJ352" s="71"/>
      <c r="AK352" s="71"/>
      <c r="AL352" s="71"/>
      <c r="AM352" s="71"/>
      <c r="AN352" s="71"/>
      <c r="AO352" s="71"/>
      <c r="AP352" s="71"/>
      <c r="AQ352" s="71"/>
      <c r="AR352" s="71"/>
      <c r="AS352" s="71"/>
      <c r="AT352" s="71"/>
      <c r="AU352" s="71"/>
      <c r="AV352" s="71"/>
      <c r="AW352" s="71"/>
      <c r="AX352" s="71"/>
      <c r="AY352" s="71"/>
      <c r="AZ352" s="71"/>
      <c r="BA352" s="71"/>
      <c r="BB352" s="71"/>
      <c r="BC352" s="71"/>
      <c r="BD352" s="71"/>
      <c r="BE352" s="71"/>
      <c r="BF352" s="71"/>
      <c r="BG352" s="71"/>
      <c r="BH352" s="71"/>
      <c r="BI352" s="71"/>
      <c r="BJ352" s="71"/>
      <c r="BK352" s="71"/>
      <c r="BL352" s="71"/>
      <c r="BM352" s="71"/>
      <c r="BN352" s="71"/>
      <c r="BO352" s="71"/>
      <c r="BP352" s="71"/>
      <c r="BQ352" s="71"/>
      <c r="BR352" s="71"/>
      <c r="BS352" s="71"/>
      <c r="BT352" s="71"/>
      <c r="BU352" s="71"/>
      <c r="BV352" s="71"/>
      <c r="BW352" s="71"/>
      <c r="BX352" s="71"/>
      <c r="BY352" s="71"/>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1"/>
      <c r="CV352" s="71"/>
      <c r="CW352" s="71"/>
      <c r="CX352" s="71"/>
      <c r="CY352" s="71"/>
      <c r="CZ352" s="71"/>
      <c r="DA352" s="71"/>
      <c r="DB352" s="71"/>
      <c r="DC352" s="71"/>
      <c r="DD352" s="71"/>
      <c r="DE352" s="71"/>
      <c r="DF352" s="71"/>
      <c r="DG352" s="71"/>
      <c r="DH352" s="71"/>
      <c r="DI352" s="483"/>
      <c r="DJ352" s="71"/>
      <c r="DK352" s="71"/>
      <c r="DL352" s="71"/>
      <c r="DM352" s="71"/>
      <c r="DN352" s="71"/>
      <c r="DO352" s="71"/>
      <c r="DP352" s="71"/>
      <c r="DQ352" s="71"/>
      <c r="DR352" s="71"/>
      <c r="DS352" s="71"/>
      <c r="DT352" s="71"/>
      <c r="DU352" s="71"/>
      <c r="DV352" s="71"/>
      <c r="DW352" s="71"/>
      <c r="DX352" s="71"/>
      <c r="DY352" s="71"/>
      <c r="DZ352" s="71"/>
      <c r="EA352" s="71"/>
      <c r="EB352" s="71"/>
      <c r="EC352" s="71"/>
      <c r="ED352" s="71"/>
      <c r="EE352" s="71"/>
      <c r="EF352" s="71"/>
      <c r="EG352" s="71"/>
    </row>
    <row r="353" spans="1:137" ht="11.25" customHeight="1" x14ac:dyDescent="0.2">
      <c r="A353" s="106" t="s">
        <v>530</v>
      </c>
      <c r="B353" s="74"/>
      <c r="C353" s="74"/>
      <c r="D353" s="74"/>
      <c r="E353" s="107"/>
      <c r="F353" s="75"/>
      <c r="G353" s="107"/>
      <c r="H353" s="75"/>
      <c r="I353" s="107"/>
      <c r="J353" s="75"/>
      <c r="K353" s="107"/>
      <c r="L353" s="75"/>
      <c r="M353" s="109"/>
      <c r="N353" s="110"/>
      <c r="O353" s="110"/>
      <c r="P353" s="110"/>
      <c r="Q353" s="107"/>
      <c r="R353" s="75"/>
      <c r="S353" s="109"/>
      <c r="T353" s="110"/>
      <c r="U353" s="110"/>
      <c r="V353" s="110"/>
      <c r="W353" s="107"/>
      <c r="X353" s="75"/>
      <c r="Y353" s="109"/>
      <c r="Z353" s="110"/>
      <c r="AA353" s="110"/>
      <c r="AB353" s="110"/>
      <c r="AC353" s="107"/>
      <c r="AD353" s="75"/>
      <c r="AE353" s="109"/>
      <c r="AF353" s="110"/>
      <c r="AG353" s="110"/>
      <c r="AH353" s="110"/>
      <c r="AI353" s="107"/>
      <c r="AJ353" s="75"/>
      <c r="AK353" s="109"/>
      <c r="AL353" s="110"/>
      <c r="AM353" s="110"/>
      <c r="AN353" s="110"/>
      <c r="AO353" s="107"/>
      <c r="AP353" s="75"/>
      <c r="AQ353" s="109"/>
      <c r="AR353" s="110"/>
      <c r="AS353" s="110"/>
      <c r="AT353" s="110"/>
      <c r="AU353" s="107"/>
      <c r="AV353" s="75"/>
      <c r="AW353" s="109"/>
      <c r="AX353" s="110"/>
      <c r="AY353" s="110"/>
      <c r="AZ353" s="110"/>
      <c r="BA353" s="107"/>
      <c r="BB353" s="75"/>
      <c r="BC353" s="109"/>
      <c r="BD353" s="110"/>
      <c r="BE353" s="110"/>
      <c r="BF353" s="110"/>
      <c r="BG353" s="107"/>
      <c r="BH353" s="75"/>
      <c r="BI353" s="109"/>
      <c r="BJ353" s="110"/>
      <c r="BK353" s="110"/>
      <c r="BL353" s="110"/>
      <c r="BM353" s="107"/>
      <c r="BN353" s="75"/>
      <c r="BO353" s="109"/>
      <c r="BP353" s="110"/>
      <c r="BQ353" s="110"/>
      <c r="BR353" s="110"/>
      <c r="BS353" s="107"/>
      <c r="BT353" s="75"/>
      <c r="BU353" s="109"/>
      <c r="BV353" s="110"/>
      <c r="BW353" s="110"/>
      <c r="BX353" s="110"/>
      <c r="BY353" s="107"/>
      <c r="BZ353" s="75"/>
      <c r="CA353" s="109"/>
      <c r="CB353" s="110"/>
      <c r="CC353" s="110"/>
      <c r="CD353" s="110"/>
      <c r="CE353" s="107"/>
      <c r="CF353" s="75"/>
      <c r="CG353" s="109"/>
      <c r="CH353" s="110"/>
      <c r="CI353" s="110"/>
      <c r="CJ353" s="110"/>
      <c r="CK353" s="107"/>
      <c r="CL353" s="75"/>
      <c r="CM353" s="109"/>
      <c r="CN353" s="110"/>
      <c r="CO353" s="110"/>
      <c r="CP353" s="110"/>
      <c r="CQ353" s="107"/>
      <c r="CR353" s="75"/>
      <c r="CS353" s="109"/>
      <c r="CT353" s="110"/>
      <c r="CU353" s="110"/>
      <c r="CV353" s="110"/>
      <c r="CW353" s="107"/>
      <c r="CX353" s="75"/>
      <c r="CY353" s="109"/>
      <c r="CZ353" s="110"/>
      <c r="DA353" s="110"/>
      <c r="DB353" s="110"/>
      <c r="DC353" s="107"/>
      <c r="DD353" s="75"/>
      <c r="DE353" s="109"/>
      <c r="DF353" s="110"/>
      <c r="DG353" s="110"/>
      <c r="DH353" s="110"/>
      <c r="DI353" s="107"/>
      <c r="DJ353" s="75"/>
      <c r="DK353" s="109"/>
      <c r="DL353" s="110"/>
      <c r="DM353" s="110"/>
      <c r="DN353" s="110"/>
      <c r="DO353" s="107"/>
      <c r="DP353" s="75"/>
      <c r="DQ353" s="109"/>
      <c r="DR353" s="110"/>
      <c r="DS353" s="110"/>
      <c r="DT353" s="110"/>
      <c r="DU353" s="107"/>
      <c r="DV353" s="75"/>
      <c r="DW353" s="109"/>
      <c r="DX353" s="110"/>
      <c r="DY353" s="110"/>
      <c r="DZ353" s="110"/>
      <c r="EA353" s="107"/>
      <c r="EB353" s="75"/>
      <c r="EC353" s="109"/>
      <c r="ED353" s="110"/>
      <c r="EE353" s="110"/>
      <c r="EF353" s="110"/>
      <c r="EG353" s="107"/>
    </row>
    <row r="354" spans="1:137" ht="11.25" customHeight="1" x14ac:dyDescent="0.2">
      <c r="A354" s="128" t="s">
        <v>377</v>
      </c>
      <c r="B354" s="14"/>
      <c r="C354" s="14"/>
      <c r="D354" s="14"/>
      <c r="E354" s="224"/>
      <c r="F354" s="71"/>
      <c r="G354" s="224"/>
      <c r="H354" s="71"/>
      <c r="I354" s="224"/>
      <c r="J354" s="71"/>
      <c r="K354" s="224"/>
      <c r="L354" s="71"/>
      <c r="M354" s="415"/>
      <c r="N354" s="416"/>
      <c r="O354" s="416"/>
      <c r="P354" s="416"/>
      <c r="Q354" s="224"/>
      <c r="R354" s="71"/>
      <c r="S354" s="415"/>
      <c r="T354" s="416"/>
      <c r="U354" s="416"/>
      <c r="V354" s="416"/>
      <c r="W354" s="224"/>
      <c r="X354" s="71"/>
      <c r="Y354" s="415"/>
      <c r="Z354" s="416"/>
      <c r="AA354" s="416"/>
      <c r="AB354" s="416"/>
      <c r="AC354" s="224"/>
      <c r="AD354" s="71"/>
      <c r="AE354" s="415"/>
      <c r="AF354" s="416"/>
      <c r="AG354" s="416"/>
      <c r="AH354" s="416"/>
      <c r="AI354" s="224"/>
      <c r="AJ354" s="71"/>
      <c r="AK354" s="415"/>
      <c r="AL354" s="416"/>
      <c r="AM354" s="416"/>
      <c r="AN354" s="416"/>
      <c r="AO354" s="224"/>
      <c r="AP354" s="71"/>
      <c r="AQ354" s="415"/>
      <c r="AR354" s="416"/>
      <c r="AS354" s="416"/>
      <c r="AT354" s="416"/>
      <c r="AU354" s="224"/>
      <c r="AV354" s="71"/>
      <c r="AW354" s="415"/>
      <c r="AX354" s="416"/>
      <c r="AY354" s="416"/>
      <c r="AZ354" s="416"/>
      <c r="BA354" s="224"/>
      <c r="BB354" s="71"/>
      <c r="BC354" s="415"/>
      <c r="BD354" s="416"/>
      <c r="BE354" s="416"/>
      <c r="BF354" s="416"/>
      <c r="BG354" s="224"/>
      <c r="BH354" s="71"/>
      <c r="BI354" s="418"/>
      <c r="BJ354" s="138"/>
      <c r="BK354" s="138"/>
      <c r="BL354" s="138"/>
      <c r="BM354" s="141"/>
      <c r="BN354" s="71"/>
      <c r="BO354" s="418">
        <f>+BO77</f>
        <v>23.638659279002507</v>
      </c>
      <c r="BP354" s="138">
        <f>+BP77</f>
        <v>21.108050773493009</v>
      </c>
      <c r="BQ354" s="138">
        <f>+BQ77</f>
        <v>46.717926889682794</v>
      </c>
      <c r="BR354" s="138">
        <f>+BR77</f>
        <v>60.93718675428466</v>
      </c>
      <c r="BS354" s="141">
        <f>+BS77</f>
        <v>152.40182369646297</v>
      </c>
      <c r="BT354" s="71"/>
      <c r="BU354" s="418">
        <f>+BU77</f>
        <v>57.928787250063294</v>
      </c>
      <c r="BV354" s="138">
        <f>+BV77</f>
        <v>22.003076680050846</v>
      </c>
      <c r="BW354" s="138">
        <f>+BW77</f>
        <v>17.083896256639999</v>
      </c>
      <c r="BX354" s="138">
        <f>+BX77</f>
        <v>75.946692106905601</v>
      </c>
      <c r="BY354" s="141">
        <f>+BY77</f>
        <v>172.96245229365974</v>
      </c>
      <c r="BZ354" s="71"/>
      <c r="CA354" s="418">
        <f>+CA77</f>
        <v>69.35374540961628</v>
      </c>
      <c r="CB354" s="138">
        <f>+CB77</f>
        <v>70.006568135016948</v>
      </c>
      <c r="CC354" s="138">
        <f>+CC77</f>
        <v>62.424568135016948</v>
      </c>
      <c r="CD354" s="138">
        <f>+CD77</f>
        <v>88.271390860417625</v>
      </c>
      <c r="CE354" s="141">
        <f>+CE77</f>
        <v>290.05627254006782</v>
      </c>
      <c r="CF354" s="71"/>
      <c r="CG354" s="418">
        <f>+CG77</f>
        <v>67.028654298379379</v>
      </c>
      <c r="CH354" s="138">
        <f>+CH77</f>
        <v>81.074098227478515</v>
      </c>
      <c r="CI354" s="138">
        <f>+CI77</f>
        <v>83.148098227478528</v>
      </c>
      <c r="CJ354" s="138">
        <f>+CJ77</f>
        <v>109.02554215657766</v>
      </c>
      <c r="CK354" s="141">
        <f>+CK77</f>
        <v>340.27639290991408</v>
      </c>
      <c r="CL354" s="71"/>
      <c r="CM354" s="418">
        <f>+CM77</f>
        <v>72.550073103999992</v>
      </c>
      <c r="CN354" s="138">
        <f>+CN77</f>
        <v>93.136246543999974</v>
      </c>
      <c r="CO354" s="138">
        <f>+CO77</f>
        <v>90.451365727999999</v>
      </c>
      <c r="CP354" s="138">
        <f>+CP77</f>
        <v>112.36231462400006</v>
      </c>
      <c r="CQ354" s="141">
        <f>+CQ77</f>
        <v>368.5</v>
      </c>
      <c r="CR354" s="71"/>
      <c r="CS354" s="418">
        <f>+CS77</f>
        <v>72.2</v>
      </c>
      <c r="CT354" s="138">
        <f>+CT77</f>
        <v>72.900000000000006</v>
      </c>
      <c r="CU354" s="138">
        <f>+CU77</f>
        <v>51.5</v>
      </c>
      <c r="CV354" s="138">
        <f>+CV77</f>
        <v>132.6</v>
      </c>
      <c r="CW354" s="141">
        <f>+CW77</f>
        <v>329.20000000000005</v>
      </c>
      <c r="CX354" s="71"/>
      <c r="CY354" s="418">
        <f>+CY77</f>
        <v>177.2</v>
      </c>
      <c r="CZ354" s="138">
        <f>+CZ77</f>
        <v>192.2</v>
      </c>
      <c r="DA354" s="138">
        <f>+DA77</f>
        <v>204.7</v>
      </c>
      <c r="DB354" s="138">
        <f>+DB77</f>
        <v>244.8</v>
      </c>
      <c r="DC354" s="141">
        <f>+DC77</f>
        <v>818.89999999999986</v>
      </c>
      <c r="DD354" s="71"/>
      <c r="DE354" s="418">
        <f>+DE77</f>
        <v>211.6</v>
      </c>
      <c r="DF354" s="138">
        <f>+DF77</f>
        <v>221.6</v>
      </c>
      <c r="DG354" s="138">
        <f>+DG77</f>
        <v>246.8</v>
      </c>
      <c r="DH354" s="138">
        <f>+DH77</f>
        <v>324.3</v>
      </c>
      <c r="DI354" s="141">
        <f>+DI77</f>
        <v>1004.3</v>
      </c>
      <c r="DJ354" s="71"/>
      <c r="DK354" s="418">
        <f>+DK77</f>
        <v>271.3</v>
      </c>
      <c r="DL354" s="138">
        <f>+DL77</f>
        <v>272.26637500000004</v>
      </c>
      <c r="DM354" s="138">
        <f>+DM77</f>
        <v>289.51119999999997</v>
      </c>
      <c r="DN354" s="138">
        <f>+DN77</f>
        <v>387.21415000000007</v>
      </c>
      <c r="DO354" s="141">
        <f>+DO77</f>
        <v>1220.291725</v>
      </c>
      <c r="DP354" s="71"/>
      <c r="DQ354" s="418">
        <f>+DQ77</f>
        <v>334.96399999999994</v>
      </c>
      <c r="DR354" s="138">
        <f>+DR77</f>
        <v>324.67389200000008</v>
      </c>
      <c r="DS354" s="138">
        <f>+DS77</f>
        <v>326.29738399999997</v>
      </c>
      <c r="DT354" s="138">
        <f>+DT77</f>
        <v>427.43487700000009</v>
      </c>
      <c r="DU354" s="141">
        <f>+DU77</f>
        <v>1413.3701530000001</v>
      </c>
      <c r="DV354" s="71"/>
      <c r="DW354" s="418">
        <f>+DW77</f>
        <v>372.57455999999991</v>
      </c>
      <c r="DX354" s="138">
        <f>+DX77</f>
        <v>362.82770968000011</v>
      </c>
      <c r="DY354" s="138">
        <f>+DY77</f>
        <v>363.95501535999995</v>
      </c>
      <c r="DZ354" s="138">
        <f>+DZ77</f>
        <v>468.66443308000009</v>
      </c>
      <c r="EA354" s="141">
        <f>+EA77</f>
        <v>1568.0217181200001</v>
      </c>
      <c r="EB354" s="71"/>
      <c r="EC354" s="418">
        <f t="shared" ref="EC354:EG354" si="715">+EC77</f>
        <v>406.08954239999991</v>
      </c>
      <c r="ED354" s="138">
        <f t="shared" si="715"/>
        <v>396.90768006720009</v>
      </c>
      <c r="EE354" s="138">
        <f t="shared" si="715"/>
        <v>397.51895197439995</v>
      </c>
      <c r="EF354" s="138">
        <f t="shared" si="715"/>
        <v>505.9431714032001</v>
      </c>
      <c r="EG354" s="141">
        <f t="shared" si="715"/>
        <v>1706.4593458448001</v>
      </c>
    </row>
    <row r="355" spans="1:137" ht="11.25" customHeight="1" x14ac:dyDescent="0.2">
      <c r="A355" s="51" t="s">
        <v>115</v>
      </c>
      <c r="B355" s="14"/>
      <c r="C355" s="14"/>
      <c r="D355" s="14"/>
      <c r="E355" s="92"/>
      <c r="F355" s="71"/>
      <c r="G355" s="92"/>
      <c r="H355" s="71"/>
      <c r="I355" s="92"/>
      <c r="J355" s="71"/>
      <c r="K355" s="92"/>
      <c r="L355" s="71"/>
      <c r="M355" s="84"/>
      <c r="N355" s="71"/>
      <c r="O355" s="71"/>
      <c r="P355" s="71"/>
      <c r="Q355" s="92"/>
      <c r="R355" s="71"/>
      <c r="S355" s="84"/>
      <c r="T355" s="71"/>
      <c r="U355" s="71"/>
      <c r="V355" s="71"/>
      <c r="W355" s="92"/>
      <c r="X355" s="71"/>
      <c r="Y355" s="84"/>
      <c r="Z355" s="71"/>
      <c r="AA355" s="71"/>
      <c r="AB355" s="71"/>
      <c r="AC355" s="92"/>
      <c r="AD355" s="71"/>
      <c r="AE355" s="84"/>
      <c r="AF355" s="71"/>
      <c r="AG355" s="71"/>
      <c r="AH355" s="71"/>
      <c r="AI355" s="92"/>
      <c r="AJ355" s="71"/>
      <c r="AK355" s="84"/>
      <c r="AL355" s="71"/>
      <c r="AM355" s="71"/>
      <c r="AN355" s="71"/>
      <c r="AO355" s="92"/>
      <c r="AP355" s="71"/>
      <c r="AQ355" s="84"/>
      <c r="AR355" s="71"/>
      <c r="AS355" s="71"/>
      <c r="AT355" s="71"/>
      <c r="AU355" s="92"/>
      <c r="AV355" s="71"/>
      <c r="AW355" s="84"/>
      <c r="AX355" s="71"/>
      <c r="AY355" s="71"/>
      <c r="AZ355" s="71"/>
      <c r="BA355" s="92"/>
      <c r="BB355" s="71"/>
      <c r="BC355" s="84"/>
      <c r="BD355" s="71"/>
      <c r="BE355" s="71"/>
      <c r="BF355" s="71"/>
      <c r="BG355" s="92"/>
      <c r="BH355" s="71"/>
      <c r="BI355" s="82"/>
      <c r="BJ355" s="67"/>
      <c r="BK355" s="67"/>
      <c r="BL355" s="67"/>
      <c r="BM355" s="93"/>
      <c r="BN355" s="71"/>
      <c r="BO355" s="82">
        <f>+BO154</f>
        <v>11.61561111139749</v>
      </c>
      <c r="BP355" s="67">
        <f>+BP154</f>
        <v>9.6118083465069901</v>
      </c>
      <c r="BQ355" s="67">
        <f>+BQ154</f>
        <v>20.701932230317198</v>
      </c>
      <c r="BR355" s="67">
        <f>+BR154</f>
        <v>26.848261095315323</v>
      </c>
      <c r="BS355" s="93">
        <f>+BS154</f>
        <v>68.777612783536995</v>
      </c>
      <c r="BT355" s="71"/>
      <c r="BU355" s="82">
        <f>+BU154</f>
        <v>30.692096298096722</v>
      </c>
      <c r="BV355" s="67">
        <f>+BV154</f>
        <v>10.643677015949153</v>
      </c>
      <c r="BW355" s="67">
        <f>+BW154</f>
        <v>33.162857439360003</v>
      </c>
      <c r="BX355" s="67">
        <f>+BX154</f>
        <v>147.42593173693442</v>
      </c>
      <c r="BY355" s="93">
        <f>+BY154</f>
        <v>221.92456249034029</v>
      </c>
      <c r="BZ355" s="71"/>
      <c r="CA355" s="82">
        <f>+CA154</f>
        <v>134.62785873631398</v>
      </c>
      <c r="CB355" s="67">
        <f>+CB154</f>
        <v>135.89510285032705</v>
      </c>
      <c r="CC355" s="67">
        <f>+CC154</f>
        <v>121.17710285032703</v>
      </c>
      <c r="CD355" s="67">
        <f>+CD154</f>
        <v>171.35034696434013</v>
      </c>
      <c r="CE355" s="93">
        <f>+CE154</f>
        <v>563.05041140130822</v>
      </c>
      <c r="CF355" s="71"/>
      <c r="CG355" s="82">
        <f>+CG154</f>
        <v>130.11444657920705</v>
      </c>
      <c r="CH355" s="67">
        <f>+CH154</f>
        <v>157.37913185334068</v>
      </c>
      <c r="CI355" s="67">
        <f>+CI154</f>
        <v>161.40513185334069</v>
      </c>
      <c r="CJ355" s="67">
        <f>+CJ154</f>
        <v>211.63781712747431</v>
      </c>
      <c r="CK355" s="93">
        <f>+CK154</f>
        <v>660.53652741336282</v>
      </c>
      <c r="CL355" s="71"/>
      <c r="CM355" s="82">
        <f>+CM154</f>
        <v>144.01730929600001</v>
      </c>
      <c r="CN355" s="67">
        <f>+CN154</f>
        <v>184.88239985599998</v>
      </c>
      <c r="CO355" s="67">
        <f>+CO154</f>
        <v>179.55271107200002</v>
      </c>
      <c r="CP355" s="67">
        <f>+CP154</f>
        <v>216.54757977599996</v>
      </c>
      <c r="CQ355" s="93">
        <f>+CQ154</f>
        <v>725</v>
      </c>
      <c r="CR355" s="71"/>
      <c r="CS355" s="82">
        <f>+CS154</f>
        <v>141.6</v>
      </c>
      <c r="CT355" s="67">
        <f>+CT154</f>
        <v>209.5</v>
      </c>
      <c r="CU355" s="67">
        <f>+CU154</f>
        <v>159.19999999999999</v>
      </c>
      <c r="CV355" s="67">
        <f>+CV154</f>
        <v>235.9</v>
      </c>
      <c r="CW355" s="93">
        <f>+CW154</f>
        <v>746.2</v>
      </c>
      <c r="CX355" s="71"/>
      <c r="CY355" s="82">
        <f>+CY154</f>
        <v>180.2</v>
      </c>
      <c r="CZ355" s="67">
        <f>+CZ154</f>
        <v>232.2</v>
      </c>
      <c r="DA355" s="67">
        <f>+DA154</f>
        <v>193.9</v>
      </c>
      <c r="DB355" s="67">
        <f>+DB154</f>
        <v>180.1</v>
      </c>
      <c r="DC355" s="93">
        <f>+DC154</f>
        <v>786.4</v>
      </c>
      <c r="DD355" s="71"/>
      <c r="DE355" s="82">
        <f>+DE154</f>
        <v>154.6</v>
      </c>
      <c r="DF355" s="67">
        <f>+DF154</f>
        <v>157.6</v>
      </c>
      <c r="DG355" s="67">
        <f>+DG154</f>
        <v>242.7</v>
      </c>
      <c r="DH355" s="67">
        <f>+DH154</f>
        <v>316.7</v>
      </c>
      <c r="DI355" s="93">
        <f>+DI154</f>
        <v>871.59999999999991</v>
      </c>
      <c r="DJ355" s="71"/>
      <c r="DK355" s="82">
        <f>+DK154</f>
        <v>248</v>
      </c>
      <c r="DL355" s="67">
        <f>+DL154</f>
        <v>255.1278936252593</v>
      </c>
      <c r="DM355" s="67">
        <f>+DM154</f>
        <v>262.01076336357369</v>
      </c>
      <c r="DN355" s="67">
        <f>+DN154</f>
        <v>348.95104919699986</v>
      </c>
      <c r="DO355" s="93">
        <f>+DO154</f>
        <v>1114.0897061858327</v>
      </c>
      <c r="DP355" s="71"/>
      <c r="DQ355" s="82">
        <f>+DQ154</f>
        <v>254.05980000413797</v>
      </c>
      <c r="DR355" s="67">
        <f>+DR154</f>
        <v>276.22728058385189</v>
      </c>
      <c r="DS355" s="67">
        <f>+DS154</f>
        <v>282.64033939381403</v>
      </c>
      <c r="DT355" s="67">
        <f>+DT154</f>
        <v>371.40751039399964</v>
      </c>
      <c r="DU355" s="93">
        <f>+DU154</f>
        <v>1184.3349303758037</v>
      </c>
      <c r="DV355" s="71"/>
      <c r="DW355" s="82">
        <f>+DW154</f>
        <v>284.55230000827601</v>
      </c>
      <c r="DX355" s="67">
        <f>+DX154</f>
        <v>308.27551554244451</v>
      </c>
      <c r="DY355" s="67">
        <f>+DY154</f>
        <v>313.91782422405436</v>
      </c>
      <c r="DZ355" s="67">
        <f>+DZ154</f>
        <v>405.82502519099944</v>
      </c>
      <c r="EA355" s="93">
        <f>+EA154</f>
        <v>1312.5706649657743</v>
      </c>
      <c r="EB355" s="71"/>
      <c r="EC355" s="82">
        <f t="shared" ref="EC355:EG355" si="716">+EC154</f>
        <v>316.42905999172422</v>
      </c>
      <c r="ED355" s="67">
        <f t="shared" si="716"/>
        <v>341.82596610807434</v>
      </c>
      <c r="EE355" s="67">
        <f t="shared" si="716"/>
        <v>346.57782414309304</v>
      </c>
      <c r="EF355" s="67">
        <f t="shared" si="716"/>
        <v>435.71724308600039</v>
      </c>
      <c r="EG355" s="93">
        <f t="shared" si="716"/>
        <v>1440.550093328892</v>
      </c>
    </row>
    <row r="356" spans="1:137" ht="11.25" customHeight="1" x14ac:dyDescent="0.2">
      <c r="A356" s="51" t="s">
        <v>163</v>
      </c>
      <c r="B356" s="14"/>
      <c r="C356" s="14"/>
      <c r="D356" s="14"/>
      <c r="E356" s="92"/>
      <c r="F356" s="71"/>
      <c r="G356" s="92"/>
      <c r="H356" s="71"/>
      <c r="I356" s="92"/>
      <c r="J356" s="71"/>
      <c r="K356" s="92"/>
      <c r="L356" s="71"/>
      <c r="M356" s="84"/>
      <c r="N356" s="71"/>
      <c r="O356" s="71"/>
      <c r="P356" s="71"/>
      <c r="Q356" s="92"/>
      <c r="R356" s="71"/>
      <c r="S356" s="84"/>
      <c r="T356" s="71"/>
      <c r="U356" s="71"/>
      <c r="V356" s="71"/>
      <c r="W356" s="92"/>
      <c r="X356" s="71"/>
      <c r="Y356" s="84"/>
      <c r="Z356" s="71"/>
      <c r="AA356" s="71"/>
      <c r="AB356" s="71"/>
      <c r="AC356" s="92"/>
      <c r="AD356" s="71"/>
      <c r="AE356" s="84"/>
      <c r="AF356" s="71"/>
      <c r="AG356" s="71"/>
      <c r="AH356" s="71"/>
      <c r="AI356" s="92"/>
      <c r="AJ356" s="71"/>
      <c r="AK356" s="84"/>
      <c r="AL356" s="71"/>
      <c r="AM356" s="71"/>
      <c r="AN356" s="71"/>
      <c r="AO356" s="92"/>
      <c r="AP356" s="71"/>
      <c r="AQ356" s="84"/>
      <c r="AR356" s="71"/>
      <c r="AS356" s="71"/>
      <c r="AT356" s="71"/>
      <c r="AU356" s="92"/>
      <c r="AV356" s="71"/>
      <c r="AW356" s="84"/>
      <c r="AX356" s="71"/>
      <c r="AY356" s="71"/>
      <c r="AZ356" s="71"/>
      <c r="BA356" s="92"/>
      <c r="BB356" s="71"/>
      <c r="BC356" s="84"/>
      <c r="BD356" s="71"/>
      <c r="BE356" s="71"/>
      <c r="BF356" s="71"/>
      <c r="BG356" s="92"/>
      <c r="BH356" s="71"/>
      <c r="BI356" s="82"/>
      <c r="BJ356" s="67"/>
      <c r="BK356" s="67"/>
      <c r="BL356" s="67"/>
      <c r="BM356" s="93"/>
      <c r="BN356" s="71"/>
      <c r="BO356" s="82">
        <f>+BO220</f>
        <v>36.6</v>
      </c>
      <c r="BP356" s="67">
        <f>+BP220</f>
        <v>46.2</v>
      </c>
      <c r="BQ356" s="67">
        <f>+BQ220</f>
        <v>57.3</v>
      </c>
      <c r="BR356" s="67">
        <f>+BR220</f>
        <v>63.2</v>
      </c>
      <c r="BS356" s="93">
        <f>+BS220</f>
        <v>203.3</v>
      </c>
      <c r="BT356" s="71"/>
      <c r="BU356" s="82">
        <f>+BU220</f>
        <v>49.5</v>
      </c>
      <c r="BV356" s="67">
        <f>+BV220</f>
        <v>55</v>
      </c>
      <c r="BW356" s="67">
        <f>+BW220</f>
        <v>71.5</v>
      </c>
      <c r="BX356" s="67">
        <f>+BX220</f>
        <v>60.1</v>
      </c>
      <c r="BY356" s="93">
        <f>+BY220</f>
        <v>236.1</v>
      </c>
      <c r="BZ356" s="71"/>
      <c r="CA356" s="82">
        <f>+CA220</f>
        <v>58.9</v>
      </c>
      <c r="CB356" s="67">
        <f>+CB220</f>
        <v>71.599999999999994</v>
      </c>
      <c r="CC356" s="67">
        <f>+CC220</f>
        <v>76</v>
      </c>
      <c r="CD356" s="67">
        <f>+CD220</f>
        <v>86.6</v>
      </c>
      <c r="CE356" s="93">
        <f>+CE220</f>
        <v>293.10000000000002</v>
      </c>
      <c r="CF356" s="71"/>
      <c r="CG356" s="82">
        <f>+CG220</f>
        <v>62.9</v>
      </c>
      <c r="CH356" s="67">
        <f>+CH220</f>
        <v>78.8</v>
      </c>
      <c r="CI356" s="67">
        <f>+CI220</f>
        <v>82.2</v>
      </c>
      <c r="CJ356" s="67">
        <f>+CJ220</f>
        <v>81</v>
      </c>
      <c r="CK356" s="93">
        <f>+CK220</f>
        <v>304.89999999999998</v>
      </c>
      <c r="CL356" s="71"/>
      <c r="CM356" s="82">
        <f>+CM220</f>
        <v>75.5</v>
      </c>
      <c r="CN356" s="67">
        <f>+CN220</f>
        <v>77.900000000000006</v>
      </c>
      <c r="CO356" s="67">
        <f>+CO220</f>
        <v>91.2</v>
      </c>
      <c r="CP356" s="67">
        <f>+CP220</f>
        <v>59.8</v>
      </c>
      <c r="CQ356" s="93">
        <f>+CQ220</f>
        <v>304.40000000000003</v>
      </c>
      <c r="CR356" s="71"/>
      <c r="CS356" s="82">
        <f>+CS220</f>
        <v>60.1</v>
      </c>
      <c r="CT356" s="67">
        <f>+CT220</f>
        <v>97.3</v>
      </c>
      <c r="CU356" s="67">
        <f>+CU220</f>
        <v>96.8</v>
      </c>
      <c r="CV356" s="67">
        <f>+CV220</f>
        <v>116.2</v>
      </c>
      <c r="CW356" s="93">
        <f>+CW220</f>
        <v>370.4</v>
      </c>
      <c r="CX356" s="71"/>
      <c r="CY356" s="82">
        <f>+CY220</f>
        <v>95.1</v>
      </c>
      <c r="CZ356" s="67">
        <f>+CZ220</f>
        <v>109.2</v>
      </c>
      <c r="DA356" s="67">
        <f>+DA220</f>
        <v>101.3</v>
      </c>
      <c r="DB356" s="67">
        <f>+DB220</f>
        <v>113.8</v>
      </c>
      <c r="DC356" s="93">
        <f>+DC220</f>
        <v>419.40000000000003</v>
      </c>
      <c r="DD356" s="71"/>
      <c r="DE356" s="82">
        <f>+DE220</f>
        <v>89.4</v>
      </c>
      <c r="DF356" s="67">
        <f>+DF220</f>
        <v>109.8</v>
      </c>
      <c r="DG356" s="67">
        <f>+DG220</f>
        <v>102.2</v>
      </c>
      <c r="DH356" s="67">
        <f>+DH220</f>
        <v>99.3</v>
      </c>
      <c r="DI356" s="93">
        <f>+DI220</f>
        <v>400.7</v>
      </c>
      <c r="DJ356" s="71"/>
      <c r="DK356" s="82">
        <f>+DK220</f>
        <v>50.9</v>
      </c>
      <c r="DL356" s="67">
        <f>+DL220</f>
        <v>107.3409</v>
      </c>
      <c r="DM356" s="67">
        <f>+DM220</f>
        <v>101.506</v>
      </c>
      <c r="DN356" s="67">
        <f>+DN220</f>
        <v>129.65199999999999</v>
      </c>
      <c r="DO356" s="93">
        <f>+DO220</f>
        <v>389.39889999999997</v>
      </c>
      <c r="DP356" s="71"/>
      <c r="DQ356" s="82">
        <f>+DQ220</f>
        <v>56.953399999999995</v>
      </c>
      <c r="DR356" s="67">
        <f>+DR220</f>
        <v>113.88561900000002</v>
      </c>
      <c r="DS356" s="67">
        <f>+DS220</f>
        <v>107.81446</v>
      </c>
      <c r="DT356" s="67">
        <f>+DT220</f>
        <v>136.754368</v>
      </c>
      <c r="DU356" s="93">
        <f>+DU220</f>
        <v>415.407847</v>
      </c>
      <c r="DV356" s="71"/>
      <c r="DW356" s="82">
        <f>+DW220</f>
        <v>63.188402000000018</v>
      </c>
      <c r="DX356" s="67">
        <f>+DX220</f>
        <v>120.62667957000002</v>
      </c>
      <c r="DY356" s="67">
        <f>+DY220</f>
        <v>114.3121738</v>
      </c>
      <c r="DZ356" s="67">
        <f>+DZ220</f>
        <v>144.06980704</v>
      </c>
      <c r="EA356" s="93">
        <f>+EA220</f>
        <v>442.19706241000006</v>
      </c>
      <c r="EB356" s="71"/>
      <c r="EC356" s="82">
        <f t="shared" ref="EC356:EG356" si="717">+EC220</f>
        <v>69.610454060000023</v>
      </c>
      <c r="ED356" s="67">
        <f t="shared" si="717"/>
        <v>127.56997195710002</v>
      </c>
      <c r="EE356" s="67">
        <f t="shared" si="717"/>
        <v>121.00481901400001</v>
      </c>
      <c r="EF356" s="67">
        <f t="shared" si="717"/>
        <v>151.60470925120001</v>
      </c>
      <c r="EG356" s="93">
        <f t="shared" si="717"/>
        <v>469.78995428230007</v>
      </c>
    </row>
    <row r="357" spans="1:137" ht="11.25" customHeight="1" x14ac:dyDescent="0.2">
      <c r="A357" s="51" t="s">
        <v>231</v>
      </c>
      <c r="B357" s="14"/>
      <c r="C357" s="14"/>
      <c r="D357" s="14"/>
      <c r="E357" s="92"/>
      <c r="F357" s="71"/>
      <c r="G357" s="92"/>
      <c r="H357" s="71"/>
      <c r="I357" s="92"/>
      <c r="J357" s="71"/>
      <c r="K357" s="92"/>
      <c r="L357" s="71"/>
      <c r="M357" s="84"/>
      <c r="N357" s="71"/>
      <c r="O357" s="71"/>
      <c r="P357" s="71"/>
      <c r="Q357" s="92"/>
      <c r="R357" s="71"/>
      <c r="S357" s="84"/>
      <c r="T357" s="71"/>
      <c r="U357" s="71"/>
      <c r="V357" s="71"/>
      <c r="W357" s="92"/>
      <c r="X357" s="71"/>
      <c r="Y357" s="84"/>
      <c r="Z357" s="71"/>
      <c r="AA357" s="71"/>
      <c r="AB357" s="71"/>
      <c r="AC357" s="92"/>
      <c r="AD357" s="71"/>
      <c r="AE357" s="84"/>
      <c r="AF357" s="71"/>
      <c r="AG357" s="71"/>
      <c r="AH357" s="71"/>
      <c r="AI357" s="92"/>
      <c r="AJ357" s="71"/>
      <c r="AK357" s="84"/>
      <c r="AL357" s="71"/>
      <c r="AM357" s="71"/>
      <c r="AN357" s="71"/>
      <c r="AO357" s="92"/>
      <c r="AP357" s="71"/>
      <c r="AQ357" s="84"/>
      <c r="AR357" s="71"/>
      <c r="AS357" s="71"/>
      <c r="AT357" s="71"/>
      <c r="AU357" s="92"/>
      <c r="AV357" s="71"/>
      <c r="AW357" s="84"/>
      <c r="AX357" s="71"/>
      <c r="AY357" s="71"/>
      <c r="AZ357" s="71"/>
      <c r="BA357" s="92"/>
      <c r="BB357" s="71"/>
      <c r="BC357" s="84"/>
      <c r="BD357" s="71"/>
      <c r="BE357" s="71"/>
      <c r="BF357" s="71"/>
      <c r="BG357" s="92"/>
      <c r="BH357" s="71"/>
      <c r="BI357" s="82"/>
      <c r="BJ357" s="67"/>
      <c r="BK357" s="67"/>
      <c r="BL357" s="67"/>
      <c r="BM357" s="93"/>
      <c r="BN357" s="71"/>
      <c r="BO357" s="82">
        <f>+BO318</f>
        <v>95.860485206669438</v>
      </c>
      <c r="BP357" s="67">
        <f>+BP318</f>
        <v>124.91673781934195</v>
      </c>
      <c r="BQ357" s="67">
        <f>+BQ318</f>
        <v>125.17615759429596</v>
      </c>
      <c r="BR357" s="67">
        <f>+BR318</f>
        <v>132.81766960962096</v>
      </c>
      <c r="BS357" s="93">
        <f>+BS318</f>
        <v>478.77105022992828</v>
      </c>
      <c r="BT357" s="71"/>
      <c r="BU357" s="82">
        <f>+BU318</f>
        <v>137.04794774459242</v>
      </c>
      <c r="BV357" s="67">
        <f>+BV318</f>
        <v>155.20866794313943</v>
      </c>
      <c r="BW357" s="67">
        <f>+BW318</f>
        <v>157.04238784566445</v>
      </c>
      <c r="BX357" s="67">
        <f>+BX318</f>
        <v>154.03017431521459</v>
      </c>
      <c r="BY357" s="93">
        <f>+BY318</f>
        <v>603.32917784861093</v>
      </c>
      <c r="BZ357" s="71"/>
      <c r="CA357" s="82">
        <f>+CA318</f>
        <v>144.94525521681973</v>
      </c>
      <c r="CB357" s="67">
        <f>+CB318</f>
        <v>177.62719048400439</v>
      </c>
      <c r="CC357" s="67">
        <f>+CC318</f>
        <v>178.77215696924583</v>
      </c>
      <c r="CD357" s="67">
        <f>+CD318</f>
        <v>223.95266422360217</v>
      </c>
      <c r="CE357" s="93">
        <f>+CE318</f>
        <v>725.29726689367203</v>
      </c>
      <c r="CF357" s="71"/>
      <c r="CG357" s="82">
        <f>+CG318</f>
        <v>155.53931704829625</v>
      </c>
      <c r="CH357" s="67">
        <f>+CH318</f>
        <v>195.17887571610811</v>
      </c>
      <c r="CI357" s="67">
        <f>+CI318</f>
        <v>186.92707821672599</v>
      </c>
      <c r="CJ357" s="67">
        <f>+CJ318</f>
        <v>210.15082186007521</v>
      </c>
      <c r="CK357" s="93">
        <f>+CK318</f>
        <v>747.79609284120556</v>
      </c>
      <c r="CL357" s="71"/>
      <c r="CM357" s="82">
        <f>+CM318</f>
        <v>166.61075182840042</v>
      </c>
      <c r="CN357" s="67">
        <f>+CN318</f>
        <v>198.17209352291118</v>
      </c>
      <c r="CO357" s="67">
        <f>+CO318</f>
        <v>201.64118564500976</v>
      </c>
      <c r="CP357" s="67">
        <f>+CP318</f>
        <v>215.37596900367862</v>
      </c>
      <c r="CQ357" s="93">
        <f>+CQ318</f>
        <v>781.8</v>
      </c>
      <c r="CR357" s="71"/>
      <c r="CS357" s="82">
        <f>+CS318</f>
        <v>209.5</v>
      </c>
      <c r="CT357" s="67">
        <f>+CT318</f>
        <v>236.5</v>
      </c>
      <c r="CU357" s="67">
        <f>+CU318</f>
        <v>215.6</v>
      </c>
      <c r="CV357" s="67">
        <f>+CV318</f>
        <v>205</v>
      </c>
      <c r="CW357" s="93">
        <f>+CW318</f>
        <v>866.6</v>
      </c>
      <c r="CX357" s="71"/>
      <c r="CY357" s="82">
        <f>+CY318</f>
        <v>198.4</v>
      </c>
      <c r="CZ357" s="67">
        <f>+CZ318</f>
        <v>218.3</v>
      </c>
      <c r="DA357" s="67">
        <f>+DA318</f>
        <v>223.4</v>
      </c>
      <c r="DB357" s="67">
        <f>+DB318</f>
        <v>229.9</v>
      </c>
      <c r="DC357" s="93">
        <f>+DC318</f>
        <v>870</v>
      </c>
      <c r="DD357" s="71"/>
      <c r="DE357" s="82">
        <f>+DE318</f>
        <v>208</v>
      </c>
      <c r="DF357" s="67">
        <f>+DF318</f>
        <v>235.2</v>
      </c>
      <c r="DG357" s="67">
        <f>+DG318</f>
        <v>222.8</v>
      </c>
      <c r="DH357" s="67">
        <f>+DH318</f>
        <v>248.6</v>
      </c>
      <c r="DI357" s="93">
        <f>+DI318</f>
        <v>914.6</v>
      </c>
      <c r="DJ357" s="71"/>
      <c r="DK357" s="82">
        <f>+DK318</f>
        <v>227.2</v>
      </c>
      <c r="DL357" s="67">
        <f>+DL318</f>
        <v>266.17079999999993</v>
      </c>
      <c r="DM357" s="67">
        <f>+DM318</f>
        <v>238.68640000000005</v>
      </c>
      <c r="DN357" s="67">
        <f>+DN318</f>
        <v>277.70330000000001</v>
      </c>
      <c r="DO357" s="93">
        <f>+DO318</f>
        <v>1009.7605</v>
      </c>
      <c r="DP357" s="71"/>
      <c r="DQ357" s="82">
        <f>+DQ318</f>
        <v>241.9645625</v>
      </c>
      <c r="DR357" s="67">
        <f>+DR318</f>
        <v>281.78831749999995</v>
      </c>
      <c r="DS357" s="67">
        <f>+DS318</f>
        <v>254.10117250000008</v>
      </c>
      <c r="DT357" s="67">
        <f>+DT318</f>
        <v>294.12780125000006</v>
      </c>
      <c r="DU357" s="93">
        <f>+DU318</f>
        <v>1071.98185375</v>
      </c>
      <c r="DV357" s="71"/>
      <c r="DW357" s="82">
        <f>+DW318</f>
        <v>254.18384281249996</v>
      </c>
      <c r="DX357" s="67">
        <f>+DX318</f>
        <v>294.71351078749996</v>
      </c>
      <c r="DY357" s="67">
        <f>+DY318</f>
        <v>266.85857226250005</v>
      </c>
      <c r="DZ357" s="67">
        <f>+DZ318</f>
        <v>307.72086130625001</v>
      </c>
      <c r="EA357" s="93">
        <f>+EA318</f>
        <v>1123.47678716875</v>
      </c>
      <c r="EB357" s="71"/>
      <c r="EC357" s="82">
        <f t="shared" ref="EC357:EG357" si="718">+EC318</f>
        <v>266.95299073906244</v>
      </c>
      <c r="ED357" s="67">
        <f t="shared" si="718"/>
        <v>308.22033777293746</v>
      </c>
      <c r="EE357" s="67">
        <f t="shared" si="718"/>
        <v>280.19005501431252</v>
      </c>
      <c r="EF357" s="67">
        <f t="shared" si="718"/>
        <v>321.92560906503127</v>
      </c>
      <c r="EG357" s="93">
        <f t="shared" si="718"/>
        <v>1177.2889925913437</v>
      </c>
    </row>
    <row r="358" spans="1:137" ht="11.25" customHeight="1" outlineLevel="1" x14ac:dyDescent="0.2">
      <c r="A358" s="51" t="s">
        <v>423</v>
      </c>
      <c r="B358" s="14"/>
      <c r="C358" s="14"/>
      <c r="D358" s="14"/>
      <c r="E358" s="92"/>
      <c r="F358" s="71"/>
      <c r="G358" s="92"/>
      <c r="H358" s="71"/>
      <c r="I358" s="92"/>
      <c r="J358" s="71"/>
      <c r="K358" s="92"/>
      <c r="L358" s="71"/>
      <c r="M358" s="84"/>
      <c r="N358" s="71"/>
      <c r="O358" s="71"/>
      <c r="P358" s="71"/>
      <c r="Q358" s="92"/>
      <c r="R358" s="71"/>
      <c r="S358" s="84"/>
      <c r="T358" s="71"/>
      <c r="U358" s="71"/>
      <c r="V358" s="71"/>
      <c r="W358" s="92"/>
      <c r="X358" s="71"/>
      <c r="Y358" s="84"/>
      <c r="Z358" s="71"/>
      <c r="AA358" s="71"/>
      <c r="AB358" s="71"/>
      <c r="AC358" s="92"/>
      <c r="AD358" s="71"/>
      <c r="AE358" s="84"/>
      <c r="AF358" s="71"/>
      <c r="AG358" s="71"/>
      <c r="AH358" s="71"/>
      <c r="AI358" s="92"/>
      <c r="AJ358" s="71"/>
      <c r="AK358" s="84"/>
      <c r="AL358" s="71"/>
      <c r="AM358" s="71"/>
      <c r="AN358" s="71"/>
      <c r="AO358" s="92"/>
      <c r="AP358" s="71"/>
      <c r="AQ358" s="84"/>
      <c r="AR358" s="71"/>
      <c r="AS358" s="71"/>
      <c r="AT358" s="71"/>
      <c r="AU358" s="92"/>
      <c r="AV358" s="71"/>
      <c r="AW358" s="84"/>
      <c r="AX358" s="71"/>
      <c r="AY358" s="71"/>
      <c r="AZ358" s="71"/>
      <c r="BA358" s="92"/>
      <c r="BB358" s="71"/>
      <c r="BC358" s="84"/>
      <c r="BD358" s="71"/>
      <c r="BE358" s="71"/>
      <c r="BF358" s="71"/>
      <c r="BG358" s="92"/>
      <c r="BH358" s="71"/>
      <c r="BI358" s="82"/>
      <c r="BJ358" s="67"/>
      <c r="BK358" s="67"/>
      <c r="BL358" s="67"/>
      <c r="BM358" s="93"/>
      <c r="BN358" s="71"/>
      <c r="BO358" s="82">
        <f>+BO32</f>
        <v>-7.3432682982977511</v>
      </c>
      <c r="BP358" s="67">
        <f>+BP32</f>
        <v>-7.7394443419559815</v>
      </c>
      <c r="BQ358" s="67">
        <f>+BQ32</f>
        <v>-7.9202217497100262</v>
      </c>
      <c r="BR358" s="67">
        <f>+BR32</f>
        <v>-9.1663030556275569</v>
      </c>
      <c r="BS358" s="93">
        <f>+SUM(BO358:BR358)</f>
        <v>-32.169237445591314</v>
      </c>
      <c r="BT358" s="71"/>
      <c r="BU358" s="82">
        <f>+BU32</f>
        <v>-8.706837293558749</v>
      </c>
      <c r="BV358" s="67">
        <f>+BV32</f>
        <v>-9.5678092776440948</v>
      </c>
      <c r="BW358" s="67">
        <f>+BW32</f>
        <v>-13.855989504332566</v>
      </c>
      <c r="BX358" s="67">
        <f>+BX32</f>
        <v>-15.185390726285883</v>
      </c>
      <c r="BY358" s="93">
        <f>+SUM(BU358:BX358)</f>
        <v>-47.316026801821288</v>
      </c>
      <c r="BZ358" s="71"/>
      <c r="CA358" s="82">
        <f>+CA32</f>
        <v>-27.39285189438062</v>
      </c>
      <c r="CB358" s="67">
        <f>+CB32</f>
        <v>-28.792599284048787</v>
      </c>
      <c r="CC358" s="67">
        <f>+CC32</f>
        <v>-28.203650155954101</v>
      </c>
      <c r="CD358" s="67">
        <f>+CD32</f>
        <v>-32.818800335712623</v>
      </c>
      <c r="CE358" s="93">
        <f>+SUM(CA358:CD358)</f>
        <v>-117.20790167009612</v>
      </c>
      <c r="CF358" s="71"/>
      <c r="CG358" s="82">
        <f>+CG32</f>
        <v>-28.229628970617085</v>
      </c>
      <c r="CH358" s="67">
        <f>+CH32</f>
        <v>-30.416415387446232</v>
      </c>
      <c r="CI358" s="67">
        <f>+CI32</f>
        <v>-30.364124760985433</v>
      </c>
      <c r="CJ358" s="67">
        <f>+CJ32</f>
        <v>-34.598844045433978</v>
      </c>
      <c r="CK358" s="93">
        <f>+SUM(CG358:CJ358)</f>
        <v>-123.60901316448273</v>
      </c>
      <c r="CL358" s="71"/>
      <c r="CM358" s="82">
        <f>+CM32</f>
        <v>-30.99015722157408</v>
      </c>
      <c r="CN358" s="67">
        <f>+CN32</f>
        <v>-33.311230773081178</v>
      </c>
      <c r="CO358" s="67">
        <f>+CO32</f>
        <v>-33.086689851218772</v>
      </c>
      <c r="CP358" s="67">
        <f>+CP32</f>
        <v>-37.311922154125959</v>
      </c>
      <c r="CQ358" s="93">
        <f>+SUM(CM358:CP358)</f>
        <v>-134.69999999999999</v>
      </c>
      <c r="CR358" s="71"/>
      <c r="CS358" s="82">
        <f>+CS359-SUM(CS354:CS357)</f>
        <v>-35.699999999999989</v>
      </c>
      <c r="CT358" s="67">
        <f>+CT359-SUM(CT354:CT357)</f>
        <v>-33.299999999999955</v>
      </c>
      <c r="CU358" s="67">
        <f>+CU359-SUM(CU354:CU357)</f>
        <v>-43.10000000000025</v>
      </c>
      <c r="CV358" s="67">
        <f>+CV359-SUM(CV354:CV357)</f>
        <v>-38.100000000000136</v>
      </c>
      <c r="CW358" s="93">
        <f>+CW359-SUM(CW354:CW357)</f>
        <v>-150.19999999999936</v>
      </c>
      <c r="CX358" s="71"/>
      <c r="CY358" s="82">
        <f>+CY359-SUM(CY354:CY357)</f>
        <v>-37.799999999999613</v>
      </c>
      <c r="CZ358" s="67">
        <f>+CZ359-SUM(CZ354:CZ357)</f>
        <v>-41.800000000000409</v>
      </c>
      <c r="DA358" s="67">
        <f>+DA359-SUM(DA354:DA357)</f>
        <v>-24.199999999999477</v>
      </c>
      <c r="DB358" s="67">
        <f>+DB359-SUM(DB354:DB357)</f>
        <v>-40</v>
      </c>
      <c r="DC358" s="93">
        <f>+DC359-SUM(DC354:DC357)</f>
        <v>-143.79999999999836</v>
      </c>
      <c r="DD358" s="71"/>
      <c r="DE358" s="82">
        <f>+DE359-SUM(DE354:DE357)</f>
        <v>-46.600000000000477</v>
      </c>
      <c r="DF358" s="67">
        <f>+DF359-SUM(DF354:DF357)</f>
        <v>-48.5</v>
      </c>
      <c r="DG358" s="67">
        <f>+DG359-SUM(DG354:DG357)</f>
        <v>-54.000000000000227</v>
      </c>
      <c r="DH358" s="67">
        <f>+DH359-SUM(DH354:DH357)</f>
        <v>-50.800000000000068</v>
      </c>
      <c r="DI358" s="93">
        <f>+DI359-SUM(DI354:DI357)</f>
        <v>-123.89999999999964</v>
      </c>
      <c r="DJ358" s="71"/>
      <c r="DK358" s="82">
        <f>+DK359-SUM(DK354:DK357)</f>
        <v>-54.400000000000546</v>
      </c>
      <c r="DL358" s="67">
        <f>+DL32</f>
        <v>-54.232117500000001</v>
      </c>
      <c r="DM358" s="67">
        <f>+DM32</f>
        <v>-53.356192999999998</v>
      </c>
      <c r="DN358" s="67">
        <f>+DN32</f>
        <v>-59.821316499999995</v>
      </c>
      <c r="DO358" s="93">
        <f>+SUM(DK358:DN358)</f>
        <v>-221.80962700000055</v>
      </c>
      <c r="DP358" s="71"/>
      <c r="DQ358" s="82">
        <f>+DQ32</f>
        <v>-56.92890658942796</v>
      </c>
      <c r="DR358" s="67">
        <f>+DR32</f>
        <v>-59.880607328023174</v>
      </c>
      <c r="DS358" s="67">
        <f>+DS32</f>
        <v>-58.405567907313554</v>
      </c>
      <c r="DT358" s="67">
        <f>+DT32</f>
        <v>-65.470078320057937</v>
      </c>
      <c r="DU358" s="93">
        <f>+SUM(DQ358:DT358)</f>
        <v>-240.68516014482265</v>
      </c>
      <c r="DV358" s="71"/>
      <c r="DW358" s="82">
        <f>+DW32</f>
        <v>-59.364788544532949</v>
      </c>
      <c r="DX358" s="67">
        <f>+DX32</f>
        <v>-62.442914523968149</v>
      </c>
      <c r="DY358" s="67">
        <f>+DY32</f>
        <v>-60.905358634612611</v>
      </c>
      <c r="DZ358" s="67">
        <f>+DZ32</f>
        <v>-68.268178459956573</v>
      </c>
      <c r="EA358" s="93">
        <f>+SUM(DW358:DZ358)</f>
        <v>-250.98124016307028</v>
      </c>
      <c r="EB358" s="71"/>
      <c r="EC358" s="82">
        <f t="shared" ref="EC358:EF358" si="719">+EC32</f>
        <v>-61.907332740405508</v>
      </c>
      <c r="ED358" s="67">
        <f t="shared" si="719"/>
        <v>-65.117470947322246</v>
      </c>
      <c r="EE358" s="67">
        <f t="shared" si="719"/>
        <v>-63.514663853396094</v>
      </c>
      <c r="EF358" s="67">
        <f t="shared" si="719"/>
        <v>-71.188700936030429</v>
      </c>
      <c r="EG358" s="93">
        <f t="shared" ref="EG358" si="720">+SUM(EC358:EF358)</f>
        <v>-261.72816847715427</v>
      </c>
    </row>
    <row r="359" spans="1:137" ht="11.25" customHeight="1" x14ac:dyDescent="0.2">
      <c r="A359" s="50" t="s">
        <v>406</v>
      </c>
      <c r="B359" s="343"/>
      <c r="C359" s="343"/>
      <c r="D359" s="343"/>
      <c r="E359" s="474"/>
      <c r="F359" s="357"/>
      <c r="G359" s="474"/>
      <c r="H359" s="357"/>
      <c r="I359" s="474"/>
      <c r="J359" s="357"/>
      <c r="K359" s="474"/>
      <c r="L359" s="357"/>
      <c r="M359" s="356"/>
      <c r="N359" s="357"/>
      <c r="O359" s="357"/>
      <c r="P359" s="357"/>
      <c r="Q359" s="474"/>
      <c r="R359" s="357"/>
      <c r="S359" s="356"/>
      <c r="T359" s="357"/>
      <c r="U359" s="357"/>
      <c r="V359" s="357"/>
      <c r="W359" s="474"/>
      <c r="X359" s="357"/>
      <c r="Y359" s="356"/>
      <c r="Z359" s="357"/>
      <c r="AA359" s="357"/>
      <c r="AB359" s="357"/>
      <c r="AC359" s="474"/>
      <c r="AD359" s="357"/>
      <c r="AE359" s="356"/>
      <c r="AF359" s="357"/>
      <c r="AG359" s="357"/>
      <c r="AH359" s="357"/>
      <c r="AI359" s="474"/>
      <c r="AJ359" s="357"/>
      <c r="AK359" s="356"/>
      <c r="AL359" s="357"/>
      <c r="AM359" s="357"/>
      <c r="AN359" s="357"/>
      <c r="AO359" s="474"/>
      <c r="AP359" s="357"/>
      <c r="AQ359" s="356"/>
      <c r="AR359" s="357"/>
      <c r="AS359" s="357"/>
      <c r="AT359" s="357"/>
      <c r="AU359" s="474"/>
      <c r="AV359" s="357"/>
      <c r="AW359" s="356"/>
      <c r="AX359" s="357"/>
      <c r="AY359" s="357"/>
      <c r="AZ359" s="357"/>
      <c r="BA359" s="474"/>
      <c r="BB359" s="357"/>
      <c r="BC359" s="356"/>
      <c r="BD359" s="357"/>
      <c r="BE359" s="357"/>
      <c r="BF359" s="357"/>
      <c r="BG359" s="474"/>
      <c r="BH359" s="357"/>
      <c r="BI359" s="165"/>
      <c r="BJ359" s="164"/>
      <c r="BK359" s="164"/>
      <c r="BL359" s="164"/>
      <c r="BM359" s="163"/>
      <c r="BN359" s="357"/>
      <c r="BO359" s="165">
        <f>+SUM(BO354:BO358)</f>
        <v>160.37148729877168</v>
      </c>
      <c r="BP359" s="164">
        <f>+SUM(BP354:BP358)</f>
        <v>194.09715259738596</v>
      </c>
      <c r="BQ359" s="164">
        <f>+SUM(BQ354:BQ358)</f>
        <v>241.9757949645859</v>
      </c>
      <c r="BR359" s="164">
        <f>+SUM(BR354:BR358)</f>
        <v>274.63681440359341</v>
      </c>
      <c r="BS359" s="163">
        <f>+SUM(BS354:BS358)</f>
        <v>871.08124926433698</v>
      </c>
      <c r="BT359" s="357"/>
      <c r="BU359" s="165">
        <f>+SUM(BU354:BU358)</f>
        <v>266.46199399919368</v>
      </c>
      <c r="BV359" s="164">
        <f>+SUM(BV354:BV358)</f>
        <v>233.28761236149532</v>
      </c>
      <c r="BW359" s="164">
        <f>+SUM(BW354:BW358)</f>
        <v>264.93315203733187</v>
      </c>
      <c r="BX359" s="164">
        <f>+SUM(BX354:BX358)</f>
        <v>422.31740743276873</v>
      </c>
      <c r="BY359" s="163">
        <f>+SUM(BY354:BY358)</f>
        <v>1187.0001658307899</v>
      </c>
      <c r="BZ359" s="357"/>
      <c r="CA359" s="165">
        <f>+SUM(CA354:CA358)</f>
        <v>380.43400746836932</v>
      </c>
      <c r="CB359" s="164">
        <f>+SUM(CB354:CB358)</f>
        <v>426.33626218529963</v>
      </c>
      <c r="CC359" s="164">
        <f>+SUM(CC354:CC358)</f>
        <v>410.17017779863568</v>
      </c>
      <c r="CD359" s="164">
        <f>+SUM(CD354:CD358)</f>
        <v>537.35560171264729</v>
      </c>
      <c r="CE359" s="163">
        <f>+SUM(CE354:CE358)</f>
        <v>1754.2960491649519</v>
      </c>
      <c r="CF359" s="357"/>
      <c r="CG359" s="165">
        <f>+SUM(CG354:CG358)</f>
        <v>387.35278895526562</v>
      </c>
      <c r="CH359" s="164">
        <f>+SUM(CH354:CH358)</f>
        <v>482.01569040948107</v>
      </c>
      <c r="CI359" s="164">
        <f>+SUM(CI354:CI358)</f>
        <v>483.31618353655983</v>
      </c>
      <c r="CJ359" s="164">
        <f>+SUM(CJ354:CJ358)</f>
        <v>577.21533709869311</v>
      </c>
      <c r="CK359" s="163">
        <f>+SUM(CK354:CK358)</f>
        <v>1929.8999999999996</v>
      </c>
      <c r="CL359" s="357"/>
      <c r="CM359" s="165">
        <f>+SUM(CM354:CM358)</f>
        <v>427.68797700682632</v>
      </c>
      <c r="CN359" s="164">
        <f>+SUM(CN354:CN358)</f>
        <v>520.77950914982989</v>
      </c>
      <c r="CO359" s="164">
        <f>+SUM(CO354:CO358)</f>
        <v>529.75857259379097</v>
      </c>
      <c r="CP359" s="164">
        <f>+SUM(CP354:CP358)</f>
        <v>566.77394124955276</v>
      </c>
      <c r="CQ359" s="163">
        <f>+SUM(CQ354:CQ358)</f>
        <v>2044.9999999999998</v>
      </c>
      <c r="CR359" s="344"/>
      <c r="CS359" s="356">
        <f>+'Pro Forma IS'!CS20</f>
        <v>447.70000000000005</v>
      </c>
      <c r="CT359" s="357">
        <f>+'Pro Forma IS'!CT20</f>
        <v>582.90000000000009</v>
      </c>
      <c r="CU359" s="357">
        <f>+'Pro Forma IS'!CU20</f>
        <v>479.99999999999977</v>
      </c>
      <c r="CV359" s="357">
        <f>+'Pro Forma IS'!CV20</f>
        <v>651.59999999999991</v>
      </c>
      <c r="CW359" s="474">
        <f>+'Pro Forma IS'!CW20</f>
        <v>2162.2000000000007</v>
      </c>
      <c r="CX359" s="344"/>
      <c r="CY359" s="356">
        <f>+'Pro Forma IS'!CY20</f>
        <v>613.10000000000036</v>
      </c>
      <c r="CZ359" s="357">
        <f>+'Pro Forma IS'!CZ20</f>
        <v>710.09999999999968</v>
      </c>
      <c r="DA359" s="357">
        <f>+'Pro Forma IS'!DA20</f>
        <v>699.10000000000059</v>
      </c>
      <c r="DB359" s="357">
        <f>+'Pro Forma IS'!DB20</f>
        <v>728.59999999999991</v>
      </c>
      <c r="DC359" s="474">
        <f>+'Pro Forma IS'!DC20</f>
        <v>2750.9000000000015</v>
      </c>
      <c r="DD359" s="344"/>
      <c r="DE359" s="356">
        <f>+'Pro Forma IS'!DE20</f>
        <v>616.99999999999955</v>
      </c>
      <c r="DF359" s="1185">
        <f>+DF33</f>
        <v>675.7</v>
      </c>
      <c r="DG359" s="357">
        <f>+'Pro Forma IS'!DG20</f>
        <v>760.49999999999977</v>
      </c>
      <c r="DH359" s="357">
        <f>+'Pro Forma IS'!DH20</f>
        <v>938.09999999999991</v>
      </c>
      <c r="DI359" s="474">
        <f>+'Pro Forma IS'!DI20</f>
        <v>3067.3</v>
      </c>
      <c r="DJ359" s="344"/>
      <c r="DK359" s="356">
        <f>+'Pro Forma IS'!DK20</f>
        <v>742.99999999999932</v>
      </c>
      <c r="DL359" s="164">
        <f>+SUM(DL354:DL358)</f>
        <v>846.67385112525926</v>
      </c>
      <c r="DM359" s="164">
        <f>+SUM(DM354:DM358)</f>
        <v>838.35817036357366</v>
      </c>
      <c r="DN359" s="164">
        <f>+SUM(DN354:DN358)</f>
        <v>1083.699182697</v>
      </c>
      <c r="DO359" s="163">
        <f>+SUM(DO354:DO358)</f>
        <v>3511.7312041858322</v>
      </c>
      <c r="DP359" s="344"/>
      <c r="DQ359" s="165">
        <f>+SUM(DQ354:DQ358)</f>
        <v>831.01285591470992</v>
      </c>
      <c r="DR359" s="164">
        <f>+SUM(DR354:DR358)</f>
        <v>936.69450175582881</v>
      </c>
      <c r="DS359" s="164">
        <f>+SUM(DS354:DS358)</f>
        <v>912.44778798650054</v>
      </c>
      <c r="DT359" s="164">
        <f>+SUM(DT354:DT358)</f>
        <v>1164.2544783239418</v>
      </c>
      <c r="DU359" s="163">
        <f>+SUM(DU354:DU358)</f>
        <v>3844.4096239809815</v>
      </c>
      <c r="DV359" s="344"/>
      <c r="DW359" s="165">
        <f>+SUM(DW354:DW358)</f>
        <v>915.13431627624288</v>
      </c>
      <c r="DX359" s="164">
        <f>+SUM(DX354:DX358)</f>
        <v>1024.0005010559764</v>
      </c>
      <c r="DY359" s="164">
        <f>+SUM(DY354:DY358)</f>
        <v>998.13822701194158</v>
      </c>
      <c r="DZ359" s="164">
        <f>+SUM(DZ354:DZ358)</f>
        <v>1258.0119481572931</v>
      </c>
      <c r="EA359" s="163">
        <f>+SUM(EA354:EA358)</f>
        <v>4195.2849925014534</v>
      </c>
      <c r="EB359" s="344"/>
      <c r="EC359" s="165">
        <f t="shared" ref="EC359:EG359" si="721">+SUM(EC354:EC358)</f>
        <v>997.17471445038109</v>
      </c>
      <c r="ED359" s="164">
        <f t="shared" si="721"/>
        <v>1109.4064849579897</v>
      </c>
      <c r="EE359" s="164">
        <f t="shared" si="721"/>
        <v>1081.7769862924092</v>
      </c>
      <c r="EF359" s="164">
        <f t="shared" si="721"/>
        <v>1344.0020318694014</v>
      </c>
      <c r="EG359" s="163">
        <f t="shared" si="721"/>
        <v>4532.3602175701817</v>
      </c>
    </row>
    <row r="360" spans="1:137" ht="11.25" customHeight="1" x14ac:dyDescent="0.2">
      <c r="A360" s="538" t="s">
        <v>46</v>
      </c>
      <c r="B360" s="539"/>
      <c r="C360" s="539"/>
      <c r="D360" s="539"/>
      <c r="E360" s="540"/>
      <c r="F360" s="541"/>
      <c r="G360" s="540"/>
      <c r="H360" s="541"/>
      <c r="I360" s="540"/>
      <c r="J360" s="541"/>
      <c r="K360" s="540"/>
      <c r="L360" s="541"/>
      <c r="M360" s="542"/>
      <c r="N360" s="543"/>
      <c r="O360" s="543"/>
      <c r="P360" s="543"/>
      <c r="Q360" s="540"/>
      <c r="R360" s="541"/>
      <c r="S360" s="542"/>
      <c r="T360" s="543"/>
      <c r="U360" s="543"/>
      <c r="V360" s="543"/>
      <c r="W360" s="540"/>
      <c r="X360" s="541"/>
      <c r="Y360" s="542"/>
      <c r="Z360" s="543"/>
      <c r="AA360" s="543"/>
      <c r="AB360" s="543"/>
      <c r="AC360" s="540"/>
      <c r="AD360" s="541"/>
      <c r="AE360" s="542"/>
      <c r="AF360" s="543"/>
      <c r="AG360" s="543"/>
      <c r="AH360" s="543"/>
      <c r="AI360" s="540"/>
      <c r="AJ360" s="541"/>
      <c r="AK360" s="542"/>
      <c r="AL360" s="543"/>
      <c r="AM360" s="543"/>
      <c r="AN360" s="543"/>
      <c r="AO360" s="540"/>
      <c r="AP360" s="541"/>
      <c r="AQ360" s="542"/>
      <c r="AR360" s="543"/>
      <c r="AS360" s="543"/>
      <c r="AT360" s="543"/>
      <c r="AU360" s="540"/>
      <c r="AV360" s="541"/>
      <c r="AW360" s="542"/>
      <c r="AX360" s="543"/>
      <c r="AY360" s="543"/>
      <c r="AZ360" s="543"/>
      <c r="BA360" s="540"/>
      <c r="BB360" s="541"/>
      <c r="BC360" s="542"/>
      <c r="BD360" s="543"/>
      <c r="BE360" s="543"/>
      <c r="BF360" s="543"/>
      <c r="BG360" s="540"/>
      <c r="BH360" s="541"/>
      <c r="BI360" s="542"/>
      <c r="BJ360" s="543"/>
      <c r="BK360" s="543"/>
      <c r="BL360" s="543"/>
      <c r="BM360" s="540"/>
      <c r="BN360" s="541"/>
      <c r="BO360" s="542">
        <f>+BO359/BO$343</f>
        <v>0.10919626029185638</v>
      </c>
      <c r="BP360" s="543">
        <f>+BP359/BP$343</f>
        <v>0.12539475963744187</v>
      </c>
      <c r="BQ360" s="543">
        <f>+BQ359/BQ$343</f>
        <v>0.1527582197893923</v>
      </c>
      <c r="BR360" s="543">
        <f>+BR359/BR$343</f>
        <v>0.14980784114211834</v>
      </c>
      <c r="BS360" s="540">
        <f>+BS359/BS$343</f>
        <v>0.13539040997437687</v>
      </c>
      <c r="BT360" s="541"/>
      <c r="BU360" s="542">
        <f>+BU359/BU$343</f>
        <v>0.15301882016120838</v>
      </c>
      <c r="BV360" s="543">
        <f>+BV359/BV$343</f>
        <v>0.12191276267734004</v>
      </c>
      <c r="BW360" s="543">
        <f>+BW359/BW$343</f>
        <v>9.5602393446708067E-2</v>
      </c>
      <c r="BX360" s="543">
        <f>+BX359/BX$343</f>
        <v>0.13905384953372918</v>
      </c>
      <c r="BY360" s="540">
        <f>+BY359/BY$343</f>
        <v>0.12543320372211597</v>
      </c>
      <c r="BZ360" s="541"/>
      <c r="CA360" s="542">
        <f>+CA359/CA$343</f>
        <v>0.1388807594533126</v>
      </c>
      <c r="CB360" s="543">
        <f>+CB359/CB$343</f>
        <v>0.14807147419354097</v>
      </c>
      <c r="CC360" s="543">
        <f>+CC359/CC$343</f>
        <v>0.14543159326206725</v>
      </c>
      <c r="CD360" s="543">
        <f>+CD359/CD$343</f>
        <v>0.1637340780942288</v>
      </c>
      <c r="CE360" s="540">
        <f>+CE359/CE$343</f>
        <v>0.14967387216800032</v>
      </c>
      <c r="CF360" s="541"/>
      <c r="CG360" s="542">
        <f>+CG359/CG$343</f>
        <v>0.13721497698692506</v>
      </c>
      <c r="CH360" s="543">
        <f>+CH359/CH$343</f>
        <v>0.15847222109164888</v>
      </c>
      <c r="CI360" s="543">
        <f>+CI359/CI$343</f>
        <v>0.15917342829442199</v>
      </c>
      <c r="CJ360" s="543">
        <f>+CJ359/CJ$343</f>
        <v>0.16683081560202251</v>
      </c>
      <c r="CK360" s="540">
        <f>+CK359/CK$343</f>
        <v>0.15612939142487459</v>
      </c>
      <c r="CL360" s="541"/>
      <c r="CM360" s="542">
        <f>+CM359/CM$343</f>
        <v>0.14447689196662095</v>
      </c>
      <c r="CN360" s="543">
        <f>+CN359/CN$343</f>
        <v>0.16366595047939109</v>
      </c>
      <c r="CO360" s="543">
        <f>+CO359/CO$343</f>
        <v>0.16761767061937072</v>
      </c>
      <c r="CP360" s="543">
        <f>+CP359/CP$343</f>
        <v>0.1590220617608564</v>
      </c>
      <c r="CQ360" s="540">
        <f>+CQ359/CQ$343</f>
        <v>0.15893547523104068</v>
      </c>
      <c r="CR360" s="541"/>
      <c r="CS360" s="542">
        <f>+CS359/CS$343</f>
        <v>0.14024810475534114</v>
      </c>
      <c r="CT360" s="543">
        <f>+CT359/CT$343</f>
        <v>0.17112409359128675</v>
      </c>
      <c r="CU360" s="543">
        <f>+CU359/CU$343</f>
        <v>0.13666647685211541</v>
      </c>
      <c r="CV360" s="543">
        <f>+CV359/CV$343</f>
        <v>0.15072866065232471</v>
      </c>
      <c r="CW360" s="540">
        <f>+CW359/CW$343</f>
        <v>0.14980219902034825</v>
      </c>
      <c r="CX360" s="541"/>
      <c r="CY360" s="542">
        <f>+CY359/CY$343</f>
        <v>0.15623964730766299</v>
      </c>
      <c r="CZ360" s="543">
        <f>+CZ359/CZ$343</f>
        <v>0.16740140031589612</v>
      </c>
      <c r="DA360" s="543">
        <f>+DA359/DA$343</f>
        <v>0.16918758016504937</v>
      </c>
      <c r="DB360" s="543">
        <f>+DB359/DB$343</f>
        <v>0.15893375215409111</v>
      </c>
      <c r="DC360" s="540">
        <f>+DC359/DC$343</f>
        <v>0.16294484196559739</v>
      </c>
      <c r="DD360" s="541"/>
      <c r="DE360" s="542">
        <f>+DE359/DE$343</f>
        <v>0.14670566136433877</v>
      </c>
      <c r="DF360" s="543">
        <f>+DF359/DF$343</f>
        <v>0.14981929447240638</v>
      </c>
      <c r="DG360" s="543">
        <f>+DG359/DG$343</f>
        <v>0.1679475288193984</v>
      </c>
      <c r="DH360" s="543">
        <f>+DH359/DH$343</f>
        <v>0.18445838331006542</v>
      </c>
      <c r="DI360" s="540">
        <f>+DI359/DI$343</f>
        <v>0.16734043655924538</v>
      </c>
      <c r="DJ360" s="541"/>
      <c r="DK360" s="542">
        <f>+DK359/DK$343</f>
        <v>0.15823997955445743</v>
      </c>
      <c r="DL360" s="543">
        <f>+DL359/DL$343</f>
        <v>0.1717324122993695</v>
      </c>
      <c r="DM360" s="543">
        <f>+DM359/DM$343</f>
        <v>0.17283729133372222</v>
      </c>
      <c r="DN360" s="543">
        <f>+DN359/DN$343</f>
        <v>0.1992716260209185</v>
      </c>
      <c r="DO360" s="540">
        <f>+DO359/DO$343</f>
        <v>0.17634079624595497</v>
      </c>
      <c r="DP360" s="541"/>
      <c r="DQ360" s="542">
        <f>+DQ359/DQ$343</f>
        <v>0.16912242761510993</v>
      </c>
      <c r="DR360" s="543">
        <f>+DR359/DR$343</f>
        <v>0.18123333347931447</v>
      </c>
      <c r="DS360" s="543">
        <f>+DS359/DS$343</f>
        <v>0.18100062545622461</v>
      </c>
      <c r="DT360" s="543">
        <f>+DT359/DT$343</f>
        <v>0.20603042611545061</v>
      </c>
      <c r="DU360" s="540">
        <f>+DU359/DU$343</f>
        <v>0.18505748085733292</v>
      </c>
      <c r="DV360" s="541"/>
      <c r="DW360" s="542">
        <f>+DW359/DW$343</f>
        <v>0.17860031477578703</v>
      </c>
      <c r="DX360" s="543">
        <f>+DX359/DX$343</f>
        <v>0.18999549682773464</v>
      </c>
      <c r="DY360" s="543">
        <f>+DY359/DY$343</f>
        <v>0.18987224608746037</v>
      </c>
      <c r="DZ360" s="543">
        <f>+DZ359/DZ$343</f>
        <v>0.21349748080836908</v>
      </c>
      <c r="EA360" s="540">
        <f>+EA359/EA$343</f>
        <v>0.19366293600556414</v>
      </c>
      <c r="EB360" s="541"/>
      <c r="EC360" s="542">
        <f t="shared" ref="EC360:EG360" si="722">+EC359/EC$343</f>
        <v>0.18661883270289209</v>
      </c>
      <c r="ED360" s="543">
        <f t="shared" si="722"/>
        <v>0.19738742399635703</v>
      </c>
      <c r="EE360" s="543">
        <f t="shared" si="722"/>
        <v>0.19732860157567486</v>
      </c>
      <c r="EF360" s="543">
        <f t="shared" si="722"/>
        <v>0.21873342908110618</v>
      </c>
      <c r="EG360" s="540">
        <f t="shared" si="722"/>
        <v>0.20063202516585124</v>
      </c>
    </row>
    <row r="361" spans="1:137" ht="11.25" customHeight="1" x14ac:dyDescent="0.2">
      <c r="A361" s="51"/>
      <c r="B361" s="14"/>
      <c r="C361" s="14"/>
      <c r="D361" s="14"/>
      <c r="E361" s="92"/>
      <c r="F361" s="71"/>
      <c r="G361" s="92"/>
      <c r="H361" s="71"/>
      <c r="I361" s="92"/>
      <c r="J361" s="71"/>
      <c r="K361" s="92"/>
      <c r="L361" s="71"/>
      <c r="M361" s="84"/>
      <c r="N361" s="71"/>
      <c r="O361" s="71"/>
      <c r="P361" s="71"/>
      <c r="Q361" s="92"/>
      <c r="R361" s="71"/>
      <c r="S361" s="84"/>
      <c r="T361" s="71"/>
      <c r="U361" s="71"/>
      <c r="V361" s="71"/>
      <c r="W361" s="92"/>
      <c r="X361" s="71"/>
      <c r="Y361" s="84"/>
      <c r="Z361" s="71"/>
      <c r="AA361" s="71"/>
      <c r="AB361" s="71"/>
      <c r="AC361" s="92"/>
      <c r="AD361" s="71"/>
      <c r="AE361" s="84"/>
      <c r="AF361" s="71"/>
      <c r="AG361" s="71"/>
      <c r="AH361" s="71"/>
      <c r="AI361" s="92"/>
      <c r="AJ361" s="71"/>
      <c r="AK361" s="84"/>
      <c r="AL361" s="71"/>
      <c r="AM361" s="71"/>
      <c r="AN361" s="71"/>
      <c r="AO361" s="92"/>
      <c r="AP361" s="71"/>
      <c r="AQ361" s="84"/>
      <c r="AR361" s="71"/>
      <c r="AS361" s="71"/>
      <c r="AT361" s="71"/>
      <c r="AU361" s="92"/>
      <c r="AV361" s="71"/>
      <c r="AW361" s="84"/>
      <c r="AX361" s="71"/>
      <c r="AY361" s="71"/>
      <c r="AZ361" s="71"/>
      <c r="BA361" s="92"/>
      <c r="BB361" s="71"/>
      <c r="BC361" s="84"/>
      <c r="BD361" s="71"/>
      <c r="BE361" s="71"/>
      <c r="BF361" s="71"/>
      <c r="BG361" s="92"/>
      <c r="BH361" s="71"/>
      <c r="BI361" s="84"/>
      <c r="BJ361" s="71"/>
      <c r="BK361" s="71"/>
      <c r="BL361" s="71"/>
      <c r="BM361" s="92"/>
      <c r="BN361" s="71"/>
      <c r="BO361" s="84"/>
      <c r="BP361" s="71"/>
      <c r="BQ361" s="71"/>
      <c r="BR361" s="71"/>
      <c r="BS361" s="92"/>
      <c r="BT361" s="71"/>
      <c r="BU361" s="84"/>
      <c r="BV361" s="71"/>
      <c r="BW361" s="71"/>
      <c r="BX361" s="71"/>
      <c r="BY361" s="92"/>
      <c r="BZ361" s="71"/>
      <c r="CA361" s="84"/>
      <c r="CB361" s="71"/>
      <c r="CC361" s="71"/>
      <c r="CD361" s="71"/>
      <c r="CE361" s="92"/>
      <c r="CF361" s="71"/>
      <c r="CG361" s="84"/>
      <c r="CH361" s="71"/>
      <c r="CI361" s="71"/>
      <c r="CJ361" s="71"/>
      <c r="CK361" s="92"/>
      <c r="CL361" s="71"/>
      <c r="CM361" s="84"/>
      <c r="CN361" s="71"/>
      <c r="CO361" s="71"/>
      <c r="CP361" s="71"/>
      <c r="CQ361" s="92"/>
      <c r="CR361" s="71"/>
      <c r="CS361" s="84"/>
      <c r="CT361" s="71"/>
      <c r="CU361" s="71"/>
      <c r="CV361" s="71"/>
      <c r="CW361" s="92"/>
      <c r="CX361" s="71"/>
      <c r="CY361" s="84"/>
      <c r="CZ361" s="71"/>
      <c r="DA361" s="71"/>
      <c r="DB361" s="71"/>
      <c r="DC361" s="92"/>
      <c r="DD361" s="71"/>
      <c r="DE361" s="84"/>
      <c r="DF361" s="71"/>
      <c r="DG361" s="71"/>
      <c r="DH361" s="71"/>
      <c r="DI361" s="92"/>
      <c r="DJ361" s="71"/>
      <c r="DK361" s="84"/>
      <c r="DL361" s="71"/>
      <c r="DM361" s="71"/>
      <c r="DN361" s="71"/>
      <c r="DO361" s="92"/>
      <c r="DP361" s="71"/>
      <c r="DQ361" s="84"/>
      <c r="DR361" s="71"/>
      <c r="DS361" s="71"/>
      <c r="DT361" s="71"/>
      <c r="DU361" s="92"/>
      <c r="DV361" s="71"/>
      <c r="DW361" s="84"/>
      <c r="DX361" s="71"/>
      <c r="DY361" s="71"/>
      <c r="DZ361" s="71"/>
      <c r="EA361" s="92"/>
      <c r="EB361" s="71"/>
      <c r="EC361" s="84"/>
      <c r="ED361" s="71"/>
      <c r="EE361" s="71"/>
      <c r="EF361" s="71"/>
      <c r="EG361" s="92"/>
    </row>
    <row r="362" spans="1:137" ht="11.25" customHeight="1" x14ac:dyDescent="0.2">
      <c r="A362" s="51" t="s">
        <v>47</v>
      </c>
      <c r="B362" s="14"/>
      <c r="C362" s="14"/>
      <c r="D362" s="14"/>
      <c r="E362" s="371"/>
      <c r="F362" s="355"/>
      <c r="G362" s="371"/>
      <c r="H362" s="355"/>
      <c r="I362" s="371"/>
      <c r="J362" s="355"/>
      <c r="K362" s="371"/>
      <c r="L362" s="355"/>
      <c r="M362" s="354"/>
      <c r="N362" s="355"/>
      <c r="O362" s="355"/>
      <c r="P362" s="355"/>
      <c r="Q362" s="371"/>
      <c r="R362" s="355"/>
      <c r="S362" s="354"/>
      <c r="T362" s="355"/>
      <c r="U362" s="355"/>
      <c r="V362" s="355"/>
      <c r="W362" s="371"/>
      <c r="X362" s="355"/>
      <c r="Y362" s="354"/>
      <c r="Z362" s="355"/>
      <c r="AA362" s="355"/>
      <c r="AB362" s="355"/>
      <c r="AC362" s="371"/>
      <c r="AD362" s="355"/>
      <c r="AE362" s="354"/>
      <c r="AF362" s="355"/>
      <c r="AG362" s="355"/>
      <c r="AH362" s="355"/>
      <c r="AI362" s="371"/>
      <c r="AJ362" s="355"/>
      <c r="AK362" s="354"/>
      <c r="AL362" s="355"/>
      <c r="AM362" s="355"/>
      <c r="AN362" s="355"/>
      <c r="AO362" s="371"/>
      <c r="AP362" s="355"/>
      <c r="AQ362" s="354"/>
      <c r="AR362" s="355"/>
      <c r="AS362" s="355"/>
      <c r="AT362" s="355"/>
      <c r="AU362" s="371"/>
      <c r="AV362" s="355"/>
      <c r="AW362" s="354"/>
      <c r="AX362" s="355"/>
      <c r="AY362" s="355"/>
      <c r="AZ362" s="355"/>
      <c r="BA362" s="371"/>
      <c r="BB362" s="355"/>
      <c r="BC362" s="354"/>
      <c r="BD362" s="355"/>
      <c r="BE362" s="355"/>
      <c r="BF362" s="355"/>
      <c r="BG362" s="371"/>
      <c r="BH362" s="355"/>
      <c r="BI362" s="354"/>
      <c r="BJ362" s="355"/>
      <c r="BK362" s="355"/>
      <c r="BL362" s="355"/>
      <c r="BM362" s="371"/>
      <c r="BN362" s="355"/>
      <c r="BO362" s="354">
        <f>+'Pro Forma IS'!BO15</f>
        <v>455.28263449446052</v>
      </c>
      <c r="BP362" s="355">
        <f>+'Pro Forma IS'!BP15</f>
        <v>479.84554920127079</v>
      </c>
      <c r="BQ362" s="355">
        <f>+'Pro Forma IS'!BQ15</f>
        <v>491.05374848202166</v>
      </c>
      <c r="BR362" s="355">
        <f>+'Pro Forma IS'!BR15</f>
        <v>568.31078944890851</v>
      </c>
      <c r="BS362" s="371">
        <f>+'Pro Forma IS'!BS15</f>
        <v>1994.4927216266615</v>
      </c>
      <c r="BT362" s="355"/>
      <c r="BU362" s="354">
        <f>+'Pro Forma IS'!BU15</f>
        <v>539.82391220064244</v>
      </c>
      <c r="BV362" s="355">
        <f>+'Pro Forma IS'!BV15</f>
        <v>593.20417521393381</v>
      </c>
      <c r="BW362" s="355">
        <f>+'Pro Forma IS'!BW15</f>
        <v>859.07134926861897</v>
      </c>
      <c r="BX362" s="355">
        <f>+'Pro Forma IS'!BX15</f>
        <v>941.4942250297247</v>
      </c>
      <c r="BY362" s="371">
        <f>+'Pro Forma IS'!BY15</f>
        <v>2933.59366171292</v>
      </c>
      <c r="BZ362" s="355"/>
      <c r="CA362" s="354">
        <f>+'Pro Forma IS'!CA15</f>
        <v>849.17840872579916</v>
      </c>
      <c r="CB362" s="355">
        <f>+'Pro Forma IS'!CB15</f>
        <v>892.57057780551247</v>
      </c>
      <c r="CC362" s="355">
        <f>+'Pro Forma IS'!CC15</f>
        <v>874.31315483457718</v>
      </c>
      <c r="CD362" s="355">
        <f>+'Pro Forma IS'!CD15</f>
        <v>1017.3828104070913</v>
      </c>
      <c r="CE362" s="371">
        <f>+'Pro Forma IS'!CE15</f>
        <v>3633.4449517729799</v>
      </c>
      <c r="CF362" s="355"/>
      <c r="CG362" s="354">
        <f>+'Pro Forma IS'!CG15</f>
        <v>873.66157905810189</v>
      </c>
      <c r="CH362" s="355">
        <f>+'Pro Forma IS'!CH15</f>
        <v>941.33909887171058</v>
      </c>
      <c r="CI362" s="355">
        <f>+'Pro Forma IS'!CI15</f>
        <v>939.72078814820691</v>
      </c>
      <c r="CJ362" s="355">
        <f>+'Pro Forma IS'!CJ15</f>
        <v>1070.7785339219813</v>
      </c>
      <c r="CK362" s="371">
        <f>+'Pro Forma IS'!CK15</f>
        <v>3825.5</v>
      </c>
      <c r="CL362" s="355"/>
      <c r="CM362" s="354">
        <f>+'Pro Forma IS'!CM15</f>
        <v>929.51905977580088</v>
      </c>
      <c r="CN362" s="355">
        <f>+'Pro Forma IS'!CN15</f>
        <v>999.1373611558729</v>
      </c>
      <c r="CO362" s="355">
        <f>+'Pro Forma IS'!CO15</f>
        <v>992.40247868727272</v>
      </c>
      <c r="CP362" s="355">
        <f>+'Pro Forma IS'!CP15</f>
        <v>1119.1341351113492</v>
      </c>
      <c r="CQ362" s="371">
        <f>+'Pro Forma IS'!CQ15</f>
        <v>4040.1930347302959</v>
      </c>
      <c r="CR362" s="71"/>
      <c r="CS362" s="354">
        <f>+'Pro Forma IS'!CS15</f>
        <v>1089.5999999999999</v>
      </c>
      <c r="CT362" s="355">
        <f>+'Pro Forma IS'!CT15</f>
        <v>1087.2</v>
      </c>
      <c r="CU362" s="355">
        <f>+'Pro Forma IS'!CU15</f>
        <v>1201.2</v>
      </c>
      <c r="CV362" s="355">
        <f>+'Pro Forma IS'!CV15</f>
        <v>1369.5</v>
      </c>
      <c r="CW362" s="371">
        <f>+'Pro Forma IS'!CW15</f>
        <v>4747.5</v>
      </c>
      <c r="CX362" s="71"/>
      <c r="CY362" s="354">
        <f>+'Pro Forma IS'!CY15</f>
        <v>1328.1</v>
      </c>
      <c r="CZ362" s="355">
        <f>+'Pro Forma IS'!CZ15</f>
        <v>1431.3</v>
      </c>
      <c r="DA362" s="355">
        <f>+'Pro Forma IS'!DA15</f>
        <v>1345.8</v>
      </c>
      <c r="DB362" s="355">
        <f>+'Pro Forma IS'!DB15</f>
        <v>1503.4</v>
      </c>
      <c r="DC362" s="371">
        <f>+'Pro Forma IS'!DC15</f>
        <v>5608.6</v>
      </c>
      <c r="DD362" s="71"/>
      <c r="DE362" s="354">
        <f>+'Pro Forma IS'!DE15</f>
        <v>1449.9</v>
      </c>
      <c r="DF362" s="355">
        <f>+'Pro Forma IS'!DF15</f>
        <v>1468.3</v>
      </c>
      <c r="DG362" s="355">
        <f>+'Pro Forma IS'!DG15</f>
        <v>1497.1</v>
      </c>
      <c r="DH362" s="355">
        <f>+'Pro Forma IS'!DH15</f>
        <v>1602.1</v>
      </c>
      <c r="DI362" s="371">
        <f>+'Pro Forma IS'!DI15</f>
        <v>6017.4</v>
      </c>
      <c r="DJ362" s="355"/>
      <c r="DK362" s="354">
        <f>+'Pro Forma IS'!DK15</f>
        <v>1601.9</v>
      </c>
      <c r="DL362" s="355">
        <f>+'Pro Forma IS'!DL15</f>
        <v>1592.7390733607624</v>
      </c>
      <c r="DM362" s="355">
        <f>+'Pro Forma IS'!DM15</f>
        <v>1591.5522876327238</v>
      </c>
      <c r="DN362" s="355">
        <f>+'Pro Forma IS'!DN15</f>
        <v>1699.5809639388133</v>
      </c>
      <c r="DO362" s="371">
        <f>+'Pro Forma IS'!DO15</f>
        <v>6485.7723249322999</v>
      </c>
      <c r="DP362" s="355"/>
      <c r="DQ362" s="354">
        <f>+'Pro Forma IS'!DQ15</f>
        <v>1664.0837407280267</v>
      </c>
      <c r="DR362" s="355">
        <f>+'Pro Forma IS'!DR15</f>
        <v>1656.7873570137112</v>
      </c>
      <c r="DS362" s="355">
        <f>+'Pro Forma IS'!DS15</f>
        <v>1641.477928063297</v>
      </c>
      <c r="DT362" s="355">
        <f>+'Pro Forma IS'!DT15</f>
        <v>1751.8908151876146</v>
      </c>
      <c r="DU362" s="371">
        <f>+'Pro Forma IS'!DU15</f>
        <v>6714.23984099265</v>
      </c>
      <c r="DV362" s="355"/>
      <c r="DW362" s="354">
        <f>+'Pro Forma IS'!DW15</f>
        <v>1722.4769784710907</v>
      </c>
      <c r="DX362" s="355">
        <f>+'Pro Forma IS'!DX15</f>
        <v>1714.2077207933935</v>
      </c>
      <c r="DY362" s="355">
        <f>+'Pro Forma IS'!DY15</f>
        <v>1698.5918601491103</v>
      </c>
      <c r="DZ362" s="355">
        <f>+'Pro Forma IS'!DZ15</f>
        <v>1812.0332005076973</v>
      </c>
      <c r="EA362" s="371">
        <f>+'Pro Forma IS'!EA15</f>
        <v>6947.3097599212915</v>
      </c>
      <c r="EB362" s="355"/>
      <c r="EC362" s="354">
        <f>+'Pro Forma IS'!EC15</f>
        <v>1782.8907838370558</v>
      </c>
      <c r="ED362" s="355">
        <f>+'Pro Forma IS'!ED15</f>
        <v>1773.5795780235037</v>
      </c>
      <c r="EE362" s="355">
        <f>+'Pro Forma IS'!EE15</f>
        <v>1757.6575989376829</v>
      </c>
      <c r="EF362" s="355">
        <f>+'Pro Forma IS'!EF15</f>
        <v>1874.191054112988</v>
      </c>
      <c r="EG362" s="371">
        <f>+'Pro Forma IS'!EG15</f>
        <v>7188.3190149112306</v>
      </c>
    </row>
    <row r="363" spans="1:137" ht="11.25" customHeight="1" x14ac:dyDescent="0.2">
      <c r="A363" s="538" t="s">
        <v>46</v>
      </c>
      <c r="B363" s="539"/>
      <c r="C363" s="539"/>
      <c r="D363" s="539"/>
      <c r="E363" s="540"/>
      <c r="F363" s="541"/>
      <c r="G363" s="540"/>
      <c r="H363" s="541"/>
      <c r="I363" s="540"/>
      <c r="J363" s="541"/>
      <c r="K363" s="540"/>
      <c r="L363" s="541"/>
      <c r="M363" s="542"/>
      <c r="N363" s="543"/>
      <c r="O363" s="543"/>
      <c r="P363" s="543"/>
      <c r="Q363" s="540"/>
      <c r="R363" s="541"/>
      <c r="S363" s="542"/>
      <c r="T363" s="543"/>
      <c r="U363" s="543"/>
      <c r="V363" s="543"/>
      <c r="W363" s="540"/>
      <c r="X363" s="541"/>
      <c r="Y363" s="542"/>
      <c r="Z363" s="543"/>
      <c r="AA363" s="543"/>
      <c r="AB363" s="543"/>
      <c r="AC363" s="540"/>
      <c r="AD363" s="541"/>
      <c r="AE363" s="542"/>
      <c r="AF363" s="543"/>
      <c r="AG363" s="543"/>
      <c r="AH363" s="543"/>
      <c r="AI363" s="540"/>
      <c r="AJ363" s="541"/>
      <c r="AK363" s="542"/>
      <c r="AL363" s="543"/>
      <c r="AM363" s="543"/>
      <c r="AN363" s="543"/>
      <c r="AO363" s="540"/>
      <c r="AP363" s="541"/>
      <c r="AQ363" s="542"/>
      <c r="AR363" s="543"/>
      <c r="AS363" s="543"/>
      <c r="AT363" s="543"/>
      <c r="AU363" s="540"/>
      <c r="AV363" s="541"/>
      <c r="AW363" s="542"/>
      <c r="AX363" s="543"/>
      <c r="AY363" s="543"/>
      <c r="AZ363" s="543"/>
      <c r="BA363" s="540"/>
      <c r="BB363" s="541"/>
      <c r="BC363" s="542"/>
      <c r="BD363" s="543"/>
      <c r="BE363" s="543"/>
      <c r="BF363" s="543"/>
      <c r="BG363" s="540"/>
      <c r="BH363" s="541"/>
      <c r="BI363" s="542"/>
      <c r="BJ363" s="543"/>
      <c r="BK363" s="543"/>
      <c r="BL363" s="543"/>
      <c r="BM363" s="540"/>
      <c r="BN363" s="541"/>
      <c r="BO363" s="442">
        <v>0.31</v>
      </c>
      <c r="BP363" s="347">
        <f>+BO363</f>
        <v>0.31</v>
      </c>
      <c r="BQ363" s="347">
        <f>+BP363</f>
        <v>0.31</v>
      </c>
      <c r="BR363" s="347">
        <f>+BQ363</f>
        <v>0.31</v>
      </c>
      <c r="BS363" s="540">
        <f>+BS362/BS$343</f>
        <v>0.31</v>
      </c>
      <c r="BT363" s="541"/>
      <c r="BU363" s="442">
        <v>0.31</v>
      </c>
      <c r="BV363" s="347">
        <f>+BU363</f>
        <v>0.31</v>
      </c>
      <c r="BW363" s="347">
        <f>+BV363</f>
        <v>0.31</v>
      </c>
      <c r="BX363" s="347">
        <f>+BW363</f>
        <v>0.31</v>
      </c>
      <c r="BY363" s="540">
        <f>+BY362/BY$343</f>
        <v>0.31</v>
      </c>
      <c r="BZ363" s="541"/>
      <c r="CA363" s="442">
        <v>0.31</v>
      </c>
      <c r="CB363" s="347">
        <f>+CA363</f>
        <v>0.31</v>
      </c>
      <c r="CC363" s="347">
        <f>+CB363</f>
        <v>0.31</v>
      </c>
      <c r="CD363" s="347">
        <f>+CC363</f>
        <v>0.31</v>
      </c>
      <c r="CE363" s="540">
        <f>+CE362/CE$343</f>
        <v>0.31</v>
      </c>
      <c r="CF363" s="541"/>
      <c r="CG363" s="442">
        <f>+CK363</f>
        <v>0.30948390429341305</v>
      </c>
      <c r="CH363" s="347">
        <f>+CG363</f>
        <v>0.30948390429341305</v>
      </c>
      <c r="CI363" s="347">
        <f>+CH363</f>
        <v>0.30948390429341305</v>
      </c>
      <c r="CJ363" s="347">
        <f>+CI363</f>
        <v>0.30948390429341305</v>
      </c>
      <c r="CK363" s="540">
        <f>+CK362/CK$343</f>
        <v>0.30948390429341305</v>
      </c>
      <c r="CL363" s="541"/>
      <c r="CM363" s="442">
        <f>+CQ363</f>
        <v>0.314</v>
      </c>
      <c r="CN363" s="347">
        <f>+CM363</f>
        <v>0.314</v>
      </c>
      <c r="CO363" s="347">
        <f>+CN363</f>
        <v>0.314</v>
      </c>
      <c r="CP363" s="347">
        <f>+CO363</f>
        <v>0.314</v>
      </c>
      <c r="CQ363" s="800">
        <v>0.314</v>
      </c>
      <c r="CR363" s="541"/>
      <c r="CS363" s="542">
        <f>+CS362/CS$343</f>
        <v>0.34133199674205872</v>
      </c>
      <c r="CT363" s="543">
        <f>+CT362/CT$343</f>
        <v>0.31917329653876642</v>
      </c>
      <c r="CU363" s="543">
        <f>+CU362/CU$343</f>
        <v>0.34200785832241903</v>
      </c>
      <c r="CV363" s="543">
        <f>+CV362/CV$343</f>
        <v>0.31679389312977091</v>
      </c>
      <c r="CW363" s="540">
        <f>+CW362/CW$343</f>
        <v>0.32891774111974059</v>
      </c>
      <c r="CX363" s="541"/>
      <c r="CY363" s="542">
        <f>+CY362/CY$343</f>
        <v>0.33844703244055957</v>
      </c>
      <c r="CZ363" s="543">
        <f>+CZ362/CZ$343</f>
        <v>0.33741955255899481</v>
      </c>
      <c r="DA363" s="543">
        <f>+DA362/DA$343</f>
        <v>0.32569395706783472</v>
      </c>
      <c r="DB363" s="543">
        <f>+DB362/DB$343</f>
        <v>0.32794537879283642</v>
      </c>
      <c r="DC363" s="540">
        <f>+DC362/DC$343</f>
        <v>0.33221579870160639</v>
      </c>
      <c r="DD363" s="541"/>
      <c r="DE363" s="542">
        <f>+DE362/DE$343</f>
        <v>0.34474641557885732</v>
      </c>
      <c r="DF363" s="543">
        <f>+DF362/DF$343</f>
        <v>0.3255581916143766</v>
      </c>
      <c r="DG363" s="543">
        <f>+DG362/DG$343</f>
        <v>0.33061702221633321</v>
      </c>
      <c r="DH363" s="543">
        <f>+DH362/DH$343</f>
        <v>0.31502054781052752</v>
      </c>
      <c r="DI363" s="540">
        <f>+DI362/DI$343</f>
        <v>0.32828687867231865</v>
      </c>
      <c r="DJ363" s="15"/>
      <c r="DK363" s="542">
        <f>+DK362/DK$343</f>
        <v>0.34116369212420672</v>
      </c>
      <c r="DL363" s="396">
        <f t="shared" ref="DL363:DN363" si="723">+DF363-0.25%</f>
        <v>0.3230581916143766</v>
      </c>
      <c r="DM363" s="396">
        <f t="shared" si="723"/>
        <v>0.32811702221633321</v>
      </c>
      <c r="DN363" s="396">
        <f t="shared" si="723"/>
        <v>0.31252054781052752</v>
      </c>
      <c r="DO363" s="540">
        <f>+DO362/DO$343</f>
        <v>0.32568160532483004</v>
      </c>
      <c r="DP363" s="15"/>
      <c r="DQ363" s="410">
        <f t="shared" ref="DQ363" si="724">+DK363-0.25%</f>
        <v>0.33866369212420672</v>
      </c>
      <c r="DR363" s="396">
        <f t="shared" ref="DR363" si="725">+DL363-0.25%</f>
        <v>0.3205581916143766</v>
      </c>
      <c r="DS363" s="396">
        <f t="shared" ref="DS363" si="726">+DM363-0.25%</f>
        <v>0.32561702221633321</v>
      </c>
      <c r="DT363" s="396">
        <f t="shared" ref="DT363" si="727">+DN363-0.25%</f>
        <v>0.31002054781052751</v>
      </c>
      <c r="DU363" s="540">
        <f t="shared" ref="DU363" si="728">+DU362/DU$343</f>
        <v>0.32320185213754066</v>
      </c>
      <c r="DV363" s="15"/>
      <c r="DW363" s="410">
        <f t="shared" ref="DW363" si="729">+DQ363-0.25%</f>
        <v>0.33616369212420671</v>
      </c>
      <c r="DX363" s="396">
        <f t="shared" ref="DX363" si="730">+DR363-0.25%</f>
        <v>0.3180581916143766</v>
      </c>
      <c r="DY363" s="396">
        <f t="shared" ref="DY363" si="731">+DS363-0.25%</f>
        <v>0.32311702221633321</v>
      </c>
      <c r="DZ363" s="396">
        <f t="shared" ref="DZ363" si="732">+DT363-0.25%</f>
        <v>0.30752054781052751</v>
      </c>
      <c r="EA363" s="540">
        <f t="shared" ref="EA363" si="733">+EA362/EA$343</f>
        <v>0.32070202807467607</v>
      </c>
      <c r="EB363" s="15"/>
      <c r="EC363" s="410">
        <f t="shared" ref="EC363" si="734">+DW363-0.25%</f>
        <v>0.33366369212420671</v>
      </c>
      <c r="ED363" s="396">
        <f t="shared" ref="ED363" si="735">+DX363-0.25%</f>
        <v>0.31555819161437659</v>
      </c>
      <c r="EE363" s="396">
        <f t="shared" ref="EE363" si="736">+DY363-0.25%</f>
        <v>0.3206170222163332</v>
      </c>
      <c r="EF363" s="396">
        <f t="shared" ref="EF363" si="737">+DZ363-0.25%</f>
        <v>0.30502054781052751</v>
      </c>
      <c r="EG363" s="540">
        <f t="shared" ref="EG363" si="738">+EG362/EG$343</f>
        <v>0.31820220200260485</v>
      </c>
    </row>
    <row r="364" spans="1:137" ht="11.25" customHeight="1" x14ac:dyDescent="0.2">
      <c r="A364" s="51" t="s">
        <v>68</v>
      </c>
      <c r="B364" s="14"/>
      <c r="C364" s="14"/>
      <c r="D364" s="14"/>
      <c r="E364" s="371"/>
      <c r="F364" s="355"/>
      <c r="G364" s="371"/>
      <c r="H364" s="355"/>
      <c r="I364" s="371"/>
      <c r="J364" s="355"/>
      <c r="K364" s="371"/>
      <c r="L364" s="355"/>
      <c r="M364" s="354"/>
      <c r="N364" s="355"/>
      <c r="O364" s="355"/>
      <c r="P364" s="355"/>
      <c r="Q364" s="371"/>
      <c r="R364" s="355"/>
      <c r="S364" s="354"/>
      <c r="T364" s="355"/>
      <c r="U364" s="355"/>
      <c r="V364" s="355"/>
      <c r="W364" s="371"/>
      <c r="X364" s="355"/>
      <c r="Y364" s="354"/>
      <c r="Z364" s="355"/>
      <c r="AA364" s="355"/>
      <c r="AB364" s="355"/>
      <c r="AC364" s="371"/>
      <c r="AD364" s="355"/>
      <c r="AE364" s="354"/>
      <c r="AF364" s="355"/>
      <c r="AG364" s="355"/>
      <c r="AH364" s="355"/>
      <c r="AI364" s="371"/>
      <c r="AJ364" s="355"/>
      <c r="AK364" s="354"/>
      <c r="AL364" s="355"/>
      <c r="AM364" s="355"/>
      <c r="AN364" s="355"/>
      <c r="AO364" s="371"/>
      <c r="AP364" s="355"/>
      <c r="AQ364" s="354"/>
      <c r="AR364" s="355"/>
      <c r="AS364" s="355"/>
      <c r="AT364" s="355"/>
      <c r="AU364" s="371"/>
      <c r="AV364" s="355"/>
      <c r="AW364" s="354"/>
      <c r="AX364" s="355"/>
      <c r="AY364" s="355"/>
      <c r="AZ364" s="355"/>
      <c r="BA364" s="371"/>
      <c r="BB364" s="355"/>
      <c r="BC364" s="354"/>
      <c r="BD364" s="355"/>
      <c r="BE364" s="355"/>
      <c r="BF364" s="355"/>
      <c r="BG364" s="371"/>
      <c r="BH364" s="355"/>
      <c r="BI364" s="354"/>
      <c r="BJ364" s="355"/>
      <c r="BK364" s="355"/>
      <c r="BL364" s="355"/>
      <c r="BM364" s="371"/>
      <c r="BN364" s="355"/>
      <c r="BO364" s="354">
        <f>+'Pro Forma IS'!BO16</f>
        <v>88.119219579573013</v>
      </c>
      <c r="BP364" s="355">
        <f>+'Pro Forma IS'!BP16</f>
        <v>92.873332103471768</v>
      </c>
      <c r="BQ364" s="355">
        <f>+'Pro Forma IS'!BQ16</f>
        <v>95.042660996520311</v>
      </c>
      <c r="BR364" s="355">
        <f>+'Pro Forma IS'!BR16</f>
        <v>109.99563666753068</v>
      </c>
      <c r="BS364" s="371">
        <f>+'Pro Forma IS'!BS16</f>
        <v>386.0308493470958</v>
      </c>
      <c r="BT364" s="355"/>
      <c r="BU364" s="354">
        <f>+'Pro Forma IS'!BU16</f>
        <v>104.48204752270499</v>
      </c>
      <c r="BV364" s="355">
        <f>+'Pro Forma IS'!BV16</f>
        <v>114.81371133172912</v>
      </c>
      <c r="BW364" s="355">
        <f>+'Pro Forma IS'!BW16</f>
        <v>166.27187405199078</v>
      </c>
      <c r="BX364" s="355">
        <f>+'Pro Forma IS'!BX16</f>
        <v>182.22468871543057</v>
      </c>
      <c r="BY364" s="371">
        <f>+'Pro Forma IS'!BY16</f>
        <v>567.79232162185542</v>
      </c>
      <c r="BZ364" s="355"/>
      <c r="CA364" s="354">
        <f>+'Pro Forma IS'!CA16</f>
        <v>164.3571113662837</v>
      </c>
      <c r="CB364" s="355">
        <f>+'Pro Forma IS'!CB16</f>
        <v>172.75559570429272</v>
      </c>
      <c r="CC364" s="355">
        <f>+'Pro Forma IS'!CC16</f>
        <v>169.22190093572459</v>
      </c>
      <c r="CD364" s="355">
        <f>+'Pro Forma IS'!CD16</f>
        <v>196.91280201427571</v>
      </c>
      <c r="CE364" s="371">
        <f>+'Pro Forma IS'!CE16</f>
        <v>703.24741002057681</v>
      </c>
      <c r="CF364" s="355"/>
      <c r="CG364" s="354">
        <f>+'Pro Forma IS'!CG16</f>
        <v>165.82555811111953</v>
      </c>
      <c r="CH364" s="355">
        <f>+'Pro Forma IS'!CH16</f>
        <v>178.67110696399138</v>
      </c>
      <c r="CI364" s="355">
        <f>+'Pro Forma IS'!CI16</f>
        <v>178.36394308571769</v>
      </c>
      <c r="CJ364" s="355">
        <f>+'Pro Forma IS'!CJ16</f>
        <v>203.23939183917153</v>
      </c>
      <c r="CK364" s="371">
        <f>+'Pro Forma IS'!CK16</f>
        <v>726.1</v>
      </c>
      <c r="CL364" s="355"/>
      <c r="CM364" s="354">
        <f>+'Pro Forma IS'!CM16</f>
        <v>177.61510696352883</v>
      </c>
      <c r="CN364" s="355">
        <f>+'Pro Forma IS'!CN16</f>
        <v>190.91796709984831</v>
      </c>
      <c r="CO364" s="355">
        <f>+'Pro Forma IS'!CO16</f>
        <v>189.63104688291835</v>
      </c>
      <c r="CP364" s="355">
        <f>+'Pro Forma IS'!CP16</f>
        <v>213.84728696395206</v>
      </c>
      <c r="CQ364" s="371">
        <f>+'Pro Forma IS'!CQ16</f>
        <v>772.0114079102475</v>
      </c>
      <c r="CR364" s="71"/>
      <c r="CS364" s="354">
        <f>+'Pro Forma IS'!CS16</f>
        <v>204.3</v>
      </c>
      <c r="CT364" s="355">
        <f>+'Pro Forma IS'!CT16</f>
        <v>208.8</v>
      </c>
      <c r="CU364" s="355">
        <f>+'Pro Forma IS'!CU16</f>
        <v>212.2</v>
      </c>
      <c r="CV364" s="355">
        <f>+'Pro Forma IS'!CV16</f>
        <v>236.1</v>
      </c>
      <c r="CW364" s="371">
        <f>+'Pro Forma IS'!CW16</f>
        <v>861.4</v>
      </c>
      <c r="CX364" s="71"/>
      <c r="CY364" s="354">
        <f>+'Pro Forma IS'!CY16</f>
        <v>226.1</v>
      </c>
      <c r="CZ364" s="355">
        <f>+'Pro Forma IS'!CZ16</f>
        <v>239.9</v>
      </c>
      <c r="DA364" s="355">
        <f>+'Pro Forma IS'!DA16</f>
        <v>241.1</v>
      </c>
      <c r="DB364" s="355">
        <f>+'Pro Forma IS'!DB16</f>
        <v>268</v>
      </c>
      <c r="DC364" s="371">
        <f>+'Pro Forma IS'!DC16</f>
        <v>975.1</v>
      </c>
      <c r="DD364" s="71"/>
      <c r="DE364" s="354">
        <f>+'Pro Forma IS'!DE16</f>
        <v>267.39999999999998</v>
      </c>
      <c r="DF364" s="355">
        <f>+'Pro Forma IS'!DF16</f>
        <v>283.3</v>
      </c>
      <c r="DG364" s="355">
        <f>+'Pro Forma IS'!DG16</f>
        <v>279.2</v>
      </c>
      <c r="DH364" s="355">
        <f>+'Pro Forma IS'!DH16</f>
        <v>298.89999999999998</v>
      </c>
      <c r="DI364" s="371">
        <f>+'Pro Forma IS'!DI16</f>
        <v>1128.8000000000002</v>
      </c>
      <c r="DJ364" s="355"/>
      <c r="DK364" s="354">
        <f>+'Pro Forma IS'!DK16</f>
        <v>298.7</v>
      </c>
      <c r="DL364" s="355">
        <f>+'Pro Forma IS'!DL16</f>
        <v>304.75773797825991</v>
      </c>
      <c r="DM364" s="355">
        <f>+'Pro Forma IS'!DM16</f>
        <v>294.22571225285986</v>
      </c>
      <c r="DN364" s="355">
        <f>+'Pro Forma IS'!DN16</f>
        <v>314.18501846578636</v>
      </c>
      <c r="DO364" s="371">
        <f>+'Pro Forma IS'!DO16</f>
        <v>1211.8684686969063</v>
      </c>
      <c r="DP364" s="355"/>
      <c r="DQ364" s="354">
        <f>+'Pro Forma IS'!DQ16</f>
        <v>307.6720663651127</v>
      </c>
      <c r="DR364" s="355">
        <f>+'Pro Forma IS'!DR16</f>
        <v>314.31676436633688</v>
      </c>
      <c r="DS364" s="355">
        <f>+'Pro Forma IS'!DS16</f>
        <v>300.74404022598122</v>
      </c>
      <c r="DT364" s="355">
        <f>+'Pro Forma IS'!DT16</f>
        <v>320.81570728079924</v>
      </c>
      <c r="DU364" s="371">
        <f>+'Pro Forma IS'!DU16</f>
        <v>1243.54857823823</v>
      </c>
      <c r="DV364" s="355"/>
      <c r="DW364" s="354">
        <f>+'Pro Forma IS'!DW16</f>
        <v>315.71285812477925</v>
      </c>
      <c r="DX364" s="355">
        <f>+'Pro Forma IS'!DX16</f>
        <v>322.37685868262713</v>
      </c>
      <c r="DY364" s="355">
        <f>+'Pro Forma IS'!DY16</f>
        <v>308.35915832318676</v>
      </c>
      <c r="DZ364" s="355">
        <f>+'Pro Forma IS'!DZ16</f>
        <v>328.63452750277202</v>
      </c>
      <c r="EA364" s="371">
        <f>+'Pro Forma IS'!EA16</f>
        <v>1275.083402633365</v>
      </c>
      <c r="EB364" s="355"/>
      <c r="EC364" s="354">
        <f>+'Pro Forma IS'!EC16</f>
        <v>323.89119888072105</v>
      </c>
      <c r="ED364" s="355">
        <f>+'Pro Forma IS'!ED16</f>
        <v>330.56446037039331</v>
      </c>
      <c r="EE364" s="355">
        <f>+'Pro Forma IS'!EE16</f>
        <v>316.08776104536696</v>
      </c>
      <c r="EF364" s="355">
        <f>+'Pro Forma IS'!EF16</f>
        <v>336.5490850232764</v>
      </c>
      <c r="EG364" s="371">
        <f>+'Pro Forma IS'!EG16</f>
        <v>1307.0925053197577</v>
      </c>
    </row>
    <row r="365" spans="1:137" ht="11.25" customHeight="1" x14ac:dyDescent="0.2">
      <c r="A365" s="544" t="s">
        <v>46</v>
      </c>
      <c r="B365" s="539"/>
      <c r="C365" s="539"/>
      <c r="D365" s="539"/>
      <c r="E365" s="545"/>
      <c r="F365" s="541"/>
      <c r="G365" s="545"/>
      <c r="H365" s="541"/>
      <c r="I365" s="545"/>
      <c r="J365" s="541"/>
      <c r="K365" s="545"/>
      <c r="L365" s="541"/>
      <c r="M365" s="546"/>
      <c r="N365" s="547"/>
      <c r="O365" s="547"/>
      <c r="P365" s="547"/>
      <c r="Q365" s="545"/>
      <c r="R365" s="541"/>
      <c r="S365" s="546"/>
      <c r="T365" s="547"/>
      <c r="U365" s="547"/>
      <c r="V365" s="547"/>
      <c r="W365" s="545"/>
      <c r="X365" s="541"/>
      <c r="Y365" s="546"/>
      <c r="Z365" s="547"/>
      <c r="AA365" s="547"/>
      <c r="AB365" s="547"/>
      <c r="AC365" s="545"/>
      <c r="AD365" s="541"/>
      <c r="AE365" s="546"/>
      <c r="AF365" s="547"/>
      <c r="AG365" s="547"/>
      <c r="AH365" s="547"/>
      <c r="AI365" s="545"/>
      <c r="AJ365" s="541"/>
      <c r="AK365" s="546"/>
      <c r="AL365" s="547"/>
      <c r="AM365" s="547"/>
      <c r="AN365" s="547"/>
      <c r="AO365" s="545"/>
      <c r="AP365" s="541"/>
      <c r="AQ365" s="546"/>
      <c r="AR365" s="547"/>
      <c r="AS365" s="547"/>
      <c r="AT365" s="547"/>
      <c r="AU365" s="545"/>
      <c r="AV365" s="541"/>
      <c r="AW365" s="546"/>
      <c r="AX365" s="547"/>
      <c r="AY365" s="547"/>
      <c r="AZ365" s="547"/>
      <c r="BA365" s="545"/>
      <c r="BB365" s="541"/>
      <c r="BC365" s="546"/>
      <c r="BD365" s="547"/>
      <c r="BE365" s="547"/>
      <c r="BF365" s="547"/>
      <c r="BG365" s="545"/>
      <c r="BH365" s="541"/>
      <c r="BI365" s="546"/>
      <c r="BJ365" s="547"/>
      <c r="BK365" s="547"/>
      <c r="BL365" s="547"/>
      <c r="BM365" s="545"/>
      <c r="BN365" s="541"/>
      <c r="BO365" s="443">
        <v>0.06</v>
      </c>
      <c r="BP365" s="444">
        <f>+BO365</f>
        <v>0.06</v>
      </c>
      <c r="BQ365" s="444">
        <f>+BP365</f>
        <v>0.06</v>
      </c>
      <c r="BR365" s="444">
        <f>+BQ365</f>
        <v>0.06</v>
      </c>
      <c r="BS365" s="545">
        <f>+BS364/BS$343</f>
        <v>0.06</v>
      </c>
      <c r="BT365" s="541"/>
      <c r="BU365" s="443">
        <v>0.06</v>
      </c>
      <c r="BV365" s="444">
        <f>+BU365</f>
        <v>0.06</v>
      </c>
      <c r="BW365" s="444">
        <f>+BV365</f>
        <v>0.06</v>
      </c>
      <c r="BX365" s="444">
        <f>+BW365</f>
        <v>0.06</v>
      </c>
      <c r="BY365" s="545">
        <f>+BY364/BY$343</f>
        <v>5.9999999999999991E-2</v>
      </c>
      <c r="BZ365" s="541"/>
      <c r="CA365" s="443">
        <v>0.06</v>
      </c>
      <c r="CB365" s="444">
        <f>+CA365</f>
        <v>0.06</v>
      </c>
      <c r="CC365" s="444">
        <f>+CB365</f>
        <v>0.06</v>
      </c>
      <c r="CD365" s="444">
        <f>+CC365</f>
        <v>0.06</v>
      </c>
      <c r="CE365" s="545">
        <f>+CE364/CE$343</f>
        <v>6.0000000000000005E-2</v>
      </c>
      <c r="CF365" s="541"/>
      <c r="CG365" s="443">
        <f>+CK365</f>
        <v>5.8741671129903861E-2</v>
      </c>
      <c r="CH365" s="444">
        <f>+CG365</f>
        <v>5.8741671129903861E-2</v>
      </c>
      <c r="CI365" s="444">
        <f>+CH365</f>
        <v>5.8741671129903861E-2</v>
      </c>
      <c r="CJ365" s="444">
        <f>+CI365</f>
        <v>5.8741671129903861E-2</v>
      </c>
      <c r="CK365" s="545">
        <f>+CK364/CK$343</f>
        <v>5.8741671129903861E-2</v>
      </c>
      <c r="CL365" s="541"/>
      <c r="CM365" s="443">
        <f>+CQ365</f>
        <v>0.06</v>
      </c>
      <c r="CN365" s="444">
        <f>+CM365</f>
        <v>0.06</v>
      </c>
      <c r="CO365" s="444">
        <f>+CN365</f>
        <v>0.06</v>
      </c>
      <c r="CP365" s="444">
        <f>+CO365</f>
        <v>0.06</v>
      </c>
      <c r="CQ365" s="1047">
        <v>0.06</v>
      </c>
      <c r="CR365" s="541"/>
      <c r="CS365" s="546">
        <f>+CS364/CS$343</f>
        <v>6.3999749389136024E-2</v>
      </c>
      <c r="CT365" s="547">
        <f>+CT364/CT$343</f>
        <v>6.1298182778968383E-2</v>
      </c>
      <c r="CU365" s="547">
        <f>+CU364/CU$343</f>
        <v>6.041797164170605E-2</v>
      </c>
      <c r="CV365" s="547">
        <f>+CV364/CV$343</f>
        <v>5.4614850798056891E-2</v>
      </c>
      <c r="CW365" s="545">
        <f>+CW364/CW$343</f>
        <v>5.9679777188108379E-2</v>
      </c>
      <c r="CX365" s="541"/>
      <c r="CY365" s="546">
        <f>+CY364/CY$343</f>
        <v>5.7618307382584534E-2</v>
      </c>
      <c r="CZ365" s="547">
        <f>+CZ364/CZ$343</f>
        <v>5.6554845705933665E-2</v>
      </c>
      <c r="DA365" s="547">
        <f>+DA364/DA$343</f>
        <v>5.8348055468163879E-2</v>
      </c>
      <c r="DB365" s="547">
        <f>+DB364/DB$343</f>
        <v>5.8460397443448289E-2</v>
      </c>
      <c r="DC365" s="545">
        <f>+DC364/DC$343</f>
        <v>5.7758375586409512E-2</v>
      </c>
      <c r="DD365" s="541"/>
      <c r="DE365" s="546">
        <f>+DE364/DE$343</f>
        <v>6.3580379009439567E-2</v>
      </c>
      <c r="DF365" s="547">
        <f>+DF364/DF$343</f>
        <v>6.281457173898583E-2</v>
      </c>
      <c r="DG365" s="547">
        <f>+DG364/DG$343</f>
        <v>6.1658053972881058E-2</v>
      </c>
      <c r="DH365" s="547">
        <f>+DH364/DH$343</f>
        <v>5.8772637001789321E-2</v>
      </c>
      <c r="DI365" s="545">
        <f>+DI364/DI$343</f>
        <v>6.1583113744360256E-2</v>
      </c>
      <c r="DJ365" s="15"/>
      <c r="DK365" s="546">
        <f>+DK364/DK$343</f>
        <v>6.3615453422498622E-2</v>
      </c>
      <c r="DL365" s="883">
        <f t="shared" ref="DL365:DN365" si="739">DF365-0.1%</f>
        <v>6.181457173898583E-2</v>
      </c>
      <c r="DM365" s="883">
        <f t="shared" si="739"/>
        <v>6.0658053972881057E-2</v>
      </c>
      <c r="DN365" s="883">
        <f t="shared" si="739"/>
        <v>5.777263700178932E-2</v>
      </c>
      <c r="DO365" s="545">
        <f>+DO364/DO$343</f>
        <v>6.0853703854285672E-2</v>
      </c>
      <c r="DP365" s="15"/>
      <c r="DQ365" s="882">
        <f t="shared" ref="DQ365" si="740">DK365-0.1%</f>
        <v>6.2615453422498621E-2</v>
      </c>
      <c r="DR365" s="883">
        <f t="shared" ref="DR365" si="741">DL365-0.1%</f>
        <v>6.0814571738985829E-2</v>
      </c>
      <c r="DS365" s="883">
        <f t="shared" ref="DS365" si="742">DM365-0.1%</f>
        <v>5.9658053972881056E-2</v>
      </c>
      <c r="DT365" s="883">
        <f t="shared" ref="DT365" si="743">DN365-0.1%</f>
        <v>5.6772637001789319E-2</v>
      </c>
      <c r="DU365" s="545">
        <f t="shared" ref="DU365" si="744">+DU364/DU$343</f>
        <v>5.9860418041036326E-2</v>
      </c>
      <c r="DV365" s="15"/>
      <c r="DW365" s="882">
        <f t="shared" ref="DW365" si="745">DQ365-0.1%</f>
        <v>6.161545342249862E-2</v>
      </c>
      <c r="DX365" s="883">
        <f t="shared" ref="DX365" si="746">DR365-0.1%</f>
        <v>5.9814571738985828E-2</v>
      </c>
      <c r="DY365" s="883">
        <f t="shared" ref="DY365" si="747">DS365-0.1%</f>
        <v>5.8658053972881055E-2</v>
      </c>
      <c r="DZ365" s="883">
        <f t="shared" ref="DZ365" si="748">DT365-0.1%</f>
        <v>5.5772637001789319E-2</v>
      </c>
      <c r="EA365" s="545">
        <f t="shared" ref="EA365" si="749">+EA364/EA$343</f>
        <v>5.8860457834762174E-2</v>
      </c>
      <c r="EB365" s="15"/>
      <c r="EC365" s="882">
        <f t="shared" ref="EC365" si="750">DW365-0.1%</f>
        <v>6.0615453422498619E-2</v>
      </c>
      <c r="ED365" s="883">
        <f t="shared" ref="ED365" si="751">DX365-0.1%</f>
        <v>5.8814571738985827E-2</v>
      </c>
      <c r="EE365" s="883">
        <f t="shared" ref="EE365" si="752">DY365-0.1%</f>
        <v>5.7658053972881054E-2</v>
      </c>
      <c r="EF365" s="883">
        <f t="shared" ref="EF365" si="753">DZ365-0.1%</f>
        <v>5.4772637001789318E-2</v>
      </c>
      <c r="EG365" s="545">
        <f t="shared" ref="EG365" si="754">+EG364/EG$343</f>
        <v>5.7860497363998065E-2</v>
      </c>
    </row>
    <row r="366" spans="1:137" ht="11.25" customHeight="1" x14ac:dyDescent="0.2">
      <c r="A366" s="894"/>
      <c r="B366" s="539"/>
      <c r="C366" s="539"/>
      <c r="D366" s="539"/>
      <c r="E366" s="543"/>
      <c r="F366" s="541"/>
      <c r="G366" s="543"/>
      <c r="H366" s="541"/>
      <c r="I366" s="543"/>
      <c r="J366" s="541"/>
      <c r="K366" s="543"/>
      <c r="L366" s="541"/>
      <c r="M366" s="543"/>
      <c r="N366" s="543"/>
      <c r="O366" s="543"/>
      <c r="P366" s="543"/>
      <c r="Q366" s="543"/>
      <c r="R366" s="541"/>
      <c r="S366" s="543"/>
      <c r="T366" s="543"/>
      <c r="U366" s="543"/>
      <c r="V366" s="543"/>
      <c r="W366" s="543"/>
      <c r="X366" s="541"/>
      <c r="Y366" s="543"/>
      <c r="Z366" s="543"/>
      <c r="AA366" s="543"/>
      <c r="AB366" s="543"/>
      <c r="AC366" s="543"/>
      <c r="AD366" s="541"/>
      <c r="AE366" s="543"/>
      <c r="AF366" s="543"/>
      <c r="AG366" s="543"/>
      <c r="AH366" s="543"/>
      <c r="AI366" s="543"/>
      <c r="AJ366" s="541"/>
      <c r="AK366" s="543"/>
      <c r="AL366" s="543"/>
      <c r="AM366" s="543"/>
      <c r="AN366" s="543"/>
      <c r="AO366" s="543"/>
      <c r="AP366" s="541"/>
      <c r="AQ366" s="543"/>
      <c r="AR366" s="543"/>
      <c r="AS366" s="543"/>
      <c r="AT366" s="543"/>
      <c r="AU366" s="543"/>
      <c r="AV366" s="541"/>
      <c r="AW366" s="543"/>
      <c r="AX366" s="543"/>
      <c r="AY366" s="543"/>
      <c r="AZ366" s="543"/>
      <c r="BA366" s="543"/>
      <c r="BB366" s="541"/>
      <c r="BC366" s="543"/>
      <c r="BD366" s="543"/>
      <c r="BE366" s="543"/>
      <c r="BF366" s="543"/>
      <c r="BG366" s="543"/>
      <c r="BH366" s="541"/>
      <c r="BI366" s="543"/>
      <c r="BJ366" s="543"/>
      <c r="BK366" s="543"/>
      <c r="BL366" s="543"/>
      <c r="BM366" s="543"/>
      <c r="BN366" s="541"/>
      <c r="BO366" s="347"/>
      <c r="BP366" s="347"/>
      <c r="BQ366" s="347"/>
      <c r="BR366" s="347"/>
      <c r="BS366" s="543"/>
      <c r="BT366" s="541"/>
      <c r="BU366" s="347"/>
      <c r="BV366" s="347"/>
      <c r="BW366" s="347"/>
      <c r="BX366" s="347"/>
      <c r="BY366" s="543"/>
      <c r="BZ366" s="541"/>
      <c r="CA366" s="347"/>
      <c r="CB366" s="347"/>
      <c r="CC366" s="347"/>
      <c r="CD366" s="347"/>
      <c r="CE366" s="543"/>
      <c r="CF366" s="541"/>
      <c r="CG366" s="347"/>
      <c r="CH366" s="347"/>
      <c r="CI366" s="347"/>
      <c r="CJ366" s="347"/>
      <c r="CK366" s="543"/>
      <c r="CL366" s="541"/>
      <c r="CM366" s="347"/>
      <c r="CN366" s="347"/>
      <c r="CO366" s="347"/>
      <c r="CP366" s="347"/>
      <c r="CQ366" s="543"/>
      <c r="CR366" s="541"/>
      <c r="CS366" s="543"/>
      <c r="CT366" s="543"/>
      <c r="CU366" s="543"/>
      <c r="CV366" s="543"/>
      <c r="CW366" s="543"/>
      <c r="CX366" s="541"/>
      <c r="CY366" s="543"/>
      <c r="CZ366" s="543"/>
      <c r="DA366" s="543"/>
      <c r="DB366" s="543"/>
      <c r="DC366" s="543"/>
      <c r="DD366" s="541"/>
      <c r="DE366" s="396"/>
      <c r="DF366" s="396"/>
      <c r="DG366" s="543"/>
      <c r="DH366" s="396"/>
      <c r="DI366" s="543"/>
      <c r="DJ366" s="15"/>
      <c r="DK366" s="396"/>
      <c r="DL366" s="396"/>
      <c r="DM366" s="396"/>
      <c r="DN366" s="396"/>
      <c r="DO366" s="543"/>
      <c r="DP366" s="15"/>
      <c r="DQ366" s="396"/>
      <c r="DR366" s="396"/>
      <c r="DS366" s="396"/>
      <c r="DT366" s="396"/>
      <c r="DU366" s="543"/>
      <c r="DV366" s="15"/>
      <c r="DW366" s="396"/>
      <c r="DX366" s="396"/>
      <c r="DY366" s="396"/>
      <c r="DZ366" s="396"/>
      <c r="EA366" s="543"/>
      <c r="EB366" s="15"/>
      <c r="EC366" s="396"/>
      <c r="ED366" s="396"/>
      <c r="EE366" s="396"/>
      <c r="EF366" s="396"/>
      <c r="EG366" s="543"/>
    </row>
    <row r="367" spans="1:137" ht="11.25" customHeight="1" x14ac:dyDescent="0.2">
      <c r="A367" s="106" t="s">
        <v>642</v>
      </c>
      <c r="B367" s="74"/>
      <c r="C367" s="74"/>
      <c r="D367" s="74"/>
      <c r="E367" s="107"/>
      <c r="F367" s="75"/>
      <c r="G367" s="107"/>
      <c r="H367" s="75"/>
      <c r="I367" s="107"/>
      <c r="J367" s="75"/>
      <c r="K367" s="107"/>
      <c r="L367" s="75"/>
      <c r="M367" s="109"/>
      <c r="N367" s="110"/>
      <c r="O367" s="110"/>
      <c r="P367" s="110"/>
      <c r="Q367" s="107"/>
      <c r="R367" s="75"/>
      <c r="S367" s="109"/>
      <c r="T367" s="110"/>
      <c r="U367" s="110"/>
      <c r="V367" s="110"/>
      <c r="W367" s="107"/>
      <c r="X367" s="75"/>
      <c r="Y367" s="109"/>
      <c r="Z367" s="110"/>
      <c r="AA367" s="110"/>
      <c r="AB367" s="110"/>
      <c r="AC367" s="107"/>
      <c r="AD367" s="75"/>
      <c r="AE367" s="109"/>
      <c r="AF367" s="110"/>
      <c r="AG367" s="110"/>
      <c r="AH367" s="110"/>
      <c r="AI367" s="107"/>
      <c r="AJ367" s="75"/>
      <c r="AK367" s="109"/>
      <c r="AL367" s="110"/>
      <c r="AM367" s="110"/>
      <c r="AN367" s="110"/>
      <c r="AO367" s="107"/>
      <c r="AP367" s="75"/>
      <c r="AQ367" s="109"/>
      <c r="AR367" s="110"/>
      <c r="AS367" s="110"/>
      <c r="AT367" s="110"/>
      <c r="AU367" s="107"/>
      <c r="AV367" s="75"/>
      <c r="AW367" s="109"/>
      <c r="AX367" s="110"/>
      <c r="AY367" s="110"/>
      <c r="AZ367" s="110"/>
      <c r="BA367" s="107"/>
      <c r="BB367" s="75"/>
      <c r="BC367" s="109"/>
      <c r="BD367" s="110"/>
      <c r="BE367" s="110"/>
      <c r="BF367" s="110"/>
      <c r="BG367" s="107"/>
      <c r="BH367" s="75"/>
      <c r="BI367" s="109"/>
      <c r="BJ367" s="110"/>
      <c r="BK367" s="110"/>
      <c r="BL367" s="110"/>
      <c r="BM367" s="107"/>
      <c r="BN367" s="75"/>
      <c r="BO367" s="109"/>
      <c r="BP367" s="110"/>
      <c r="BQ367" s="110"/>
      <c r="BR367" s="110"/>
      <c r="BS367" s="107"/>
      <c r="BT367" s="75"/>
      <c r="BU367" s="109"/>
      <c r="BV367" s="110"/>
      <c r="BW367" s="110"/>
      <c r="BX367" s="110"/>
      <c r="BY367" s="107"/>
      <c r="BZ367" s="75"/>
      <c r="CA367" s="109"/>
      <c r="CB367" s="110"/>
      <c r="CC367" s="110"/>
      <c r="CD367" s="110"/>
      <c r="CE367" s="107"/>
      <c r="CF367" s="75"/>
      <c r="CG367" s="109"/>
      <c r="CH367" s="110"/>
      <c r="CI367" s="110"/>
      <c r="CJ367" s="110"/>
      <c r="CK367" s="107"/>
      <c r="CL367" s="75"/>
      <c r="CM367" s="109"/>
      <c r="CN367" s="110"/>
      <c r="CO367" s="110"/>
      <c r="CP367" s="110"/>
      <c r="CQ367" s="107"/>
      <c r="CR367" s="75"/>
      <c r="CS367" s="109"/>
      <c r="CT367" s="110"/>
      <c r="CU367" s="110"/>
      <c r="CV367" s="110"/>
      <c r="CW367" s="107"/>
      <c r="CX367" s="75"/>
      <c r="CY367" s="109"/>
      <c r="CZ367" s="110"/>
      <c r="DA367" s="110"/>
      <c r="DB367" s="110"/>
      <c r="DC367" s="107"/>
      <c r="DD367" s="75"/>
      <c r="DE367" s="109"/>
      <c r="DF367" s="110"/>
      <c r="DG367" s="110"/>
      <c r="DH367" s="110"/>
      <c r="DI367" s="107"/>
      <c r="DJ367" s="75"/>
      <c r="DK367" s="109"/>
      <c r="DL367" s="110"/>
      <c r="DM367" s="110"/>
      <c r="DN367" s="110"/>
      <c r="DO367" s="107"/>
      <c r="DP367" s="75"/>
      <c r="DQ367" s="109"/>
      <c r="DR367" s="110"/>
      <c r="DS367" s="110"/>
      <c r="DT367" s="110"/>
      <c r="DU367" s="107"/>
      <c r="DV367" s="75"/>
      <c r="DW367" s="109"/>
      <c r="DX367" s="110"/>
      <c r="DY367" s="110"/>
      <c r="DZ367" s="110"/>
      <c r="EA367" s="107"/>
      <c r="EB367" s="75"/>
      <c r="EC367" s="109"/>
      <c r="ED367" s="110"/>
      <c r="EE367" s="110"/>
      <c r="EF367" s="110"/>
      <c r="EG367" s="107"/>
    </row>
    <row r="368" spans="1:137" s="384" customFormat="1" ht="11.25" customHeight="1" x14ac:dyDescent="0.2">
      <c r="A368" s="129" t="s">
        <v>568</v>
      </c>
      <c r="B368" s="343"/>
      <c r="C368" s="343"/>
      <c r="D368" s="343"/>
      <c r="E368" s="408"/>
      <c r="F368" s="344"/>
      <c r="G368" s="408"/>
      <c r="H368" s="344"/>
      <c r="I368" s="408"/>
      <c r="J368" s="344"/>
      <c r="K368" s="408"/>
      <c r="L368" s="344"/>
      <c r="M368" s="406"/>
      <c r="N368" s="407"/>
      <c r="O368" s="407"/>
      <c r="P368" s="407"/>
      <c r="Q368" s="408"/>
      <c r="R368" s="344"/>
      <c r="S368" s="406"/>
      <c r="T368" s="407"/>
      <c r="U368" s="407"/>
      <c r="V368" s="407"/>
      <c r="W368" s="408"/>
      <c r="X368" s="344"/>
      <c r="Y368" s="406"/>
      <c r="Z368" s="407"/>
      <c r="AA368" s="407"/>
      <c r="AB368" s="407"/>
      <c r="AC368" s="408"/>
      <c r="AD368" s="344"/>
      <c r="AE368" s="406"/>
      <c r="AF368" s="407"/>
      <c r="AG368" s="407"/>
      <c r="AH368" s="407"/>
      <c r="AI368" s="408"/>
      <c r="AJ368" s="344"/>
      <c r="AK368" s="406"/>
      <c r="AL368" s="407"/>
      <c r="AM368" s="407"/>
      <c r="AN368" s="407"/>
      <c r="AO368" s="408"/>
      <c r="AP368" s="344"/>
      <c r="AQ368" s="406"/>
      <c r="AR368" s="407"/>
      <c r="AS368" s="407"/>
      <c r="AT368" s="407"/>
      <c r="AU368" s="408"/>
      <c r="AV368" s="344"/>
      <c r="AW368" s="406"/>
      <c r="AX368" s="407"/>
      <c r="AY368" s="407"/>
      <c r="AZ368" s="407"/>
      <c r="BA368" s="408"/>
      <c r="BB368" s="344"/>
      <c r="BC368" s="406"/>
      <c r="BD368" s="407"/>
      <c r="BE368" s="407"/>
      <c r="BF368" s="407"/>
      <c r="BG368" s="408"/>
      <c r="BH368" s="344"/>
      <c r="BI368" s="400"/>
      <c r="BJ368" s="401"/>
      <c r="BK368" s="401"/>
      <c r="BL368" s="401"/>
      <c r="BM368" s="404"/>
      <c r="BN368" s="344"/>
      <c r="BO368" s="400">
        <f t="shared" ref="BO368:BS369" si="755">+BO359</f>
        <v>160.37148729877168</v>
      </c>
      <c r="BP368" s="401">
        <f t="shared" si="755"/>
        <v>194.09715259738596</v>
      </c>
      <c r="BQ368" s="401">
        <f t="shared" si="755"/>
        <v>241.9757949645859</v>
      </c>
      <c r="BR368" s="401">
        <f t="shared" si="755"/>
        <v>274.63681440359341</v>
      </c>
      <c r="BS368" s="404">
        <f t="shared" si="755"/>
        <v>871.08124926433698</v>
      </c>
      <c r="BT368" s="344"/>
      <c r="BU368" s="400">
        <f t="shared" ref="BU368:BY369" si="756">+BU359</f>
        <v>266.46199399919368</v>
      </c>
      <c r="BV368" s="401">
        <f t="shared" si="756"/>
        <v>233.28761236149532</v>
      </c>
      <c r="BW368" s="401">
        <f t="shared" si="756"/>
        <v>264.93315203733187</v>
      </c>
      <c r="BX368" s="401">
        <f t="shared" si="756"/>
        <v>422.31740743276873</v>
      </c>
      <c r="BY368" s="404">
        <f t="shared" si="756"/>
        <v>1187.0001658307899</v>
      </c>
      <c r="BZ368" s="344"/>
      <c r="CA368" s="400">
        <f t="shared" ref="CA368:CE369" si="757">+CA359</f>
        <v>380.43400746836932</v>
      </c>
      <c r="CB368" s="401">
        <f t="shared" si="757"/>
        <v>426.33626218529963</v>
      </c>
      <c r="CC368" s="401">
        <f t="shared" si="757"/>
        <v>410.17017779863568</v>
      </c>
      <c r="CD368" s="401">
        <f t="shared" si="757"/>
        <v>537.35560171264729</v>
      </c>
      <c r="CE368" s="404">
        <f t="shared" si="757"/>
        <v>1754.2960491649519</v>
      </c>
      <c r="CF368" s="344"/>
      <c r="CG368" s="400">
        <f t="shared" ref="CG368:CK369" si="758">+CG359</f>
        <v>387.35278895526562</v>
      </c>
      <c r="CH368" s="401">
        <f t="shared" si="758"/>
        <v>482.01569040948107</v>
      </c>
      <c r="CI368" s="401">
        <f t="shared" si="758"/>
        <v>483.31618353655983</v>
      </c>
      <c r="CJ368" s="401">
        <f t="shared" si="758"/>
        <v>577.21533709869311</v>
      </c>
      <c r="CK368" s="404">
        <f t="shared" si="758"/>
        <v>1929.8999999999996</v>
      </c>
      <c r="CL368" s="344"/>
      <c r="CM368" s="400">
        <f t="shared" ref="CM368:CQ369" si="759">+CM359</f>
        <v>427.68797700682632</v>
      </c>
      <c r="CN368" s="401">
        <f t="shared" si="759"/>
        <v>520.77950914982989</v>
      </c>
      <c r="CO368" s="401">
        <f t="shared" si="759"/>
        <v>529.75857259379097</v>
      </c>
      <c r="CP368" s="401">
        <f t="shared" si="759"/>
        <v>566.77394124955276</v>
      </c>
      <c r="CQ368" s="404">
        <f t="shared" si="759"/>
        <v>2044.9999999999998</v>
      </c>
      <c r="CR368" s="344"/>
      <c r="CS368" s="400">
        <f t="shared" ref="CS368:CW369" si="760">+CS359</f>
        <v>447.70000000000005</v>
      </c>
      <c r="CT368" s="401">
        <f t="shared" si="760"/>
        <v>582.90000000000009</v>
      </c>
      <c r="CU368" s="401">
        <f t="shared" si="760"/>
        <v>479.99999999999977</v>
      </c>
      <c r="CV368" s="401">
        <f t="shared" si="760"/>
        <v>651.59999999999991</v>
      </c>
      <c r="CW368" s="404">
        <f t="shared" si="760"/>
        <v>2162.2000000000007</v>
      </c>
      <c r="CX368" s="344"/>
      <c r="CY368" s="400">
        <f t="shared" ref="CY368:DC369" si="761">+CY359</f>
        <v>613.10000000000036</v>
      </c>
      <c r="CZ368" s="401">
        <f t="shared" si="761"/>
        <v>710.09999999999968</v>
      </c>
      <c r="DA368" s="401">
        <f t="shared" si="761"/>
        <v>699.10000000000059</v>
      </c>
      <c r="DB368" s="401">
        <f t="shared" si="761"/>
        <v>728.59999999999991</v>
      </c>
      <c r="DC368" s="404">
        <f t="shared" si="761"/>
        <v>2750.9000000000015</v>
      </c>
      <c r="DD368" s="344"/>
      <c r="DE368" s="400">
        <f t="shared" ref="DE368:DI369" si="762">+DE359</f>
        <v>616.99999999999955</v>
      </c>
      <c r="DF368" s="401">
        <f t="shared" si="762"/>
        <v>675.7</v>
      </c>
      <c r="DG368" s="401">
        <f t="shared" si="762"/>
        <v>760.49999999999977</v>
      </c>
      <c r="DH368" s="401">
        <f t="shared" si="762"/>
        <v>938.09999999999991</v>
      </c>
      <c r="DI368" s="404">
        <f t="shared" si="762"/>
        <v>3067.3</v>
      </c>
      <c r="DJ368" s="344"/>
      <c r="DK368" s="400">
        <f t="shared" ref="DK368:DO369" si="763">+DK359</f>
        <v>742.99999999999932</v>
      </c>
      <c r="DL368" s="401">
        <f t="shared" si="763"/>
        <v>846.67385112525926</v>
      </c>
      <c r="DM368" s="401">
        <f t="shared" si="763"/>
        <v>838.35817036357366</v>
      </c>
      <c r="DN368" s="401">
        <f t="shared" si="763"/>
        <v>1083.699182697</v>
      </c>
      <c r="DO368" s="404">
        <f t="shared" si="763"/>
        <v>3511.7312041858322</v>
      </c>
      <c r="DP368" s="344"/>
      <c r="DQ368" s="400">
        <f t="shared" ref="DQ368:DU369" si="764">+DQ359</f>
        <v>831.01285591470992</v>
      </c>
      <c r="DR368" s="401">
        <f t="shared" si="764"/>
        <v>936.69450175582881</v>
      </c>
      <c r="DS368" s="401">
        <f t="shared" si="764"/>
        <v>912.44778798650054</v>
      </c>
      <c r="DT368" s="401">
        <f t="shared" si="764"/>
        <v>1164.2544783239418</v>
      </c>
      <c r="DU368" s="404">
        <f t="shared" si="764"/>
        <v>3844.4096239809815</v>
      </c>
      <c r="DV368" s="344"/>
      <c r="DW368" s="400">
        <f t="shared" ref="DW368:EA368" si="765">+DW359</f>
        <v>915.13431627624288</v>
      </c>
      <c r="DX368" s="401">
        <f t="shared" si="765"/>
        <v>1024.0005010559764</v>
      </c>
      <c r="DY368" s="401">
        <f t="shared" si="765"/>
        <v>998.13822701194158</v>
      </c>
      <c r="DZ368" s="401">
        <f t="shared" si="765"/>
        <v>1258.0119481572931</v>
      </c>
      <c r="EA368" s="404">
        <f t="shared" si="765"/>
        <v>4195.2849925014534</v>
      </c>
      <c r="EB368" s="344"/>
      <c r="EC368" s="400">
        <f t="shared" ref="EC368:EG368" si="766">+EC359</f>
        <v>997.17471445038109</v>
      </c>
      <c r="ED368" s="401">
        <f t="shared" si="766"/>
        <v>1109.4064849579897</v>
      </c>
      <c r="EE368" s="401">
        <f t="shared" si="766"/>
        <v>1081.7769862924092</v>
      </c>
      <c r="EF368" s="401">
        <f t="shared" si="766"/>
        <v>1344.0020318694014</v>
      </c>
      <c r="EG368" s="404">
        <f t="shared" si="766"/>
        <v>4532.3602175701817</v>
      </c>
    </row>
    <row r="369" spans="1:137" ht="11.25" customHeight="1" x14ac:dyDescent="0.2">
      <c r="A369" s="914" t="s">
        <v>536</v>
      </c>
      <c r="B369" s="14"/>
      <c r="C369" s="14"/>
      <c r="D369" s="14"/>
      <c r="E369" s="92"/>
      <c r="F369" s="71"/>
      <c r="G369" s="92"/>
      <c r="H369" s="71"/>
      <c r="I369" s="92"/>
      <c r="J369" s="71"/>
      <c r="K369" s="92"/>
      <c r="L369" s="71"/>
      <c r="M369" s="84"/>
      <c r="N369" s="71"/>
      <c r="O369" s="71"/>
      <c r="P369" s="71"/>
      <c r="Q369" s="92"/>
      <c r="R369" s="71"/>
      <c r="S369" s="84"/>
      <c r="T369" s="71"/>
      <c r="U369" s="71"/>
      <c r="V369" s="71"/>
      <c r="W369" s="92"/>
      <c r="X369" s="71"/>
      <c r="Y369" s="84"/>
      <c r="Z369" s="71"/>
      <c r="AA369" s="71"/>
      <c r="AB369" s="71"/>
      <c r="AC369" s="92"/>
      <c r="AD369" s="71"/>
      <c r="AE369" s="84"/>
      <c r="AF369" s="71"/>
      <c r="AG369" s="71"/>
      <c r="AH369" s="71"/>
      <c r="AI369" s="92"/>
      <c r="AJ369" s="71"/>
      <c r="AK369" s="84"/>
      <c r="AL369" s="71"/>
      <c r="AM369" s="71"/>
      <c r="AN369" s="71"/>
      <c r="AO369" s="92"/>
      <c r="AP369" s="71"/>
      <c r="AQ369" s="84"/>
      <c r="AR369" s="71"/>
      <c r="AS369" s="71"/>
      <c r="AT369" s="71"/>
      <c r="AU369" s="92"/>
      <c r="AV369" s="71"/>
      <c r="AW369" s="84"/>
      <c r="AX369" s="71"/>
      <c r="AY369" s="71"/>
      <c r="AZ369" s="71"/>
      <c r="BA369" s="92"/>
      <c r="BB369" s="71"/>
      <c r="BC369" s="84"/>
      <c r="BD369" s="71"/>
      <c r="BE369" s="71"/>
      <c r="BF369" s="71"/>
      <c r="BG369" s="92"/>
      <c r="BH369" s="71"/>
      <c r="BI369" s="82"/>
      <c r="BJ369" s="67"/>
      <c r="BK369" s="67"/>
      <c r="BL369" s="67"/>
      <c r="BM369" s="93"/>
      <c r="BN369" s="71"/>
      <c r="BO369" s="821">
        <f t="shared" si="755"/>
        <v>0.10919626029185638</v>
      </c>
      <c r="BP369" s="822">
        <f t="shared" si="755"/>
        <v>0.12539475963744187</v>
      </c>
      <c r="BQ369" s="822">
        <f t="shared" si="755"/>
        <v>0.1527582197893923</v>
      </c>
      <c r="BR369" s="822">
        <f t="shared" si="755"/>
        <v>0.14980784114211834</v>
      </c>
      <c r="BS369" s="810">
        <f t="shared" si="755"/>
        <v>0.13539040997437687</v>
      </c>
      <c r="BT369" s="71"/>
      <c r="BU369" s="821">
        <f t="shared" si="756"/>
        <v>0.15301882016120838</v>
      </c>
      <c r="BV369" s="822">
        <f t="shared" si="756"/>
        <v>0.12191276267734004</v>
      </c>
      <c r="BW369" s="822">
        <f t="shared" si="756"/>
        <v>9.5602393446708067E-2</v>
      </c>
      <c r="BX369" s="822">
        <f t="shared" si="756"/>
        <v>0.13905384953372918</v>
      </c>
      <c r="BY369" s="810">
        <f t="shared" si="756"/>
        <v>0.12543320372211597</v>
      </c>
      <c r="BZ369" s="71"/>
      <c r="CA369" s="821">
        <f t="shared" si="757"/>
        <v>0.1388807594533126</v>
      </c>
      <c r="CB369" s="822">
        <f t="shared" si="757"/>
        <v>0.14807147419354097</v>
      </c>
      <c r="CC369" s="822">
        <f t="shared" si="757"/>
        <v>0.14543159326206725</v>
      </c>
      <c r="CD369" s="822">
        <f t="shared" si="757"/>
        <v>0.1637340780942288</v>
      </c>
      <c r="CE369" s="810">
        <f t="shared" si="757"/>
        <v>0.14967387216800032</v>
      </c>
      <c r="CF369" s="71"/>
      <c r="CG369" s="821">
        <f t="shared" si="758"/>
        <v>0.13721497698692506</v>
      </c>
      <c r="CH369" s="822">
        <f t="shared" si="758"/>
        <v>0.15847222109164888</v>
      </c>
      <c r="CI369" s="822">
        <f t="shared" si="758"/>
        <v>0.15917342829442199</v>
      </c>
      <c r="CJ369" s="822">
        <f t="shared" si="758"/>
        <v>0.16683081560202251</v>
      </c>
      <c r="CK369" s="810">
        <f t="shared" si="758"/>
        <v>0.15612939142487459</v>
      </c>
      <c r="CL369" s="71"/>
      <c r="CM369" s="821">
        <f t="shared" si="759"/>
        <v>0.14447689196662095</v>
      </c>
      <c r="CN369" s="822">
        <f t="shared" si="759"/>
        <v>0.16366595047939109</v>
      </c>
      <c r="CO369" s="822">
        <f t="shared" si="759"/>
        <v>0.16761767061937072</v>
      </c>
      <c r="CP369" s="822">
        <f t="shared" si="759"/>
        <v>0.1590220617608564</v>
      </c>
      <c r="CQ369" s="810">
        <f t="shared" si="759"/>
        <v>0.15893547523104068</v>
      </c>
      <c r="CR369" s="71"/>
      <c r="CS369" s="821">
        <f t="shared" si="760"/>
        <v>0.14024810475534114</v>
      </c>
      <c r="CT369" s="822">
        <f t="shared" si="760"/>
        <v>0.17112409359128675</v>
      </c>
      <c r="CU369" s="822">
        <f t="shared" si="760"/>
        <v>0.13666647685211541</v>
      </c>
      <c r="CV369" s="822">
        <f t="shared" si="760"/>
        <v>0.15072866065232471</v>
      </c>
      <c r="CW369" s="810">
        <f t="shared" si="760"/>
        <v>0.14980219902034825</v>
      </c>
      <c r="CX369" s="71"/>
      <c r="CY369" s="821">
        <f t="shared" si="761"/>
        <v>0.15623964730766299</v>
      </c>
      <c r="CZ369" s="822">
        <f t="shared" si="761"/>
        <v>0.16740140031589612</v>
      </c>
      <c r="DA369" s="822">
        <f t="shared" si="761"/>
        <v>0.16918758016504937</v>
      </c>
      <c r="DB369" s="822">
        <f t="shared" si="761"/>
        <v>0.15893375215409111</v>
      </c>
      <c r="DC369" s="810">
        <f t="shared" si="761"/>
        <v>0.16294484196559739</v>
      </c>
      <c r="DD369" s="71"/>
      <c r="DE369" s="821">
        <f t="shared" si="762"/>
        <v>0.14670566136433877</v>
      </c>
      <c r="DF369" s="822">
        <f t="shared" si="762"/>
        <v>0.14981929447240638</v>
      </c>
      <c r="DG369" s="822">
        <f t="shared" si="762"/>
        <v>0.1679475288193984</v>
      </c>
      <c r="DH369" s="822">
        <f t="shared" si="762"/>
        <v>0.18445838331006542</v>
      </c>
      <c r="DI369" s="810">
        <f t="shared" si="762"/>
        <v>0.16734043655924538</v>
      </c>
      <c r="DJ369" s="71"/>
      <c r="DK369" s="821">
        <f t="shared" si="763"/>
        <v>0.15823997955445743</v>
      </c>
      <c r="DL369" s="822">
        <f t="shared" si="763"/>
        <v>0.1717324122993695</v>
      </c>
      <c r="DM369" s="822">
        <f t="shared" si="763"/>
        <v>0.17283729133372222</v>
      </c>
      <c r="DN369" s="822">
        <f t="shared" si="763"/>
        <v>0.1992716260209185</v>
      </c>
      <c r="DO369" s="810">
        <f t="shared" si="763"/>
        <v>0.17634079624595497</v>
      </c>
      <c r="DP369" s="71"/>
      <c r="DQ369" s="821">
        <f t="shared" si="764"/>
        <v>0.16912242761510993</v>
      </c>
      <c r="DR369" s="822">
        <f t="shared" si="764"/>
        <v>0.18123333347931447</v>
      </c>
      <c r="DS369" s="822">
        <f t="shared" si="764"/>
        <v>0.18100062545622461</v>
      </c>
      <c r="DT369" s="822">
        <f t="shared" si="764"/>
        <v>0.20603042611545061</v>
      </c>
      <c r="DU369" s="810">
        <f t="shared" si="764"/>
        <v>0.18505748085733292</v>
      </c>
      <c r="DV369" s="71"/>
      <c r="DW369" s="821">
        <f t="shared" ref="DW369:EA369" si="767">+DW360</f>
        <v>0.17860031477578703</v>
      </c>
      <c r="DX369" s="822">
        <f t="shared" si="767"/>
        <v>0.18999549682773464</v>
      </c>
      <c r="DY369" s="822">
        <f t="shared" si="767"/>
        <v>0.18987224608746037</v>
      </c>
      <c r="DZ369" s="822">
        <f t="shared" si="767"/>
        <v>0.21349748080836908</v>
      </c>
      <c r="EA369" s="810">
        <f t="shared" si="767"/>
        <v>0.19366293600556414</v>
      </c>
      <c r="EB369" s="71"/>
      <c r="EC369" s="821">
        <f t="shared" ref="EC369:EG369" si="768">+EC360</f>
        <v>0.18661883270289209</v>
      </c>
      <c r="ED369" s="822">
        <f t="shared" si="768"/>
        <v>0.19738742399635703</v>
      </c>
      <c r="EE369" s="822">
        <f t="shared" si="768"/>
        <v>0.19732860157567486</v>
      </c>
      <c r="EF369" s="822">
        <f t="shared" si="768"/>
        <v>0.21873342908110618</v>
      </c>
      <c r="EG369" s="810">
        <f t="shared" si="768"/>
        <v>0.20063202516585124</v>
      </c>
    </row>
    <row r="370" spans="1:137" ht="11.25" customHeight="1" x14ac:dyDescent="0.2">
      <c r="A370" s="907" t="s">
        <v>538</v>
      </c>
      <c r="B370" s="14"/>
      <c r="C370" s="14"/>
      <c r="D370" s="14"/>
      <c r="E370" s="371"/>
      <c r="F370" s="355"/>
      <c r="G370" s="371"/>
      <c r="H370" s="355"/>
      <c r="I370" s="371"/>
      <c r="J370" s="355"/>
      <c r="K370" s="371"/>
      <c r="L370" s="355"/>
      <c r="M370" s="354"/>
      <c r="N370" s="355"/>
      <c r="O370" s="355"/>
      <c r="P370" s="355"/>
      <c r="Q370" s="371"/>
      <c r="R370" s="355"/>
      <c r="S370" s="354"/>
      <c r="T370" s="355"/>
      <c r="U370" s="355"/>
      <c r="V370" s="355"/>
      <c r="W370" s="371"/>
      <c r="X370" s="355"/>
      <c r="Y370" s="354"/>
      <c r="Z370" s="355"/>
      <c r="AA370" s="355"/>
      <c r="AB370" s="355"/>
      <c r="AC370" s="371"/>
      <c r="AD370" s="355"/>
      <c r="AE370" s="354"/>
      <c r="AF370" s="355"/>
      <c r="AG370" s="355"/>
      <c r="AH370" s="355"/>
      <c r="AI370" s="371"/>
      <c r="AJ370" s="355"/>
      <c r="AK370" s="354"/>
      <c r="AL370" s="355"/>
      <c r="AM370" s="355"/>
      <c r="AN370" s="355"/>
      <c r="AO370" s="371"/>
      <c r="AP370" s="355"/>
      <c r="AQ370" s="354"/>
      <c r="AR370" s="355"/>
      <c r="AS370" s="355"/>
      <c r="AT370" s="355"/>
      <c r="AU370" s="371"/>
      <c r="AV370" s="355"/>
      <c r="AW370" s="354"/>
      <c r="AX370" s="355"/>
      <c r="AY370" s="355"/>
      <c r="AZ370" s="355"/>
      <c r="BA370" s="371"/>
      <c r="BB370" s="355"/>
      <c r="BC370" s="354"/>
      <c r="BD370" s="355"/>
      <c r="BE370" s="355"/>
      <c r="BF370" s="355"/>
      <c r="BG370" s="371"/>
      <c r="BH370" s="355"/>
      <c r="BI370" s="354"/>
      <c r="BJ370" s="355"/>
      <c r="BK370" s="355"/>
      <c r="BL370" s="355"/>
      <c r="BM370" s="371"/>
      <c r="BN370" s="355"/>
      <c r="BO370" s="354"/>
      <c r="BP370" s="355"/>
      <c r="BQ370" s="355"/>
      <c r="BR370" s="355"/>
      <c r="BS370" s="371"/>
      <c r="BT370" s="355"/>
      <c r="BU370" s="456">
        <f>+BU369-BO369</f>
        <v>4.3822559869352004E-2</v>
      </c>
      <c r="BV370" s="345">
        <f>+BV369-BP369</f>
        <v>-3.4819969601018325E-3</v>
      </c>
      <c r="BW370" s="345">
        <f>+BW369-BQ369</f>
        <v>-5.7155826342684235E-2</v>
      </c>
      <c r="BX370" s="345">
        <f>+BX369-BR369</f>
        <v>-1.0753991608389163E-2</v>
      </c>
      <c r="BY370" s="458">
        <f>+BY369-BS369</f>
        <v>-9.9572062522609028E-3</v>
      </c>
      <c r="BZ370" s="355"/>
      <c r="CA370" s="456">
        <f>+CA369-BU369</f>
        <v>-1.4138060707895778E-2</v>
      </c>
      <c r="CB370" s="345">
        <f>+CB369-BV369</f>
        <v>2.615871151620093E-2</v>
      </c>
      <c r="CC370" s="345">
        <f>+CC369-BW369</f>
        <v>4.9829199815359188E-2</v>
      </c>
      <c r="CD370" s="345">
        <f>+CD369-BX369</f>
        <v>2.4680228560499617E-2</v>
      </c>
      <c r="CE370" s="458">
        <f>+CE369-BY369</f>
        <v>2.424066844588435E-2</v>
      </c>
      <c r="CF370" s="355"/>
      <c r="CG370" s="456">
        <f>+CG369-CA369</f>
        <v>-1.6657824663875442E-3</v>
      </c>
      <c r="CH370" s="345">
        <f>+CH369-CB369</f>
        <v>1.040074689810791E-2</v>
      </c>
      <c r="CI370" s="345">
        <f>+CI369-CC369</f>
        <v>1.3741835032354738E-2</v>
      </c>
      <c r="CJ370" s="345">
        <f>+CJ369-CD369</f>
        <v>3.096737507793712E-3</v>
      </c>
      <c r="CK370" s="458">
        <f>+CK369-CE369</f>
        <v>6.4555192568742648E-3</v>
      </c>
      <c r="CL370" s="355"/>
      <c r="CM370" s="456">
        <f>+CM369-CG369</f>
        <v>7.2619149796958882E-3</v>
      </c>
      <c r="CN370" s="345">
        <f>+CN369-CH369</f>
        <v>5.1937293877422075E-3</v>
      </c>
      <c r="CO370" s="345">
        <f>+CO369-CI369</f>
        <v>8.4442423249487253E-3</v>
      </c>
      <c r="CP370" s="345">
        <f>+CP369-CJ369</f>
        <v>-7.8087538411661106E-3</v>
      </c>
      <c r="CQ370" s="458">
        <f>+CQ369-CK369</f>
        <v>2.8060838061660931E-3</v>
      </c>
      <c r="CR370" s="355"/>
      <c r="CS370" s="456">
        <f>+CS369-CM369</f>
        <v>-4.2287872112798108E-3</v>
      </c>
      <c r="CT370" s="345">
        <f>+CT369-CN369</f>
        <v>7.4581431118956598E-3</v>
      </c>
      <c r="CU370" s="345">
        <f>+CU369-CO369</f>
        <v>-3.0951193767255303E-2</v>
      </c>
      <c r="CV370" s="345">
        <f>+CV369-CP369</f>
        <v>-8.2934011085316894E-3</v>
      </c>
      <c r="CW370" s="458">
        <f>+CW369-CQ369</f>
        <v>-9.1332762106924315E-3</v>
      </c>
      <c r="CX370" s="355"/>
      <c r="CY370" s="456">
        <f>+CY369-CS369</f>
        <v>1.5991542552321852E-2</v>
      </c>
      <c r="CZ370" s="345">
        <f>+CZ369-CT369</f>
        <v>-3.7226932753906261E-3</v>
      </c>
      <c r="DA370" s="345">
        <f>+DA369-CU369</f>
        <v>3.2521103312933952E-2</v>
      </c>
      <c r="DB370" s="345">
        <f>+DB369-CV369</f>
        <v>8.2050915017664039E-3</v>
      </c>
      <c r="DC370" s="458">
        <f>+DC369-CW369</f>
        <v>1.3142642945249139E-2</v>
      </c>
      <c r="DD370" s="355"/>
      <c r="DE370" s="456">
        <f>+DE369-CY369</f>
        <v>-9.5339859433242191E-3</v>
      </c>
      <c r="DF370" s="345">
        <f>+DF369-CZ369</f>
        <v>-1.7582105843489737E-2</v>
      </c>
      <c r="DG370" s="345">
        <f>+DG369-DA369</f>
        <v>-1.2400513456509721E-3</v>
      </c>
      <c r="DH370" s="345">
        <f>+DH369-DB369</f>
        <v>2.5524631155974309E-2</v>
      </c>
      <c r="DI370" s="458">
        <f>+DI369-DC369</f>
        <v>4.3955945936479945E-3</v>
      </c>
      <c r="DJ370" s="355"/>
      <c r="DK370" s="456">
        <f>+DK369-DE369</f>
        <v>1.1534318190118659E-2</v>
      </c>
      <c r="DL370" s="345">
        <f>+DL369-DF369</f>
        <v>2.1913117826963119E-2</v>
      </c>
      <c r="DM370" s="345">
        <f>+DM369-DG369</f>
        <v>4.8897625143238255E-3</v>
      </c>
      <c r="DN370" s="345">
        <f>+DN369-DH369</f>
        <v>1.4813242710853075E-2</v>
      </c>
      <c r="DO370" s="458">
        <f>+DO369-DI369</f>
        <v>9.0003596867095914E-3</v>
      </c>
      <c r="DP370" s="355"/>
      <c r="DQ370" s="456">
        <f>+DQ369-DK369</f>
        <v>1.08824480606525E-2</v>
      </c>
      <c r="DR370" s="345">
        <f>+DR369-DL369</f>
        <v>9.5009211799449711E-3</v>
      </c>
      <c r="DS370" s="345">
        <f>+DS369-DM369</f>
        <v>8.1633341225023914E-3</v>
      </c>
      <c r="DT370" s="345">
        <f>+DT369-DN369</f>
        <v>6.7588000945321136E-3</v>
      </c>
      <c r="DU370" s="1327">
        <f>+DU369-DO369</f>
        <v>8.7166846113779506E-3</v>
      </c>
      <c r="DV370" s="355"/>
      <c r="DW370" s="456">
        <f>+DW369-DQ369</f>
        <v>9.4778871606771009E-3</v>
      </c>
      <c r="DX370" s="345">
        <f>+DX369-DR369</f>
        <v>8.7621633484201711E-3</v>
      </c>
      <c r="DY370" s="345">
        <f>+DY369-DS369</f>
        <v>8.8716206312357548E-3</v>
      </c>
      <c r="DZ370" s="345">
        <f>+DZ369-DT369</f>
        <v>7.4670546929184733E-3</v>
      </c>
      <c r="EA370" s="458">
        <f>+EA369-DU369</f>
        <v>8.6054551482312169E-3</v>
      </c>
      <c r="EB370" s="355"/>
      <c r="EC370" s="456">
        <f t="shared" ref="EC370:EG370" si="769">+EC369-DW369</f>
        <v>8.0185179271050622E-3</v>
      </c>
      <c r="ED370" s="345">
        <f t="shared" si="769"/>
        <v>7.3919271686223864E-3</v>
      </c>
      <c r="EE370" s="345">
        <f t="shared" si="769"/>
        <v>7.4563554882144945E-3</v>
      </c>
      <c r="EF370" s="345">
        <f t="shared" si="769"/>
        <v>5.235948272737101E-3</v>
      </c>
      <c r="EG370" s="458">
        <f t="shared" si="769"/>
        <v>6.9690891602871008E-3</v>
      </c>
    </row>
    <row r="371" spans="1:137" ht="11.25" customHeight="1" x14ac:dyDescent="0.2">
      <c r="A371" s="909" t="s">
        <v>565</v>
      </c>
      <c r="B371" s="14"/>
      <c r="C371" s="14"/>
      <c r="D371" s="14"/>
      <c r="E371" s="92"/>
      <c r="F371" s="71"/>
      <c r="G371" s="92"/>
      <c r="H371" s="71"/>
      <c r="I371" s="92"/>
      <c r="J371" s="71"/>
      <c r="K371" s="92"/>
      <c r="L371" s="71"/>
      <c r="M371" s="84"/>
      <c r="N371" s="71"/>
      <c r="O371" s="71"/>
      <c r="P371" s="71"/>
      <c r="Q371" s="92"/>
      <c r="R371" s="71"/>
      <c r="S371" s="84"/>
      <c r="T371" s="71"/>
      <c r="U371" s="71"/>
      <c r="V371" s="71"/>
      <c r="W371" s="92"/>
      <c r="X371" s="71"/>
      <c r="Y371" s="84"/>
      <c r="Z371" s="71"/>
      <c r="AA371" s="71"/>
      <c r="AB371" s="71"/>
      <c r="AC371" s="92"/>
      <c r="AD371" s="71"/>
      <c r="AE371" s="84"/>
      <c r="AF371" s="71"/>
      <c r="AG371" s="71"/>
      <c r="AH371" s="71"/>
      <c r="AI371" s="92"/>
      <c r="AJ371" s="71"/>
      <c r="AK371" s="84"/>
      <c r="AL371" s="71"/>
      <c r="AM371" s="71"/>
      <c r="AN371" s="71"/>
      <c r="AO371" s="92"/>
      <c r="AP371" s="71"/>
      <c r="AQ371" s="84"/>
      <c r="AR371" s="71"/>
      <c r="AS371" s="71"/>
      <c r="AT371" s="71"/>
      <c r="AU371" s="92"/>
      <c r="AV371" s="71"/>
      <c r="AW371" s="84"/>
      <c r="AX371" s="71"/>
      <c r="AY371" s="71"/>
      <c r="AZ371" s="71"/>
      <c r="BA371" s="92"/>
      <c r="BB371" s="71"/>
      <c r="BC371" s="84"/>
      <c r="BD371" s="71"/>
      <c r="BE371" s="71"/>
      <c r="BF371" s="71"/>
      <c r="BG371" s="92"/>
      <c r="BH371" s="71"/>
      <c r="BI371" s="82"/>
      <c r="BJ371" s="67"/>
      <c r="BK371" s="67"/>
      <c r="BL371" s="67"/>
      <c r="BM371" s="93"/>
      <c r="BN371" s="71"/>
      <c r="BO371" s="82"/>
      <c r="BP371" s="67"/>
      <c r="BQ371" s="67"/>
      <c r="BR371" s="67"/>
      <c r="BS371" s="93"/>
      <c r="BT371" s="71"/>
      <c r="BU371" s="111">
        <f>+BU391</f>
        <v>5.1849788879728216</v>
      </c>
      <c r="BV371" s="15">
        <f>+BV392</f>
        <v>1.2631431092233815E-2</v>
      </c>
      <c r="BW371" s="15">
        <f>+BW392</f>
        <v>9.127527744300817E-3</v>
      </c>
      <c r="BX371" s="15">
        <f>+BX392</f>
        <v>-4.1937839485998123E-4</v>
      </c>
      <c r="BY371" s="47">
        <f>+BY392</f>
        <v>5.9750063634334263E-3</v>
      </c>
      <c r="BZ371" s="71"/>
      <c r="CA371" s="111">
        <f>+CA392</f>
        <v>-1.6908859817421705E-3</v>
      </c>
      <c r="CB371" s="15">
        <f>+CB392</f>
        <v>-7.5782755666853338E-3</v>
      </c>
      <c r="CC371" s="15">
        <f>+CC392</f>
        <v>-6.5949062055586519E-3</v>
      </c>
      <c r="CD371" s="15">
        <f>+CD392</f>
        <v>-1.4510108576659202E-3</v>
      </c>
      <c r="CE371" s="47">
        <f>+CE392</f>
        <v>-4.4895563481423106E-3</v>
      </c>
      <c r="CF371" s="71"/>
      <c r="CG371" s="111">
        <f>+CG392</f>
        <v>-1.8897219060614976E-3</v>
      </c>
      <c r="CH371" s="15">
        <f>+CH392</f>
        <v>-9.1522457852443264E-4</v>
      </c>
      <c r="CI371" s="15">
        <f>+CI392</f>
        <v>-7.1919621977835834E-4</v>
      </c>
      <c r="CJ371" s="15">
        <f>+CJ392</f>
        <v>-1.5533140251068806E-3</v>
      </c>
      <c r="CK371" s="47">
        <f>+CK392</f>
        <v>-1.8309833750606397E-3</v>
      </c>
      <c r="CL371" s="71"/>
      <c r="CM371" s="111">
        <f>+CM392</f>
        <v>-4.8980676751341032E-4</v>
      </c>
      <c r="CN371" s="15">
        <f>+CN392</f>
        <v>1.1609334103353682E-3</v>
      </c>
      <c r="CO371" s="15">
        <f>+CO392</f>
        <v>-6.9169032306507644E-4</v>
      </c>
      <c r="CP371" s="15">
        <f>+CP392</f>
        <v>-7.9309571920892115E-3</v>
      </c>
      <c r="CQ371" s="47">
        <f>+CQ392</f>
        <v>-2.2138767415000177E-3</v>
      </c>
      <c r="CR371" s="71"/>
      <c r="CS371" s="111">
        <f>+CS392</f>
        <v>-7.3617070822165525E-3</v>
      </c>
      <c r="CT371" s="15">
        <f>+CT392</f>
        <v>-7.261892142189078E-3</v>
      </c>
      <c r="CU371" s="15">
        <f>+CU392</f>
        <v>-7.1371683071543689E-3</v>
      </c>
      <c r="CV371" s="15">
        <f>+CV392</f>
        <v>-5.5544155436683673E-3</v>
      </c>
      <c r="CW371" s="47">
        <f>+CW392</f>
        <v>-6.7030072811200018E-3</v>
      </c>
      <c r="CX371" s="71"/>
      <c r="CY371" s="111">
        <f>+CY392</f>
        <v>-3.2279697246379124E-3</v>
      </c>
      <c r="CZ371" s="15">
        <f>+CZ392</f>
        <v>-1.0425536819737688E-3</v>
      </c>
      <c r="DA371" s="15">
        <f>+DA392</f>
        <v>2.6412405104046278E-4</v>
      </c>
      <c r="DB371" s="15">
        <f>+DB392</f>
        <v>-2.1427755752445924E-3</v>
      </c>
      <c r="DC371" s="47">
        <f>+DC392</f>
        <v>-1.614584977182148E-3</v>
      </c>
      <c r="DD371" s="71"/>
      <c r="DE371" s="111">
        <f>+DE392</f>
        <v>-4.324223862710831E-3</v>
      </c>
      <c r="DF371" s="15">
        <f>+DF392</f>
        <v>-3.8847999330695474E-3</v>
      </c>
      <c r="DG371" s="15">
        <f>+DG392</f>
        <v>3.0093601150488463E-3</v>
      </c>
      <c r="DH371" s="15">
        <f>+DH392</f>
        <v>7.2331939797772183E-3</v>
      </c>
      <c r="DI371" s="47">
        <f>+DI392</f>
        <v>8.651652122196611E-4</v>
      </c>
      <c r="DJ371" s="71"/>
      <c r="DK371" s="111">
        <f>+DK392</f>
        <v>3.7861124331996332E-3</v>
      </c>
      <c r="DL371" s="15">
        <f>+DL392</f>
        <v>7.000000000000001E-3</v>
      </c>
      <c r="DM371" s="15">
        <f>+DM392</f>
        <v>2E-3</v>
      </c>
      <c r="DN371" s="15">
        <f>+DN392</f>
        <v>4.0000000000000001E-3</v>
      </c>
      <c r="DO371" s="47">
        <f>+DO392</f>
        <v>4.2050541251261071E-3</v>
      </c>
      <c r="DP371" s="71"/>
      <c r="DQ371" s="111">
        <f>+DQ392</f>
        <v>0</v>
      </c>
      <c r="DR371" s="15">
        <f>+DR392</f>
        <v>0</v>
      </c>
      <c r="DS371" s="15">
        <f>+DS392</f>
        <v>0</v>
      </c>
      <c r="DT371" s="15">
        <f>+DT392</f>
        <v>0</v>
      </c>
      <c r="DU371" s="47">
        <f>+DU392</f>
        <v>0</v>
      </c>
      <c r="DV371" s="71"/>
      <c r="DW371" s="111">
        <f>+DW392</f>
        <v>0</v>
      </c>
      <c r="DX371" s="15">
        <f>+DX392</f>
        <v>0</v>
      </c>
      <c r="DY371" s="15">
        <f>+DY392</f>
        <v>0</v>
      </c>
      <c r="DZ371" s="15">
        <f>+DZ392</f>
        <v>0</v>
      </c>
      <c r="EA371" s="47">
        <f>+EA392</f>
        <v>0</v>
      </c>
      <c r="EB371" s="71"/>
      <c r="EC371" s="111">
        <f t="shared" ref="EC371:EG371" si="770">+EC392</f>
        <v>0</v>
      </c>
      <c r="ED371" s="15">
        <f t="shared" si="770"/>
        <v>0</v>
      </c>
      <c r="EE371" s="15">
        <f t="shared" si="770"/>
        <v>0</v>
      </c>
      <c r="EF371" s="15">
        <f t="shared" si="770"/>
        <v>0</v>
      </c>
      <c r="EG371" s="47">
        <f t="shared" si="770"/>
        <v>0</v>
      </c>
    </row>
    <row r="372" spans="1:137" ht="11.25" customHeight="1" x14ac:dyDescent="0.2">
      <c r="A372" s="910" t="s">
        <v>560</v>
      </c>
      <c r="B372" s="14"/>
      <c r="C372" s="14"/>
      <c r="D372" s="14"/>
      <c r="E372" s="92"/>
      <c r="F372" s="71"/>
      <c r="G372" s="92"/>
      <c r="H372" s="71"/>
      <c r="I372" s="92"/>
      <c r="J372" s="71"/>
      <c r="K372" s="92"/>
      <c r="L372" s="71"/>
      <c r="M372" s="84"/>
      <c r="N372" s="71"/>
      <c r="O372" s="71"/>
      <c r="P372" s="71"/>
      <c r="Q372" s="92"/>
      <c r="R372" s="71"/>
      <c r="S372" s="84"/>
      <c r="T372" s="71"/>
      <c r="U372" s="71"/>
      <c r="V372" s="71"/>
      <c r="W372" s="92"/>
      <c r="X372" s="71"/>
      <c r="Y372" s="84"/>
      <c r="Z372" s="71"/>
      <c r="AA372" s="71"/>
      <c r="AB372" s="71"/>
      <c r="AC372" s="92"/>
      <c r="AD372" s="71"/>
      <c r="AE372" s="84"/>
      <c r="AF372" s="71"/>
      <c r="AG372" s="71"/>
      <c r="AH372" s="71"/>
      <c r="AI372" s="92"/>
      <c r="AJ372" s="71"/>
      <c r="AK372" s="84"/>
      <c r="AL372" s="71"/>
      <c r="AM372" s="71"/>
      <c r="AN372" s="71"/>
      <c r="AO372" s="92"/>
      <c r="AP372" s="71"/>
      <c r="AQ372" s="84"/>
      <c r="AR372" s="71"/>
      <c r="AS372" s="71"/>
      <c r="AT372" s="71"/>
      <c r="AU372" s="92"/>
      <c r="AV372" s="71"/>
      <c r="AW372" s="84"/>
      <c r="AX372" s="71"/>
      <c r="AY372" s="71"/>
      <c r="AZ372" s="71"/>
      <c r="BA372" s="92"/>
      <c r="BB372" s="71"/>
      <c r="BC372" s="84"/>
      <c r="BD372" s="71"/>
      <c r="BE372" s="71"/>
      <c r="BF372" s="71"/>
      <c r="BG372" s="92"/>
      <c r="BH372" s="71"/>
      <c r="BI372" s="82"/>
      <c r="BJ372" s="67"/>
      <c r="BK372" s="67"/>
      <c r="BL372" s="67"/>
      <c r="BM372" s="93"/>
      <c r="BN372" s="71"/>
      <c r="BO372" s="82"/>
      <c r="BP372" s="67"/>
      <c r="BQ372" s="67"/>
      <c r="BR372" s="67"/>
      <c r="BS372" s="93"/>
      <c r="BT372" s="71"/>
      <c r="BU372" s="111">
        <f>+(BU107-BO107)/BU343</f>
        <v>0</v>
      </c>
      <c r="BV372" s="15">
        <f>+(BV107-BP107)/BV343</f>
        <v>0</v>
      </c>
      <c r="BW372" s="15">
        <f>+(BW107-BQ107)/BW343</f>
        <v>0</v>
      </c>
      <c r="BX372" s="15">
        <f>+(BX107-BR107)/BX343</f>
        <v>0</v>
      </c>
      <c r="BY372" s="47">
        <f>+(BY107-BS107)/BY343</f>
        <v>0</v>
      </c>
      <c r="BZ372" s="71"/>
      <c r="CA372" s="111">
        <f>+(CA107-BU107)/CA343</f>
        <v>0</v>
      </c>
      <c r="CB372" s="15">
        <f>+(CB107-BV107)/CB343</f>
        <v>0</v>
      </c>
      <c r="CC372" s="15">
        <f>+(CC107-BW107)/CC343</f>
        <v>0</v>
      </c>
      <c r="CD372" s="15">
        <f>+(CD107-BX107)/CD343</f>
        <v>0</v>
      </c>
      <c r="CE372" s="47">
        <f>+(CE107-BY107)/CE343</f>
        <v>0</v>
      </c>
      <c r="CF372" s="71"/>
      <c r="CG372" s="111">
        <f>+(CG107-CA107)/CG343</f>
        <v>0</v>
      </c>
      <c r="CH372" s="15">
        <f>+(CH107-CB107)/CH343</f>
        <v>0</v>
      </c>
      <c r="CI372" s="15">
        <f>+(CI107-CC107)/CI343</f>
        <v>0</v>
      </c>
      <c r="CJ372" s="15">
        <f>+(CJ107-CD107)/CJ343</f>
        <v>0</v>
      </c>
      <c r="CK372" s="47">
        <f>+(CK107-CE107)/CK343</f>
        <v>0</v>
      </c>
      <c r="CL372" s="71"/>
      <c r="CM372" s="111">
        <f>+(CM107-CG107)/CM343</f>
        <v>0</v>
      </c>
      <c r="CN372" s="15">
        <f>+(CN107-CH107)/CN343</f>
        <v>0</v>
      </c>
      <c r="CO372" s="15">
        <f>+(CO107-CI107)/CO343</f>
        <v>0</v>
      </c>
      <c r="CP372" s="15">
        <f>+(CP107-CJ107)/CP343</f>
        <v>0</v>
      </c>
      <c r="CQ372" s="47">
        <f>+(CQ107-CK107)/CQ343</f>
        <v>0</v>
      </c>
      <c r="CR372" s="71"/>
      <c r="CS372" s="111">
        <f>+(CS107-CM107)/CS343</f>
        <v>0</v>
      </c>
      <c r="CT372" s="15">
        <f>+(CT107-CN107)/CT343</f>
        <v>0</v>
      </c>
      <c r="CU372" s="15">
        <f>+(CU107-CO107)/CU343</f>
        <v>0</v>
      </c>
      <c r="CV372" s="15">
        <f>+(CV107-CP107)/CV343</f>
        <v>0</v>
      </c>
      <c r="CW372" s="47">
        <f>+(CW107-CQ107)/CW343</f>
        <v>0</v>
      </c>
      <c r="CX372" s="71"/>
      <c r="CY372" s="111">
        <f>+(CY107-CS107)/CY343</f>
        <v>3.8225325552355949E-3</v>
      </c>
      <c r="CZ372" s="15">
        <f>+(CZ107-CT107)/CZ343</f>
        <v>4.714868337301681E-3</v>
      </c>
      <c r="DA372" s="15">
        <f>+(DA107-CU107)/DA343</f>
        <v>7.2602308753418349E-3</v>
      </c>
      <c r="DB372" s="15">
        <f>+(DB107-CV107)/DB343</f>
        <v>7.6347533974652614E-3</v>
      </c>
      <c r="DC372" s="47">
        <f>+(DC107-CW107)/DC343</f>
        <v>5.9233284367151582E-3</v>
      </c>
      <c r="DD372" s="71"/>
      <c r="DE372" s="111">
        <f>+(DE107-CY107)/DE343</f>
        <v>7.1331764034524578E-3</v>
      </c>
      <c r="DF372" s="15">
        <f>+(DF107-CZ107)/DF343</f>
        <v>6.6517372120352093E-3</v>
      </c>
      <c r="DG372" s="15">
        <f>+(DG107-DA107)/DG343</f>
        <v>4.4167660439026549E-3</v>
      </c>
      <c r="DH372" s="15">
        <f>+(DH107-DB107)/DH343</f>
        <v>3.9325953162789775E-3</v>
      </c>
      <c r="DI372" s="47">
        <f>+(DI107-DC107)/DI343</f>
        <v>5.4556266605563647E-3</v>
      </c>
      <c r="DJ372" s="71"/>
      <c r="DK372" s="111">
        <f>+(DK107-DE107)/DK343</f>
        <v>2.1297440047706269E-3</v>
      </c>
      <c r="DL372" s="15">
        <f>+(DL107-DF107)/DL343</f>
        <v>2.0283183668791836E-3</v>
      </c>
      <c r="DM372" s="15">
        <f>+(DM107-DG107)/DM343</f>
        <v>2.0616163525759793E-3</v>
      </c>
      <c r="DN372" s="15">
        <f>+(DN107-DH107)/DN343</f>
        <v>1.8388094150351907E-3</v>
      </c>
      <c r="DO372" s="47">
        <f>+(DO107-DI107)/DO343</f>
        <v>2.0085910451889295E-3</v>
      </c>
      <c r="DP372" s="71"/>
      <c r="DQ372" s="111">
        <f>+(DQ107-DK107)/DQ343</f>
        <v>3.0527041743948838E-3</v>
      </c>
      <c r="DR372" s="15">
        <f>+(DR107-DL107)/DR343</f>
        <v>2.9022269236062596E-3</v>
      </c>
      <c r="DS372" s="15">
        <f>+(DS107-DM107)/DS343</f>
        <v>2.975523002619781E-3</v>
      </c>
      <c r="DT372" s="15">
        <f>+(DT107-DN107)/DT343</f>
        <v>2.6544509377200536E-3</v>
      </c>
      <c r="DU372" s="47">
        <f>+(DU107-DO107)/DU343</f>
        <v>2.8882064965652849E-3</v>
      </c>
      <c r="DV372" s="71"/>
      <c r="DW372" s="111">
        <f>+(DW107-DQ107)/DW343</f>
        <v>2.9274442822097382E-3</v>
      </c>
      <c r="DX372" s="15">
        <f>+(DX107-DR107)/DX343</f>
        <v>2.7831357987394474E-3</v>
      </c>
      <c r="DY372" s="15">
        <f>+(DY107-DS107)/DY343</f>
        <v>2.8533960670337412E-3</v>
      </c>
      <c r="DZ372" s="15">
        <f>+(DZ107-DT107)/DZ343</f>
        <v>2.5456532561685358E-3</v>
      </c>
      <c r="EA372" s="47">
        <f>+(EA107-DU107)/EA343</f>
        <v>2.7697227199350565E-3</v>
      </c>
      <c r="EB372" s="71"/>
      <c r="EC372" s="111">
        <f t="shared" ref="EC372:EG372" si="771">+(EC107-DW107)/EC343</f>
        <v>1.8714757805080521E-3</v>
      </c>
      <c r="ED372" s="15">
        <f t="shared" si="771"/>
        <v>1.7792164249322156E-3</v>
      </c>
      <c r="EE372" s="15">
        <f t="shared" si="771"/>
        <v>1.8241153590444015E-3</v>
      </c>
      <c r="EF372" s="15">
        <f t="shared" si="771"/>
        <v>1.6274784107049684E-3</v>
      </c>
      <c r="EG372" s="47">
        <f t="shared" si="771"/>
        <v>1.770662661701774E-3</v>
      </c>
    </row>
    <row r="373" spans="1:137" ht="11.25" customHeight="1" x14ac:dyDescent="0.2">
      <c r="A373" s="910" t="s">
        <v>561</v>
      </c>
      <c r="B373" s="14"/>
      <c r="C373" s="14"/>
      <c r="D373" s="14"/>
      <c r="E373" s="92"/>
      <c r="F373" s="71"/>
      <c r="G373" s="92"/>
      <c r="H373" s="71"/>
      <c r="I373" s="92"/>
      <c r="J373" s="71"/>
      <c r="K373" s="92"/>
      <c r="L373" s="71"/>
      <c r="M373" s="84"/>
      <c r="N373" s="71"/>
      <c r="O373" s="71"/>
      <c r="P373" s="71"/>
      <c r="Q373" s="92"/>
      <c r="R373" s="71"/>
      <c r="S373" s="84"/>
      <c r="T373" s="71"/>
      <c r="U373" s="71"/>
      <c r="V373" s="71"/>
      <c r="W373" s="92"/>
      <c r="X373" s="71"/>
      <c r="Y373" s="84"/>
      <c r="Z373" s="71"/>
      <c r="AA373" s="71"/>
      <c r="AB373" s="71"/>
      <c r="AC373" s="92"/>
      <c r="AD373" s="71"/>
      <c r="AE373" s="84"/>
      <c r="AF373" s="71"/>
      <c r="AG373" s="71"/>
      <c r="AH373" s="71"/>
      <c r="AI373" s="92"/>
      <c r="AJ373" s="71"/>
      <c r="AK373" s="84"/>
      <c r="AL373" s="71"/>
      <c r="AM373" s="71"/>
      <c r="AN373" s="71"/>
      <c r="AO373" s="92"/>
      <c r="AP373" s="71"/>
      <c r="AQ373" s="84"/>
      <c r="AR373" s="71"/>
      <c r="AS373" s="71"/>
      <c r="AT373" s="71"/>
      <c r="AU373" s="92"/>
      <c r="AV373" s="71"/>
      <c r="AW373" s="84"/>
      <c r="AX373" s="71"/>
      <c r="AY373" s="71"/>
      <c r="AZ373" s="71"/>
      <c r="BA373" s="92"/>
      <c r="BB373" s="71"/>
      <c r="BC373" s="84"/>
      <c r="BD373" s="71"/>
      <c r="BE373" s="71"/>
      <c r="BF373" s="71"/>
      <c r="BG373" s="92"/>
      <c r="BH373" s="71"/>
      <c r="BI373" s="82"/>
      <c r="BJ373" s="67"/>
      <c r="BK373" s="67"/>
      <c r="BL373" s="67"/>
      <c r="BM373" s="93"/>
      <c r="BN373" s="71"/>
      <c r="BO373" s="82"/>
      <c r="BP373" s="67"/>
      <c r="BQ373" s="67"/>
      <c r="BR373" s="67"/>
      <c r="BS373" s="93"/>
      <c r="BT373" s="71"/>
      <c r="BU373" s="111">
        <f>+BU166/BU343</f>
        <v>0</v>
      </c>
      <c r="BV373" s="15">
        <f>+BV166/BV343</f>
        <v>0</v>
      </c>
      <c r="BW373" s="15">
        <f>+BW166/BW343</f>
        <v>0</v>
      </c>
      <c r="BX373" s="15">
        <f>+BX166/BX343</f>
        <v>0</v>
      </c>
      <c r="BY373" s="47">
        <f>+BY166/BY343</f>
        <v>0</v>
      </c>
      <c r="BZ373" s="71"/>
      <c r="CA373" s="111">
        <f>+CA166/CA343</f>
        <v>0</v>
      </c>
      <c r="CB373" s="15">
        <f>+CB166/CB343</f>
        <v>0</v>
      </c>
      <c r="CC373" s="15">
        <f>+CC166/CC343</f>
        <v>0</v>
      </c>
      <c r="CD373" s="15">
        <f>+CD166/CD343</f>
        <v>0</v>
      </c>
      <c r="CE373" s="47">
        <f>+CE166/CE343</f>
        <v>0</v>
      </c>
      <c r="CF373" s="71"/>
      <c r="CG373" s="111">
        <f>+CG166/CG343</f>
        <v>0</v>
      </c>
      <c r="CH373" s="15">
        <f>+CH166/CH343</f>
        <v>0</v>
      </c>
      <c r="CI373" s="15">
        <f>+CI166/CI343</f>
        <v>0</v>
      </c>
      <c r="CJ373" s="15">
        <f>+CJ166/CJ343</f>
        <v>0</v>
      </c>
      <c r="CK373" s="47">
        <f>+CK166/CK343</f>
        <v>0</v>
      </c>
      <c r="CL373" s="71"/>
      <c r="CM373" s="111">
        <f>+CM166/CM343</f>
        <v>0</v>
      </c>
      <c r="CN373" s="15">
        <f>+CN166/CN343</f>
        <v>0</v>
      </c>
      <c r="CO373" s="15">
        <f>+CO166/CO343</f>
        <v>0</v>
      </c>
      <c r="CP373" s="15">
        <f>+CP166/CP343</f>
        <v>0</v>
      </c>
      <c r="CQ373" s="47">
        <f>+CQ166/CQ343</f>
        <v>0</v>
      </c>
      <c r="CR373" s="71"/>
      <c r="CS373" s="111">
        <f>+CS166/CS343</f>
        <v>0</v>
      </c>
      <c r="CT373" s="15">
        <f>+CT166/CT343</f>
        <v>0</v>
      </c>
      <c r="CU373" s="15">
        <f>+CU166/CU343</f>
        <v>0</v>
      </c>
      <c r="CV373" s="15">
        <f>+CV166/CV343</f>
        <v>0</v>
      </c>
      <c r="CW373" s="47">
        <f>+CW166/CW343</f>
        <v>0</v>
      </c>
      <c r="CX373" s="71"/>
      <c r="CY373" s="111">
        <f>+CY166/CY343</f>
        <v>0</v>
      </c>
      <c r="CZ373" s="15">
        <f>+CZ166/CZ343</f>
        <v>0</v>
      </c>
      <c r="DA373" s="15">
        <f>+DA166/DA343</f>
        <v>0</v>
      </c>
      <c r="DB373" s="15">
        <f>+DB166/DB343</f>
        <v>0</v>
      </c>
      <c r="DC373" s="47">
        <f>+DC166/DC343</f>
        <v>0</v>
      </c>
      <c r="DD373" s="71"/>
      <c r="DE373" s="111">
        <f>+DE166/DE343</f>
        <v>4.7554509356349719E-4</v>
      </c>
      <c r="DF373" s="15">
        <f>+DF166/DF343</f>
        <v>1.0453338710729007E-3</v>
      </c>
      <c r="DG373" s="15">
        <f>+DG166/DG343</f>
        <v>1.4856006132474256E-3</v>
      </c>
      <c r="DH373" s="15">
        <f>+DH166/DH343</f>
        <v>1.856204336472778E-3</v>
      </c>
      <c r="DI373" s="47">
        <f>+DI166/DI343</f>
        <v>1.2483431470691005E-3</v>
      </c>
      <c r="DJ373" s="71"/>
      <c r="DK373" s="111">
        <f>+DK166/DK343</f>
        <v>2.0322230285547372E-3</v>
      </c>
      <c r="DL373" s="15">
        <f>+DL166/DL343</f>
        <v>1.380857567987299E-3</v>
      </c>
      <c r="DM373" s="15">
        <f>+DM166/DM343</f>
        <v>9.9447494313003649E-4</v>
      </c>
      <c r="DN373" s="15">
        <f>+DN166/DN343</f>
        <v>1.4512893772071684E-3</v>
      </c>
      <c r="DO373" s="47">
        <f>+DO166/DO343</f>
        <v>1.4595580584551516E-3</v>
      </c>
      <c r="DP373" s="71"/>
      <c r="DQ373" s="111">
        <f>+DQ166/DQ343</f>
        <v>1.2332517845753386E-3</v>
      </c>
      <c r="DR373" s="15">
        <f>+DR166/DR343</f>
        <v>1.1669326174404806E-3</v>
      </c>
      <c r="DS373" s="15">
        <f>+DS166/DS343</f>
        <v>1.1955016706272901E-3</v>
      </c>
      <c r="DT373" s="15">
        <f>+DT166/DT343</f>
        <v>1.0772733782928715E-3</v>
      </c>
      <c r="DU373" s="47">
        <f>+DU166/DU343</f>
        <v>1.1651629696483382E-3</v>
      </c>
      <c r="DV373" s="71"/>
      <c r="DW373" s="111">
        <f>+DW166/DW343</f>
        <v>1.2055801051071898E-3</v>
      </c>
      <c r="DX373" s="15">
        <f>+DX166/DX343</f>
        <v>1.1468796019061529E-3</v>
      </c>
      <c r="DY373" s="15">
        <f>+DY166/DY343</f>
        <v>1.1811499918528128E-3</v>
      </c>
      <c r="DZ373" s="15">
        <f>+DZ166/DZ343</f>
        <v>1.0721526456231643E-3</v>
      </c>
      <c r="EA373" s="47">
        <f>+EA166/EA343</f>
        <v>1.1487543243461026E-3</v>
      </c>
      <c r="EB373" s="71"/>
      <c r="EC373" s="111">
        <f t="shared" ref="EC373:EG373" si="772">+EC166/EC343</f>
        <v>1.1876010976971656E-3</v>
      </c>
      <c r="ED373" s="15">
        <f t="shared" si="772"/>
        <v>1.1369356937919173E-3</v>
      </c>
      <c r="EE373" s="15">
        <f t="shared" si="772"/>
        <v>1.1561753677276586E-3</v>
      </c>
      <c r="EF373" s="15">
        <f t="shared" si="772"/>
        <v>6.302475488729136E-5</v>
      </c>
      <c r="EG373" s="47">
        <f t="shared" si="772"/>
        <v>8.614905109504726E-4</v>
      </c>
    </row>
    <row r="374" spans="1:137" ht="11.25" customHeight="1" x14ac:dyDescent="0.2">
      <c r="A374" s="910" t="s">
        <v>564</v>
      </c>
      <c r="B374" s="14"/>
      <c r="C374" s="14"/>
      <c r="D374" s="14"/>
      <c r="E374" s="92"/>
      <c r="F374" s="71"/>
      <c r="G374" s="92"/>
      <c r="H374" s="71"/>
      <c r="I374" s="92"/>
      <c r="J374" s="71"/>
      <c r="K374" s="92"/>
      <c r="L374" s="71"/>
      <c r="M374" s="84"/>
      <c r="N374" s="71"/>
      <c r="O374" s="71"/>
      <c r="P374" s="71"/>
      <c r="Q374" s="92"/>
      <c r="R374" s="71"/>
      <c r="S374" s="84"/>
      <c r="T374" s="71"/>
      <c r="U374" s="71"/>
      <c r="V374" s="71"/>
      <c r="W374" s="92"/>
      <c r="X374" s="71"/>
      <c r="Y374" s="84"/>
      <c r="Z374" s="71"/>
      <c r="AA374" s="71"/>
      <c r="AB374" s="71"/>
      <c r="AC374" s="92"/>
      <c r="AD374" s="71"/>
      <c r="AE374" s="84"/>
      <c r="AF374" s="71"/>
      <c r="AG374" s="71"/>
      <c r="AH374" s="71"/>
      <c r="AI374" s="92"/>
      <c r="AJ374" s="71"/>
      <c r="AK374" s="84"/>
      <c r="AL374" s="71"/>
      <c r="AM374" s="71"/>
      <c r="AN374" s="71"/>
      <c r="AO374" s="92"/>
      <c r="AP374" s="71"/>
      <c r="AQ374" s="84"/>
      <c r="AR374" s="71"/>
      <c r="AS374" s="71"/>
      <c r="AT374" s="71"/>
      <c r="AU374" s="92"/>
      <c r="AV374" s="71"/>
      <c r="AW374" s="84"/>
      <c r="AX374" s="71"/>
      <c r="AY374" s="71"/>
      <c r="AZ374" s="71"/>
      <c r="BA374" s="92"/>
      <c r="BB374" s="71"/>
      <c r="BC374" s="84"/>
      <c r="BD374" s="71"/>
      <c r="BE374" s="71"/>
      <c r="BF374" s="71"/>
      <c r="BG374" s="92"/>
      <c r="BH374" s="71"/>
      <c r="BI374" s="82"/>
      <c r="BJ374" s="67"/>
      <c r="BK374" s="67"/>
      <c r="BL374" s="67"/>
      <c r="BM374" s="93"/>
      <c r="BN374" s="71"/>
      <c r="BO374" s="82"/>
      <c r="BP374" s="67"/>
      <c r="BQ374" s="67"/>
      <c r="BR374" s="67"/>
      <c r="BS374" s="93"/>
      <c r="BT374" s="71"/>
      <c r="BU374" s="111">
        <f>+BU386</f>
        <v>-7.2542834297397076E-3</v>
      </c>
      <c r="BV374" s="15">
        <f>+BV386</f>
        <v>2.1382114471168493E-3</v>
      </c>
      <c r="BW374" s="15">
        <f>+BW386</f>
        <v>-3.3973521987136469E-2</v>
      </c>
      <c r="BX374" s="15">
        <f>+BX386</f>
        <v>-1.6276671311796418E-2</v>
      </c>
      <c r="BY374" s="47">
        <f>+BY386</f>
        <v>-1.6075065791988002E-2</v>
      </c>
      <c r="BZ374" s="71"/>
      <c r="CA374" s="111">
        <f>+CA386</f>
        <v>-1.0021475178712635E-2</v>
      </c>
      <c r="CB374" s="15">
        <f>+CB386</f>
        <v>-7.7938138520947959E-3</v>
      </c>
      <c r="CC374" s="15">
        <f>+CC386</f>
        <v>-3.590443156700979E-3</v>
      </c>
      <c r="CD374" s="15">
        <f>+CD386</f>
        <v>-8.5804391036816315E-3</v>
      </c>
      <c r="CE374" s="47">
        <f>+CE386</f>
        <v>-7.5232493060610559E-3</v>
      </c>
      <c r="CF374" s="71"/>
      <c r="CG374" s="111">
        <f>+CG386</f>
        <v>-5.0180207281773663E-3</v>
      </c>
      <c r="CH374" s="15">
        <f>+CH386</f>
        <v>-3.7484439262140644E-3</v>
      </c>
      <c r="CI374" s="15">
        <f>+CI386</f>
        <v>-4.4871437734846373E-3</v>
      </c>
      <c r="CJ374" s="15">
        <f>+CJ386</f>
        <v>-5.648237912686779E-3</v>
      </c>
      <c r="CK374" s="47">
        <f>+CK386</f>
        <v>-4.7516097073694455E-3</v>
      </c>
      <c r="CL374" s="71"/>
      <c r="CM374" s="111">
        <f>+CM386</f>
        <v>-3.3502191346588212E-3</v>
      </c>
      <c r="CN374" s="15">
        <f>+CN386</f>
        <v>-1.8812618929005358E-3</v>
      </c>
      <c r="CO374" s="15">
        <f>+CO386</f>
        <v>-2.3711206231693933E-3</v>
      </c>
      <c r="CP374" s="15">
        <f>+CP386</f>
        <v>-9.9464704030162963E-3</v>
      </c>
      <c r="CQ374" s="47">
        <f>+CQ386</f>
        <v>-4.5736112012851691E-3</v>
      </c>
      <c r="CR374" s="71"/>
      <c r="CS374" s="111">
        <f>+CS386</f>
        <v>-2.3306653718438691E-3</v>
      </c>
      <c r="CT374" s="15">
        <f>+CT386</f>
        <v>-4.0986407538971901E-3</v>
      </c>
      <c r="CU374" s="15">
        <f>+CU386</f>
        <v>-8.1376843573828378E-3</v>
      </c>
      <c r="CV374" s="15">
        <f>+CV386</f>
        <v>-1.3463428174878554E-2</v>
      </c>
      <c r="CW374" s="47">
        <f>+CW386</f>
        <v>-7.495287071229137E-3</v>
      </c>
      <c r="CX374" s="71"/>
      <c r="CY374" s="111">
        <f>+CY386</f>
        <v>-3.8122117173364586E-4</v>
      </c>
      <c r="CZ374" s="15">
        <f>+CZ386</f>
        <v>-2.4659940121172114E-4</v>
      </c>
      <c r="DA374" s="15">
        <f>+DA386</f>
        <v>-5.9479199438542138E-3</v>
      </c>
      <c r="DB374" s="15">
        <f>+DB386</f>
        <v>-5.1230285976048683E-3</v>
      </c>
      <c r="DC374" s="47">
        <f>+DC386</f>
        <v>-2.9974944320712692E-3</v>
      </c>
      <c r="DD374" s="71"/>
      <c r="DE374" s="111">
        <f>+DE386</f>
        <v>-5.979694224504839E-3</v>
      </c>
      <c r="DF374" s="15">
        <f>+DF386</f>
        <v>-7.0260748098711781E-3</v>
      </c>
      <c r="DG374" s="15">
        <f>+DG386</f>
        <v>-5.9885826597765122E-3</v>
      </c>
      <c r="DH374" s="15">
        <f>+DH386</f>
        <v>-2.4445602375287568E-3</v>
      </c>
      <c r="DI374" s="47">
        <f>+DI386</f>
        <v>-5.2585094136838022E-3</v>
      </c>
      <c r="DJ374" s="71"/>
      <c r="DK374" s="111">
        <f>+DK386</f>
        <v>-2.4264705882352943E-3</v>
      </c>
      <c r="DL374" s="15">
        <f>+DL386</f>
        <v>0</v>
      </c>
      <c r="DM374" s="15">
        <f>+DM386</f>
        <v>0</v>
      </c>
      <c r="DN374" s="15">
        <f>+DN386</f>
        <v>0</v>
      </c>
      <c r="DO374" s="47">
        <f>+DO386</f>
        <v>-5.7210949813996928E-4</v>
      </c>
      <c r="DP374" s="71"/>
      <c r="DQ374" s="111">
        <f>+DQ386</f>
        <v>0</v>
      </c>
      <c r="DR374" s="15">
        <f>+DR386</f>
        <v>0</v>
      </c>
      <c r="DS374" s="15">
        <f>+DS386</f>
        <v>0</v>
      </c>
      <c r="DT374" s="15">
        <f>+DT386</f>
        <v>0</v>
      </c>
      <c r="DU374" s="47">
        <f>+DU386</f>
        <v>0</v>
      </c>
      <c r="DV374" s="71"/>
      <c r="DW374" s="111">
        <f>+DW386</f>
        <v>0</v>
      </c>
      <c r="DX374" s="15">
        <f>+DX386</f>
        <v>0</v>
      </c>
      <c r="DY374" s="15">
        <f>+DY386</f>
        <v>0</v>
      </c>
      <c r="DZ374" s="15">
        <f>+DZ386</f>
        <v>0</v>
      </c>
      <c r="EA374" s="47">
        <f>+EA386</f>
        <v>0</v>
      </c>
      <c r="EB374" s="71"/>
      <c r="EC374" s="111">
        <f t="shared" ref="EC374:EG374" si="773">+EC386</f>
        <v>0</v>
      </c>
      <c r="ED374" s="15">
        <f t="shared" si="773"/>
        <v>0</v>
      </c>
      <c r="EE374" s="15">
        <f t="shared" si="773"/>
        <v>0</v>
      </c>
      <c r="EF374" s="15">
        <f t="shared" si="773"/>
        <v>0</v>
      </c>
      <c r="EG374" s="47">
        <f t="shared" si="773"/>
        <v>0</v>
      </c>
    </row>
    <row r="375" spans="1:137" ht="11.25" customHeight="1" x14ac:dyDescent="0.2">
      <c r="A375" s="910" t="s">
        <v>562</v>
      </c>
      <c r="B375" s="343"/>
      <c r="C375" s="343"/>
      <c r="D375" s="343"/>
      <c r="E375" s="474"/>
      <c r="F375" s="357"/>
      <c r="G375" s="474"/>
      <c r="H375" s="357"/>
      <c r="I375" s="474"/>
      <c r="J375" s="357"/>
      <c r="K375" s="474"/>
      <c r="L375" s="357"/>
      <c r="M375" s="356"/>
      <c r="N375" s="357"/>
      <c r="O375" s="357"/>
      <c r="P375" s="357"/>
      <c r="Q375" s="474"/>
      <c r="R375" s="357"/>
      <c r="S375" s="356"/>
      <c r="T375" s="357"/>
      <c r="U375" s="357"/>
      <c r="V375" s="357"/>
      <c r="W375" s="474"/>
      <c r="X375" s="357"/>
      <c r="Y375" s="356"/>
      <c r="Z375" s="357"/>
      <c r="AA375" s="357"/>
      <c r="AB375" s="357"/>
      <c r="AC375" s="474"/>
      <c r="AD375" s="357"/>
      <c r="AE375" s="356"/>
      <c r="AF375" s="357"/>
      <c r="AG375" s="357"/>
      <c r="AH375" s="357"/>
      <c r="AI375" s="474"/>
      <c r="AJ375" s="357"/>
      <c r="AK375" s="356"/>
      <c r="AL375" s="357"/>
      <c r="AM375" s="357"/>
      <c r="AN375" s="357"/>
      <c r="AO375" s="474"/>
      <c r="AP375" s="357"/>
      <c r="AQ375" s="356"/>
      <c r="AR375" s="357"/>
      <c r="AS375" s="357"/>
      <c r="AT375" s="357"/>
      <c r="AU375" s="474"/>
      <c r="AV375" s="357"/>
      <c r="AW375" s="356"/>
      <c r="AX375" s="357"/>
      <c r="AY375" s="357"/>
      <c r="AZ375" s="357"/>
      <c r="BA375" s="474"/>
      <c r="BB375" s="357"/>
      <c r="BC375" s="356"/>
      <c r="BD375" s="357"/>
      <c r="BE375" s="357"/>
      <c r="BF375" s="357"/>
      <c r="BG375" s="474"/>
      <c r="BH375" s="357"/>
      <c r="BI375" s="165"/>
      <c r="BJ375" s="164"/>
      <c r="BK375" s="164"/>
      <c r="BL375" s="164"/>
      <c r="BM375" s="163"/>
      <c r="BN375" s="357"/>
      <c r="BO375" s="165"/>
      <c r="BP375" s="164"/>
      <c r="BQ375" s="164"/>
      <c r="BR375" s="164"/>
      <c r="BS375" s="163"/>
      <c r="BT375" s="357"/>
      <c r="BU375" s="111">
        <f>+BU388</f>
        <v>2.5741710385926375E-2</v>
      </c>
      <c r="BV375" s="15">
        <f>+BV388</f>
        <v>-2.2949921005508522E-2</v>
      </c>
      <c r="BW375" s="15">
        <f>+BW388</f>
        <v>-2.5745806860949773E-2</v>
      </c>
      <c r="BX375" s="15">
        <f>+BX388</f>
        <v>8.3967635718965542E-3</v>
      </c>
      <c r="BY375" s="47">
        <f>+BY388</f>
        <v>-4.7484349867534352E-3</v>
      </c>
      <c r="BZ375" s="357"/>
      <c r="CA375" s="111">
        <f>+CA388</f>
        <v>-9.8898140102048494E-5</v>
      </c>
      <c r="CB375" s="15">
        <f>+CB388</f>
        <v>4.3025822658508038E-2</v>
      </c>
      <c r="CC375" s="15">
        <f>+CC388</f>
        <v>3.1132648996479034E-2</v>
      </c>
      <c r="CD375" s="15">
        <f>+CD388</f>
        <v>6.6428481110249044E-3</v>
      </c>
      <c r="CE375" s="47">
        <f>+CE388</f>
        <v>1.9897812194214441E-2</v>
      </c>
      <c r="CF375" s="357"/>
      <c r="CG375" s="111">
        <f>+CG388</f>
        <v>5.5863718529075663E-3</v>
      </c>
      <c r="CH375" s="15">
        <f>+CH388</f>
        <v>6.9206495656461949E-3</v>
      </c>
      <c r="CI375" s="15">
        <f>+CI388</f>
        <v>6.6320225424755319E-3</v>
      </c>
      <c r="CJ375" s="15">
        <f>+CJ388</f>
        <v>6.9347836614814936E-3</v>
      </c>
      <c r="CK375" s="47">
        <f>+CK388</f>
        <v>6.54898533856706E-3</v>
      </c>
      <c r="CL375" s="357"/>
      <c r="CM375" s="111">
        <f>+CM388</f>
        <v>2.8766860712141019E-6</v>
      </c>
      <c r="CN375" s="15">
        <f>+CN388</f>
        <v>7.2499468360821108E-3</v>
      </c>
      <c r="CO375" s="15">
        <f>+CO388</f>
        <v>3.2663363880555127E-6</v>
      </c>
      <c r="CP375" s="15">
        <f>+CP388</f>
        <v>-1.0169073348810894E-2</v>
      </c>
      <c r="CQ375" s="47">
        <f>+CQ388</f>
        <v>-1.0224632502485727E-3</v>
      </c>
      <c r="CR375" s="344"/>
      <c r="CS375" s="111">
        <f>+CS388</f>
        <v>-9.8940229308940534E-3</v>
      </c>
      <c r="CT375" s="15">
        <f>+CT388</f>
        <v>-5.6025306050553371E-3</v>
      </c>
      <c r="CU375" s="15">
        <f>+CU388</f>
        <v>-1.924093160981721E-2</v>
      </c>
      <c r="CV375" s="15">
        <f>+CV388</f>
        <v>-3.0607304197466162E-3</v>
      </c>
      <c r="CW375" s="47">
        <f>+CW388</f>
        <v>-9.1090390963207372E-3</v>
      </c>
      <c r="CX375" s="344"/>
      <c r="CY375" s="111">
        <f>+CY388</f>
        <v>5.0143982059580533E-3</v>
      </c>
      <c r="CZ375" s="15">
        <f>+CZ388</f>
        <v>0</v>
      </c>
      <c r="DA375" s="15">
        <f>+DA388</f>
        <v>2.7264345006171194E-2</v>
      </c>
      <c r="DB375" s="15">
        <f>+DB388</f>
        <v>-4.1804310363632398E-3</v>
      </c>
      <c r="DC375" s="47">
        <f>+DC388</f>
        <v>6.7035285267497517E-3</v>
      </c>
      <c r="DD375" s="344"/>
      <c r="DE375" s="111">
        <f>+DE388</f>
        <v>0</v>
      </c>
      <c r="DF375" s="15">
        <f>+DF388</f>
        <v>-1.692201946741757E-2</v>
      </c>
      <c r="DG375" s="15">
        <f>+DG388</f>
        <v>0</v>
      </c>
      <c r="DH375" s="15">
        <f>+DH388</f>
        <v>1.8815915213244976E-2</v>
      </c>
      <c r="DI375" s="47">
        <f>+DI388</f>
        <v>1.0568694523096396E-3</v>
      </c>
      <c r="DJ375" s="344"/>
      <c r="DK375" s="111">
        <f>+DK388</f>
        <v>0</v>
      </c>
      <c r="DL375" s="15">
        <f>+DL388</f>
        <v>0</v>
      </c>
      <c r="DM375" s="15">
        <f>+DM388</f>
        <v>0</v>
      </c>
      <c r="DN375" s="15">
        <f>+DN388</f>
        <v>0</v>
      </c>
      <c r="DO375" s="47">
        <f>+DO388</f>
        <v>0</v>
      </c>
      <c r="DP375" s="344"/>
      <c r="DQ375" s="111">
        <f>+DQ388</f>
        <v>0</v>
      </c>
      <c r="DR375" s="15">
        <f>+DR388</f>
        <v>0</v>
      </c>
      <c r="DS375" s="15">
        <f>+DS388</f>
        <v>0</v>
      </c>
      <c r="DT375" s="15">
        <f>+DT388</f>
        <v>0</v>
      </c>
      <c r="DU375" s="47">
        <f>+DU388</f>
        <v>0</v>
      </c>
      <c r="DV375" s="344"/>
      <c r="DW375" s="111">
        <f>+DW388</f>
        <v>0</v>
      </c>
      <c r="DX375" s="15">
        <f>+DX388</f>
        <v>0</v>
      </c>
      <c r="DY375" s="15">
        <f>+DY388</f>
        <v>0</v>
      </c>
      <c r="DZ375" s="15">
        <f>+DZ388</f>
        <v>0</v>
      </c>
      <c r="EA375" s="47">
        <f>+EA388</f>
        <v>0</v>
      </c>
      <c r="EB375" s="344"/>
      <c r="EC375" s="111">
        <f t="shared" ref="EC375:EG375" si="774">+EC388</f>
        <v>0</v>
      </c>
      <c r="ED375" s="15">
        <f t="shared" si="774"/>
        <v>0</v>
      </c>
      <c r="EE375" s="15">
        <f t="shared" si="774"/>
        <v>0</v>
      </c>
      <c r="EF375" s="15">
        <f t="shared" si="774"/>
        <v>0</v>
      </c>
      <c r="EG375" s="47">
        <f t="shared" si="774"/>
        <v>0</v>
      </c>
    </row>
    <row r="376" spans="1:137" ht="11.25" customHeight="1" x14ac:dyDescent="0.2">
      <c r="A376" s="50" t="s">
        <v>570</v>
      </c>
      <c r="B376" s="539"/>
      <c r="C376" s="539"/>
      <c r="D376" s="539"/>
      <c r="E376" s="540"/>
      <c r="F376" s="541"/>
      <c r="G376" s="540"/>
      <c r="H376" s="541"/>
      <c r="I376" s="540"/>
      <c r="J376" s="541"/>
      <c r="K376" s="540"/>
      <c r="L376" s="541"/>
      <c r="M376" s="542"/>
      <c r="N376" s="543"/>
      <c r="O376" s="543"/>
      <c r="P376" s="543"/>
      <c r="Q376" s="540"/>
      <c r="R376" s="541"/>
      <c r="S376" s="542"/>
      <c r="T376" s="543"/>
      <c r="U376" s="543"/>
      <c r="V376" s="543"/>
      <c r="W376" s="540"/>
      <c r="X376" s="541"/>
      <c r="Y376" s="542"/>
      <c r="Z376" s="543"/>
      <c r="AA376" s="543"/>
      <c r="AB376" s="543"/>
      <c r="AC376" s="540"/>
      <c r="AD376" s="541"/>
      <c r="AE376" s="542"/>
      <c r="AF376" s="543"/>
      <c r="AG376" s="543"/>
      <c r="AH376" s="543"/>
      <c r="AI376" s="540"/>
      <c r="AJ376" s="541"/>
      <c r="AK376" s="542"/>
      <c r="AL376" s="543"/>
      <c r="AM376" s="543"/>
      <c r="AN376" s="543"/>
      <c r="AO376" s="540"/>
      <c r="AP376" s="541"/>
      <c r="AQ376" s="542"/>
      <c r="AR376" s="543"/>
      <c r="AS376" s="543"/>
      <c r="AT376" s="543"/>
      <c r="AU376" s="540"/>
      <c r="AV376" s="541"/>
      <c r="AW376" s="542"/>
      <c r="AX376" s="543"/>
      <c r="AY376" s="543"/>
      <c r="AZ376" s="543"/>
      <c r="BA376" s="540"/>
      <c r="BB376" s="541"/>
      <c r="BC376" s="542"/>
      <c r="BD376" s="543"/>
      <c r="BE376" s="543"/>
      <c r="BF376" s="543"/>
      <c r="BG376" s="540"/>
      <c r="BH376" s="541"/>
      <c r="BI376" s="542"/>
      <c r="BJ376" s="543"/>
      <c r="BK376" s="543"/>
      <c r="BL376" s="543"/>
      <c r="BM376" s="540"/>
      <c r="BN376" s="541"/>
      <c r="BO376" s="442"/>
      <c r="BP376" s="347"/>
      <c r="BQ376" s="347"/>
      <c r="BR376" s="347"/>
      <c r="BS376" s="540"/>
      <c r="BT376" s="541"/>
      <c r="BU376" s="913">
        <f>+BU377*BU343</f>
        <v>-8794.6849193209255</v>
      </c>
      <c r="BV376" s="858">
        <f>+BV377*BV343</f>
        <v>248.9410812019388</v>
      </c>
      <c r="BW376" s="858">
        <f>+BW377*BW343</f>
        <v>405.13304505719816</v>
      </c>
      <c r="BX376" s="858">
        <f>+BX377*BX343</f>
        <v>447.52298797388369</v>
      </c>
      <c r="BY376" s="990">
        <f>+BY377*BY343</f>
        <v>1327.5145177750712</v>
      </c>
      <c r="BZ376" s="541"/>
      <c r="CA376" s="913">
        <f>+CA377*CA343</f>
        <v>412.78841513899727</v>
      </c>
      <c r="CB376" s="858">
        <f>+CB377*CB343</f>
        <v>346.71397619735302</v>
      </c>
      <c r="CC376" s="858">
        <f>+CC377*CC343</f>
        <v>351.09114673908874</v>
      </c>
      <c r="CD376" s="858">
        <f>+CD377*CD343</f>
        <v>548.47658646694379</v>
      </c>
      <c r="CE376" s="990">
        <f>+CE377*CE343</f>
        <v>1661.8775420439833</v>
      </c>
      <c r="CF376" s="541"/>
      <c r="CG376" s="913">
        <f>+CG377*CG343</f>
        <v>391.08296964422533</v>
      </c>
      <c r="CH376" s="858">
        <f>+CH377*CH343</f>
        <v>475.15076306246431</v>
      </c>
      <c r="CI376" s="858">
        <f>+CI377*CI343</f>
        <v>478.98722325717495</v>
      </c>
      <c r="CJ376" s="858">
        <f>+CJ377*CJ343</f>
        <v>578.13832449753261</v>
      </c>
      <c r="CK376" s="990">
        <f>+CK377*CK343</f>
        <v>1930.3154220053589</v>
      </c>
      <c r="CL376" s="541"/>
      <c r="CM376" s="913">
        <f>+CM377*CM343</f>
        <v>439.04690481437308</v>
      </c>
      <c r="CN376" s="858">
        <f>+CN377*CN343</f>
        <v>500.00248478330792</v>
      </c>
      <c r="CO376" s="858">
        <f>+CO377*CO343</f>
        <v>539.42831671629358</v>
      </c>
      <c r="CP376" s="858">
        <f>+CP377*CP343</f>
        <v>666.73507684436026</v>
      </c>
      <c r="CQ376" s="990">
        <f>+CQ377*CQ343</f>
        <v>2145.489523604072</v>
      </c>
      <c r="CR376" s="541"/>
      <c r="CS376" s="913">
        <f>+CS377*CS343</f>
        <v>510.22369134785174</v>
      </c>
      <c r="CT376" s="858">
        <f>+CT377*CT343</f>
        <v>640.68128320393873</v>
      </c>
      <c r="CU376" s="858">
        <f>+CU377*CU343</f>
        <v>601.22633752838738</v>
      </c>
      <c r="CV376" s="858">
        <f>+CV377*CV343</f>
        <v>747.04567599984284</v>
      </c>
      <c r="CW376" s="990">
        <f>+CW377*CW343</f>
        <v>2498.6110587980675</v>
      </c>
      <c r="CX376" s="541"/>
      <c r="CY376" s="913">
        <f>+CY377*CY343</f>
        <v>592.58582599645194</v>
      </c>
      <c r="CZ376" s="858">
        <f>+CZ377*CZ343</f>
        <v>695.56845846356418</v>
      </c>
      <c r="DA376" s="858">
        <f>+DA377*DA343</f>
        <v>579.92701300869624</v>
      </c>
      <c r="DB376" s="858">
        <f>+DB377*DB343</f>
        <v>746.07297606959366</v>
      </c>
      <c r="DC376" s="990">
        <f>+DC377*DC343</f>
        <v>2615.591319418781</v>
      </c>
      <c r="DD376" s="846"/>
      <c r="DE376" s="913">
        <f>+DE377*DE343</f>
        <v>628.3351882994026</v>
      </c>
      <c r="DF376" s="858">
        <f>+DF377*DF343</f>
        <v>766.51457588621122</v>
      </c>
      <c r="DG376" s="858">
        <f>+DG377*DG343</f>
        <v>747.26341883012856</v>
      </c>
      <c r="DH376" s="858">
        <f>+DH377*DH343</f>
        <v>788.61424698304722</v>
      </c>
      <c r="DI376" s="990">
        <f>+DI377*DI343</f>
        <v>3005.5748258267454</v>
      </c>
      <c r="DJ376" s="846"/>
      <c r="DK376" s="913">
        <f>+DK377*DK343</f>
        <v>717.07383767287797</v>
      </c>
      <c r="DL376" s="858">
        <f>+DL377*DL343</f>
        <v>795.35460999999998</v>
      </c>
      <c r="DM376" s="858">
        <f>+DM377*DM343</f>
        <v>813.83328099999994</v>
      </c>
      <c r="DN376" s="858">
        <f>+DN377*DN343</f>
        <v>1044.0534275</v>
      </c>
      <c r="DO376" s="990">
        <f>+DO377*DO343</f>
        <v>3370.3167784342263</v>
      </c>
      <c r="DP376" s="846"/>
      <c r="DQ376" s="913">
        <f>+DQ377*DQ343</f>
        <v>809.95305591057195</v>
      </c>
      <c r="DR376" s="858">
        <f>+DR377*DR343</f>
        <v>915.66327479723634</v>
      </c>
      <c r="DS376" s="858">
        <f>+DS377*DS343</f>
        <v>891.42110795626024</v>
      </c>
      <c r="DT376" s="858">
        <f>+DT377*DT343</f>
        <v>1143.1669291269423</v>
      </c>
      <c r="DU376" s="990">
        <f>+DU377*DU343</f>
        <v>3760.204367791011</v>
      </c>
      <c r="DV376" s="541"/>
      <c r="DW376" s="913">
        <f>+DW377*DW343</f>
        <v>893.95701627210508</v>
      </c>
      <c r="DX376" s="858">
        <f>+DX377*DX343</f>
        <v>1002.8192740973839</v>
      </c>
      <c r="DY376" s="858">
        <f>+DY377*DY343</f>
        <v>976.92904698170116</v>
      </c>
      <c r="DZ376" s="858">
        <f>+DZ377*DZ343</f>
        <v>1236.6943989602933</v>
      </c>
      <c r="EA376" s="990">
        <f>+EA377*EA343</f>
        <v>4110.3997363114831</v>
      </c>
      <c r="EB376" s="541"/>
      <c r="EC376" s="913">
        <f t="shared" ref="EC376:EG376" si="775">+EC377*EC343</f>
        <v>980.82891446693282</v>
      </c>
      <c r="ED376" s="858">
        <f t="shared" si="775"/>
        <v>1093.0163927923597</v>
      </c>
      <c r="EE376" s="858">
        <f t="shared" si="775"/>
        <v>1065.4387064133705</v>
      </c>
      <c r="EF376" s="858">
        <f t="shared" si="775"/>
        <v>1333.6147778544007</v>
      </c>
      <c r="EG376" s="990">
        <f t="shared" si="775"/>
        <v>4472.8987915270636</v>
      </c>
    </row>
    <row r="377" spans="1:137" s="993" customFormat="1" ht="11.25" customHeight="1" x14ac:dyDescent="0.2">
      <c r="A377" s="992" t="s">
        <v>569</v>
      </c>
      <c r="B377" s="34"/>
      <c r="C377" s="34"/>
      <c r="D377" s="34"/>
      <c r="E377" s="946"/>
      <c r="F377" s="947"/>
      <c r="G377" s="946"/>
      <c r="H377" s="947"/>
      <c r="I377" s="946"/>
      <c r="J377" s="947"/>
      <c r="K377" s="946"/>
      <c r="L377" s="947"/>
      <c r="M377" s="948"/>
      <c r="N377" s="947"/>
      <c r="O377" s="947"/>
      <c r="P377" s="947"/>
      <c r="Q377" s="946"/>
      <c r="R377" s="947"/>
      <c r="S377" s="948"/>
      <c r="T377" s="947"/>
      <c r="U377" s="947"/>
      <c r="V377" s="947"/>
      <c r="W377" s="946"/>
      <c r="X377" s="947"/>
      <c r="Y377" s="948"/>
      <c r="Z377" s="947"/>
      <c r="AA377" s="947"/>
      <c r="AB377" s="947"/>
      <c r="AC377" s="946"/>
      <c r="AD377" s="947"/>
      <c r="AE377" s="948"/>
      <c r="AF377" s="947"/>
      <c r="AG377" s="947"/>
      <c r="AH377" s="947"/>
      <c r="AI377" s="946"/>
      <c r="AJ377" s="947"/>
      <c r="AK377" s="948"/>
      <c r="AL377" s="947"/>
      <c r="AM377" s="947"/>
      <c r="AN377" s="947"/>
      <c r="AO377" s="946"/>
      <c r="AP377" s="947"/>
      <c r="AQ377" s="948"/>
      <c r="AR377" s="947"/>
      <c r="AS377" s="947"/>
      <c r="AT377" s="947"/>
      <c r="AU377" s="946"/>
      <c r="AV377" s="947"/>
      <c r="AW377" s="948"/>
      <c r="AX377" s="947"/>
      <c r="AY377" s="947"/>
      <c r="AZ377" s="947"/>
      <c r="BA377" s="946"/>
      <c r="BB377" s="947"/>
      <c r="BC377" s="948"/>
      <c r="BD377" s="947"/>
      <c r="BE377" s="947"/>
      <c r="BF377" s="947"/>
      <c r="BG377" s="946"/>
      <c r="BH377" s="947"/>
      <c r="BI377" s="821"/>
      <c r="BJ377" s="822"/>
      <c r="BK377" s="822"/>
      <c r="BL377" s="822"/>
      <c r="BM377" s="810"/>
      <c r="BN377" s="947"/>
      <c r="BO377" s="821"/>
      <c r="BP377" s="822"/>
      <c r="BQ377" s="822"/>
      <c r="BR377" s="822"/>
      <c r="BS377" s="810"/>
      <c r="BT377" s="947"/>
      <c r="BU377" s="821">
        <f>+BU369-BU371-BU374-BU375-BU372-BU373</f>
        <v>-5.0504474947677993</v>
      </c>
      <c r="BV377" s="822">
        <f>+BV369-BV371-BV374-BV375-BV372-BV373</f>
        <v>0.1300930411434979</v>
      </c>
      <c r="BW377" s="822">
        <f>+BW369-BW371-BW374-BW375-BW372-BW373</f>
        <v>0.14619419455049348</v>
      </c>
      <c r="BX377" s="822">
        <f>+BX369-BX371-BX374-BX375-BX372-BX373</f>
        <v>0.14735313566848901</v>
      </c>
      <c r="BY377" s="810">
        <f>+BY369-BY371-BY374-BY375-BY372-BY373</f>
        <v>0.14028169813742397</v>
      </c>
      <c r="BZ377" s="947"/>
      <c r="CA377" s="821">
        <f>+CA369-CA371-CA374-CA375-CA372-CA373</f>
        <v>0.15069201875386945</v>
      </c>
      <c r="CB377" s="822">
        <f>+CB369-CB371-CB374-CB375-CB372-CB373</f>
        <v>0.12041774095381305</v>
      </c>
      <c r="CC377" s="822">
        <f>+CC369-CC371-CC374-CC375-CC372-CC373</f>
        <v>0.12448429362784787</v>
      </c>
      <c r="CD377" s="822">
        <f>+CD369-CD371-CD374-CD375-CD372-CD373</f>
        <v>0.16712267994455143</v>
      </c>
      <c r="CE377" s="810">
        <f>+CE369-CE371-CE374-CE375-CE372-CE373</f>
        <v>0.14178886562798923</v>
      </c>
      <c r="CF377" s="947"/>
      <c r="CG377" s="821">
        <f>+CG369-CG371-CG374-CG375-CG372-CG373</f>
        <v>0.13853634776825635</v>
      </c>
      <c r="CH377" s="822">
        <f>+CH369-CH371-CH374-CH375-CH372-CH373</f>
        <v>0.15621524003074119</v>
      </c>
      <c r="CI377" s="822">
        <f>+CI369-CI371-CI374-CI375-CI372-CI373</f>
        <v>0.15774774574520947</v>
      </c>
      <c r="CJ377" s="822">
        <f>+CJ369-CJ371-CJ374-CJ375-CJ372-CJ373</f>
        <v>0.1670975838783347</v>
      </c>
      <c r="CK377" s="810">
        <f>+CK369-CK371-CK374-CK375-CK372-CK373</f>
        <v>0.1561629991687376</v>
      </c>
      <c r="CL377" s="947"/>
      <c r="CM377" s="821">
        <f>+CM369-CM371-CM374-CM375-CM372-CM373</f>
        <v>0.14831404118272198</v>
      </c>
      <c r="CN377" s="822">
        <f>+CN369-CN371-CN374-CN375-CN372-CN373</f>
        <v>0.15713633212587413</v>
      </c>
      <c r="CO377" s="822">
        <f>+CO369-CO371-CO374-CO375-CO372-CO373</f>
        <v>0.17067721522921711</v>
      </c>
      <c r="CP377" s="822">
        <f>+CP369-CP371-CP374-CP375-CP372-CP373</f>
        <v>0.18706856270477282</v>
      </c>
      <c r="CQ377" s="810">
        <f>+CQ369-CQ371-CQ374-CQ375-CQ372-CQ373</f>
        <v>0.16674542642407444</v>
      </c>
      <c r="CR377" s="947"/>
      <c r="CS377" s="821">
        <f>+CS369-CS371-CS374-CS375-CS372-CS373</f>
        <v>0.15983450014029563</v>
      </c>
      <c r="CT377" s="822">
        <f>+CT369-CT371-CT374-CT375-CT372-CT373</f>
        <v>0.18808715709242835</v>
      </c>
      <c r="CU377" s="822">
        <f>+CU369-CU371-CU374-CU375-CU372-CU373</f>
        <v>0.17118226112646984</v>
      </c>
      <c r="CV377" s="822">
        <f>+CV369-CV371-CV374-CV375-CV372-CV373</f>
        <v>0.17280723479061824</v>
      </c>
      <c r="CW377" s="810">
        <f>+CW369-CW371-CW374-CW375-CW372-CW373</f>
        <v>0.17310953246901814</v>
      </c>
      <c r="CX377" s="947"/>
      <c r="CY377" s="821">
        <f>+CY369-CY371-CY374-CY375-CY372-CY373</f>
        <v>0.15101190744284088</v>
      </c>
      <c r="CZ377" s="822">
        <f>+CZ369-CZ371-CZ374-CZ375-CZ372-CZ373</f>
        <v>0.16397568506177992</v>
      </c>
      <c r="DA377" s="822">
        <f>+DA369-DA371-DA374-DA375-DA372-DA373</f>
        <v>0.14034680017635009</v>
      </c>
      <c r="DB377" s="822">
        <f>+DB369-DB371-DB374-DB375-DB372-DB373</f>
        <v>0.16274523396583854</v>
      </c>
      <c r="DC377" s="810">
        <f>+DC369-DC371-DC374-DC375-DC372-DC373</f>
        <v>0.15493006441138588</v>
      </c>
      <c r="DD377" s="881"/>
      <c r="DE377" s="821">
        <f>+DE369-DE371-DE374-DE375-DE372-DE373</f>
        <v>0.1494008579545385</v>
      </c>
      <c r="DF377" s="822">
        <f>+DF369-DF371-DF374-DF375-DF372-DF373</f>
        <v>0.16995511759965659</v>
      </c>
      <c r="DG377" s="822">
        <f>+DG369-DG371-DG374-DG375-DG372-DG373</f>
        <v>0.16502438470697597</v>
      </c>
      <c r="DH377" s="822">
        <f>+DH369-DH371-DH374-DH375-DH372-DH373</f>
        <v>0.15506503470182023</v>
      </c>
      <c r="DI377" s="810">
        <f>+DI369-DI371-DI374-DI375-DI372-DI373</f>
        <v>0.16397294150077443</v>
      </c>
      <c r="DJ377" s="881"/>
      <c r="DK377" s="821">
        <f>+DK369-DK371-DK374-DK375-DK372-DK373</f>
        <v>0.15271837067616775</v>
      </c>
      <c r="DL377" s="822">
        <f>+DL369-DL371-DL374-DL375-DL372-DL373</f>
        <v>0.16132323636450299</v>
      </c>
      <c r="DM377" s="822">
        <f>+DM369-DM371-DM374-DM375-DM372-DM373</f>
        <v>0.16778120003801619</v>
      </c>
      <c r="DN377" s="822">
        <f>+DN369-DN371-DN374-DN375-DN372-DN373</f>
        <v>0.19198152722867612</v>
      </c>
      <c r="DO377" s="810">
        <f>+DO369-DO371-DO374-DO375-DO372-DO373</f>
        <v>0.16923970251532472</v>
      </c>
      <c r="DP377" s="881"/>
      <c r="DQ377" s="821">
        <f>+DQ369-DQ371-DQ374-DQ375-DQ372-DQ373</f>
        <v>0.16483647165613971</v>
      </c>
      <c r="DR377" s="822">
        <f>+DR369-DR371-DR374-DR375-DR372-DR373</f>
        <v>0.17716417393826775</v>
      </c>
      <c r="DS377" s="822">
        <f>+DS369-DS371-DS374-DS375-DS372-DS373</f>
        <v>0.17682960078297755</v>
      </c>
      <c r="DT377" s="822">
        <f>+DT369-DT371-DT374-DT375-DT372-DT373</f>
        <v>0.20229870179943771</v>
      </c>
      <c r="DU377" s="810">
        <f>+DU369-DU371-DU374-DU375-DU372-DU373</f>
        <v>0.1810041113911193</v>
      </c>
      <c r="DV377" s="881"/>
      <c r="DW377" s="821">
        <f>+DW369-DW371-DW374-DW375-DW372-DW373</f>
        <v>0.17446729038847011</v>
      </c>
      <c r="DX377" s="822">
        <f>+DX369-DX371-DX374-DX375-DX372-DX373</f>
        <v>0.18606548142708904</v>
      </c>
      <c r="DY377" s="822">
        <f>+DY369-DY371-DY374-DY375-DY372-DY373</f>
        <v>0.1858377000285738</v>
      </c>
      <c r="DZ377" s="822">
        <f>+DZ369-DZ371-DZ374-DZ375-DZ372-DZ373</f>
        <v>0.20987967490657738</v>
      </c>
      <c r="EA377" s="810">
        <f>+EA369-EA371-EA374-EA375-EA372-EA373</f>
        <v>0.18974445896128297</v>
      </c>
      <c r="EB377" s="881"/>
      <c r="EC377" s="821">
        <f t="shared" ref="EC377:EG377" si="776">+EC369-EC371-EC374-EC375-EC372-EC373</f>
        <v>0.18355975582468687</v>
      </c>
      <c r="ED377" s="822">
        <f t="shared" si="776"/>
        <v>0.19447127187763288</v>
      </c>
      <c r="EE377" s="822">
        <f t="shared" si="776"/>
        <v>0.19434831084890281</v>
      </c>
      <c r="EF377" s="822">
        <f t="shared" si="776"/>
        <v>0.21704292591551394</v>
      </c>
      <c r="EG377" s="810">
        <f t="shared" si="776"/>
        <v>0.19799987199319899</v>
      </c>
    </row>
    <row r="378" spans="1:137" s="384" customFormat="1" ht="11.25" customHeight="1" x14ac:dyDescent="0.2">
      <c r="A378" s="907" t="s">
        <v>532</v>
      </c>
      <c r="B378" s="14"/>
      <c r="C378" s="14"/>
      <c r="D378" s="14"/>
      <c r="E378" s="371"/>
      <c r="F378" s="355"/>
      <c r="G378" s="371"/>
      <c r="H378" s="355"/>
      <c r="I378" s="371"/>
      <c r="J378" s="355"/>
      <c r="K378" s="371"/>
      <c r="L378" s="355"/>
      <c r="M378" s="354"/>
      <c r="N378" s="355"/>
      <c r="O378" s="355"/>
      <c r="P378" s="355"/>
      <c r="Q378" s="371"/>
      <c r="R378" s="355"/>
      <c r="S378" s="354"/>
      <c r="T378" s="355"/>
      <c r="U378" s="355"/>
      <c r="V378" s="355"/>
      <c r="W378" s="371"/>
      <c r="X378" s="355"/>
      <c r="Y378" s="354"/>
      <c r="Z378" s="355"/>
      <c r="AA378" s="355"/>
      <c r="AB378" s="355"/>
      <c r="AC378" s="371"/>
      <c r="AD378" s="355"/>
      <c r="AE378" s="354"/>
      <c r="AF378" s="355"/>
      <c r="AG378" s="355"/>
      <c r="AH378" s="355"/>
      <c r="AI378" s="371"/>
      <c r="AJ378" s="355"/>
      <c r="AK378" s="354"/>
      <c r="AL378" s="355"/>
      <c r="AM378" s="355"/>
      <c r="AN378" s="355"/>
      <c r="AO378" s="371"/>
      <c r="AP378" s="355"/>
      <c r="AQ378" s="354"/>
      <c r="AR378" s="355"/>
      <c r="AS378" s="355"/>
      <c r="AT378" s="355"/>
      <c r="AU378" s="371"/>
      <c r="AV378" s="355"/>
      <c r="AW378" s="354"/>
      <c r="AX378" s="355"/>
      <c r="AY378" s="355"/>
      <c r="AZ378" s="355"/>
      <c r="BA378" s="371"/>
      <c r="BB378" s="355"/>
      <c r="BC378" s="354"/>
      <c r="BD378" s="355"/>
      <c r="BE378" s="355"/>
      <c r="BF378" s="355"/>
      <c r="BG378" s="371"/>
      <c r="BH378" s="355"/>
      <c r="BI378" s="354"/>
      <c r="BJ378" s="355"/>
      <c r="BK378" s="355"/>
      <c r="BL378" s="355"/>
      <c r="BM378" s="371"/>
      <c r="BN378" s="355"/>
      <c r="BO378" s="354"/>
      <c r="BP378" s="355"/>
      <c r="BQ378" s="355"/>
      <c r="BR378" s="355"/>
      <c r="BS378" s="371"/>
      <c r="BT378" s="357"/>
      <c r="BU378" s="456">
        <f>+BU377-BO369</f>
        <v>-5.1596437550596557</v>
      </c>
      <c r="BV378" s="345">
        <f>+BV377-BP369</f>
        <v>4.698281506056029E-3</v>
      </c>
      <c r="BW378" s="345">
        <f>+BW377-BQ369</f>
        <v>-6.5640252388988185E-3</v>
      </c>
      <c r="BX378" s="345">
        <f>+BX377-BR369</f>
        <v>-2.4547054736293317E-3</v>
      </c>
      <c r="BY378" s="458">
        <f>+BY377-BS369</f>
        <v>4.8912881630470972E-3</v>
      </c>
      <c r="BZ378" s="357"/>
      <c r="CA378" s="456">
        <f>+CA377-BU369</f>
        <v>-2.3268014073389298E-3</v>
      </c>
      <c r="CB378" s="345">
        <f>+CB377-BV369</f>
        <v>-1.4950217235269875E-3</v>
      </c>
      <c r="CC378" s="345">
        <f>+CC377-BW369</f>
        <v>2.88819001811398E-2</v>
      </c>
      <c r="CD378" s="345">
        <f>+CD377-BX369</f>
        <v>2.8068830410822254E-2</v>
      </c>
      <c r="CE378" s="458">
        <f>+CE377-BY369</f>
        <v>1.6355661905873259E-2</v>
      </c>
      <c r="CF378" s="357"/>
      <c r="CG378" s="456">
        <f>+CG377-CA369</f>
        <v>-3.4441168505625064E-4</v>
      </c>
      <c r="CH378" s="345">
        <f>+CH377-CB369</f>
        <v>8.1437658372002231E-3</v>
      </c>
      <c r="CI378" s="345">
        <f>+CI377-CC369</f>
        <v>1.2316152483142218E-2</v>
      </c>
      <c r="CJ378" s="345">
        <f>+CJ377-CD369</f>
        <v>3.3635057841059079E-3</v>
      </c>
      <c r="CK378" s="458">
        <f>+CK377-CE369</f>
        <v>6.4891270007372825E-3</v>
      </c>
      <c r="CL378" s="357"/>
      <c r="CM378" s="456">
        <f>+CM377-CG369</f>
        <v>1.1099064195796926E-2</v>
      </c>
      <c r="CN378" s="345">
        <f>+CN377-CH369</f>
        <v>-1.3358889657747453E-3</v>
      </c>
      <c r="CO378" s="345">
        <f>+CO377-CI369</f>
        <v>1.1503786934795118E-2</v>
      </c>
      <c r="CP378" s="345">
        <f>+CP377-CJ369</f>
        <v>2.0237747102750309E-2</v>
      </c>
      <c r="CQ378" s="458">
        <f>+CQ377-CK369</f>
        <v>1.0616034999199858E-2</v>
      </c>
      <c r="CR378" s="357"/>
      <c r="CS378" s="456">
        <f>+CS377-CM369</f>
        <v>1.5357608173674681E-2</v>
      </c>
      <c r="CT378" s="345">
        <f>+CT377-CN369</f>
        <v>2.4421206613037261E-2</v>
      </c>
      <c r="CU378" s="345">
        <f>+CU377-CO369</f>
        <v>3.5645905070991191E-3</v>
      </c>
      <c r="CV378" s="345">
        <f>+CV377-CP369</f>
        <v>1.3785173029761844E-2</v>
      </c>
      <c r="CW378" s="458">
        <f>+CW377-CQ369</f>
        <v>1.4174057237977461E-2</v>
      </c>
      <c r="CX378" s="357"/>
      <c r="CY378" s="456">
        <f>+CY377-CS369</f>
        <v>1.0763802687499741E-2</v>
      </c>
      <c r="CZ378" s="345">
        <f>+CZ377-CT369</f>
        <v>-7.1484085295068223E-3</v>
      </c>
      <c r="DA378" s="345">
        <f>+DA377-CU369</f>
        <v>3.68032332423468E-3</v>
      </c>
      <c r="DB378" s="345">
        <f>+DB377-CV369</f>
        <v>1.2016573313513829E-2</v>
      </c>
      <c r="DC378" s="458">
        <f>+DC377-CW369</f>
        <v>5.1278653910376282E-3</v>
      </c>
      <c r="DD378" s="357"/>
      <c r="DE378" s="456">
        <f>+DE377-CY369</f>
        <v>-6.8387893531244859E-3</v>
      </c>
      <c r="DF378" s="345">
        <f>+DF377-CZ369</f>
        <v>2.5537172837604705E-3</v>
      </c>
      <c r="DG378" s="345">
        <f>+DG377-DA369</f>
        <v>-4.1631954580733932E-3</v>
      </c>
      <c r="DH378" s="345">
        <f>+DH377-DB369</f>
        <v>-3.8687174522708812E-3</v>
      </c>
      <c r="DI378" s="458">
        <f>+DI377-DC369</f>
        <v>1.0280995351770461E-3</v>
      </c>
      <c r="DJ378" s="357"/>
      <c r="DK378" s="456">
        <f>+DK377-DE369</f>
        <v>6.0127093118289843E-3</v>
      </c>
      <c r="DL378" s="345">
        <f>+DL377-DF369</f>
        <v>1.1503941892096609E-2</v>
      </c>
      <c r="DM378" s="345">
        <f>+DM377-DG369</f>
        <v>-1.6632878138220231E-4</v>
      </c>
      <c r="DN378" s="345">
        <f>+DN377-DH369</f>
        <v>7.5231439186106974E-3</v>
      </c>
      <c r="DO378" s="458">
        <f>+DO377-DI369</f>
        <v>1.8992659560793379E-3</v>
      </c>
      <c r="DP378" s="357"/>
      <c r="DQ378" s="456">
        <f>+DQ377-DK369</f>
        <v>6.5964921016822831E-3</v>
      </c>
      <c r="DR378" s="345">
        <f>+DR377-DL369</f>
        <v>5.431761638898247E-3</v>
      </c>
      <c r="DS378" s="345">
        <f>+DS377-DM369</f>
        <v>3.9923094492553268E-3</v>
      </c>
      <c r="DT378" s="345">
        <f>+DT377-DN369</f>
        <v>3.0270757785192115E-3</v>
      </c>
      <c r="DU378" s="458">
        <f>+DU377-DO369</f>
        <v>4.6633151451643262E-3</v>
      </c>
      <c r="DV378" s="357"/>
      <c r="DW378" s="456">
        <f>+DW377-DQ369</f>
        <v>5.3448627733601872E-3</v>
      </c>
      <c r="DX378" s="345">
        <f>+DX377-DR369</f>
        <v>4.8321479477745621E-3</v>
      </c>
      <c r="DY378" s="345">
        <f>+DY377-DS369</f>
        <v>4.8370745723491926E-3</v>
      </c>
      <c r="DZ378" s="345">
        <f>+DZ377-DT369</f>
        <v>3.8492487911267748E-3</v>
      </c>
      <c r="EA378" s="458">
        <f>+EA377-DU369</f>
        <v>4.6869781039500513E-3</v>
      </c>
      <c r="EB378" s="357"/>
      <c r="EC378" s="456">
        <f t="shared" ref="EC378:EG378" si="777">+EC377-DW369</f>
        <v>4.9594410488998375E-3</v>
      </c>
      <c r="ED378" s="345">
        <f t="shared" si="777"/>
        <v>4.4757750498982396E-3</v>
      </c>
      <c r="EE378" s="345">
        <f t="shared" si="777"/>
        <v>4.4760647614424387E-3</v>
      </c>
      <c r="EF378" s="345">
        <f t="shared" si="777"/>
        <v>3.5454451071448567E-3</v>
      </c>
      <c r="EG378" s="458">
        <f t="shared" si="777"/>
        <v>4.336935987634849E-3</v>
      </c>
    </row>
    <row r="379" spans="1:137" ht="11.25" customHeight="1" x14ac:dyDescent="0.2">
      <c r="A379" s="908" t="s">
        <v>533</v>
      </c>
      <c r="B379" s="539"/>
      <c r="C379" s="539"/>
      <c r="D379" s="539"/>
      <c r="E379" s="545"/>
      <c r="F379" s="541"/>
      <c r="G379" s="545"/>
      <c r="H379" s="541"/>
      <c r="I379" s="545"/>
      <c r="J379" s="541"/>
      <c r="K379" s="545"/>
      <c r="L379" s="541"/>
      <c r="M379" s="546"/>
      <c r="N379" s="547"/>
      <c r="O379" s="547"/>
      <c r="P379" s="547"/>
      <c r="Q379" s="545"/>
      <c r="R379" s="541"/>
      <c r="S379" s="546"/>
      <c r="T379" s="547"/>
      <c r="U379" s="547"/>
      <c r="V379" s="547"/>
      <c r="W379" s="545"/>
      <c r="X379" s="541"/>
      <c r="Y379" s="546"/>
      <c r="Z379" s="547"/>
      <c r="AA379" s="547"/>
      <c r="AB379" s="547"/>
      <c r="AC379" s="545"/>
      <c r="AD379" s="541"/>
      <c r="AE379" s="546"/>
      <c r="AF379" s="547"/>
      <c r="AG379" s="547"/>
      <c r="AH379" s="547"/>
      <c r="AI379" s="545"/>
      <c r="AJ379" s="541"/>
      <c r="AK379" s="546"/>
      <c r="AL379" s="547"/>
      <c r="AM379" s="547"/>
      <c r="AN379" s="547"/>
      <c r="AO379" s="545"/>
      <c r="AP379" s="541"/>
      <c r="AQ379" s="546"/>
      <c r="AR379" s="547"/>
      <c r="AS379" s="547"/>
      <c r="AT379" s="547"/>
      <c r="AU379" s="545"/>
      <c r="AV379" s="541"/>
      <c r="AW379" s="546"/>
      <c r="AX379" s="547"/>
      <c r="AY379" s="547"/>
      <c r="AZ379" s="547"/>
      <c r="BA379" s="545"/>
      <c r="BB379" s="541"/>
      <c r="BC379" s="546"/>
      <c r="BD379" s="547"/>
      <c r="BE379" s="547"/>
      <c r="BF379" s="547"/>
      <c r="BG379" s="545"/>
      <c r="BH379" s="541"/>
      <c r="BI379" s="546"/>
      <c r="BJ379" s="547"/>
      <c r="BK379" s="547"/>
      <c r="BL379" s="547"/>
      <c r="BM379" s="545"/>
      <c r="BN379" s="541"/>
      <c r="BO379" s="443"/>
      <c r="BP379" s="444"/>
      <c r="BQ379" s="444"/>
      <c r="BR379" s="444"/>
      <c r="BS379" s="545"/>
      <c r="BT379" s="541"/>
      <c r="BU379" s="916">
        <f>+((BU377*(BO343*(1+BU19)))-(BO369*BO343))/((BU19*BO343))</f>
        <v>-67.216710850336455</v>
      </c>
      <c r="BV379" s="915">
        <f>+((BV377*(BP343*(1+BV19)))-(BP369*BP343))/((BV19*BP343))</f>
        <v>0.18947940965039275</v>
      </c>
      <c r="BW379" s="915">
        <f>+((BW377*(BQ343*(1+BW19)))-(BQ369*BQ343))/((BW19*BQ343))</f>
        <v>4.4445590158975992E-2</v>
      </c>
      <c r="BX379" s="915">
        <f>+((BX377*(BR343*(1+BX19)))-(BR369*BR343))/((BX19*BR343))</f>
        <v>9.7911667232649116E-2</v>
      </c>
      <c r="BY379" s="917">
        <f>+((BY377*(BS343*(1+BY19)))-(BS369*BS343))/((BY19*BS343))</f>
        <v>0.21220229331547599</v>
      </c>
      <c r="BZ379" s="541"/>
      <c r="CA379" s="916">
        <f>+((CA377*(BU343*(1+CA19)))-(BU369*BU343))/((CA19*BU343))</f>
        <v>1.2068204013010243E-3</v>
      </c>
      <c r="CB379" s="915">
        <f>+((CB377*(BV343*(1+CB19)))-(BV369*BV343))/((CB19*BV343))</f>
        <v>8.7275917837576281E-2</v>
      </c>
      <c r="CC379" s="915">
        <f>+((CC377*(BW343*(1+CC19)))-(BW369*BW343))/((CC19*BW343))</f>
        <v>1.0305500628875106</v>
      </c>
      <c r="CD379" s="915">
        <f>+((CD377*(BX343*(1+CD19)))-(BX369*BX343))/((CD19*BX343))</f>
        <v>0.64644263287389025</v>
      </c>
      <c r="CE379" s="917">
        <f>+((CE377*(BY343*(1+CE19)))-(BY369*BY343))/((CE19*BY343))</f>
        <v>0.54951400808147266</v>
      </c>
      <c r="CF379" s="541"/>
      <c r="CG379" s="916">
        <f>+((CG377*(CA343*(1+CG19)))-(CA369*CA343))/((CG19*CA343))</f>
        <v>0.12706219601833957</v>
      </c>
      <c r="CH379" s="915">
        <f>+((CH377*(CB343*(1+CH19)))-(CB369*CB343))/((CH19*CB343))</f>
        <v>0.33631709162160223</v>
      </c>
      <c r="CI379" s="915">
        <f>+((CI377*(CC343*(1+CI19)))-(CC369*CC343))/((CI19*CC343))</f>
        <v>0.41956474847335612</v>
      </c>
      <c r="CJ379" s="915">
        <f>+((CJ377*(CD343*(1+CJ19)))-(CD369*CD343))/((CJ19*CD343))</f>
        <v>0.25154772071236831</v>
      </c>
      <c r="CK379" s="917">
        <f>+((CK377*(CE343*(1+CK19)))-(CE369*CE343))/((CK19*CE343))</f>
        <v>0.3160148886674915</v>
      </c>
      <c r="CL379" s="541"/>
      <c r="CM379" s="916">
        <f>+((CM377*(CG343*(1+CM19)))-(CG369*CG343))/((CM19*CG343))</f>
        <v>0.40728018758051526</v>
      </c>
      <c r="CN379" s="915">
        <f>+((CN377*(CH343*(1+CN19)))-(CH369*CH343))/((CN19*CH343))</f>
        <v>0.12326565812432516</v>
      </c>
      <c r="CO379" s="915">
        <f>+((CO377*(CI343*(1+CO19)))-(CI369*CI343))/((CO19*CI343))</f>
        <v>0.49825807803619826</v>
      </c>
      <c r="CP379" s="915">
        <f>+((CP377*(CJ343*(1+CP19)))-(CJ369*CJ343))/((CP19*CJ343))</f>
        <v>0.63826535831765985</v>
      </c>
      <c r="CQ379" s="917">
        <f>+((CQ377*(CK343*(1+CQ19)))-(CK369*CK343))/((CQ19*CK343))</f>
        <v>0.42774518353403451</v>
      </c>
      <c r="CR379" s="541"/>
      <c r="CS379" s="916">
        <f>+((CS377*(CM343*(1+CS19)))-(CM369*CM343))/((CS19*CM343))</f>
        <v>0.59862330510242878</v>
      </c>
      <c r="CT379" s="915">
        <f>+((CT377*(CN343*(1+CT19)))-(CN369*CN343))/((CT19*CN343))</f>
        <v>0.73078063738214472</v>
      </c>
      <c r="CU379" s="915">
        <f>+((CU377*(CO343*(1+CU19)))-(CO369*CO343))/((CU19*CO343))</f>
        <v>0.29000194469644047</v>
      </c>
      <c r="CV379" s="915">
        <f>+((CV377*(CP343*(1+CV19)))-(CP369*CP343))/((CV19*CP343))</f>
        <v>0.57951395814140072</v>
      </c>
      <c r="CW379" s="917">
        <f>+((CW377*(CQ343*(1+CW19)))-(CQ369*CQ343))/((CW19*CQ343))</f>
        <v>0.56750553079760302</v>
      </c>
      <c r="CX379" s="541"/>
      <c r="CY379" s="916">
        <f>+((CY377*(CS343*(1+CY19)))-(CS369*CS343))/((CY19*CS343))</f>
        <v>0.58156401494283061</v>
      </c>
      <c r="CZ379" s="915">
        <f>+((CZ377*(CT343*(1+CZ19)))-(CT369*CT343))/((CZ19*CT343))</f>
        <v>-7.4304599255113291E-2</v>
      </c>
      <c r="DA379" s="915">
        <f>+((DA377*(CU343*(1+DA19)))-(CU369*CU343))/((DA19*CU343))</f>
        <v>0.24549889515448345</v>
      </c>
      <c r="DB379" s="915">
        <f>+((DB377*(CV343*(1+DB19)))-(CV369*CV343))/((DB19*CV343))</f>
        <v>0.56329767774963324</v>
      </c>
      <c r="DC379" s="917">
        <f>+((DC377*(CW343*(1+DC19)))-(CW369*CW343))/((DC19*CW343))</f>
        <v>0.3252296442531743</v>
      </c>
      <c r="DD379" s="541"/>
      <c r="DE379" s="916">
        <f>+((DE377*(CY343*(1+DE19)))-(CY369*CY343))/((DE19*CY343))</f>
        <v>-7.8558787149610537E-2</v>
      </c>
      <c r="DF379" s="915">
        <f>+((DF377*(CZ343*(1+DF19)))-(CZ369*CZ343))/((DF19*CZ343))</f>
        <v>0.28603317595240496</v>
      </c>
      <c r="DG379" s="915">
        <f>+((DG377*(DA343*(1+DG19)))-(DA369*DA343))/((DG19*DA343))</f>
        <v>2.625120277119506E-2</v>
      </c>
      <c r="DH379" s="915">
        <f>+((DH377*(DB343*(1+DH19)))-(DB369*DB343))/((DH19*DB343))</f>
        <v>8.4724717387803988E-2</v>
      </c>
      <c r="DI379" s="917">
        <f>+((DI377*(DC343*(1+DI19)))-(DC369*DC343))/((DI19*DC343))</f>
        <v>0.19353430757836937</v>
      </c>
      <c r="DJ379" s="541"/>
      <c r="DK379" s="916">
        <f>+((DK377*(DE343*(1+DK19)))-(DE369*DE343))/((DK19*DE343))</f>
        <v>0.26204035816396681</v>
      </c>
      <c r="DL379" s="915">
        <f>+((DL377*(DF343*(1+DL19)))-(DF369*DF343))/((DL19*DF343))</f>
        <v>0.40015663334913693</v>
      </c>
      <c r="DM379" s="915">
        <f>+((DM377*(DG343*(1+DM19)))-(DG369*DG343))/((DM19*DG343))</f>
        <v>0.16395957345881831</v>
      </c>
      <c r="DN379" s="915">
        <f>+((DN377*(DH343*(1+DN19)))-(DH369*DH343))/((DN19*DH343))</f>
        <v>0.4254371173553092</v>
      </c>
      <c r="DO379" s="917">
        <f>+((DO377*(DI343*(1+DO19)))-(DI369*DI343))/((DO19*DI343))</f>
        <v>0.21224411524229245</v>
      </c>
      <c r="DP379" s="541"/>
      <c r="DQ379" s="916">
        <f>+((DQ377*(DK343*(1+DQ19)))-(DK369*DK343))/((DQ19*DK343))</f>
        <v>0.38883132987827823</v>
      </c>
      <c r="DR379" s="915">
        <f>+((DR377*(DL343*(1+DR19)))-(DL369*DL343))/((DR19*DL343))</f>
        <v>0.31573749940494988</v>
      </c>
      <c r="DS379" s="915">
        <f>+((DS377*(DM343*(1+DS19)))-(DM369*DM343))/((DS19*DM343))</f>
        <v>0.27844682496721862</v>
      </c>
      <c r="DT379" s="915">
        <f>+((DT377*(DN343*(1+DT19)))-(DN369*DN343))/((DT19*DN343))</f>
        <v>0.27973680426123948</v>
      </c>
      <c r="DU379" s="917">
        <f>+((DU377*(DO343*(1+DU19)))-(DO369*DO343))/((DU19*DO343))</f>
        <v>0.30740918171743331</v>
      </c>
      <c r="DV379" s="541"/>
      <c r="DW379" s="916">
        <f>+((DW377*(DQ343*(1+DW19)))-(DQ369*DQ343))/((DW19*DQ343))</f>
        <v>0.29938187950484502</v>
      </c>
      <c r="DX379" s="915">
        <f>+((DX377*(DR343*(1+DX19)))-(DR369*DR343))/((DX19*DR343))</f>
        <v>0.29899181370665306</v>
      </c>
      <c r="DY379" s="915">
        <f>+((DY377*(DS343*(1+DY19)))-(DS369*DS343))/((DY19*DS343))</f>
        <v>0.29885199531453338</v>
      </c>
      <c r="DZ379" s="915">
        <f>+((DZ377*(DT343*(1+DZ19)))-(DT369*DT343))/((DZ19*DT343))</f>
        <v>0.29994457867288354</v>
      </c>
      <c r="EA379" s="917">
        <f>+((EA377*(DU343*(1+EA19)))-(DU369*DU343))/((EA19*DU343))</f>
        <v>0.2993090771018963</v>
      </c>
      <c r="EB379" s="541"/>
      <c r="EC379" s="916">
        <f t="shared" ref="EC379:EG379" si="778">+((EC377*(DW343*(1+EC19)))-(DW369*DW343))/((EC19*DW343))</f>
        <v>0.2993556462736936</v>
      </c>
      <c r="ED379" s="915">
        <f t="shared" si="778"/>
        <v>0.29896726845818594</v>
      </c>
      <c r="EE379" s="915">
        <f t="shared" si="778"/>
        <v>0.29882682398141569</v>
      </c>
      <c r="EF379" s="915">
        <f t="shared" si="778"/>
        <v>0.2999188774883742</v>
      </c>
      <c r="EG379" s="917">
        <f t="shared" si="778"/>
        <v>0.29928365661265754</v>
      </c>
    </row>
    <row r="380" spans="1:137" ht="11.25" customHeight="1" x14ac:dyDescent="0.2">
      <c r="A380" s="988"/>
      <c r="B380" s="539"/>
      <c r="C380" s="539"/>
      <c r="D380" s="539"/>
      <c r="E380" s="543"/>
      <c r="F380" s="541"/>
      <c r="G380" s="543"/>
      <c r="H380" s="541"/>
      <c r="I380" s="543"/>
      <c r="J380" s="541"/>
      <c r="K380" s="543"/>
      <c r="L380" s="541"/>
      <c r="M380" s="543"/>
      <c r="N380" s="543"/>
      <c r="O380" s="543"/>
      <c r="P380" s="543"/>
      <c r="Q380" s="543"/>
      <c r="R380" s="541"/>
      <c r="S380" s="543"/>
      <c r="T380" s="543"/>
      <c r="U380" s="543"/>
      <c r="V380" s="543"/>
      <c r="W380" s="543"/>
      <c r="X380" s="541"/>
      <c r="Y380" s="543"/>
      <c r="Z380" s="543"/>
      <c r="AA380" s="543"/>
      <c r="AB380" s="543"/>
      <c r="AC380" s="543"/>
      <c r="AD380" s="541"/>
      <c r="AE380" s="543"/>
      <c r="AF380" s="543"/>
      <c r="AG380" s="543"/>
      <c r="AH380" s="543"/>
      <c r="AI380" s="543"/>
      <c r="AJ380" s="541"/>
      <c r="AK380" s="543"/>
      <c r="AL380" s="543"/>
      <c r="AM380" s="543"/>
      <c r="AN380" s="543"/>
      <c r="AO380" s="543"/>
      <c r="AP380" s="541"/>
      <c r="AQ380" s="543"/>
      <c r="AR380" s="543"/>
      <c r="AS380" s="543"/>
      <c r="AT380" s="543"/>
      <c r="AU380" s="543"/>
      <c r="AV380" s="541"/>
      <c r="AW380" s="543"/>
      <c r="AX380" s="543"/>
      <c r="AY380" s="543"/>
      <c r="AZ380" s="543"/>
      <c r="BA380" s="543"/>
      <c r="BB380" s="541"/>
      <c r="BC380" s="543"/>
      <c r="BD380" s="543"/>
      <c r="BE380" s="543"/>
      <c r="BF380" s="543"/>
      <c r="BG380" s="543"/>
      <c r="BH380" s="541"/>
      <c r="BI380" s="543"/>
      <c r="BJ380" s="543"/>
      <c r="BK380" s="543"/>
      <c r="BL380" s="543"/>
      <c r="BM380" s="543"/>
      <c r="BN380" s="541"/>
      <c r="BO380" s="347"/>
      <c r="BP380" s="347"/>
      <c r="BQ380" s="347"/>
      <c r="BR380" s="347"/>
      <c r="BS380" s="543"/>
      <c r="BT380" s="541"/>
      <c r="BU380" s="989"/>
      <c r="BV380" s="989"/>
      <c r="BW380" s="989"/>
      <c r="BX380" s="989"/>
      <c r="BY380" s="989"/>
      <c r="BZ380" s="541"/>
      <c r="CA380" s="989"/>
      <c r="CB380" s="989"/>
      <c r="CC380" s="989"/>
      <c r="CD380" s="989"/>
      <c r="CE380" s="989"/>
      <c r="CF380" s="541"/>
      <c r="CG380" s="989"/>
      <c r="CH380" s="989"/>
      <c r="CI380" s="989"/>
      <c r="CJ380" s="989"/>
      <c r="CK380" s="989"/>
      <c r="CL380" s="541"/>
      <c r="CM380" s="989"/>
      <c r="CN380" s="989"/>
      <c r="CO380" s="989"/>
      <c r="CP380" s="989"/>
      <c r="CQ380" s="989"/>
      <c r="CR380" s="541"/>
      <c r="CS380" s="989"/>
      <c r="CT380" s="989"/>
      <c r="CU380" s="989"/>
      <c r="CV380" s="989"/>
      <c r="CW380" s="989"/>
      <c r="CX380" s="541"/>
      <c r="CY380" s="989"/>
      <c r="CZ380" s="989"/>
      <c r="DA380" s="989"/>
      <c r="DB380" s="989"/>
      <c r="DC380" s="989"/>
      <c r="DD380" s="541"/>
      <c r="DE380" s="989"/>
      <c r="DF380" s="989"/>
      <c r="DG380" s="989"/>
      <c r="DH380" s="989"/>
      <c r="DI380" s="989"/>
      <c r="DJ380" s="541"/>
      <c r="DK380" s="989"/>
      <c r="DL380" s="989"/>
      <c r="DM380" s="989"/>
      <c r="DN380" s="989"/>
      <c r="DO380" s="989"/>
      <c r="DP380" s="541"/>
      <c r="DQ380" s="989"/>
      <c r="DR380" s="989"/>
      <c r="DS380" s="989"/>
      <c r="DT380" s="989"/>
      <c r="DU380" s="989"/>
      <c r="DV380" s="541"/>
      <c r="DW380" s="989"/>
      <c r="DX380" s="989"/>
      <c r="DY380" s="989"/>
      <c r="DZ380" s="989"/>
      <c r="EA380" s="989"/>
      <c r="EB380" s="541"/>
      <c r="EC380" s="989"/>
      <c r="ED380" s="989"/>
      <c r="EE380" s="989"/>
      <c r="EF380" s="989"/>
      <c r="EG380" s="989"/>
    </row>
    <row r="381" spans="1:137" ht="11.25" customHeight="1" outlineLevel="1" x14ac:dyDescent="0.2">
      <c r="A381" s="988" t="s">
        <v>567</v>
      </c>
      <c r="B381" s="539"/>
      <c r="C381" s="539"/>
      <c r="D381" s="539"/>
      <c r="E381" s="543"/>
      <c r="F381" s="541"/>
      <c r="G381" s="543"/>
      <c r="H381" s="541"/>
      <c r="I381" s="543"/>
      <c r="J381" s="541"/>
      <c r="K381" s="543"/>
      <c r="L381" s="541"/>
      <c r="M381" s="543"/>
      <c r="N381" s="543"/>
      <c r="O381" s="543"/>
      <c r="P381" s="543"/>
      <c r="Q381" s="543"/>
      <c r="R381" s="541"/>
      <c r="S381" s="543"/>
      <c r="T381" s="543"/>
      <c r="U381" s="543"/>
      <c r="V381" s="543"/>
      <c r="W381" s="543"/>
      <c r="X381" s="541"/>
      <c r="Y381" s="543"/>
      <c r="Z381" s="543"/>
      <c r="AA381" s="543"/>
      <c r="AB381" s="543"/>
      <c r="AC381" s="543"/>
      <c r="AD381" s="541"/>
      <c r="AE381" s="543"/>
      <c r="AF381" s="543"/>
      <c r="AG381" s="543"/>
      <c r="AH381" s="543"/>
      <c r="AI381" s="543"/>
      <c r="AJ381" s="541"/>
      <c r="AK381" s="543"/>
      <c r="AL381" s="543"/>
      <c r="AM381" s="543"/>
      <c r="AN381" s="543"/>
      <c r="AO381" s="543"/>
      <c r="AP381" s="541"/>
      <c r="AQ381" s="543"/>
      <c r="AR381" s="543"/>
      <c r="AS381" s="543"/>
      <c r="AT381" s="543"/>
      <c r="AU381" s="543"/>
      <c r="AV381" s="541"/>
      <c r="AW381" s="543"/>
      <c r="AX381" s="543"/>
      <c r="AY381" s="543"/>
      <c r="AZ381" s="543"/>
      <c r="BA381" s="543"/>
      <c r="BB381" s="541"/>
      <c r="BC381" s="543"/>
      <c r="BD381" s="543"/>
      <c r="BE381" s="543"/>
      <c r="BF381" s="543"/>
      <c r="BG381" s="543"/>
      <c r="BH381" s="541"/>
      <c r="BI381" s="543"/>
      <c r="BJ381" s="543"/>
      <c r="BK381" s="543"/>
      <c r="BL381" s="543"/>
      <c r="BM381" s="543"/>
      <c r="BN381" s="541"/>
      <c r="BO381" s="347"/>
      <c r="BP381" s="347"/>
      <c r="BQ381" s="347"/>
      <c r="BR381" s="347"/>
      <c r="BS381" s="543"/>
      <c r="BT381" s="541"/>
      <c r="BU381" s="858">
        <f>+BU324+BU160+BU83+BU226+BU32</f>
        <v>234.26181664215295</v>
      </c>
      <c r="BV381" s="858">
        <f>+BV324+BV160+BV83+BV226+BV32</f>
        <v>273.17125885470011</v>
      </c>
      <c r="BW381" s="858">
        <f>+BW324+BW160+BW83+BW226+BW32</f>
        <v>430.58063044289509</v>
      </c>
      <c r="BX381" s="858">
        <f>+BX324+BX160+BX83+BX226+BX32</f>
        <v>444.1360736133214</v>
      </c>
      <c r="BY381" s="991">
        <f>+BY324+BY160+BY83+BY226+BY32</f>
        <v>1344.2412640485752</v>
      </c>
      <c r="BZ381" s="541"/>
      <c r="CA381" s="858">
        <f>+CA324+CA160+CA83+CA226+CA32</f>
        <v>408.23488833772814</v>
      </c>
      <c r="CB381" s="858">
        <f>+CB324+CB160+CB83+CB226+CB32</f>
        <v>324.95429428435011</v>
      </c>
      <c r="CC381" s="858">
        <f>+CC324+CC160+CC83+CC226+CC32</f>
        <v>332.06286964355348</v>
      </c>
      <c r="CD381" s="858">
        <f>+CD324+CD160+CD83+CD226+CD32</f>
        <v>501.8323276681561</v>
      </c>
      <c r="CE381" s="991">
        <f>+CE324+CE160+CE83+CE226+CE32</f>
        <v>1516.0152895660863</v>
      </c>
      <c r="CF381" s="541"/>
      <c r="CG381" s="858">
        <f>+CG324+CG160+CG83+CG226+CG32</f>
        <v>385.48152218614928</v>
      </c>
      <c r="CH381" s="858">
        <f>+CH324+CH160+CH83+CH226+CH32</f>
        <v>471.59773640479682</v>
      </c>
      <c r="CI381" s="858">
        <f>+CI324+CI160+CI83+CI226+CI32</f>
        <v>477.10236713982033</v>
      </c>
      <c r="CJ381" s="858">
        <f>+CJ324+CJ160+CJ83+CJ226+CJ32</f>
        <v>594.83156205511432</v>
      </c>
      <c r="CK381" s="991">
        <f>+CK324+CK160+CK83+CK226+CK32</f>
        <v>1878.1200419678712</v>
      </c>
      <c r="CL381" s="541"/>
      <c r="CM381" s="858">
        <f>+CM324+CM160+CM83+CM226+CM32</f>
        <v>437.79746263166976</v>
      </c>
      <c r="CN381" s="858">
        <f>+CN324+CN160+CN83+CN226+CN32</f>
        <v>504.37217662218166</v>
      </c>
      <c r="CO381" s="858">
        <f>+CO324+CO160+CO83+CO226+CO32</f>
        <v>537.48995793225413</v>
      </c>
      <c r="CP381" s="858">
        <f>+CP324+CP160+CP83+CP226+CP32</f>
        <v>633.74802767829385</v>
      </c>
      <c r="CQ381" s="991">
        <f>+CQ324+CQ160+CQ83+CQ226+CQ32</f>
        <v>2060.1069967596313</v>
      </c>
      <c r="CR381" s="541"/>
      <c r="CS381" s="858">
        <f>+CS324+CS160+CS83+CS226+CS32</f>
        <v>464.4318562685628</v>
      </c>
      <c r="CT381" s="858">
        <f>+CT324+CT160+CT83+CT226+CT32</f>
        <v>594.81027840552349</v>
      </c>
      <c r="CU381" s="858">
        <f>+CU324+CU160+CU83+CU226+CU32</f>
        <v>564.5088635045604</v>
      </c>
      <c r="CV381" s="858">
        <f>+CV324+CV160+CV83+CV226+CV32</f>
        <v>745.98792910505415</v>
      </c>
      <c r="CW381" s="991">
        <f>+CW324+CW160+CW83+CW226+CW32</f>
        <v>2316.9147284745222</v>
      </c>
      <c r="CX381" s="541"/>
      <c r="CY381" s="858">
        <f>+CY324+CY160+CY83+CY226+CY32</f>
        <v>601.34815722021108</v>
      </c>
      <c r="CZ381" s="858">
        <f>+CZ324+CZ160+CZ83+CZ226+CZ32</f>
        <v>733.27530777814923</v>
      </c>
      <c r="DA381" s="858">
        <f>+DA324+DA160+DA83+DA226+DA32</f>
        <v>611.2356041137632</v>
      </c>
      <c r="DB381" s="858">
        <f>+DB324+DB160+DB83+DB226+DB32</f>
        <v>771.3012287288152</v>
      </c>
      <c r="DC381" s="991">
        <f>+DC324+DC160+DC83+DC226+DC32</f>
        <v>2646.9260198636425</v>
      </c>
      <c r="DD381" s="541"/>
      <c r="DE381" s="858">
        <f>+DE324+DE160+DE83+DE226+DE32</f>
        <v>640.41109734227075</v>
      </c>
      <c r="DF381" s="858">
        <f>+DF324+DF160+DF83+DF226+DF32</f>
        <v>781.89555612197</v>
      </c>
      <c r="DG381" s="858">
        <f>+DG324+DG160+DG83+DG226+DG32</f>
        <v>787.61750000000006</v>
      </c>
      <c r="DH381" s="858">
        <f>+DH324+DH160+DH83+DH226+DH32</f>
        <v>854.84019999999998</v>
      </c>
      <c r="DI381" s="991">
        <f>+DI324+DI160+DI83+DI226+DI32</f>
        <v>3068.2101411016656</v>
      </c>
      <c r="DJ381" s="541"/>
      <c r="DK381" s="858">
        <f>+DK324+DK160+DK83+DK226+DK32</f>
        <v>754.39324999999997</v>
      </c>
      <c r="DL381" s="858">
        <f>+DL324+DL160+DL83+DL226+DL32</f>
        <v>846.67385112525938</v>
      </c>
      <c r="DM381" s="858">
        <f>+DM324+DM160+DM83+DM226+DM32</f>
        <v>838.35817036357366</v>
      </c>
      <c r="DN381" s="858">
        <f>+DN324+DN160+DN83+DN226+DN32</f>
        <v>1083.699182697</v>
      </c>
      <c r="DO381" s="991">
        <f>+DO324+DO160+DO83+DO226+DO32</f>
        <v>3523.1252086042609</v>
      </c>
      <c r="DP381" s="541"/>
      <c r="DQ381" s="858">
        <f>+DQ324+DQ160+DQ83+DQ226+DQ32</f>
        <v>831.01285591471003</v>
      </c>
      <c r="DR381" s="858">
        <f>+DR324+DR160+DR83+DR226+DR32</f>
        <v>936.69450175582881</v>
      </c>
      <c r="DS381" s="858">
        <f>+DS324+DS160+DS83+DS226+DS32</f>
        <v>912.44778798650054</v>
      </c>
      <c r="DT381" s="858">
        <f>+DT324+DT160+DT83+DT226+DT32</f>
        <v>1164.2544783239418</v>
      </c>
      <c r="DU381" s="991">
        <f>+DU324+DU160+DU83+DU226+DU32</f>
        <v>3844.409623980981</v>
      </c>
      <c r="DV381" s="541"/>
      <c r="DW381" s="858">
        <f>+DW324+DW160+DW83+DW226+DW32</f>
        <v>915.13431627624288</v>
      </c>
      <c r="DX381" s="858">
        <f>+DX324+DX160+DX83+DX226+DX32</f>
        <v>1024.0005010559764</v>
      </c>
      <c r="DY381" s="858">
        <f>+DY324+DY160+DY83+DY226+DY32</f>
        <v>998.13822701194158</v>
      </c>
      <c r="DZ381" s="858">
        <f>+DZ324+DZ160+DZ83+DZ226+DZ32</f>
        <v>1258.0119481572931</v>
      </c>
      <c r="EA381" s="991">
        <f>+EA324+EA160+EA83+EA226+EA32</f>
        <v>4195.2849925014534</v>
      </c>
      <c r="EB381" s="541"/>
      <c r="EC381" s="858">
        <f t="shared" ref="EC381:EG381" si="779">+EC324+EC160+EC83+EC226+EC32</f>
        <v>997.17471445038109</v>
      </c>
      <c r="ED381" s="858">
        <f t="shared" si="779"/>
        <v>1109.4064849579895</v>
      </c>
      <c r="EE381" s="858">
        <f t="shared" si="779"/>
        <v>1081.7769862924094</v>
      </c>
      <c r="EF381" s="858">
        <f t="shared" si="779"/>
        <v>1344.0020318694012</v>
      </c>
      <c r="EG381" s="991">
        <f t="shared" si="779"/>
        <v>4532.3602175701808</v>
      </c>
    </row>
    <row r="382" spans="1:137" ht="11.25" customHeight="1" outlineLevel="1" x14ac:dyDescent="0.2">
      <c r="A382" s="2" t="s">
        <v>566</v>
      </c>
      <c r="B382" s="14"/>
      <c r="C382" s="14"/>
      <c r="D382" s="14"/>
      <c r="E382" s="71"/>
      <c r="F382" s="71"/>
      <c r="G382" s="71"/>
      <c r="H382" s="71"/>
      <c r="I382" s="71"/>
      <c r="J382" s="71"/>
      <c r="K382" s="71"/>
      <c r="L382" s="71"/>
      <c r="M382" s="71"/>
      <c r="N382" s="71"/>
      <c r="O382" s="71"/>
      <c r="P382" s="71"/>
      <c r="Q382" s="71"/>
      <c r="R382" s="71"/>
      <c r="S382" s="71"/>
      <c r="T382" s="71"/>
      <c r="U382" s="71"/>
      <c r="V382" s="71"/>
      <c r="W382" s="71"/>
      <c r="X382" s="71"/>
      <c r="Y382" s="71"/>
      <c r="Z382" s="71"/>
      <c r="AA382" s="71"/>
      <c r="AB382" s="71"/>
      <c r="AC382" s="71"/>
      <c r="AD382" s="71"/>
      <c r="AE382" s="71"/>
      <c r="AF382" s="71"/>
      <c r="AG382" s="71"/>
      <c r="AH382" s="71"/>
      <c r="AI382" s="71"/>
      <c r="AJ382" s="71"/>
      <c r="AK382" s="71"/>
      <c r="AL382" s="71"/>
      <c r="AM382" s="71"/>
      <c r="AN382" s="71"/>
      <c r="AO382" s="71"/>
      <c r="AP382" s="71"/>
      <c r="AQ382" s="71"/>
      <c r="AR382" s="71"/>
      <c r="AS382" s="71"/>
      <c r="AT382" s="71"/>
      <c r="AU382" s="71"/>
      <c r="AV382" s="71"/>
      <c r="AW382" s="71"/>
      <c r="AX382" s="71"/>
      <c r="AY382" s="71"/>
      <c r="AZ382" s="71"/>
      <c r="BA382" s="71"/>
      <c r="BB382" s="71"/>
      <c r="BC382" s="71"/>
      <c r="BD382" s="71"/>
      <c r="BE382" s="71"/>
      <c r="BF382" s="71"/>
      <c r="BG382" s="71"/>
      <c r="BH382" s="71"/>
      <c r="BI382" s="71"/>
      <c r="BJ382" s="71"/>
      <c r="BK382" s="71"/>
      <c r="BL382" s="71"/>
      <c r="BM382" s="71"/>
      <c r="BN382" s="71"/>
      <c r="BO382" s="71"/>
      <c r="BP382" s="71"/>
      <c r="BQ382" s="71"/>
      <c r="BR382" s="71"/>
      <c r="BS382" s="71"/>
      <c r="BT382" s="71"/>
      <c r="BU382" s="822">
        <f>+BU381/BU343</f>
        <v>0.13452750335386307</v>
      </c>
      <c r="BV382" s="822">
        <f>+BV381/BV343</f>
        <v>0.14275538471120308</v>
      </c>
      <c r="BW382" s="822">
        <f>+BW381/BW343</f>
        <v>0.15537707729507835</v>
      </c>
      <c r="BX382" s="822">
        <f>+BX381/BX343</f>
        <v>0.146237947254305</v>
      </c>
      <c r="BY382" s="822">
        <f>+BY381/BY343</f>
        <v>0.14204925422825576</v>
      </c>
      <c r="BZ382" s="541"/>
      <c r="CA382" s="822">
        <f>+CA381/CA343</f>
        <v>0.14902971399683784</v>
      </c>
      <c r="CB382" s="822">
        <f>+CB381/CB343</f>
        <v>0.11286035382862292</v>
      </c>
      <c r="CC382" s="822">
        <f>+CC381/CC343</f>
        <v>0.11773755092244731</v>
      </c>
      <c r="CD382" s="822">
        <f>+CD381/CD343</f>
        <v>0.15291001576376159</v>
      </c>
      <c r="CE382" s="822">
        <f>+CE381/CE343</f>
        <v>0.12934411997522138</v>
      </c>
      <c r="CF382" s="541"/>
      <c r="CG382" s="822">
        <f>+CG381/CG343</f>
        <v>0.13655210367354781</v>
      </c>
      <c r="CH382" s="822">
        <f>+CH381/CH343</f>
        <v>0.15504711202735591</v>
      </c>
      <c r="CI382" s="822">
        <f>+CI381/CI343</f>
        <v>0.15712699473322034</v>
      </c>
      <c r="CJ382" s="822">
        <f>+CJ381/CJ343</f>
        <v>0.17192238020264566</v>
      </c>
      <c r="CK382" s="822">
        <f>+CK381/CK343</f>
        <v>0.15194037990326115</v>
      </c>
      <c r="CL382" s="541"/>
      <c r="CM382" s="822">
        <f>+CM381/CM343</f>
        <v>0.14789196823946951</v>
      </c>
      <c r="CN382" s="822">
        <f>+CN381/CN343</f>
        <v>0.15850959999748993</v>
      </c>
      <c r="CO382" s="822">
        <f>+CO381/CO343</f>
        <v>0.17006391097891585</v>
      </c>
      <c r="CP382" s="822">
        <f>+CP381/CP343</f>
        <v>0.17781325262783171</v>
      </c>
      <c r="CQ382" s="822">
        <f>+CQ381/CQ343</f>
        <v>0.16010957680038337</v>
      </c>
      <c r="CR382" s="541"/>
      <c r="CS382" s="822">
        <f>+CS381/CS343</f>
        <v>0.1454895859496782</v>
      </c>
      <c r="CT382" s="822">
        <f>+CT381/CT343</f>
        <v>0.17462063776106729</v>
      </c>
      <c r="CU382" s="822">
        <f>+CU381/CU343</f>
        <v>0.1607279948478334</v>
      </c>
      <c r="CV382" s="822">
        <f>+CV381/CV343</f>
        <v>0.17256255588828454</v>
      </c>
      <c r="CW382" s="822">
        <f>+CW381/CW343</f>
        <v>0.16052119196564443</v>
      </c>
      <c r="CX382" s="541"/>
      <c r="CY382" s="822">
        <f>+CY381/CY343</f>
        <v>0.15324486053367933</v>
      </c>
      <c r="CZ382" s="822">
        <f>+CZ381/CZ343</f>
        <v>0.17286482655841706</v>
      </c>
      <c r="DA382" s="822">
        <f>+DA381/DA343</f>
        <v>0.14792372016983207</v>
      </c>
      <c r="DB382" s="822">
        <f>+DB381/DB343</f>
        <v>0.16824841932875578</v>
      </c>
      <c r="DC382" s="822">
        <f>+DC381/DC343</f>
        <v>0.15678612163339586</v>
      </c>
      <c r="DD382" s="541"/>
      <c r="DE382" s="822">
        <f>+DE381/DE343</f>
        <v>0.15227217760236603</v>
      </c>
      <c r="DF382" s="822">
        <f>+DF381/DF343</f>
        <v>0.17336545888604907</v>
      </c>
      <c r="DG382" s="822">
        <f>+DG381/DG343</f>
        <v>0.17393611147917498</v>
      </c>
      <c r="DH382" s="822">
        <f>+DH381/DH343</f>
        <v>0.16808702833434921</v>
      </c>
      <c r="DI382" s="822">
        <f>+DI381/DI343</f>
        <v>0.16739009045983652</v>
      </c>
      <c r="DJ382" s="541"/>
      <c r="DK382" s="822">
        <f>+DK381/DK343</f>
        <v>0.16066645014269285</v>
      </c>
      <c r="DL382" s="822">
        <f>+DL381/DL343</f>
        <v>0.17173241229936953</v>
      </c>
      <c r="DM382" s="822">
        <f>+DM381/DM343</f>
        <v>0.17283729133372222</v>
      </c>
      <c r="DN382" s="822">
        <f>+DN381/DN343</f>
        <v>0.1992716260209185</v>
      </c>
      <c r="DO382" s="822">
        <f>+DO381/DO343</f>
        <v>0.17691294362704746</v>
      </c>
      <c r="DP382" s="541"/>
      <c r="DQ382" s="822">
        <f>+DQ381/DQ343</f>
        <v>0.16912242761510995</v>
      </c>
      <c r="DR382" s="822">
        <f>+DR381/DR343</f>
        <v>0.18123333347931447</v>
      </c>
      <c r="DS382" s="822">
        <f>+DS381/DS343</f>
        <v>0.18100062545622461</v>
      </c>
      <c r="DT382" s="822">
        <f>+DT381/DT343</f>
        <v>0.20603042611545061</v>
      </c>
      <c r="DU382" s="822">
        <f>+DU381/DU343</f>
        <v>0.1850574808573329</v>
      </c>
      <c r="DV382" s="71"/>
      <c r="DW382" s="822">
        <f>+DW381/DW343</f>
        <v>0.17860031477578703</v>
      </c>
      <c r="DX382" s="822">
        <f>+DX381/DX343</f>
        <v>0.18999549682773464</v>
      </c>
      <c r="DY382" s="822">
        <f>+DY381/DY343</f>
        <v>0.18987224608746037</v>
      </c>
      <c r="DZ382" s="822">
        <f>+DZ381/DZ343</f>
        <v>0.21349748080836908</v>
      </c>
      <c r="EA382" s="822">
        <f>+EA381/EA343</f>
        <v>0.19366293600556414</v>
      </c>
      <c r="EB382" s="71"/>
      <c r="EC382" s="822">
        <f t="shared" ref="EC382:EG382" si="780">+EC381/EC343</f>
        <v>0.18661883270289209</v>
      </c>
      <c r="ED382" s="822">
        <f t="shared" si="780"/>
        <v>0.197387423996357</v>
      </c>
      <c r="EE382" s="822">
        <f t="shared" si="780"/>
        <v>0.19732860157567492</v>
      </c>
      <c r="EF382" s="822">
        <f t="shared" si="780"/>
        <v>0.21873342908110613</v>
      </c>
      <c r="EG382" s="822">
        <f t="shared" si="780"/>
        <v>0.20063202516585121</v>
      </c>
    </row>
    <row r="383" spans="1:137" ht="11.25" customHeight="1" outlineLevel="1" x14ac:dyDescent="0.2">
      <c r="A383" s="2" t="s">
        <v>632</v>
      </c>
      <c r="B383" s="14"/>
      <c r="C383" s="14"/>
      <c r="D383" s="14"/>
      <c r="E383" s="71"/>
      <c r="F383" s="71"/>
      <c r="G383" s="71"/>
      <c r="H383" s="71"/>
      <c r="I383" s="71"/>
      <c r="J383" s="71"/>
      <c r="K383" s="71"/>
      <c r="L383" s="71"/>
      <c r="M383" s="71"/>
      <c r="N383" s="71"/>
      <c r="O383" s="71"/>
      <c r="P383" s="71"/>
      <c r="Q383" s="71"/>
      <c r="R383" s="71"/>
      <c r="S383" s="71"/>
      <c r="T383" s="71"/>
      <c r="U383" s="71"/>
      <c r="V383" s="71"/>
      <c r="W383" s="71"/>
      <c r="X383" s="71"/>
      <c r="Y383" s="71"/>
      <c r="Z383" s="71"/>
      <c r="AA383" s="71"/>
      <c r="AB383" s="71"/>
      <c r="AC383" s="71"/>
      <c r="AD383" s="71"/>
      <c r="AE383" s="71"/>
      <c r="AF383" s="71"/>
      <c r="AG383" s="71"/>
      <c r="AH383" s="71"/>
      <c r="AI383" s="71"/>
      <c r="AJ383" s="71"/>
      <c r="AK383" s="71"/>
      <c r="AL383" s="71"/>
      <c r="AM383" s="71"/>
      <c r="AN383" s="71"/>
      <c r="AO383" s="71"/>
      <c r="AP383" s="71"/>
      <c r="AQ383" s="71"/>
      <c r="AR383" s="71"/>
      <c r="AS383" s="71"/>
      <c r="AT383" s="71"/>
      <c r="AU383" s="71"/>
      <c r="AV383" s="71"/>
      <c r="AW383" s="71"/>
      <c r="AX383" s="71"/>
      <c r="AY383" s="71"/>
      <c r="AZ383" s="71"/>
      <c r="BA383" s="71"/>
      <c r="BB383" s="71"/>
      <c r="BC383" s="71"/>
      <c r="BD383" s="71"/>
      <c r="BE383" s="71"/>
      <c r="BF383" s="71"/>
      <c r="BG383" s="71"/>
      <c r="BH383" s="71"/>
      <c r="BI383" s="71"/>
      <c r="BJ383" s="71"/>
      <c r="BK383" s="71"/>
      <c r="BL383" s="71"/>
      <c r="BM383" s="71"/>
      <c r="BN383" s="71"/>
      <c r="BO383" s="71"/>
      <c r="BP383" s="71"/>
      <c r="BQ383" s="71"/>
      <c r="BR383" s="71"/>
      <c r="BS383" s="71"/>
      <c r="BT383" s="71"/>
      <c r="BU383" s="822"/>
      <c r="BV383" s="822"/>
      <c r="BW383" s="822"/>
      <c r="BX383" s="822"/>
      <c r="BY383" s="822"/>
      <c r="BZ383" s="541"/>
      <c r="CA383" s="822"/>
      <c r="CB383" s="822"/>
      <c r="CC383" s="822"/>
      <c r="CD383" s="822"/>
      <c r="CE383" s="822"/>
      <c r="CF383" s="541"/>
      <c r="CG383" s="1156">
        <f>+(CG382-CA369)*10000</f>
        <v>-23.286557797647934</v>
      </c>
      <c r="CH383" s="1156">
        <f t="shared" ref="CH383" si="781">+(CH382-CB369)*10000</f>
        <v>69.756378338149403</v>
      </c>
      <c r="CI383" s="1156">
        <f t="shared" ref="CI383" si="782">+(CI382-CC369)*10000</f>
        <v>116.95401471153083</v>
      </c>
      <c r="CJ383" s="1156">
        <f t="shared" ref="CJ383" si="783">+(CJ382-CD369)*10000</f>
        <v>81.883021084168675</v>
      </c>
      <c r="CK383" s="1156">
        <f t="shared" ref="CK383" si="784">+(CK382-CE369)*10000</f>
        <v>22.665077352608254</v>
      </c>
      <c r="CL383" s="541"/>
      <c r="CM383" s="1156">
        <f>+(CM382-CG369)*10000</f>
        <v>106.76991252544454</v>
      </c>
      <c r="CN383" s="1156">
        <f t="shared" ref="CN383" si="785">+(CN382-CH369)*10000</f>
        <v>0.3737890584104564</v>
      </c>
      <c r="CO383" s="1156">
        <f t="shared" ref="CO383" si="786">+(CO382-CI369)*10000</f>
        <v>108.90482684493857</v>
      </c>
      <c r="CP383" s="1156">
        <f t="shared" ref="CP383" si="787">+(CP382-CJ369)*10000</f>
        <v>109.824370258092</v>
      </c>
      <c r="CQ383" s="1156">
        <f t="shared" ref="CQ383" si="788">+(CQ382-CK369)*10000</f>
        <v>39.801853755087876</v>
      </c>
      <c r="CR383" s="541"/>
      <c r="CS383" s="1156">
        <f>+(CS382-CM369)*10000</f>
        <v>10.126939830572557</v>
      </c>
      <c r="CT383" s="1156">
        <f t="shared" ref="CT383" si="789">+(CT382-CN369)*10000</f>
        <v>109.546872816762</v>
      </c>
      <c r="CU383" s="1156">
        <f t="shared" ref="CU383" si="790">+(CU382-CO369)*10000</f>
        <v>-68.896757715373184</v>
      </c>
      <c r="CV383" s="1156">
        <f t="shared" ref="CV383" si="791">+(CV382-CP369)*10000</f>
        <v>135.40494127428138</v>
      </c>
      <c r="CW383" s="1156">
        <f t="shared" ref="CW383" si="792">+(CW382-CQ369)*10000</f>
        <v>15.857167346037537</v>
      </c>
      <c r="CX383" s="541"/>
      <c r="CY383" s="1156">
        <f>+(CY382-CS369)*10000</f>
        <v>129.96755778338198</v>
      </c>
      <c r="CZ383" s="1156">
        <f t="shared" ref="CZ383:DC383" si="793">+(CZ382-CT369)*10000</f>
        <v>17.407329671303152</v>
      </c>
      <c r="DA383" s="1156">
        <f t="shared" si="793"/>
        <v>112.57243317716659</v>
      </c>
      <c r="DB383" s="1156">
        <f t="shared" si="793"/>
        <v>175.19758676431076</v>
      </c>
      <c r="DC383" s="1156">
        <f t="shared" si="793"/>
        <v>69.839226130476163</v>
      </c>
      <c r="DD383" s="541"/>
      <c r="DE383" s="1156">
        <f>+(DE382-CY369)*10000</f>
        <v>-39.674697052969613</v>
      </c>
      <c r="DF383" s="1156">
        <f t="shared" ref="DF383:DG383" si="794">+(DF382-CZ369)*10000</f>
        <v>59.640585701529467</v>
      </c>
      <c r="DG383" s="1156">
        <f t="shared" si="794"/>
        <v>47.48531314125615</v>
      </c>
      <c r="DH383" s="1156">
        <f t="shared" ref="DH383" si="795">+(DH382-DB369)*10000</f>
        <v>91.532761802581021</v>
      </c>
      <c r="DI383" s="1156">
        <f t="shared" ref="DI383" si="796">+(DI382-DC369)*10000</f>
        <v>44.452484942391344</v>
      </c>
      <c r="DJ383" s="541"/>
      <c r="DK383" s="1156">
        <f t="shared" ref="DK383" si="797">+(DK382-DE369)*10000</f>
        <v>139.60788778354078</v>
      </c>
      <c r="DL383" s="1156">
        <f t="shared" ref="DL383" si="798">+(DL382-DF369)*10000</f>
        <v>219.13117826963148</v>
      </c>
      <c r="DM383" s="1156">
        <f t="shared" ref="DM383" si="799">+(DM382-DG369)*10000</f>
        <v>48.897625143238258</v>
      </c>
      <c r="DN383" s="1156">
        <f t="shared" ref="DN383" si="800">+(DN382-DH369)*10000</f>
        <v>148.13242710853075</v>
      </c>
      <c r="DO383" s="1156">
        <f t="shared" ref="DO383" si="801">+(DO382-DI369)*10000</f>
        <v>95.725070678020771</v>
      </c>
      <c r="DP383" s="541"/>
      <c r="DQ383" s="1156">
        <f t="shared" ref="DQ383" si="802">+(DQ382-DK369)*10000</f>
        <v>108.82448060652527</v>
      </c>
      <c r="DR383" s="1156">
        <f t="shared" ref="DR383" si="803">+(DR382-DL369)*10000</f>
        <v>95.009211799449716</v>
      </c>
      <c r="DS383" s="1156">
        <f t="shared" ref="DS383" si="804">+(DS382-DM369)*10000</f>
        <v>81.633341225023912</v>
      </c>
      <c r="DT383" s="1156">
        <f t="shared" ref="DT383" si="805">+(DT382-DN369)*10000</f>
        <v>67.588000945321141</v>
      </c>
      <c r="DU383" s="1156">
        <f t="shared" ref="DU383" si="806">+(DU382-DO369)*10000</f>
        <v>87.166846113779229</v>
      </c>
      <c r="DV383" s="71"/>
      <c r="DW383" s="1156">
        <f t="shared" ref="DW383" si="807">+(DW382-DQ369)*10000</f>
        <v>94.778871606771006</v>
      </c>
      <c r="DX383" s="1156">
        <f t="shared" ref="DX383" si="808">+(DX382-DR369)*10000</f>
        <v>87.621633484201709</v>
      </c>
      <c r="DY383" s="1156">
        <f t="shared" ref="DY383" si="809">+(DY382-DS369)*10000</f>
        <v>88.716206312357542</v>
      </c>
      <c r="DZ383" s="1156">
        <f t="shared" ref="DZ383" si="810">+(DZ382-DT369)*10000</f>
        <v>74.670546929184738</v>
      </c>
      <c r="EA383" s="1156">
        <f t="shared" ref="EA383" si="811">+(EA382-DU369)*10000</f>
        <v>86.054551482312164</v>
      </c>
      <c r="EB383" s="71"/>
      <c r="EC383" s="1156">
        <f t="shared" ref="EC383" si="812">+(EC382-DW369)*10000</f>
        <v>80.185179271050629</v>
      </c>
      <c r="ED383" s="1156">
        <f t="shared" ref="ED383" si="813">+(ED382-DX369)*10000</f>
        <v>73.919271686223581</v>
      </c>
      <c r="EE383" s="1156">
        <f t="shared" ref="EE383" si="814">+(EE382-DY369)*10000</f>
        <v>74.563554882145496</v>
      </c>
      <c r="EF383" s="1156">
        <f t="shared" ref="EF383" si="815">+(EF382-DZ369)*10000</f>
        <v>52.359482727370455</v>
      </c>
      <c r="EG383" s="1156">
        <f t="shared" ref="EG383" si="816">+(EG382-EA369)*10000</f>
        <v>69.690891602870735</v>
      </c>
    </row>
    <row r="384" spans="1:137" ht="11.25" customHeight="1" outlineLevel="1" x14ac:dyDescent="0.2">
      <c r="A384" s="2"/>
      <c r="B384" s="14"/>
      <c r="C384" s="14"/>
      <c r="D384" s="14"/>
      <c r="E384" s="71"/>
      <c r="F384" s="71"/>
      <c r="G384" s="71"/>
      <c r="H384" s="71"/>
      <c r="I384" s="71"/>
      <c r="J384" s="71"/>
      <c r="K384" s="71"/>
      <c r="L384" s="71"/>
      <c r="M384" s="71"/>
      <c r="N384" s="71"/>
      <c r="O384" s="71"/>
      <c r="P384" s="71"/>
      <c r="Q384" s="71"/>
      <c r="R384" s="71"/>
      <c r="S384" s="71"/>
      <c r="T384" s="71"/>
      <c r="U384" s="71"/>
      <c r="V384" s="71"/>
      <c r="W384" s="71"/>
      <c r="X384" s="71"/>
      <c r="Y384" s="71"/>
      <c r="Z384" s="71"/>
      <c r="AA384" s="71"/>
      <c r="AB384" s="71"/>
      <c r="AC384" s="71"/>
      <c r="AD384" s="71"/>
      <c r="AE384" s="71"/>
      <c r="AF384" s="71"/>
      <c r="AG384" s="71"/>
      <c r="AH384" s="71"/>
      <c r="AI384" s="71"/>
      <c r="AJ384" s="71"/>
      <c r="AK384" s="71"/>
      <c r="AL384" s="71"/>
      <c r="AM384" s="71"/>
      <c r="AN384" s="71"/>
      <c r="AO384" s="71"/>
      <c r="AP384" s="71"/>
      <c r="AQ384" s="71"/>
      <c r="AR384" s="71"/>
      <c r="AS384" s="71"/>
      <c r="AT384" s="71"/>
      <c r="AU384" s="71"/>
      <c r="AV384" s="71"/>
      <c r="AW384" s="71"/>
      <c r="AX384" s="71"/>
      <c r="AY384" s="71"/>
      <c r="AZ384" s="71"/>
      <c r="BA384" s="71"/>
      <c r="BB384" s="71"/>
      <c r="BC384" s="71"/>
      <c r="BD384" s="71"/>
      <c r="BE384" s="71"/>
      <c r="BF384" s="71"/>
      <c r="BG384" s="71"/>
      <c r="BH384" s="71"/>
      <c r="BI384" s="71"/>
      <c r="BJ384" s="71"/>
      <c r="BK384" s="71"/>
      <c r="BL384" s="71"/>
      <c r="BM384" s="71"/>
      <c r="BN384" s="71"/>
      <c r="BO384" s="71"/>
      <c r="BP384" s="71"/>
      <c r="BQ384" s="71"/>
      <c r="BR384" s="71"/>
      <c r="BS384" s="71"/>
      <c r="BT384" s="71"/>
      <c r="BU384" s="822"/>
      <c r="BV384" s="822"/>
      <c r="BW384" s="822"/>
      <c r="BX384" s="822"/>
      <c r="BY384" s="822"/>
      <c r="BZ384" s="541"/>
      <c r="CA384" s="822"/>
      <c r="CB384" s="822"/>
      <c r="CC384" s="822"/>
      <c r="CD384" s="822"/>
      <c r="CE384" s="822"/>
      <c r="CF384" s="541"/>
      <c r="CG384" s="822"/>
      <c r="CH384" s="822"/>
      <c r="CI384" s="822"/>
      <c r="CJ384" s="822"/>
      <c r="CK384" s="822"/>
      <c r="CL384" s="541"/>
      <c r="CM384" s="822"/>
      <c r="CN384" s="822"/>
      <c r="CO384" s="822"/>
      <c r="CP384" s="822"/>
      <c r="CQ384" s="822"/>
      <c r="CR384" s="541"/>
      <c r="CS384" s="822"/>
      <c r="CT384" s="822"/>
      <c r="CU384" s="822"/>
      <c r="CV384" s="822"/>
      <c r="CW384" s="822"/>
      <c r="CX384" s="541"/>
      <c r="CY384" s="822"/>
      <c r="CZ384" s="822"/>
      <c r="DA384" s="822"/>
      <c r="DB384" s="822"/>
      <c r="DC384" s="822"/>
      <c r="DD384" s="541"/>
      <c r="DE384" s="822"/>
      <c r="DF384" s="822"/>
      <c r="DG384" s="822"/>
      <c r="DH384" s="822"/>
      <c r="DI384" s="822"/>
      <c r="DJ384" s="541"/>
      <c r="DK384" s="822"/>
      <c r="DL384" s="822"/>
      <c r="DM384" s="822"/>
      <c r="DN384" s="822"/>
      <c r="DO384" s="822"/>
      <c r="DP384" s="541"/>
      <c r="DQ384" s="822"/>
      <c r="DR384" s="822"/>
      <c r="DS384" s="822"/>
      <c r="DT384" s="822"/>
      <c r="DU384" s="822"/>
      <c r="DV384" s="71"/>
      <c r="DW384" s="822"/>
      <c r="DX384" s="822"/>
      <c r="DY384" s="822"/>
      <c r="DZ384" s="822"/>
      <c r="EA384" s="822"/>
      <c r="EB384" s="71"/>
      <c r="EC384" s="822"/>
      <c r="ED384" s="822"/>
      <c r="EE384" s="822"/>
      <c r="EF384" s="822"/>
      <c r="EG384" s="822"/>
    </row>
    <row r="385" spans="1:137" ht="11.25" customHeight="1" outlineLevel="1" x14ac:dyDescent="0.2">
      <c r="A385" s="2" t="s">
        <v>564</v>
      </c>
      <c r="B385" s="14"/>
      <c r="C385" s="14"/>
      <c r="D385" s="14"/>
      <c r="E385" s="71"/>
      <c r="F385" s="71"/>
      <c r="G385" s="71"/>
      <c r="H385" s="71"/>
      <c r="I385" s="71"/>
      <c r="J385" s="71"/>
      <c r="K385" s="71"/>
      <c r="L385" s="71"/>
      <c r="M385" s="71"/>
      <c r="N385" s="71"/>
      <c r="O385" s="71"/>
      <c r="P385" s="71"/>
      <c r="Q385" s="71"/>
      <c r="R385" s="71"/>
      <c r="S385" s="71"/>
      <c r="T385" s="71"/>
      <c r="U385" s="71"/>
      <c r="V385" s="71"/>
      <c r="W385" s="71"/>
      <c r="X385" s="71"/>
      <c r="Y385" s="71"/>
      <c r="Z385" s="71"/>
      <c r="AA385" s="71"/>
      <c r="AB385" s="71"/>
      <c r="AC385" s="71"/>
      <c r="AD385" s="71"/>
      <c r="AE385" s="71"/>
      <c r="AF385" s="71"/>
      <c r="AG385" s="71"/>
      <c r="AH385" s="71"/>
      <c r="AI385" s="71"/>
      <c r="AJ385" s="71"/>
      <c r="AK385" s="71"/>
      <c r="AL385" s="71"/>
      <c r="AM385" s="71"/>
      <c r="AN385" s="71"/>
      <c r="AO385" s="71"/>
      <c r="AP385" s="71"/>
      <c r="AQ385" s="71"/>
      <c r="AR385" s="71"/>
      <c r="AS385" s="71"/>
      <c r="AT385" s="71"/>
      <c r="AU385" s="71"/>
      <c r="AV385" s="71"/>
      <c r="AW385" s="71"/>
      <c r="AX385" s="71"/>
      <c r="AY385" s="71"/>
      <c r="AZ385" s="71"/>
      <c r="BA385" s="71"/>
      <c r="BB385" s="71"/>
      <c r="BC385" s="71"/>
      <c r="BD385" s="71"/>
      <c r="BE385" s="71"/>
      <c r="BF385" s="71"/>
      <c r="BG385" s="71"/>
      <c r="BH385" s="71"/>
      <c r="BI385" s="71"/>
      <c r="BJ385" s="71"/>
      <c r="BK385" s="71"/>
      <c r="BL385" s="71"/>
      <c r="BM385" s="71"/>
      <c r="BN385" s="71"/>
      <c r="BO385" s="71"/>
      <c r="BP385" s="71"/>
      <c r="BQ385" s="71"/>
      <c r="BR385" s="71"/>
      <c r="BS385" s="71"/>
      <c r="BT385" s="71"/>
      <c r="BU385" s="24">
        <f>+(BU86*BU$70+BU163*BU$146+BU229*BU$213+BU327*BU$311)/10000</f>
        <v>-12.63237310082059</v>
      </c>
      <c r="BV385" s="24">
        <f>+(BV86*BV$70+BV163*BV$146+BV229*BV$213+BV327*BV$311)/10000</f>
        <v>4.091599864257879</v>
      </c>
      <c r="BW385" s="24">
        <f>+(BW86*BW$70+BW163*BW$146+BW229*BW$213+BW327*BW$311)/10000</f>
        <v>-94.147352815794903</v>
      </c>
      <c r="BX385" s="24">
        <f>+(BX86*BX$70+BX163*BX$146+BX229*BX$213+BX327*BX$311)/10000</f>
        <v>-49.433522718591362</v>
      </c>
      <c r="BY385" s="67">
        <f>+SUM(BU385:BX385)</f>
        <v>-152.12164877094898</v>
      </c>
      <c r="BZ385" s="71"/>
      <c r="CA385" s="24">
        <f>+(CA86*CA$70+CA163*CA$146+CA229*CA$213+CA327*CA$311)/10000</f>
        <v>-27.451678533368675</v>
      </c>
      <c r="CB385" s="24">
        <f>+(CB86*CB$70+CB163*CB$146+CB229*CB$213+CB327*CB$311)/10000</f>
        <v>-22.440415913783415</v>
      </c>
      <c r="CC385" s="24">
        <f>+(CC86*CC$70+CC163*CC$146+CC229*CC$213+CC327*CC$311)/10000</f>
        <v>-10.12636026964339</v>
      </c>
      <c r="CD385" s="24">
        <f>+(CD86*CD$70+CD163*CD$146+CD229*CD$213+CD327*CD$311)/10000</f>
        <v>-28.159971773646841</v>
      </c>
      <c r="CE385" s="67">
        <f>+SUM(CA385:CD385)</f>
        <v>-88.17842649044232</v>
      </c>
      <c r="CF385" s="71"/>
      <c r="CG385" s="24">
        <f>+(CG86*CG$70+CG163*CG$146+CG229*CG$213+CG327*CG$311)/10000</f>
        <v>-14.165686332331283</v>
      </c>
      <c r="CH385" s="24">
        <f>+(CH86*CH$70+CH163*CH$146+CH229*CH$213+CH327*CH$311)/10000</f>
        <v>-11.401422751627683</v>
      </c>
      <c r="CI385" s="24">
        <f>+(CI86*CI$70+CI163*CI$146+CI229*CI$213+CI327*CI$311)/10000</f>
        <v>-13.62481933585665</v>
      </c>
      <c r="CJ385" s="24">
        <f>+(CJ86*CJ$70+CJ163*CJ$146+CJ229*CJ$213+CJ327*CJ$311)/10000</f>
        <v>-19.542250267255742</v>
      </c>
      <c r="CK385" s="67">
        <f>+SUM(CG385:CJ385)</f>
        <v>-58.734178687071363</v>
      </c>
      <c r="CL385" s="71"/>
      <c r="CM385" s="24">
        <f>+(CM86*CM$70+CM163*CM$146+CM229*CM$213+CM327*CM$311)/10000</f>
        <v>-9.9174921658947923</v>
      </c>
      <c r="CN385" s="24">
        <f>+(CN86*CN$70+CN163*CN$146+CN229*CN$213+CN327*CN$311)/10000</f>
        <v>-5.986111602916381</v>
      </c>
      <c r="CO385" s="24">
        <f>+(CO86*CO$70+CO163*CO$146+CO229*CO$213+CO327*CO$311)/10000</f>
        <v>-7.4939681009548309</v>
      </c>
      <c r="CP385" s="24">
        <f>+(CP86*CP$70+CP163*CP$146+CP229*CP$213+CP327*CP$311)/10000</f>
        <v>-35.450428509204698</v>
      </c>
      <c r="CQ385" s="67">
        <f>+SUM(CM385:CP385)</f>
        <v>-58.848000378970703</v>
      </c>
      <c r="CR385" s="71"/>
      <c r="CS385" s="24">
        <f>+(CS86*CS$70+CS163*CS$146+CS229*CS$213+CS327*CS$311)/10000</f>
        <v>-7.4399499999999996</v>
      </c>
      <c r="CT385" s="24">
        <f>+(CT86*CT$70+CT163*CT$146+CT229*CT$213+CT327*CT$311)/10000</f>
        <v>-13.9612</v>
      </c>
      <c r="CU385" s="24">
        <f>+(CU86*CU$70+CU163*CU$146+CU229*CU$213+CU327*CU$311)/10000</f>
        <v>-28.581175000000002</v>
      </c>
      <c r="CV385" s="24">
        <f>+(CV86*CV$70+CV163*CV$146+CV229*CV$213+CV327*CV$311)/10000</f>
        <v>-58.202399999999997</v>
      </c>
      <c r="CW385" s="67">
        <f>+SUM(CS385:CV385)</f>
        <v>-108.184725</v>
      </c>
      <c r="CX385" s="71"/>
      <c r="CY385" s="24">
        <f>+(CY86*CY$70+CY163*CY$146+CY229*CY$213+CY327*CY$311)/10000</f>
        <v>-1.4959499999999999</v>
      </c>
      <c r="CZ385" s="24">
        <f>+(CZ86*CZ$70+CZ163*CZ$146+CZ229*CZ$213+CZ327*CZ$311)/10000</f>
        <v>-1.0460499999999999</v>
      </c>
      <c r="DA385" s="24">
        <f>+(DA86*DA$70+DA163*DA$146+DA229*DA$213+DA327*DA$311)/10000</f>
        <v>-24.577400000000001</v>
      </c>
      <c r="DB385" s="24">
        <f>+(DB86*DB$70+DB163*DB$146+DB229*DB$213+DB327*DB$311)/10000</f>
        <v>-23.485499999999998</v>
      </c>
      <c r="DC385" s="67">
        <f>+SUM(CY385:DB385)</f>
        <v>-50.604900000000001</v>
      </c>
      <c r="DD385" s="71"/>
      <c r="DE385" s="24">
        <f>+(DE86*DE$70+DE163*DE$146+DE229*DE$213+DE327*DE$311)/10000</f>
        <v>-25.148800000000001</v>
      </c>
      <c r="DF385" s="24">
        <f>+(DF86*DF$70+DF163*DF$146+DF229*DF$213+DF327*DF$311)/10000</f>
        <v>-31.688300000000002</v>
      </c>
      <c r="DG385" s="24">
        <f>+(DG86*DG$70+DG163*DG$146+DG229*DG$213+DG327*DG$311)/10000</f>
        <v>-27.1175</v>
      </c>
      <c r="DH385" s="24">
        <f>+(DH86*DH$70+DH163*DH$146+DH229*DH$213+DH327*DH$311)/10000</f>
        <v>-12.4323</v>
      </c>
      <c r="DI385" s="67">
        <f>+SUM(DE385:DH385)</f>
        <v>-96.386899999999997</v>
      </c>
      <c r="DJ385" s="71"/>
      <c r="DK385" s="24">
        <f>+(DK86*DK$70+DK163*DK$146+DK229*DK$213+DK327*DK$311)/10000</f>
        <v>-11.39325</v>
      </c>
      <c r="DL385" s="24">
        <f>+(DL86*DL$70+DL163*DL$146+DL229*DL$213+DL327*DL$311)/10000</f>
        <v>0</v>
      </c>
      <c r="DM385" s="24">
        <f>+(DM86*DM$70+DM163*DM$146+DM229*DM$213+DM327*DM$311)/10000</f>
        <v>0</v>
      </c>
      <c r="DN385" s="24">
        <f>+(DN86*DN$70+DN163*DN$146+DN229*DN$213+DN327*DN$311)/10000</f>
        <v>0</v>
      </c>
      <c r="DO385" s="67">
        <f>+SUM(DK385:DN385)</f>
        <v>-11.39325</v>
      </c>
      <c r="DP385" s="71"/>
      <c r="DQ385" s="24">
        <f>+(DQ86*DQ$70+DQ163*DQ$146+DQ229*DQ$213+DQ327*DQ$311)/10000</f>
        <v>0</v>
      </c>
      <c r="DR385" s="24">
        <f>+(DR86*DR$70+DR163*DR$146+DR229*DR$213+DR327*DR$311)/10000</f>
        <v>0</v>
      </c>
      <c r="DS385" s="24">
        <f>+(DS86*DS$70+DS163*DS$146+DS229*DS$213+DS327*DS$311)/10000</f>
        <v>0</v>
      </c>
      <c r="DT385" s="24">
        <f>+(DT86*DT$70+DT163*DT$146+DT229*DT$213+DT327*DT$311)/10000</f>
        <v>0</v>
      </c>
      <c r="DU385" s="67">
        <f>+SUM(DQ385:DT385)</f>
        <v>0</v>
      </c>
      <c r="DV385" s="71"/>
      <c r="DW385" s="24">
        <f>+(DW86*DW$70+DW163*DW$146+DW229*DW$213+DW327*DW$311)/10000</f>
        <v>0</v>
      </c>
      <c r="DX385" s="24">
        <f>+(DX86*DX$70+DX163*DX$146+DX229*DX$213+DX327*DX$311)/10000</f>
        <v>0</v>
      </c>
      <c r="DY385" s="24">
        <f>+(DY86*DY$70+DY163*DY$146+DY229*DY$213+DY327*DY$311)/10000</f>
        <v>0</v>
      </c>
      <c r="DZ385" s="24">
        <f>+(DZ86*DZ$70+DZ163*DZ$146+DZ229*DZ$213+DZ327*DZ$311)/10000</f>
        <v>0</v>
      </c>
      <c r="EA385" s="67">
        <f>+SUM(DW385:DZ385)</f>
        <v>0</v>
      </c>
      <c r="EB385" s="71"/>
      <c r="EC385" s="24">
        <f t="shared" ref="EC385:EF385" si="817">+(EC86*EC$70+EC163*EC$146+EC229*EC$213+EC327*EC$311)/10000</f>
        <v>0</v>
      </c>
      <c r="ED385" s="24">
        <f t="shared" si="817"/>
        <v>0</v>
      </c>
      <c r="EE385" s="24">
        <f t="shared" si="817"/>
        <v>0</v>
      </c>
      <c r="EF385" s="24">
        <f t="shared" si="817"/>
        <v>0</v>
      </c>
      <c r="EG385" s="67">
        <f t="shared" ref="EG385" si="818">+SUM(EC385:EF385)</f>
        <v>0</v>
      </c>
    </row>
    <row r="386" spans="1:137" ht="11.25" customHeight="1" outlineLevel="1" x14ac:dyDescent="0.2">
      <c r="A386" s="45" t="s">
        <v>537</v>
      </c>
      <c r="B386" s="14"/>
      <c r="C386" s="14"/>
      <c r="D386" s="14"/>
      <c r="E386" s="71"/>
      <c r="F386" s="71"/>
      <c r="G386" s="71"/>
      <c r="H386" s="71"/>
      <c r="I386" s="71"/>
      <c r="J386" s="71"/>
      <c r="K386" s="71"/>
      <c r="L386" s="71"/>
      <c r="M386" s="71"/>
      <c r="N386" s="71"/>
      <c r="O386" s="71"/>
      <c r="P386" s="71"/>
      <c r="Q386" s="71"/>
      <c r="R386" s="71"/>
      <c r="S386" s="71"/>
      <c r="T386" s="71"/>
      <c r="U386" s="71"/>
      <c r="V386" s="71"/>
      <c r="W386" s="71"/>
      <c r="X386" s="71"/>
      <c r="Y386" s="71"/>
      <c r="Z386" s="71"/>
      <c r="AA386" s="71"/>
      <c r="AB386" s="71"/>
      <c r="AC386" s="71"/>
      <c r="AD386" s="71"/>
      <c r="AE386" s="71"/>
      <c r="AF386" s="71"/>
      <c r="AG386" s="71"/>
      <c r="AH386" s="71"/>
      <c r="AI386" s="71"/>
      <c r="AJ386" s="71"/>
      <c r="AK386" s="71"/>
      <c r="AL386" s="71"/>
      <c r="AM386" s="71"/>
      <c r="AN386" s="71"/>
      <c r="AO386" s="71"/>
      <c r="AP386" s="71"/>
      <c r="AQ386" s="71"/>
      <c r="AR386" s="71"/>
      <c r="AS386" s="71"/>
      <c r="AT386" s="71"/>
      <c r="AU386" s="71"/>
      <c r="AV386" s="71"/>
      <c r="AW386" s="71"/>
      <c r="AX386" s="71"/>
      <c r="AY386" s="71"/>
      <c r="AZ386" s="71"/>
      <c r="BA386" s="71"/>
      <c r="BB386" s="71"/>
      <c r="BC386" s="71"/>
      <c r="BD386" s="71"/>
      <c r="BE386" s="71"/>
      <c r="BF386" s="71"/>
      <c r="BG386" s="71"/>
      <c r="BH386" s="71"/>
      <c r="BI386" s="71"/>
      <c r="BJ386" s="71"/>
      <c r="BK386" s="71"/>
      <c r="BL386" s="71"/>
      <c r="BM386" s="71"/>
      <c r="BN386" s="71"/>
      <c r="BO386" s="71"/>
      <c r="BP386" s="71"/>
      <c r="BQ386" s="71"/>
      <c r="BR386" s="71"/>
      <c r="BS386" s="71"/>
      <c r="BT386" s="71"/>
      <c r="BU386" s="15">
        <f>+BU385/BU$343</f>
        <v>-7.2542834297397076E-3</v>
      </c>
      <c r="BV386" s="15">
        <f>+BV385/BV343</f>
        <v>2.1382114471168493E-3</v>
      </c>
      <c r="BW386" s="15">
        <f>+BW385/BW343</f>
        <v>-3.3973521987136469E-2</v>
      </c>
      <c r="BX386" s="15">
        <f>+BX385/BX343</f>
        <v>-1.6276671311796418E-2</v>
      </c>
      <c r="BY386" s="15">
        <f>+BY385/BY343</f>
        <v>-1.6075065791988002E-2</v>
      </c>
      <c r="BZ386" s="71"/>
      <c r="CA386" s="15">
        <f>+CA385/CA343</f>
        <v>-1.0021475178712635E-2</v>
      </c>
      <c r="CB386" s="15">
        <f>+CB385/CB343</f>
        <v>-7.7938138520947959E-3</v>
      </c>
      <c r="CC386" s="15">
        <f>+CC385/CC343</f>
        <v>-3.590443156700979E-3</v>
      </c>
      <c r="CD386" s="15">
        <f>+CD385/CD343</f>
        <v>-8.5804391036816315E-3</v>
      </c>
      <c r="CE386" s="15">
        <f>+CE385/CE343</f>
        <v>-7.5232493060610559E-3</v>
      </c>
      <c r="CF386" s="71"/>
      <c r="CG386" s="15">
        <f>+CG385/CG343</f>
        <v>-5.0180207281773663E-3</v>
      </c>
      <c r="CH386" s="15">
        <f>+CH385/CH343</f>
        <v>-3.7484439262140644E-3</v>
      </c>
      <c r="CI386" s="15">
        <f>+CI385/CI343</f>
        <v>-4.4871437734846373E-3</v>
      </c>
      <c r="CJ386" s="15">
        <f>+CJ385/CJ343</f>
        <v>-5.648237912686779E-3</v>
      </c>
      <c r="CK386" s="15">
        <f>+CK385/CK343</f>
        <v>-4.7516097073694455E-3</v>
      </c>
      <c r="CL386" s="71"/>
      <c r="CM386" s="15">
        <f>+CM385/CM343</f>
        <v>-3.3502191346588212E-3</v>
      </c>
      <c r="CN386" s="15">
        <f>+CN385/CN343</f>
        <v>-1.8812618929005358E-3</v>
      </c>
      <c r="CO386" s="15">
        <f>+CO385/CO343</f>
        <v>-2.3711206231693933E-3</v>
      </c>
      <c r="CP386" s="15">
        <f>+CP385/CP343</f>
        <v>-9.9464704030162963E-3</v>
      </c>
      <c r="CQ386" s="15">
        <f>+CQ385/CQ343</f>
        <v>-4.5736112012851691E-3</v>
      </c>
      <c r="CR386" s="71"/>
      <c r="CS386" s="15">
        <f>+CS385/CS343</f>
        <v>-2.3306653718438691E-3</v>
      </c>
      <c r="CT386" s="15">
        <f>+CT385/CT343</f>
        <v>-4.0986407538971901E-3</v>
      </c>
      <c r="CU386" s="15">
        <f>+CU385/CU343</f>
        <v>-8.1376843573828378E-3</v>
      </c>
      <c r="CV386" s="15">
        <f>+CV385/CV343</f>
        <v>-1.3463428174878554E-2</v>
      </c>
      <c r="CW386" s="15">
        <f>+CW385/CW343</f>
        <v>-7.495287071229137E-3</v>
      </c>
      <c r="CX386" s="71"/>
      <c r="CY386" s="15">
        <f>+CY385/CY343</f>
        <v>-3.8122117173364586E-4</v>
      </c>
      <c r="CZ386" s="15">
        <f>+CZ385/CZ343</f>
        <v>-2.4659940121172114E-4</v>
      </c>
      <c r="DA386" s="15">
        <f>+DA385/DA343</f>
        <v>-5.9479199438542138E-3</v>
      </c>
      <c r="DB386" s="15">
        <f>+DB385/DB343</f>
        <v>-5.1230285976048683E-3</v>
      </c>
      <c r="DC386" s="15">
        <f>+DC385/DC343</f>
        <v>-2.9974944320712692E-3</v>
      </c>
      <c r="DD386" s="71"/>
      <c r="DE386" s="15">
        <f>+DE385/DE343</f>
        <v>-5.979694224504839E-3</v>
      </c>
      <c r="DF386" s="15">
        <f>+DF385/DF343</f>
        <v>-7.0260748098711781E-3</v>
      </c>
      <c r="DG386" s="15">
        <f>+DG385/DG343</f>
        <v>-5.9885826597765122E-3</v>
      </c>
      <c r="DH386" s="15">
        <f>+DH385/DH343</f>
        <v>-2.4445602375287568E-3</v>
      </c>
      <c r="DI386" s="15">
        <f>+DI385/DI343</f>
        <v>-5.2585094136838022E-3</v>
      </c>
      <c r="DJ386" s="71"/>
      <c r="DK386" s="15">
        <f>+DK385/DK343</f>
        <v>-2.4264705882352943E-3</v>
      </c>
      <c r="DL386" s="15">
        <f>+DL385/DL343</f>
        <v>0</v>
      </c>
      <c r="DM386" s="15">
        <f>+DM385/DM343</f>
        <v>0</v>
      </c>
      <c r="DN386" s="15">
        <f>+DN385/DN343</f>
        <v>0</v>
      </c>
      <c r="DO386" s="15">
        <f>+DO385/DO343</f>
        <v>-5.7210949813996928E-4</v>
      </c>
      <c r="DP386" s="71"/>
      <c r="DQ386" s="15">
        <f>+DQ385/DQ343</f>
        <v>0</v>
      </c>
      <c r="DR386" s="15">
        <f>+DR385/DR343</f>
        <v>0</v>
      </c>
      <c r="DS386" s="15">
        <f>+DS385/DS343</f>
        <v>0</v>
      </c>
      <c r="DT386" s="15">
        <f>+DT385/DT343</f>
        <v>0</v>
      </c>
      <c r="DU386" s="15">
        <f>+DU385/DU343</f>
        <v>0</v>
      </c>
      <c r="DV386" s="71"/>
      <c r="DW386" s="15">
        <f>+DW385/DW343</f>
        <v>0</v>
      </c>
      <c r="DX386" s="15">
        <f>+DX385/DX343</f>
        <v>0</v>
      </c>
      <c r="DY386" s="15">
        <f>+DY385/DY343</f>
        <v>0</v>
      </c>
      <c r="DZ386" s="15">
        <f>+DZ385/DZ343</f>
        <v>0</v>
      </c>
      <c r="EA386" s="15">
        <f>+EA385/EA343</f>
        <v>0</v>
      </c>
      <c r="EB386" s="71"/>
      <c r="EC386" s="15">
        <f t="shared" ref="EC386:EG386" si="819">+EC385/EC343</f>
        <v>0</v>
      </c>
      <c r="ED386" s="15">
        <f t="shared" si="819"/>
        <v>0</v>
      </c>
      <c r="EE386" s="15">
        <f t="shared" si="819"/>
        <v>0</v>
      </c>
      <c r="EF386" s="15">
        <f t="shared" si="819"/>
        <v>0</v>
      </c>
      <c r="EG386" s="15">
        <f t="shared" si="819"/>
        <v>0</v>
      </c>
    </row>
    <row r="387" spans="1:137" ht="11.25" customHeight="1" outlineLevel="1" x14ac:dyDescent="0.2">
      <c r="A387" s="2" t="s">
        <v>563</v>
      </c>
      <c r="B387" s="14"/>
      <c r="C387" s="14"/>
      <c r="D387" s="14"/>
      <c r="E387" s="71"/>
      <c r="F387" s="71"/>
      <c r="G387" s="71"/>
      <c r="H387" s="71"/>
      <c r="I387" s="71"/>
      <c r="J387" s="71"/>
      <c r="K387" s="71"/>
      <c r="L387" s="71"/>
      <c r="M387" s="71"/>
      <c r="N387" s="71"/>
      <c r="O387" s="71"/>
      <c r="P387" s="71"/>
      <c r="Q387" s="71"/>
      <c r="R387" s="71"/>
      <c r="S387" s="71"/>
      <c r="T387" s="71"/>
      <c r="U387" s="71"/>
      <c r="V387" s="71"/>
      <c r="W387" s="71"/>
      <c r="X387" s="71"/>
      <c r="Y387" s="71"/>
      <c r="Z387" s="71"/>
      <c r="AA387" s="71"/>
      <c r="AB387" s="71"/>
      <c r="AC387" s="71"/>
      <c r="AD387" s="71"/>
      <c r="AE387" s="71"/>
      <c r="AF387" s="71"/>
      <c r="AG387" s="71"/>
      <c r="AH387" s="71"/>
      <c r="AI387" s="71"/>
      <c r="AJ387" s="71"/>
      <c r="AK387" s="71"/>
      <c r="AL387" s="71"/>
      <c r="AM387" s="71"/>
      <c r="AN387" s="71"/>
      <c r="AO387" s="71"/>
      <c r="AP387" s="71"/>
      <c r="AQ387" s="71"/>
      <c r="AR387" s="71"/>
      <c r="AS387" s="71"/>
      <c r="AT387" s="71"/>
      <c r="AU387" s="71"/>
      <c r="AV387" s="71"/>
      <c r="AW387" s="71"/>
      <c r="AX387" s="71"/>
      <c r="AY387" s="71"/>
      <c r="AZ387" s="71"/>
      <c r="BA387" s="71"/>
      <c r="BB387" s="71"/>
      <c r="BC387" s="71"/>
      <c r="BD387" s="71"/>
      <c r="BE387" s="71"/>
      <c r="BF387" s="71"/>
      <c r="BG387" s="71"/>
      <c r="BH387" s="71"/>
      <c r="BI387" s="71"/>
      <c r="BJ387" s="71"/>
      <c r="BK387" s="71"/>
      <c r="BL387" s="71"/>
      <c r="BM387" s="71"/>
      <c r="BN387" s="71"/>
      <c r="BO387" s="71"/>
      <c r="BP387" s="71"/>
      <c r="BQ387" s="71"/>
      <c r="BR387" s="71"/>
      <c r="BS387" s="71"/>
      <c r="BT387" s="71"/>
      <c r="BU387" s="24">
        <f>+(BU87*BU$70+BU164*BU$146+BU230*BU$213+BU328*BU$311)/10000</f>
        <v>44.825776797634468</v>
      </c>
      <c r="BV387" s="24">
        <f>+(BV87*BV$70+BV164*BV$146+BV230*BV$213+BV328*BV$311)/10000</f>
        <v>-43.916093423540701</v>
      </c>
      <c r="BW387" s="24">
        <f>+(BW87*BW$70+BW164*BW$146+BW230*BW$213+BW328*BW$311)/10000</f>
        <v>-71.346725929178675</v>
      </c>
      <c r="BX387" s="24">
        <f>+(BX87*BX$70+BX164*BX$146+BX230*BX$213+BX328*BX$311)/10000</f>
        <v>25.501627135098609</v>
      </c>
      <c r="BY387" s="67">
        <f>+SUM(BU387:BX387)</f>
        <v>-44.935415419986292</v>
      </c>
      <c r="BZ387" s="71"/>
      <c r="CA387" s="24">
        <f>+(CA87*CA$70+CA164*CA$146+CA230*CA$213+CA328*CA$311)/10000</f>
        <v>-0.27091021044451191</v>
      </c>
      <c r="CB387" s="24">
        <f>+(CB87*CB$70+CB164*CB$146+CB230*CB$213+CB328*CB$311)/10000</f>
        <v>123.88252706729686</v>
      </c>
      <c r="CC387" s="24">
        <f>+(CC87*CC$70+CC164*CC$146+CC230*CC$213+CC328*CC$311)/10000</f>
        <v>87.80543407248102</v>
      </c>
      <c r="CD387" s="24">
        <f>+(CD87*CD$70+CD164*CD$146+CD230*CD$213+CD328*CD$311)/10000</f>
        <v>21.801030581619209</v>
      </c>
      <c r="CE387" s="67">
        <f>+SUM(CA387:CD387)</f>
        <v>233.21808151095257</v>
      </c>
      <c r="CF387" s="71"/>
      <c r="CG387" s="24">
        <f>+(CG87*CG$70+CG164*CG$146+CG230*CG$213+CG328*CG$311)/10000</f>
        <v>15.77012046994793</v>
      </c>
      <c r="CH387" s="24">
        <f>+(CH87*CH$70+CH164*CH$146+CH230*CH$213+CH328*CH$311)/10000</f>
        <v>21.050135193964401</v>
      </c>
      <c r="CI387" s="24">
        <f>+(CI87*CI$70+CI164*CI$146+CI230*CI$213+CI328*CI$311)/10000</f>
        <v>20.137555989739486</v>
      </c>
      <c r="CJ387" s="24">
        <f>+(CJ87*CJ$70+CJ164*CJ$146+CJ230*CJ$213+CJ328*CJ$311)/10000</f>
        <v>23.993549839242181</v>
      </c>
      <c r="CK387" s="67">
        <f>+SUM(CG387:CJ387)</f>
        <v>80.951361492893994</v>
      </c>
      <c r="CL387" s="71"/>
      <c r="CM387" s="24">
        <f>+(CM87*CM$70+CM164*CM$146+CM230*CM$213+CM328*CM$311)/10000</f>
        <v>8.5157150706531032E-3</v>
      </c>
      <c r="CN387" s="24">
        <f>+(CN87*CN$70+CN164*CN$146+CN230*CN$213+CN328*CN$311)/10000</f>
        <v>23.069085192112897</v>
      </c>
      <c r="CO387" s="24">
        <f>+(CO87*CO$70+CO164*CO$146+CO230*CO$213+CO328*CO$311)/10000</f>
        <v>1.0323313145645619E-2</v>
      </c>
      <c r="CP387" s="24">
        <f>+(CP87*CP$70+CP164*CP$146+CP230*CP$213+CP328*CP$311)/10000</f>
        <v>-36.243812443010668</v>
      </c>
      <c r="CQ387" s="67">
        <f>+SUM(CM387:CP387)</f>
        <v>-13.155888222681472</v>
      </c>
      <c r="CR387" s="71"/>
      <c r="CS387" s="24">
        <f>+(CS87*CS$70+CS164*CS$146+CS230*CS$213+CS328*CS$311)/10000</f>
        <v>-31.5837</v>
      </c>
      <c r="CT387" s="24">
        <f>+(CT87*CT$70+CT164*CT$146+CT230*CT$213+CT328*CT$311)/10000</f>
        <v>-19.083899999999996</v>
      </c>
      <c r="CU387" s="24">
        <f>+(CU87*CU$70+CU164*CU$146+CU230*CU$213+CU328*CU$311)/10000</f>
        <v>-67.578000000000003</v>
      </c>
      <c r="CV387" s="24">
        <f>+(CV87*CV$70+CV164*CV$146+CV230*CV$213+CV328*CV$311)/10000</f>
        <v>-13.231537604564625</v>
      </c>
      <c r="CW387" s="67">
        <f>+SUM(CS387:CV387)</f>
        <v>-131.47713760456463</v>
      </c>
      <c r="CX387" s="71"/>
      <c r="CY387" s="24">
        <f>+(CY87*CY$70+CY164*CY$146+CY230*CY$213+CY328*CY$311)/10000</f>
        <v>19.677</v>
      </c>
      <c r="CZ387" s="24">
        <f>+(CZ87*CZ$70+CZ164*CZ$146+CZ230*CZ$213+CZ328*CZ$311)/10000</f>
        <v>0</v>
      </c>
      <c r="DA387" s="24">
        <f>+(DA87*DA$70+DA164*DA$146+DA230*DA$213+DA328*DA$311)/10000</f>
        <v>112.65900000000001</v>
      </c>
      <c r="DB387" s="24">
        <f>+(DB87*DB$70+DB164*DB$146+DB230*DB$213+DB328*DB$311)/10000</f>
        <v>-19.164349999999999</v>
      </c>
      <c r="DC387" s="67">
        <f>+SUM(CY387:DB387)</f>
        <v>113.17165000000001</v>
      </c>
      <c r="DD387" s="71"/>
      <c r="DE387" s="24">
        <f>+(DE87*DE$70+DE164*DE$146+DE230*DE$213+DE328*DE$311)/10000</f>
        <v>0</v>
      </c>
      <c r="DF387" s="24">
        <f>+(DF87*DF$70+DF164*DF$146+DF230*DF$213+DF328*DF$311)/10000</f>
        <v>-76.319999999999993</v>
      </c>
      <c r="DG387" s="24">
        <f>+(DG87*DG$70+DG164*DG$146+DG230*DG$213+DG328*DG$311)/10000</f>
        <v>0</v>
      </c>
      <c r="DH387" s="24">
        <f>+(DH87*DH$70+DH164*DH$146+DH230*DH$213+DH328*DH$311)/10000</f>
        <v>95.692099999999996</v>
      </c>
      <c r="DI387" s="67">
        <f>+SUM(DE387:DH387)</f>
        <v>19.372100000000003</v>
      </c>
      <c r="DJ387" s="71"/>
      <c r="DK387" s="24">
        <f>+(DK87*DK$70+DK164*DK$146+DK230*DK$213+DK328*DK$311)/10000</f>
        <v>0</v>
      </c>
      <c r="DL387" s="24">
        <f>+(DL87*DL$70+DL164*DL$146+DL230*DL$213+DL328*DL$311)/10000</f>
        <v>0</v>
      </c>
      <c r="DM387" s="24">
        <f>+(DM87*DM$70+DM164*DM$146+DM230*DM$213+DM328*DM$311)/10000</f>
        <v>0</v>
      </c>
      <c r="DN387" s="24">
        <f>+(DN87*DN$70+DN164*DN$146+DN230*DN$213+DN328*DN$311)/10000</f>
        <v>0</v>
      </c>
      <c r="DO387" s="67">
        <f>+SUM(DK387:DN387)</f>
        <v>0</v>
      </c>
      <c r="DP387" s="71"/>
      <c r="DQ387" s="24">
        <f>+(DQ87*DQ$70+DQ164*DQ$146+DQ230*DQ$213+DQ328*DQ$311)/10000</f>
        <v>0</v>
      </c>
      <c r="DR387" s="24">
        <f>+(DR87*DR$70+DR164*DR$146+DR230*DR$213+DR328*DR$311)/10000</f>
        <v>0</v>
      </c>
      <c r="DS387" s="24">
        <f>+(DS87*DS$70+DS164*DS$146+DS230*DS$213+DS328*DS$311)/10000</f>
        <v>0</v>
      </c>
      <c r="DT387" s="24">
        <f>+(DT87*DT$70+DT164*DT$146+DT230*DT$213+DT328*DT$311)/10000</f>
        <v>0</v>
      </c>
      <c r="DU387" s="67">
        <f>+SUM(DQ387:DT387)</f>
        <v>0</v>
      </c>
      <c r="DV387" s="71"/>
      <c r="DW387" s="24">
        <f>+(DW87*DW$70+DW164*DW$146+DW230*DW$213+DW328*DW$311)/10000</f>
        <v>0</v>
      </c>
      <c r="DX387" s="24">
        <f>+(DX87*DX$70+DX164*DX$146+DX230*DX$213+DX328*DX$311)/10000</f>
        <v>0</v>
      </c>
      <c r="DY387" s="24">
        <f>+(DY87*DY$70+DY164*DY$146+DY230*DY$213+DY328*DY$311)/10000</f>
        <v>0</v>
      </c>
      <c r="DZ387" s="24">
        <f>+(DZ87*DZ$70+DZ164*DZ$146+DZ230*DZ$213+DZ328*DZ$311)/10000</f>
        <v>0</v>
      </c>
      <c r="EA387" s="67">
        <f>+SUM(DW387:DZ387)</f>
        <v>0</v>
      </c>
      <c r="EB387" s="71"/>
      <c r="EC387" s="24">
        <f t="shared" ref="EC387:EF387" si="820">+(EC87*EC$70+EC164*EC$146+EC230*EC$213+EC328*EC$311)/10000</f>
        <v>0</v>
      </c>
      <c r="ED387" s="24">
        <f t="shared" si="820"/>
        <v>0</v>
      </c>
      <c r="EE387" s="24">
        <f t="shared" si="820"/>
        <v>0</v>
      </c>
      <c r="EF387" s="24">
        <f t="shared" si="820"/>
        <v>0</v>
      </c>
      <c r="EG387" s="67">
        <f t="shared" ref="EG387" si="821">+SUM(EC387:EF387)</f>
        <v>0</v>
      </c>
    </row>
    <row r="388" spans="1:137" ht="11.25" customHeight="1" outlineLevel="1" x14ac:dyDescent="0.2">
      <c r="A388" s="45" t="s">
        <v>537</v>
      </c>
      <c r="B388" s="14"/>
      <c r="C388" s="14"/>
      <c r="D388" s="14"/>
      <c r="E388" s="71"/>
      <c r="F388" s="71"/>
      <c r="G388" s="71"/>
      <c r="H388" s="71"/>
      <c r="I388" s="71"/>
      <c r="J388" s="71"/>
      <c r="K388" s="71"/>
      <c r="L388" s="71"/>
      <c r="M388" s="71"/>
      <c r="N388" s="71"/>
      <c r="O388" s="71"/>
      <c r="P388" s="71"/>
      <c r="Q388" s="71"/>
      <c r="R388" s="71"/>
      <c r="S388" s="71"/>
      <c r="T388" s="71"/>
      <c r="U388" s="71"/>
      <c r="V388" s="71"/>
      <c r="W388" s="71"/>
      <c r="X388" s="71"/>
      <c r="Y388" s="71"/>
      <c r="Z388" s="71"/>
      <c r="AA388" s="71"/>
      <c r="AB388" s="71"/>
      <c r="AC388" s="71"/>
      <c r="AD388" s="71"/>
      <c r="AE388" s="71"/>
      <c r="AF388" s="71"/>
      <c r="AG388" s="71"/>
      <c r="AH388" s="71"/>
      <c r="AI388" s="71"/>
      <c r="AJ388" s="71"/>
      <c r="AK388" s="71"/>
      <c r="AL388" s="71"/>
      <c r="AM388" s="71"/>
      <c r="AN388" s="71"/>
      <c r="AO388" s="71"/>
      <c r="AP388" s="71"/>
      <c r="AQ388" s="71"/>
      <c r="AR388" s="71"/>
      <c r="AS388" s="71"/>
      <c r="AT388" s="71"/>
      <c r="AU388" s="71"/>
      <c r="AV388" s="71"/>
      <c r="AW388" s="71"/>
      <c r="AX388" s="71"/>
      <c r="AY388" s="71"/>
      <c r="AZ388" s="71"/>
      <c r="BA388" s="71"/>
      <c r="BB388" s="71"/>
      <c r="BC388" s="71"/>
      <c r="BD388" s="71"/>
      <c r="BE388" s="71"/>
      <c r="BF388" s="71"/>
      <c r="BG388" s="71"/>
      <c r="BH388" s="71"/>
      <c r="BI388" s="71"/>
      <c r="BJ388" s="71"/>
      <c r="BK388" s="71"/>
      <c r="BL388" s="71"/>
      <c r="BM388" s="71"/>
      <c r="BN388" s="71"/>
      <c r="BO388" s="71"/>
      <c r="BP388" s="71"/>
      <c r="BQ388" s="71"/>
      <c r="BR388" s="71"/>
      <c r="BS388" s="71"/>
      <c r="BT388" s="71"/>
      <c r="BU388" s="15">
        <f>+BU387/BU343</f>
        <v>2.5741710385926375E-2</v>
      </c>
      <c r="BV388" s="15">
        <f>+BV387/BV343</f>
        <v>-2.2949921005508522E-2</v>
      </c>
      <c r="BW388" s="15">
        <f>+BW387/BW343</f>
        <v>-2.5745806860949773E-2</v>
      </c>
      <c r="BX388" s="15">
        <f>+BX387/BX343</f>
        <v>8.3967635718965542E-3</v>
      </c>
      <c r="BY388" s="15">
        <f>+BY387/BY343</f>
        <v>-4.7484349867534352E-3</v>
      </c>
      <c r="BZ388" s="71"/>
      <c r="CA388" s="15">
        <f>+CA387/CA343</f>
        <v>-9.8898140102048494E-5</v>
      </c>
      <c r="CB388" s="15">
        <f>+CB387/CB343</f>
        <v>4.3025822658508038E-2</v>
      </c>
      <c r="CC388" s="15">
        <f>+CC387/CC343</f>
        <v>3.1132648996479034E-2</v>
      </c>
      <c r="CD388" s="15">
        <f>+CD387/CD343</f>
        <v>6.6428481110249044E-3</v>
      </c>
      <c r="CE388" s="15">
        <f>+CE387/CE343</f>
        <v>1.9897812194214441E-2</v>
      </c>
      <c r="CF388" s="71"/>
      <c r="CG388" s="15">
        <f>+CG387/CG343</f>
        <v>5.5863718529075663E-3</v>
      </c>
      <c r="CH388" s="15">
        <f>+CH387/CH343</f>
        <v>6.9206495656461949E-3</v>
      </c>
      <c r="CI388" s="15">
        <f>+CI387/CI343</f>
        <v>6.6320225424755319E-3</v>
      </c>
      <c r="CJ388" s="15">
        <f>+CJ387/CJ343</f>
        <v>6.9347836614814936E-3</v>
      </c>
      <c r="CK388" s="15">
        <f>+CK387/CK343</f>
        <v>6.54898533856706E-3</v>
      </c>
      <c r="CL388" s="71"/>
      <c r="CM388" s="15">
        <f>+CM387/CM343</f>
        <v>2.8766860712141019E-6</v>
      </c>
      <c r="CN388" s="15">
        <f>+CN387/CN343</f>
        <v>7.2499468360821108E-3</v>
      </c>
      <c r="CO388" s="15">
        <f>+CO387/CO343</f>
        <v>3.2663363880555127E-6</v>
      </c>
      <c r="CP388" s="15">
        <f>+CP387/CP343</f>
        <v>-1.0169073348810894E-2</v>
      </c>
      <c r="CQ388" s="15">
        <f>+CQ387/CQ343</f>
        <v>-1.0224632502485727E-3</v>
      </c>
      <c r="CR388" s="71"/>
      <c r="CS388" s="15">
        <f>+CS387/CS343</f>
        <v>-9.8940229308940534E-3</v>
      </c>
      <c r="CT388" s="15">
        <f>+CT387/CT343</f>
        <v>-5.6025306050553371E-3</v>
      </c>
      <c r="CU388" s="15">
        <f>+CU387/CU343</f>
        <v>-1.924093160981721E-2</v>
      </c>
      <c r="CV388" s="15">
        <f>+CV387/CV343</f>
        <v>-3.0607304197466162E-3</v>
      </c>
      <c r="CW388" s="15">
        <f>+CW387/CW343</f>
        <v>-9.1090390963207372E-3</v>
      </c>
      <c r="CX388" s="71"/>
      <c r="CY388" s="15">
        <f>+CY387/CY343</f>
        <v>5.0143982059580533E-3</v>
      </c>
      <c r="CZ388" s="15">
        <f>+CZ387/CZ343</f>
        <v>0</v>
      </c>
      <c r="DA388" s="15">
        <f>+DA387/DA343</f>
        <v>2.7264345006171194E-2</v>
      </c>
      <c r="DB388" s="15">
        <f>+DB387/DB343</f>
        <v>-4.1804310363632398E-3</v>
      </c>
      <c r="DC388" s="15">
        <f>+DC387/DC343</f>
        <v>6.7035285267497517E-3</v>
      </c>
      <c r="DD388" s="71"/>
      <c r="DE388" s="15">
        <f>+DE387/DE343</f>
        <v>0</v>
      </c>
      <c r="DF388" s="15">
        <f>+DF387/DF343</f>
        <v>-1.692201946741757E-2</v>
      </c>
      <c r="DG388" s="15">
        <f>+DG387/DG343</f>
        <v>0</v>
      </c>
      <c r="DH388" s="15">
        <f>+DH387/DH343</f>
        <v>1.8815915213244976E-2</v>
      </c>
      <c r="DI388" s="15">
        <f>+DI387/DI343</f>
        <v>1.0568694523096396E-3</v>
      </c>
      <c r="DJ388" s="71"/>
      <c r="DK388" s="15">
        <f>+DK387/DK343</f>
        <v>0</v>
      </c>
      <c r="DL388" s="15">
        <f>+DL387/DL343</f>
        <v>0</v>
      </c>
      <c r="DM388" s="15">
        <f>+DM387/DM343</f>
        <v>0</v>
      </c>
      <c r="DN388" s="15">
        <f>+DN387/DN343</f>
        <v>0</v>
      </c>
      <c r="DO388" s="15">
        <f>+DO387/DO343</f>
        <v>0</v>
      </c>
      <c r="DP388" s="71"/>
      <c r="DQ388" s="15">
        <f>+DQ387/DQ343</f>
        <v>0</v>
      </c>
      <c r="DR388" s="15">
        <f>+DR387/DR343</f>
        <v>0</v>
      </c>
      <c r="DS388" s="15">
        <f>+DS387/DS343</f>
        <v>0</v>
      </c>
      <c r="DT388" s="15">
        <f>+DT387/DT343</f>
        <v>0</v>
      </c>
      <c r="DU388" s="15">
        <f>+DU387/DU343</f>
        <v>0</v>
      </c>
      <c r="DV388" s="71"/>
      <c r="DW388" s="15">
        <f>+DW387/DW343</f>
        <v>0</v>
      </c>
      <c r="DX388" s="15">
        <f>+DX387/DX343</f>
        <v>0</v>
      </c>
      <c r="DY388" s="15">
        <f>+DY387/DY343</f>
        <v>0</v>
      </c>
      <c r="DZ388" s="15">
        <f>+DZ387/DZ343</f>
        <v>0</v>
      </c>
      <c r="EA388" s="15">
        <f>+EA387/EA343</f>
        <v>0</v>
      </c>
      <c r="EB388" s="71"/>
      <c r="EC388" s="15">
        <f t="shared" ref="EC388:EG388" si="822">+EC387/EC343</f>
        <v>0</v>
      </c>
      <c r="ED388" s="15">
        <f t="shared" si="822"/>
        <v>0</v>
      </c>
      <c r="EE388" s="15">
        <f t="shared" si="822"/>
        <v>0</v>
      </c>
      <c r="EF388" s="15">
        <f t="shared" si="822"/>
        <v>0</v>
      </c>
      <c r="EG388" s="15">
        <f t="shared" si="822"/>
        <v>0</v>
      </c>
    </row>
    <row r="389" spans="1:137" ht="11.25" customHeight="1" outlineLevel="1" x14ac:dyDescent="0.2">
      <c r="A389" s="2"/>
      <c r="B389" s="14"/>
      <c r="C389" s="14"/>
      <c r="D389" s="14"/>
      <c r="E389" s="71"/>
      <c r="F389" s="71"/>
      <c r="G389" s="71"/>
      <c r="H389" s="71"/>
      <c r="I389" s="71"/>
      <c r="J389" s="71"/>
      <c r="K389" s="71"/>
      <c r="L389" s="71"/>
      <c r="M389" s="71"/>
      <c r="N389" s="71"/>
      <c r="O389" s="71"/>
      <c r="P389" s="71"/>
      <c r="Q389" s="71"/>
      <c r="R389" s="71"/>
      <c r="S389" s="71"/>
      <c r="T389" s="71"/>
      <c r="U389" s="71"/>
      <c r="V389" s="71"/>
      <c r="W389" s="71"/>
      <c r="X389" s="71"/>
      <c r="Y389" s="71"/>
      <c r="Z389" s="71"/>
      <c r="AA389" s="71"/>
      <c r="AB389" s="71"/>
      <c r="AC389" s="71"/>
      <c r="AD389" s="71"/>
      <c r="AE389" s="71"/>
      <c r="AF389" s="71"/>
      <c r="AG389" s="71"/>
      <c r="AH389" s="71"/>
      <c r="AI389" s="71"/>
      <c r="AJ389" s="71"/>
      <c r="AK389" s="71"/>
      <c r="AL389" s="71"/>
      <c r="AM389" s="71"/>
      <c r="AN389" s="71"/>
      <c r="AO389" s="71"/>
      <c r="AP389" s="71"/>
      <c r="AQ389" s="71"/>
      <c r="AR389" s="71"/>
      <c r="AS389" s="71"/>
      <c r="AT389" s="71"/>
      <c r="AU389" s="71"/>
      <c r="AV389" s="71"/>
      <c r="AW389" s="71"/>
      <c r="AX389" s="71"/>
      <c r="AY389" s="71"/>
      <c r="AZ389" s="71"/>
      <c r="BA389" s="71"/>
      <c r="BB389" s="71"/>
      <c r="BC389" s="71"/>
      <c r="BD389" s="71"/>
      <c r="BE389" s="71"/>
      <c r="BF389" s="71"/>
      <c r="BG389" s="71"/>
      <c r="BH389" s="71"/>
      <c r="BI389" s="71"/>
      <c r="BJ389" s="71"/>
      <c r="BK389" s="71"/>
      <c r="BL389" s="71"/>
      <c r="BM389" s="71"/>
      <c r="BN389" s="71"/>
      <c r="BO389" s="71"/>
      <c r="BP389" s="71"/>
      <c r="BQ389" s="71"/>
      <c r="BR389" s="71"/>
      <c r="BS389" s="71"/>
      <c r="BT389" s="71"/>
      <c r="BU389" s="71"/>
      <c r="BV389" s="71"/>
      <c r="BW389" s="71"/>
      <c r="BX389" s="71"/>
      <c r="BY389" s="71"/>
      <c r="BZ389" s="71"/>
      <c r="CA389" s="71"/>
      <c r="CB389" s="71"/>
      <c r="CC389" s="71"/>
      <c r="CD389" s="71"/>
      <c r="CE389" s="71"/>
      <c r="CF389" s="71"/>
      <c r="CG389" s="71"/>
      <c r="CH389" s="71"/>
      <c r="CI389" s="71"/>
      <c r="CJ389" s="71"/>
      <c r="CK389" s="71"/>
      <c r="CL389" s="71"/>
      <c r="CM389" s="71"/>
      <c r="CN389" s="71"/>
      <c r="CO389" s="71"/>
      <c r="CP389" s="71"/>
      <c r="CQ389" s="71"/>
      <c r="CR389" s="71"/>
      <c r="CS389" s="71"/>
      <c r="CT389" s="71"/>
      <c r="CU389" s="71"/>
      <c r="CV389" s="71"/>
      <c r="CW389" s="71"/>
      <c r="CX389" s="71"/>
      <c r="CY389" s="71"/>
      <c r="CZ389" s="71"/>
      <c r="DA389" s="71"/>
      <c r="DB389" s="71"/>
      <c r="DC389" s="71"/>
      <c r="DD389" s="71"/>
      <c r="DE389" s="71"/>
      <c r="DF389" s="71"/>
      <c r="DG389" s="71"/>
      <c r="DH389" s="71"/>
      <c r="DI389" s="71"/>
      <c r="DJ389" s="71"/>
      <c r="DK389" s="71"/>
      <c r="DL389" s="71"/>
      <c r="DM389" s="71"/>
      <c r="DN389" s="71"/>
      <c r="DO389" s="71"/>
      <c r="DP389" s="71"/>
      <c r="DQ389" s="71"/>
      <c r="DR389" s="71"/>
      <c r="DS389" s="71"/>
      <c r="DT389" s="71"/>
      <c r="DU389" s="71"/>
      <c r="DV389" s="71"/>
      <c r="DW389" s="71"/>
      <c r="DX389" s="71"/>
      <c r="DY389" s="71"/>
      <c r="DZ389" s="71"/>
      <c r="EA389" s="71"/>
      <c r="EB389" s="71"/>
      <c r="EC389" s="71"/>
      <c r="ED389" s="71"/>
      <c r="EE389" s="71"/>
      <c r="EF389" s="71"/>
      <c r="EG389" s="71"/>
    </row>
    <row r="390" spans="1:137" ht="11.25" customHeight="1" outlineLevel="1" x14ac:dyDescent="0.2">
      <c r="A390" s="45" t="s">
        <v>535</v>
      </c>
      <c r="CE390" s="1050"/>
      <c r="CK390" s="1050">
        <f>+(CK391*(1-'Pro Forma IS'!CK59))/'Pro Forma IS'!CK41</f>
        <v>-2.4612986008391624E-2</v>
      </c>
      <c r="CM390" s="1050"/>
      <c r="CN390" s="1050"/>
      <c r="CO390" s="1050"/>
      <c r="CP390" s="1050"/>
      <c r="CQ390" s="1050">
        <f>+(CQ391*(1-'Pro Forma IS'!CQ59))/'Pro Forma IS'!CQ41</f>
        <v>-3.1246094659690516E-2</v>
      </c>
      <c r="CS390" s="1050">
        <f>+(CS391*(1-'Pro Forma IS'!CS59))/'Pro Forma IS'!CS41</f>
        <v>-2.6797712021648826E-2</v>
      </c>
      <c r="CT390" s="1050">
        <f>+(CT391*(1-'Pro Forma IS'!CT59))/'Pro Forma IS'!CT41</f>
        <v>-3.0557518805556187E-2</v>
      </c>
      <c r="CU390" s="1050">
        <f>+(CU391*(1-'Pro Forma IS'!CU59))/'Pro Forma IS'!CU41</f>
        <v>-3.0027802063696103E-2</v>
      </c>
      <c r="CV390" s="1050">
        <f>+(CV391*(1-'Pro Forma IS'!CV59))/'Pro Forma IS'!CV41</f>
        <v>-2.9865104566504191E-2</v>
      </c>
      <c r="CW390" s="1050">
        <f>+(CW391*(1-'Pro Forma IS'!CW59))/'Pro Forma IS'!CW41</f>
        <v>-0.11695624496030151</v>
      </c>
      <c r="CY390" s="1050">
        <f>+(CY391*(1-'Pro Forma IS'!CY59))/'Pro Forma IS'!CY41</f>
        <v>-1.3584053279288549E-2</v>
      </c>
      <c r="CZ390" s="1050">
        <f>+(CZ391*(1-'Pro Forma IS'!CZ59))/'Pro Forma IS'!CZ41</f>
        <v>-4.040583563289589E-3</v>
      </c>
      <c r="DA390" s="1050">
        <f>+(DA391*(1-'Pro Forma IS'!DA59))/'Pro Forma IS'!DA41</f>
        <v>1.3143273723611253E-3</v>
      </c>
      <c r="DB390" s="1050">
        <f>+(DB391*(1-'Pro Forma IS'!DB59))/'Pro Forma IS'!DB41</f>
        <v>-1.5011922537461824E-2</v>
      </c>
      <c r="DC390" s="1050">
        <f>+(DC391*(1-'Pro Forma IS'!DC59))/'Pro Forma IS'!DC41</f>
        <v>-3.2121002785320561E-2</v>
      </c>
      <c r="DE390" s="1050">
        <f>+(DE391*(1-'Pro Forma IS'!DE59))/'Pro Forma IS'!DE41</f>
        <v>-2.1305311517287418E-2</v>
      </c>
      <c r="DF390" s="1050">
        <f>+(DF391*(1-'Pro Forma IS'!DF59))/'Pro Forma IS'!DF41</f>
        <v>-2.06169111105233E-2</v>
      </c>
      <c r="DG390" s="1050">
        <f>+(DG391*(1-'Pro Forma IS'!DG59))/'Pro Forma IS'!DG41</f>
        <v>1.5139421403976288E-2</v>
      </c>
      <c r="DH390" s="1050">
        <f>+(DH391*(1-'Pro Forma IS'!DH59))/'Pro Forma IS'!DH41</f>
        <v>4.5487116198249071E-2</v>
      </c>
      <c r="DI390" s="911">
        <f>+SUM(DE390:DH390)</f>
        <v>1.8704314974414646E-2</v>
      </c>
      <c r="DK390" s="1050">
        <f>+(DK391*(1-'Pro Forma IS'!DK59))/'Pro Forma IS'!DK41</f>
        <v>1.9908559447302739E-2</v>
      </c>
      <c r="DL390" s="1050">
        <f>+(DL391*(1-'Pro Forma IS'!DL59))/'Pro Forma IS'!DL41</f>
        <v>3.8550942480303892E-2</v>
      </c>
      <c r="DM390" s="1050">
        <f>+(DM391*(1-'Pro Forma IS'!DM59))/'Pro Forma IS'!DM41</f>
        <v>1.0803217453015426E-2</v>
      </c>
      <c r="DN390" s="1050">
        <f>+(DN391*(1-'Pro Forma IS'!DN59))/'Pro Forma IS'!DN41</f>
        <v>2.4149951851230419E-2</v>
      </c>
      <c r="DO390" s="911">
        <f>+SUM(DK390:DN390)</f>
        <v>9.341267123185247E-2</v>
      </c>
      <c r="DQ390" s="1050">
        <f>+(DQ391*(1-'Pro Forma IS'!DQ59))/'Pro Forma IS'!DQ41</f>
        <v>0</v>
      </c>
      <c r="DR390" s="1050">
        <f>+(DR391*(1-'Pro Forma IS'!DR59))/'Pro Forma IS'!DR41</f>
        <v>0</v>
      </c>
      <c r="DS390" s="1050">
        <f>+(DS391*(1-'Pro Forma IS'!DS59))/'Pro Forma IS'!DS41</f>
        <v>0</v>
      </c>
      <c r="DT390" s="1050">
        <f>+(DT391*(1-'Pro Forma IS'!DT59))/'Pro Forma IS'!DT41</f>
        <v>0</v>
      </c>
      <c r="DU390" s="911">
        <f t="shared" ref="DU390" si="823">+SUM(DQ390:DT390)</f>
        <v>0</v>
      </c>
      <c r="DW390" s="1050">
        <f>+(DW391*(1-'Pro Forma IS'!DW59))/'Pro Forma IS'!DW41</f>
        <v>0</v>
      </c>
      <c r="DX390" s="1050">
        <f>+(DX391*(1-'Pro Forma IS'!DX59))/'Pro Forma IS'!DX41</f>
        <v>0</v>
      </c>
      <c r="DY390" s="1050">
        <f>+(DY391*(1-'Pro Forma IS'!DY59))/'Pro Forma IS'!DY41</f>
        <v>0</v>
      </c>
      <c r="DZ390" s="1050">
        <f>+(DZ391*(1-'Pro Forma IS'!DZ59))/'Pro Forma IS'!DZ41</f>
        <v>0</v>
      </c>
      <c r="EA390" s="911">
        <f t="shared" ref="EA390" si="824">+SUM(DW390:DZ390)</f>
        <v>0</v>
      </c>
      <c r="EC390" s="1050">
        <f>+(EC391*(1-'Pro Forma IS'!EC59))/'Pro Forma IS'!EC41</f>
        <v>0</v>
      </c>
      <c r="ED390" s="1050">
        <f>+(ED391*(1-'Pro Forma IS'!ED59))/'Pro Forma IS'!ED41</f>
        <v>0</v>
      </c>
      <c r="EE390" s="1050">
        <f>+(EE391*(1-'Pro Forma IS'!EE59))/'Pro Forma IS'!EE41</f>
        <v>0</v>
      </c>
      <c r="EF390" s="1050">
        <f>+(EF391*(1-'Pro Forma IS'!EF59))/'Pro Forma IS'!EF41</f>
        <v>0</v>
      </c>
      <c r="EG390" s="911">
        <f t="shared" ref="EG390" si="825">+SUM(EC390:EF390)</f>
        <v>0</v>
      </c>
    </row>
    <row r="391" spans="1:137" ht="11.25" customHeight="1" outlineLevel="1" x14ac:dyDescent="0.2">
      <c r="A391" s="45" t="s">
        <v>534</v>
      </c>
      <c r="BU391" s="24">
        <f>+(BU79*BU$70+BU156*BU$146+BU222*BU$213+BU320*BU$311)</f>
        <v>5.1849788879728216</v>
      </c>
      <c r="BV391" s="24">
        <f>+(BV79*BV$70+BV156*BV$146+BV222*BV$213+BV320*BV$311)</f>
        <v>24.171024718839352</v>
      </c>
      <c r="BW391" s="24">
        <f>+(BW79*BW$70+BW156*BW$146+BW222*BW$213+BW320*BW$311)</f>
        <v>25.294185725107283</v>
      </c>
      <c r="BX391" s="24">
        <f>+(BX79*BX$70+BX156*BX$146+BX222*BX$213+BX320*BX$311)</f>
        <v>-1.2736849576222835</v>
      </c>
      <c r="BY391" s="24">
        <f>+(BY79*BY$70+BY156*BY$146+BY222*BY$213+BY320*BY$311)</f>
        <v>56.54271224665375</v>
      </c>
      <c r="CA391" s="24">
        <f>+(CA79*CA$70+CA156*CA$146+CA222*CA$213+CA320*CA$311)</f>
        <v>-4.6318189268147645</v>
      </c>
      <c r="CB391" s="24">
        <f>+(CB79*CB$70+CB156*CB$146+CB222*CB$213+CB320*CB$311)</f>
        <v>-21.819825165566858</v>
      </c>
      <c r="CC391" s="24">
        <f>+(CC79*CC$70+CC156*CC$146+CC222*CC$213+CC320*CC$311)</f>
        <v>-18.600042743290693</v>
      </c>
      <c r="CD391" s="24">
        <f>+(CD79*CD$70+CD156*CD$146+CD222*CD$213+CD320*CD$311)</f>
        <v>-4.7620435622688966</v>
      </c>
      <c r="CE391" s="24">
        <f>+(CE79*CE$70+CE156*CE$146+CE222*CE$213+CE320*CE$311)</f>
        <v>-52.621147899541981</v>
      </c>
      <c r="CG391" s="24">
        <f>+(CG79*CG$70+CG156*CG$146+CG222*CG$213+CG320*CG$311)</f>
        <v>-5.3346148265763391</v>
      </c>
      <c r="CH391" s="24">
        <f>+(CH79*CH$70+CH156*CH$146+CH222*CH$213+CH320*CH$311)</f>
        <v>-2.7837850953199546</v>
      </c>
      <c r="CI391" s="24">
        <f>+(CI79*CI$70+CI156*CI$146+CI222*CI$213+CI320*CI$311)</f>
        <v>-2.1837763744979171</v>
      </c>
      <c r="CJ391" s="24">
        <f>+(CJ79*CJ$70+CJ156*CJ$146+CJ222*CJ$213+CJ320*CJ$311)</f>
        <v>-5.3742869708258283</v>
      </c>
      <c r="CK391" s="24">
        <f>+(CK79*CK$70+CK156*CK$146+CK222*CK$213+CK320*CK$311)</f>
        <v>-22.63260481118196</v>
      </c>
      <c r="CM391" s="24">
        <f>+(CM79*CM$70+CM156*CM$146+CM222*CM$213+CM320*CM$311)</f>
        <v>-1.4499513567225779</v>
      </c>
      <c r="CN391" s="24">
        <f>+(CN79*CN$70+CN156*CN$146+CN222*CN$213+CN320*CN$311)</f>
        <v>3.6940507773253755</v>
      </c>
      <c r="CO391" s="24">
        <f>+(CO79*CO$70+CO156*CO$146+CO222*CO$213+CO320*CO$311)</f>
        <v>-2.1860993346935742</v>
      </c>
      <c r="CP391" s="24">
        <f>+(CP79*CP$70+CP156*CP$146+CP222*CP$213+CP320*CP$311)</f>
        <v>-28.266894642592021</v>
      </c>
      <c r="CQ391" s="24">
        <f>+(CQ79*CQ$70+CQ156*CQ$146+CQ222*CQ$213+CQ320*CQ$311)</f>
        <v>-28.485635002419663</v>
      </c>
      <c r="CS391" s="24">
        <f>+(CS79*CS$70+CS156*CS$146+CS222*CS$213+CS320*CS$311)</f>
        <v>-23.500041347851681</v>
      </c>
      <c r="CT391" s="24">
        <f>+(CT79*CT$70+CT156*CT$146+CT222*CT$213+CT320*CT$311)</f>
        <v>-24.736183203938658</v>
      </c>
      <c r="CU391" s="24">
        <f>+(CU79*CU$70+CU156*CU$146+CU222*CU$213+CU320*CU$311)</f>
        <v>-25.067162528387573</v>
      </c>
      <c r="CV391" s="24">
        <f>+(CV79*CV$70+CV156*CV$146+CV222*CV$213+CV320*CV$311)</f>
        <v>-24.011738395278357</v>
      </c>
      <c r="CW391" s="24">
        <f>+(CW79*CW$70+CW156*CW$146+CW222*CW$213+CW320*CW$311)</f>
        <v>-96.749196193501774</v>
      </c>
      <c r="CY391" s="24">
        <f>+(CY79*CY$70+CY156*CY$146+CY222*CY$213+CY320*CY$311)</f>
        <v>-12.666875996451633</v>
      </c>
      <c r="CZ391" s="24">
        <f>+(CZ79*CZ$70+CZ156*CZ$146+CZ222*CZ$213+CZ320*CZ$311)</f>
        <v>-4.4224084635645298</v>
      </c>
      <c r="DA391" s="24">
        <f>+(DA79*DA$70+DA156*DA$146+DA222*DA$213+DA320*DA$311)</f>
        <v>1.0913869913042964</v>
      </c>
      <c r="DB391" s="24">
        <f>+(DB79*DB$70+DB156*DB$146+DB222*DB$213+DB320*DB$311)</f>
        <v>-9.8231260695937852</v>
      </c>
      <c r="DC391" s="24">
        <f>+(DC79*DC$70+DC156*DC$146+DC222*DC$213+DC320*DC$311)</f>
        <v>-27.258069418779897</v>
      </c>
      <c r="DE391" s="24">
        <f>+(DE79*DE$70+DE156*DE$146+DE222*DE$213+DE320*DE$311)</f>
        <v>-18.186388299402942</v>
      </c>
      <c r="DF391" s="24">
        <f>+(DF79*DF$70+DF156*DF$146+DF222*DF$213+DF320*DF$311)</f>
        <v>-17.520836178136967</v>
      </c>
      <c r="DG391" s="24">
        <f>+(DG79*DG$70+DG156*DG$146+DG222*DG$213+DG320*DG$311)</f>
        <v>13.626984472964185</v>
      </c>
      <c r="DH391" s="24">
        <f>+(DH79*DH$70+DH156*DH$146+DH222*DH$213+DH320*DH$311)</f>
        <v>36.785854622953003</v>
      </c>
      <c r="DI391" s="918">
        <f>+('Pro Forma IS'!DI41*DI390)/(1-'Pro Forma IS'!DI59)</f>
        <v>15.858218790422722</v>
      </c>
      <c r="DK391" s="24">
        <f>+(DK79*DK$70+DK156*DK$146+DK222*DK$213+DK320*DK$311)</f>
        <v>17.777312318845556</v>
      </c>
      <c r="DL391" s="24">
        <f>+(DL79*DL$70+DL156*DL$146+DL222*DL$213+DL320*DL$311)</f>
        <v>34.511347500000007</v>
      </c>
      <c r="DM391" s="24">
        <f>+(DM79*DM$70+DM156*DM$146+DM222*DM$213+DM320*DM$311)</f>
        <v>9.7011260000000004</v>
      </c>
      <c r="DN391" s="24">
        <f>+(DN79*DN$70+DN156*DN$146+DN222*DN$213+DN320*DN$311)</f>
        <v>21.753205999999999</v>
      </c>
      <c r="DO391" s="918">
        <f>+('Pro Forma IS'!DO41*DO390)/(1-'Pro Forma IS'!DO59)</f>
        <v>83.741369557496498</v>
      </c>
      <c r="DQ391" s="24">
        <f>+(DQ79*DQ$70+DQ156*DQ$146+DQ222*DQ$213+DQ320*DQ$311)</f>
        <v>0</v>
      </c>
      <c r="DR391" s="24">
        <f>+(DR79*DR$70+DR156*DR$146+DR222*DR$213+DR320*DR$311)</f>
        <v>0</v>
      </c>
      <c r="DS391" s="24">
        <f>+(DS79*DS$70+DS156*DS$146+DS222*DS$213+DS320*DS$311)</f>
        <v>0</v>
      </c>
      <c r="DT391" s="24">
        <f>+(DT79*DT$70+DT156*DT$146+DT222*DT$213+DT320*DT$311)</f>
        <v>0</v>
      </c>
      <c r="DU391" s="918">
        <f>+('Pro Forma IS'!DU41*DU390)/(1-'Pro Forma IS'!DU59)</f>
        <v>0</v>
      </c>
      <c r="DW391" s="24">
        <f>+(DW79*DW$70+DW156*DW$146+DW222*DW$213+DW320*DW$311)</f>
        <v>0</v>
      </c>
      <c r="DX391" s="24">
        <f>+(DX79*DX$70+DX156*DX$146+DX222*DX$213+DX320*DX$311)</f>
        <v>0</v>
      </c>
      <c r="DY391" s="24">
        <f>+(DY79*DY$70+DY156*DY$146+DY222*DY$213+DY320*DY$311)</f>
        <v>0</v>
      </c>
      <c r="DZ391" s="24">
        <f>+(DZ79*DZ$70+DZ156*DZ$146+DZ222*DZ$213+DZ320*DZ$311)</f>
        <v>0</v>
      </c>
      <c r="EA391" s="918">
        <f>+('Pro Forma IS'!EA41*EA390)/(1-'Pro Forma IS'!EA59)</f>
        <v>0</v>
      </c>
      <c r="EC391" s="24">
        <f t="shared" ref="EC391:EF391" si="826">+(EC79*EC$70+EC156*EC$146+EC222*EC$213+EC320*EC$311)</f>
        <v>0</v>
      </c>
      <c r="ED391" s="24">
        <f t="shared" si="826"/>
        <v>0</v>
      </c>
      <c r="EE391" s="24">
        <f t="shared" si="826"/>
        <v>0</v>
      </c>
      <c r="EF391" s="24">
        <f t="shared" si="826"/>
        <v>0</v>
      </c>
      <c r="EG391" s="918">
        <f>+('Pro Forma IS'!EG41*EG390)/(1-'Pro Forma IS'!EG59)</f>
        <v>0</v>
      </c>
    </row>
    <row r="392" spans="1:137" ht="11.25" customHeight="1" outlineLevel="1" x14ac:dyDescent="0.2">
      <c r="A392" s="45" t="s">
        <v>537</v>
      </c>
      <c r="BU392" s="15">
        <f>+BU391/BU$343</f>
        <v>2.9775328934931568E-3</v>
      </c>
      <c r="BV392" s="15">
        <f t="shared" ref="BV392:BY392" si="827">+BV391/BV$343</f>
        <v>1.2631431092233815E-2</v>
      </c>
      <c r="BW392" s="15">
        <f t="shared" si="827"/>
        <v>9.127527744300817E-3</v>
      </c>
      <c r="BX392" s="15">
        <f t="shared" si="827"/>
        <v>-4.1937839485998123E-4</v>
      </c>
      <c r="BY392" s="15">
        <f t="shared" si="827"/>
        <v>5.9750063634334263E-3</v>
      </c>
      <c r="CA392" s="15">
        <f>+CA391/CA$343</f>
        <v>-1.6908859817421705E-3</v>
      </c>
      <c r="CB392" s="15">
        <f t="shared" ref="CB392" si="828">+CB391/CB$343</f>
        <v>-7.5782755666853338E-3</v>
      </c>
      <c r="CC392" s="15">
        <f t="shared" ref="CC392" si="829">+CC391/CC$343</f>
        <v>-6.5949062055586519E-3</v>
      </c>
      <c r="CD392" s="15">
        <f t="shared" ref="CD392" si="830">+CD391/CD$343</f>
        <v>-1.4510108576659202E-3</v>
      </c>
      <c r="CE392" s="15">
        <f t="shared" ref="CE392" si="831">+CE391/CE$343</f>
        <v>-4.4895563481423106E-3</v>
      </c>
      <c r="CG392" s="15">
        <f t="shared" ref="CG392" si="832">+CG391/CG$343</f>
        <v>-1.8897219060614976E-3</v>
      </c>
      <c r="CH392" s="15">
        <f t="shared" ref="CH392" si="833">+CH391/CH$343</f>
        <v>-9.1522457852443264E-4</v>
      </c>
      <c r="CI392" s="15">
        <f t="shared" ref="CI392" si="834">+CI391/CI$343</f>
        <v>-7.1919621977835834E-4</v>
      </c>
      <c r="CJ392" s="15">
        <f t="shared" ref="CJ392" si="835">+CJ391/CJ$343</f>
        <v>-1.5533140251068806E-3</v>
      </c>
      <c r="CK392" s="15">
        <f t="shared" ref="CK392" si="836">+CK391/CK$343</f>
        <v>-1.8309833750606397E-3</v>
      </c>
      <c r="CM392" s="15">
        <f t="shared" ref="CM392" si="837">+CM391/CM$343</f>
        <v>-4.8980676751341032E-4</v>
      </c>
      <c r="CN392" s="15">
        <f t="shared" ref="CN392" si="838">+CN391/CN$343</f>
        <v>1.1609334103353682E-3</v>
      </c>
      <c r="CO392" s="15">
        <f t="shared" ref="CO392" si="839">+CO391/CO$343</f>
        <v>-6.9169032306507644E-4</v>
      </c>
      <c r="CP392" s="15">
        <f t="shared" ref="CP392" si="840">+CP391/CP$343</f>
        <v>-7.9309571920892115E-3</v>
      </c>
      <c r="CQ392" s="15">
        <f t="shared" ref="CQ392" si="841">+CQ391/CQ$343</f>
        <v>-2.2138767415000177E-3</v>
      </c>
      <c r="CS392" s="15">
        <f t="shared" ref="CS392" si="842">+CS391/CS$343</f>
        <v>-7.3617070822165525E-3</v>
      </c>
      <c r="CT392" s="15">
        <f t="shared" ref="CT392" si="843">+CT391/CT$343</f>
        <v>-7.261892142189078E-3</v>
      </c>
      <c r="CU392" s="15">
        <f t="shared" ref="CU392" si="844">+CU391/CU$343</f>
        <v>-7.1371683071543689E-3</v>
      </c>
      <c r="CV392" s="15">
        <f t="shared" ref="CV392" si="845">+CV391/CV$343</f>
        <v>-5.5544155436683673E-3</v>
      </c>
      <c r="CW392" s="15">
        <f t="shared" ref="CW392" si="846">+CW391/CW$343</f>
        <v>-6.7030072811200018E-3</v>
      </c>
      <c r="CY392" s="15">
        <f t="shared" ref="CY392" si="847">+CY391/CY$343</f>
        <v>-3.2279697246379124E-3</v>
      </c>
      <c r="CZ392" s="15">
        <f t="shared" ref="CZ392" si="848">+CZ391/CZ$343</f>
        <v>-1.0425536819737688E-3</v>
      </c>
      <c r="DA392" s="15">
        <f t="shared" ref="DA392" si="849">+DA391/DA$343</f>
        <v>2.6412405104046278E-4</v>
      </c>
      <c r="DB392" s="15">
        <f t="shared" ref="DB392" si="850">+DB391/DB$343</f>
        <v>-2.1427755752445924E-3</v>
      </c>
      <c r="DC392" s="15">
        <f t="shared" ref="DC392" si="851">+DC391/DC$343</f>
        <v>-1.614584977182148E-3</v>
      </c>
      <c r="DE392" s="15">
        <f t="shared" ref="DE392" si="852">+DE391/DE$343</f>
        <v>-4.324223862710831E-3</v>
      </c>
      <c r="DF392" s="53">
        <f>+DF391/DF343</f>
        <v>-3.8847999330695474E-3</v>
      </c>
      <c r="DG392" s="53">
        <f>+DG391/DG343</f>
        <v>3.0093601150488463E-3</v>
      </c>
      <c r="DH392" s="53">
        <f>+DH391/DH343</f>
        <v>7.2331939797772183E-3</v>
      </c>
      <c r="DI392" s="53">
        <f>+DI391/DI343</f>
        <v>8.651652122196611E-4</v>
      </c>
      <c r="DK392" s="15">
        <f t="shared" ref="DK392" si="853">+DK391/DK$343</f>
        <v>3.7861124331996332E-3</v>
      </c>
      <c r="DL392" s="53">
        <f>+DL391/DL343</f>
        <v>7.000000000000001E-3</v>
      </c>
      <c r="DM392" s="53">
        <f>+DM391/DM343</f>
        <v>2E-3</v>
      </c>
      <c r="DN392" s="53">
        <f>+DN391/DN343</f>
        <v>4.0000000000000001E-3</v>
      </c>
      <c r="DO392" s="53">
        <f>+DO391/DO343</f>
        <v>4.2050541251261071E-3</v>
      </c>
      <c r="DQ392" s="15">
        <f t="shared" ref="DQ392" si="854">+DQ391/DQ$343</f>
        <v>0</v>
      </c>
      <c r="DR392" s="53">
        <f t="shared" ref="DR392:DU392" si="855">+DR391/DR343</f>
        <v>0</v>
      </c>
      <c r="DS392" s="53">
        <f t="shared" si="855"/>
        <v>0</v>
      </c>
      <c r="DT392" s="53">
        <f t="shared" si="855"/>
        <v>0</v>
      </c>
      <c r="DU392" s="53">
        <f t="shared" si="855"/>
        <v>0</v>
      </c>
      <c r="DW392" s="15">
        <f t="shared" ref="DW392" si="856">+DW391/DW$343</f>
        <v>0</v>
      </c>
      <c r="DX392" s="53">
        <f t="shared" ref="DX392:EA392" si="857">+DX391/DX343</f>
        <v>0</v>
      </c>
      <c r="DY392" s="53">
        <f t="shared" si="857"/>
        <v>0</v>
      </c>
      <c r="DZ392" s="53">
        <f t="shared" si="857"/>
        <v>0</v>
      </c>
      <c r="EA392" s="53">
        <f t="shared" si="857"/>
        <v>0</v>
      </c>
      <c r="EC392" s="15">
        <f t="shared" ref="EC392" si="858">+EC391/EC$343</f>
        <v>0</v>
      </c>
      <c r="ED392" s="53">
        <f t="shared" ref="ED392:EG392" si="859">+ED391/ED343</f>
        <v>0</v>
      </c>
      <c r="EE392" s="53">
        <f t="shared" si="859"/>
        <v>0</v>
      </c>
      <c r="EF392" s="53">
        <f t="shared" si="859"/>
        <v>0</v>
      </c>
      <c r="EG392" s="53">
        <f t="shared" si="859"/>
        <v>0</v>
      </c>
    </row>
    <row r="393" spans="1:137" ht="11.25" customHeight="1" outlineLevel="1" x14ac:dyDescent="0.2">
      <c r="A393" s="45" t="s">
        <v>610</v>
      </c>
      <c r="BU393" s="393">
        <f>+BU43</f>
        <v>0.2</v>
      </c>
      <c r="BV393" s="393">
        <f>+BV43</f>
        <v>0.2</v>
      </c>
      <c r="BW393" s="393">
        <f>+BW43</f>
        <v>0.2</v>
      </c>
      <c r="BX393" s="393">
        <f>+BX43</f>
        <v>0.2</v>
      </c>
      <c r="BY393" s="393">
        <f>+BY43</f>
        <v>0.2</v>
      </c>
      <c r="CA393" s="393">
        <f>+CA43</f>
        <v>0.2</v>
      </c>
      <c r="CB393" s="393">
        <f>+CB43</f>
        <v>0.2</v>
      </c>
      <c r="CC393" s="393">
        <f>+CC43</f>
        <v>0.2</v>
      </c>
      <c r="CD393" s="393">
        <f>+CD43</f>
        <v>0.2</v>
      </c>
      <c r="CE393" s="393">
        <f>+CE43</f>
        <v>0.2</v>
      </c>
      <c r="CG393" s="393">
        <f>+CG43</f>
        <v>0.2</v>
      </c>
      <c r="CH393" s="393">
        <f>+CH43</f>
        <v>0.2</v>
      </c>
      <c r="CI393" s="393">
        <f>+CI43</f>
        <v>0.2</v>
      </c>
      <c r="CJ393" s="393">
        <f>+CJ43</f>
        <v>0.2</v>
      </c>
      <c r="CK393" s="393">
        <f>+CK43</f>
        <v>0.2</v>
      </c>
      <c r="CM393" s="393">
        <f>+CM43</f>
        <v>0.2</v>
      </c>
      <c r="CN393" s="393">
        <f>+CN43</f>
        <v>0.2</v>
      </c>
      <c r="CO393" s="393">
        <f>+CO43</f>
        <v>0.2</v>
      </c>
      <c r="CP393" s="393">
        <f>+CP43</f>
        <v>0.2</v>
      </c>
      <c r="CQ393" s="393">
        <f>+CQ43</f>
        <v>0.2</v>
      </c>
      <c r="CS393" s="393">
        <f>+CS43</f>
        <v>0.1</v>
      </c>
      <c r="CT393" s="393">
        <f>+CT43</f>
        <v>0.1</v>
      </c>
      <c r="CU393" s="393">
        <f>+CU43</f>
        <v>0.1</v>
      </c>
      <c r="CV393" s="393">
        <f>+CV43</f>
        <v>0.1</v>
      </c>
      <c r="CW393" s="393">
        <f>+CW43</f>
        <v>0.1</v>
      </c>
      <c r="CY393" s="393">
        <f>+CY43</f>
        <v>0.2</v>
      </c>
      <c r="CZ393" s="393">
        <f>+CZ43</f>
        <v>0.2</v>
      </c>
      <c r="DA393" s="393">
        <f>+DA43</f>
        <v>0.2</v>
      </c>
      <c r="DB393" s="393">
        <f>+DB43</f>
        <v>0.2</v>
      </c>
      <c r="DC393" s="393">
        <f>+DC43</f>
        <v>0.2</v>
      </c>
      <c r="DE393" s="53">
        <f>+-DE392/DE22</f>
        <v>-0.28828159084738875</v>
      </c>
      <c r="DF393" s="53">
        <f>+DF392/DF22</f>
        <v>0.25898666220463651</v>
      </c>
      <c r="DG393" s="53">
        <f>+DG392/DG22</f>
        <v>-0.30093601150488464</v>
      </c>
      <c r="DH393" s="53">
        <f>+DH392/DH22</f>
        <v>-0.24110646599257396</v>
      </c>
      <c r="DI393" s="53">
        <f>+DI392/DI22</f>
        <v>-4.847038288570122E-2</v>
      </c>
      <c r="DK393" s="393">
        <f>+DK43</f>
        <v>7.0000000000000007E-2</v>
      </c>
      <c r="DL393" s="393">
        <f>+DL43</f>
        <v>0.2</v>
      </c>
      <c r="DM393" s="393">
        <f>+DM43</f>
        <v>0.2</v>
      </c>
      <c r="DN393" s="393">
        <f>+DN43</f>
        <v>0.2</v>
      </c>
      <c r="DO393" s="393">
        <f>+DO43</f>
        <v>0.2</v>
      </c>
      <c r="DQ393" s="393"/>
      <c r="DR393" s="53"/>
      <c r="DS393" s="53"/>
      <c r="DT393" s="53"/>
      <c r="DU393" s="53"/>
    </row>
    <row r="394" spans="1:137" ht="11.25" customHeight="1" x14ac:dyDescent="0.2">
      <c r="DE394" s="919"/>
      <c r="DF394" s="919"/>
      <c r="DG394" s="919"/>
      <c r="DH394" s="919"/>
      <c r="DI394" s="918"/>
    </row>
    <row r="395" spans="1:137" ht="11.25" customHeight="1" x14ac:dyDescent="0.2"/>
    <row r="396" spans="1:137" ht="11.25" customHeight="1" x14ac:dyDescent="0.2"/>
    <row r="397" spans="1:137" ht="11.25" customHeight="1" x14ac:dyDescent="0.2"/>
    <row r="398" spans="1:137" ht="11.25" customHeight="1" x14ac:dyDescent="0.2"/>
    <row r="399" spans="1:137" ht="11.25" customHeight="1" x14ac:dyDescent="0.2"/>
    <row r="400" spans="1:137"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sheetData>
  <hyperlinks>
    <hyperlink ref="EG4" r:id="rId1"/>
  </hyperlinks>
  <pageMargins left="0" right="0" top="0" bottom="0" header="0" footer="0"/>
  <pageSetup paperSize="5" scale="48" orientation="landscape" r:id="rId2"/>
  <ignoredErrors>
    <ignoredError sqref="B382:BR382 A224:BR224 B44:BS44 A37:DE42 A354:BR362 B353:BR353 A350:BR352 B349:BR349 B90:BR90 A45:DH45 DJ45:DU45 BO368:DF369 B371:BR373 B375:BR376 B390:BR391 A366:BR366 A36:CD36 DJ36 A150:BR153 A69:BR70 A101:BR103 A106:BR112 B105:BR105 B98:BR99 A378:BR379 CX44 B19:BM19 DD19 A210:CO210 A342:BR348 CW170:DD170 A363:CD364 A365:CP365 CW188:DB188 CW196:EG197 BS105:DU106 BS153:DD153 A154:DD155 BS195:CV197 BS366:DF367 B104:DU104 BS199:EG199 BS59:DU60 A225:BF226 BH225:BR226 CW172:EG181 CW171:DH171 DP171:EG171 CX122:EG122 CX123 CX124:DU124 BS122:CV125 CX125 CZ125:DU125 CZ123:DU123 BS170:CV193 CW189:EG190 CW195:DD195 DF195:EG195 DU191:DU192 DD188:EG188 CW192:DD192 CW193:DU193 CW191:DP191 DF192:DP192 DW193:EA193 EC193:EE193 A341:AD341 AI341:BR341 CR362:DD362 BS362:CP362 BS129:EG132 A144:BR146 DD80 B214:CL214 DC214:DD214 BS73:DD73 DC71:DD71 BS146:DD146 BS150:CP151 DJ150 DJ157 DD157 DJ155 DJ158 DP157 DP155:DQ155 DV154:EG155 DP168:EG168 DU147 DO147:DP147 DV157:DZ157 CX223:DD223 DJ223 BS394:BT394 A370:DF370 BS371:BS379 DI312:DJ312 DO312:DP312 DU312 DO214:DP214 DU214 CW183:EG187 CW182:DD182 DI182:EG182 A81:BR87 B80:BT80 B157:BS157 B223:C223 B321:C321 DJ80 DP80 BS329:DU330 DD321 DJ321 DP321 EB157:EF157 A216:DD216 A314:DB314 BS78:DB78 DD78 BS385:BT390 BS392:BT392 BS619:EG639 EG394 BU389:CV389 CS371:DD372 CY373:DD375 BU371:CR377 DE371:DF375 CY376:DF377 CS373:CX377 BU378:DF378 BS391:DA391 BU394:EF399 BU390:CD390 DD390 CX390 CR390 CX389:DU389 CF390:CJ390 A97:DU97 DD96 DF96:DU96 A92:BR93 B96:CO96 BS93:DD93 BS92:CP92 CR92:DU92 CR96:CV96 BS103:CP103 CR103:DU103 BS113:EG113 BS108:CP108 CR108:DU108 CX96:DB96 CY95 BS99:DU102 BS98:CR98 CT98:DU98 A27:DE31 BS165:EG166 DI169:DJ169 BS77:DD77 BS76:CX76 DC76:DD76 DJ76 BS88:DU90 DL82:DU82 CL379 CX379 DD379 DJ379 DP379 CR379 B312:CL312 B147:CK147 A73:BR78 B71:CL71 A22:DD23 A212:DU212 B211:DU211 DV210:EG212 DJ71 A21:CU21 DC21:DD21 CX19 CR19 CL19 CF19 CQ71:CR71 CW71:CX71 DO71:DP71 DU71 CQ147:CR147 CW147:CX147 DC147:DD147 DJ147 CQ214:CR214 CW214:CX214 DI214:DJ214 CQ312:CR312 CX312 DC312:DD312 BS152:CL152 CW21:DA21 BS75:CL75 DB75:DD75 BS74:CX74 DD74 DJ75 DJ74 DP75 CR75 CR152 CR150:DD150 CR151:CX151 CX152 CZ152:DB152 DD151:DD152 DJ152 DP152 DV152 EB152:EG152 A220:DD221 CX217 A217:CR218 CX218:DD218 DC217:DD217 DJ218 DO218:DP218 DU218 A316:CR316 CX316 DA316 A315:CX315 DD314:DD316 DI316:DJ316 DO316:DP316 DU316 BS70:DD70 DI70:DJ70 DF81 DH78:DJ78 BS81:DD86 DF154 DI160:DJ161 A158:DD164 CZ76:DA76 BS224:DD230 A213:DD213 DI213:DJ213 DH221:DJ221 DI216:DJ216 BS311:DD311 DI311:DJ311 BS322:DD328 A317:DD319 DI314:DJ314 BS354:DD361 DJ354:DJ362 BU380:DF382 BU392:DD393 A32:DD32 A33:DE34 A26:DB26 DC391:DI391 DE392 BS87:DE87 DI86:DJ87 DI163:DJ164 BS69:DU69 BS68:DG68 DI68:DM68 DI153:DJ153 DI146:DJ146 BS145:EG145 DG140 DC140:DD140 BS341:DU351 A339:DF339 BS331:DD331 DI315:DJ315 BS167:CX167 DC167:EG167 DD26:DE26 DF392:DH393 DV393:EF393 DK392:DU392 DD363:DD364 DI37:DJ42 A25:DF25 DH317:DJ317 A130:BR138 A200:EG202 A295:BR298 DV295:DV303 BS295:DU297 BS309:DU310 DV309:DV310 A309:BR311 BS332:DE334 A322:BR334 DV329:EG334 DV341:EG342 CK35:DF35 BU385:DU385 BS380:BT383 BU383:CE383 DF383 DE160:DF160 A13:DF18 DF28:DF31 DJ34 A300:BR303 B299:BR299 BS298:CY300 DG302:DU303 DA298:DE303 DH332:DH334 BS133:DE139 DG133:EG135 A140:DA140 B139:BR139 DH210 B208:DE208 DI208:EG208 A207:EG207 A206:DE206 DI206:EG206 A205:EG205 A204:DE204 DI204:EG204 DI217:DJ217 DE354:DG363 DH159:DJ159 DP159:EG159 DR157:DT157 BS144:DG144 DI144:DJ144 DP153:EG153 DE86:DF86 EB295:EG303 EB309:EG310 BS47:DU58 BS67:DU67 BS61:DU65 DJ26:DJ27 DO24:DU24 DI13:DJ17 DO34:DU35 CY167:DB169 DH224:DJ225 DE226:DF229 DL314:DU314 CR365:DF365 DH168 DH322:DJ323 DH25:DK25 DI28:DJ33 DI35 DI81:DJ81 DE83:DJ85 DI154:DJ154 DH367:DU378 DH380:DU383 DG162 DG228 DH339:EG339 DH301:DU301 DF170:DG170 DG365:DG383 DG25:DG31 DG324:DG326 DE324:DF324 DG13:DG17 DG138 DI136:EG137 DI139:EG139 A227:BR230 BC240:BG241 BC233:BF233 BC247:BG248 BC234:BE234 BG234 BO255:BQ255 CO269 CZ284:DA294 DF268 DF270:DF271 BI268:BM269 BU268:BX269 CA268:CD269 CQ268 CS268:CY269 CZ268 DE268:DE271 BC232:DG232 CF256:CJ256 CL256:CP256 CR256:DG256 BC258:BE258 BC256:BX256 BI237:DG237 BH236:DG236 BI235:BL235 BO235:BS235 BU235:DG235 BA259:BX261 BA264:CF264 BI241:BL241 AW279:DB280 DE279:DG280 BC274:DG275 U276:DG276 DJ73 DO73:DP73 BH258 BK234 BI247:BM247 BM242 BN258 BT258 BZ256:CD256 BZ259:CD261 BZ258 CF259:CJ261 CF258 CL259:CP261 CL258 CR259:DG261 CR258 BZ234 CF234 CL234 BS302:CY303 BS301:CH301 CJ301:CY301 CQ269 DA268:DC269 CP270:CP271 CQ255:CQ256 CR234 CS240:DG240 CX234 CX258 CS248:CW248 DD258 DC234:DD234 BI243:BM245 BC243:BG245 CQ248 DE246:DH246 CR264 CX264 CY264:DB264 DD264 CM264:CQ264 DE264:DH264 DC264 CS264:CW264 CL264 DE248:DG248 CY248:DC248 DH258:DI258 DE239:DH239 DI234 DJ210 CZ250:DA250 DC250 DE254:DI254 DE258:DG258 DO169 DO74:DU74 DJ151 DO151:EG151 DO217:DU217 DO315:DU315 DP219:DT219 DJ219 A219:CV219 DD219 CX219:DB219 DU154 DI220:DJ220 DO220:DU220 DR80:DT80 DL144:EG144 DI19:DJ19 DI18:DJ18 DP18:DT18 DK393 DP393:DU393 DI93 BS107:DD107 DI107 DO107:DU107 DK107:DN107 DH28:DH31 DI77:DJ77 DH33:DH34 DI226:DJ230 DH319:DJ319 DI318:DJ318 DI324:DJ328 DH13:DH17 DC169:DH169 DO242:DO245 DI250 DO234 DI170:DJ170 DN34 DF33:DF34 DG33:DG34 BS91:DH91 DJ91:DU91 DR321:DT321 DO170:DP170 BS66:DN66 DP66:DU66 DH354:DI363 DH331 DJ331 DJ334 A203:CY203 DI203:EG203 DI298:DU298 DI299:DU299 DI300:DU300 DI138:EG138 DI140:EG140 BS109:DU112 BS118:EG120 BS114:EF115 BS117:EF117 BS116:DU116 BS121:DU121 BS126:DU128 BS198:EB198 EG198 DO68:DU68 DR76:DU76 DS73:DU73 EA54:EG87 CQ250:CQ253 DO250:DO253 DC242 DE238:DG238 DI239 DI241:DI242 DO256:DO258 DO247:DO248 DI274:DI276 DI288 DC288 BS353:DU353 BS352:DH352 DJ352:DU352 DH366:DT366 DB203:DG203 DL36:DT36 DL37:DU42 DL27:DU27 DL13:DU17 DL25:DU25 DL28:DU33 DL19:DU19 DL18:DN18 DL76:DP76 DL70:DU70 DL78:DU78 DL86:DU87 DL81:DU81 DL83:DU85 DL77:DU77 DL150:EG150 DL158:EG158 DL160:EG162 DL163:EG164 DL153:DN153 DL146:EG146 DL159:DN159 DL154:DP154 DK160 DL213:DU213 DL221:DU221 DL216:DU216 DL224:DU225 DL219:DN219 DL220:DN220 DL226:DU230 DL311:DU311 DL317:DU317 DL322:DU323 DL319:DU319 DL318:DU318 DL324:DU328 DL354:DU362 DK28:DK34 DK13:DK17 DP210:DU210 DK83:DK86 DL331:DU331 DJ332:DJ333 DL332:DU333 DL334:DU334 DK326 DK324 DK354:DK363 DK365 DL26:DN26 DP26:DU26 DH143 DK169:DN169 DI162:DJ162 DH162 DK162 DK232 DK235:DK238 DK240 DK391:DU391 DL363:DN363 DL365:DN365 DR170:EG170 DK226:DK228 CX383:DC383 BU387:DU388 BU386:DH386 DJ386:DU386" unlockedFormula="1"/>
    <ignoredError sqref="DI171:DO171 DB21 CV21 CR363:DC363 CN363:CP363 CE364:DC364 CE363:CL363 DE364:DG364 DO21 DO20:DU20 DQ23:DU23 DP22 DP21 DQ21:DU21 DQ22:DU22 DO22 DO23:DP23 DI23:DJ23 DL22:DN22 DJ21 DI22:DJ22 DL23:DN23 DO364:DU364 DJ364:DK364 DH364:DI364 DL364:DN364 DI386" formula="1" unlockedFormula="1"/>
    <ignoredError sqref="DF44 DI20:DJ20 DH79 DO148 DU148 DG71 DL20:DN20 DL21:DN21" formula="1"/>
    <ignoredError sqref="CI301 CZ203:DA203" numberStoredAsText="1" unlockedFormula="1"/>
    <ignoredError sqref="DH140"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FE145"/>
  <sheetViews>
    <sheetView zoomScaleNormal="100" workbookViewId="0">
      <pane xSplit="4" ySplit="8" topLeftCell="E9" activePane="bottomRight" state="frozen"/>
      <selection pane="topRight" activeCell="E1" sqref="E1"/>
      <selection pane="bottomLeft" activeCell="A9" sqref="A9"/>
      <selection pane="bottomRight" sqref="A1:XFD1048576"/>
    </sheetView>
  </sheetViews>
  <sheetFormatPr defaultColWidth="8.7109375" defaultRowHeight="11.25" outlineLevelRow="1" outlineLevelCol="1" x14ac:dyDescent="0.2"/>
  <cols>
    <col min="1" max="1" width="26.5703125" style="45" customWidth="1"/>
    <col min="2" max="3" width="0.85546875" style="45" hidden="1" customWidth="1"/>
    <col min="4" max="4" width="0.85546875" style="45" customWidth="1"/>
    <col min="5" max="5" width="8.140625" style="45" hidden="1" customWidth="1" outlineLevel="1"/>
    <col min="6" max="6" width="0.85546875" style="45" hidden="1" customWidth="1" outlineLevel="1"/>
    <col min="7" max="7" width="8.140625" style="45" hidden="1" customWidth="1" outlineLevel="1"/>
    <col min="8" max="8" width="0.85546875" style="45" hidden="1" customWidth="1" outlineLevel="1"/>
    <col min="9" max="9" width="8.140625" style="45" hidden="1" customWidth="1" outlineLevel="1"/>
    <col min="10" max="10" width="0.85546875" style="45" hidden="1" customWidth="1" outlineLevel="1"/>
    <col min="11" max="11" width="8.140625" style="45" hidden="1" customWidth="1" outlineLevel="1"/>
    <col min="12" max="12" width="0.85546875" style="45" hidden="1" customWidth="1" outlineLevel="1"/>
    <col min="13" max="17" width="8.140625" style="45" hidden="1" customWidth="1" outlineLevel="1"/>
    <col min="18" max="18" width="0.85546875" style="45" hidden="1" customWidth="1" outlineLevel="1"/>
    <col min="19" max="23" width="8.140625" style="45" hidden="1" customWidth="1" outlineLevel="1"/>
    <col min="24" max="24" width="0.85546875" style="45" hidden="1" customWidth="1" outlineLevel="1"/>
    <col min="25" max="29" width="8.140625" style="45" hidden="1" customWidth="1" outlineLevel="1"/>
    <col min="30" max="30" width="0.85546875" style="45" hidden="1" customWidth="1" outlineLevel="1"/>
    <col min="31" max="35" width="8.140625" style="45" hidden="1" customWidth="1" outlineLevel="1"/>
    <col min="36" max="36" width="0.85546875" style="45" hidden="1" customWidth="1" outlineLevel="1"/>
    <col min="37" max="41" width="8.140625" style="45" hidden="1" customWidth="1" outlineLevel="1"/>
    <col min="42" max="42" width="0.85546875" style="45" hidden="1" customWidth="1" outlineLevel="1"/>
    <col min="43" max="47" width="8.140625" style="45" hidden="1" customWidth="1" outlineLevel="1"/>
    <col min="48" max="48" width="0.85546875" style="45" hidden="1" customWidth="1" outlineLevel="1"/>
    <col min="49" max="53" width="8.140625" style="45" hidden="1" customWidth="1" outlineLevel="1"/>
    <col min="54" max="54" width="0.85546875" style="45" hidden="1" customWidth="1" outlineLevel="1"/>
    <col min="55" max="59" width="8.140625" style="45" hidden="1" customWidth="1" outlineLevel="1"/>
    <col min="60" max="60" width="0.85546875" style="45" hidden="1" customWidth="1" outlineLevel="1"/>
    <col min="61" max="65" width="8.140625" style="45" hidden="1" customWidth="1" outlineLevel="1"/>
    <col min="66" max="66" width="0.85546875" style="45" hidden="1" customWidth="1" outlineLevel="1"/>
    <col min="67" max="70" width="9.7109375" style="45" hidden="1" customWidth="1" outlineLevel="1"/>
    <col min="71" max="71" width="6.85546875" style="45" hidden="1" customWidth="1" outlineLevel="1"/>
    <col min="72" max="72" width="0.85546875" style="45" hidden="1" customWidth="1" outlineLevel="1"/>
    <col min="73" max="76" width="9.7109375" style="45" hidden="1" customWidth="1" outlineLevel="1"/>
    <col min="77" max="77" width="6.85546875" style="45" hidden="1" customWidth="1" outlineLevel="1"/>
    <col min="78" max="78" width="0.85546875" style="45" hidden="1" customWidth="1" outlineLevel="1"/>
    <col min="79" max="82" width="7.28515625" style="45" hidden="1" customWidth="1" outlineLevel="1"/>
    <col min="83" max="83" width="7.28515625" style="45" customWidth="1" collapsed="1"/>
    <col min="84" max="84" width="0.85546875" style="45" customWidth="1"/>
    <col min="85" max="88" width="7.28515625" style="45" hidden="1" customWidth="1" outlineLevel="1"/>
    <col min="89" max="89" width="7.28515625" style="45" customWidth="1" collapsed="1"/>
    <col min="90" max="90" width="0.85546875" style="45" customWidth="1"/>
    <col min="91" max="94" width="7.28515625" style="45" hidden="1" customWidth="1" outlineLevel="1"/>
    <col min="95" max="95" width="7.28515625" style="45" customWidth="1" collapsed="1"/>
    <col min="96" max="96" width="0.85546875" style="45" customWidth="1"/>
    <col min="97" max="100" width="7.28515625" style="45" hidden="1" customWidth="1" outlineLevel="1"/>
    <col min="101" max="101" width="7.28515625" style="45" customWidth="1" collapsed="1"/>
    <col min="102" max="102" width="0.85546875" style="45" customWidth="1"/>
    <col min="103" max="106" width="7.28515625" style="45" customWidth="1" outlineLevel="1"/>
    <col min="107" max="107" width="7.28515625" style="45" customWidth="1"/>
    <col min="108" max="108" width="0.85546875" style="45" customWidth="1"/>
    <col min="109" max="112" width="7.28515625" style="45" customWidth="1" outlineLevel="1"/>
    <col min="113" max="113" width="7.28515625" style="45" customWidth="1"/>
    <col min="114" max="114" width="0.85546875" style="45" customWidth="1"/>
    <col min="115" max="118" width="7.28515625" style="45" customWidth="1" outlineLevel="1"/>
    <col min="119" max="119" width="7.28515625" style="45" customWidth="1"/>
    <col min="120" max="120" width="0.85546875" style="45" customWidth="1"/>
    <col min="121" max="124" width="7.28515625" style="45" hidden="1" customWidth="1" outlineLevel="1"/>
    <col min="125" max="125" width="7.28515625" style="45" customWidth="1" collapsed="1"/>
    <col min="126" max="126" width="0.85546875" style="45" customWidth="1"/>
    <col min="127" max="130" width="7.28515625" style="45" hidden="1" customWidth="1" outlineLevel="1"/>
    <col min="131" max="131" width="7.28515625" style="45" customWidth="1" collapsed="1"/>
    <col min="132" max="132" width="0.85546875" style="45" customWidth="1"/>
    <col min="133" max="136" width="7.28515625" style="45" hidden="1" customWidth="1" outlineLevel="1"/>
    <col min="137" max="137" width="7.28515625" style="45" customWidth="1" collapsed="1"/>
    <col min="138" max="138" width="8.140625" style="45" customWidth="1"/>
    <col min="139" max="140" width="8.7109375" style="45"/>
    <col min="141" max="141" width="11.140625" style="45" customWidth="1"/>
    <col min="142" max="145" width="6" style="45" hidden="1" customWidth="1" outlineLevel="1"/>
    <col min="146" max="146" width="5.7109375" style="45" customWidth="1" collapsed="1"/>
    <col min="147" max="161" width="5.7109375" style="45" customWidth="1"/>
    <col min="162" max="16384" width="8.7109375" style="45"/>
  </cols>
  <sheetData>
    <row r="1" spans="1:157" ht="12.75" customHeight="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row>
    <row r="2" spans="1:157" ht="12.75" customHeight="1" x14ac:dyDescent="0.2">
      <c r="A2" s="3" t="s">
        <v>41</v>
      </c>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7"/>
      <c r="BB2" s="2"/>
      <c r="BC2" s="7"/>
      <c r="BD2" s="7"/>
      <c r="BE2" s="7"/>
      <c r="BF2" s="7"/>
      <c r="BG2" s="7"/>
      <c r="BH2" s="2"/>
      <c r="BI2" s="7"/>
      <c r="BJ2" s="7"/>
      <c r="BK2" s="7"/>
      <c r="BL2" s="7"/>
      <c r="BM2" s="7"/>
      <c r="BN2" s="2"/>
      <c r="BO2" s="7"/>
      <c r="BP2" s="7"/>
      <c r="BQ2" s="7"/>
      <c r="BR2" s="7"/>
      <c r="BS2" s="7"/>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7"/>
      <c r="DV2" s="2"/>
      <c r="DW2" s="2"/>
      <c r="DX2" s="2"/>
      <c r="DY2" s="2"/>
      <c r="DZ2" s="2"/>
      <c r="EA2" s="7"/>
      <c r="EB2" s="2"/>
      <c r="EC2" s="2"/>
      <c r="ED2" s="2"/>
      <c r="EE2" s="2"/>
      <c r="EF2" s="2"/>
      <c r="EG2" s="7" t="s">
        <v>222</v>
      </c>
      <c r="EH2" s="2"/>
    </row>
    <row r="3" spans="1:157" ht="12.75" customHeight="1" x14ac:dyDescent="0.2">
      <c r="A3" s="3" t="s">
        <v>122</v>
      </c>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7"/>
      <c r="BB3" s="2"/>
      <c r="BC3" s="7"/>
      <c r="BD3" s="7"/>
      <c r="BE3" s="7"/>
      <c r="BF3" s="7"/>
      <c r="BG3" s="7"/>
      <c r="BH3" s="2"/>
      <c r="BI3" s="7"/>
      <c r="BJ3" s="7"/>
      <c r="BK3" s="7"/>
      <c r="BL3" s="7"/>
      <c r="BM3" s="7"/>
      <c r="BN3" s="2"/>
      <c r="BO3" s="7"/>
      <c r="BP3" s="7"/>
      <c r="BQ3" s="7"/>
      <c r="BR3" s="7"/>
      <c r="BS3" s="7"/>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47"/>
      <c r="DC3" s="247"/>
      <c r="DD3" s="2"/>
      <c r="DE3" s="2"/>
      <c r="DF3" s="2"/>
      <c r="DG3" s="2"/>
      <c r="DH3" s="2"/>
      <c r="DI3" s="2"/>
      <c r="DJ3" s="2"/>
      <c r="DK3" s="2"/>
      <c r="DL3" s="2"/>
      <c r="DM3" s="2"/>
      <c r="DN3" s="2"/>
      <c r="DO3" s="2"/>
      <c r="DP3" s="2"/>
      <c r="DQ3" s="2"/>
      <c r="DR3" s="2"/>
      <c r="DS3" s="2"/>
      <c r="DT3" s="2"/>
      <c r="DU3" s="7"/>
      <c r="DV3" s="2"/>
      <c r="DW3" s="2"/>
      <c r="DX3" s="2"/>
      <c r="DY3" s="2"/>
      <c r="DZ3" s="2"/>
      <c r="EA3" s="7"/>
      <c r="EB3" s="2"/>
      <c r="EC3" s="2"/>
      <c r="ED3" s="2"/>
      <c r="EE3" s="2"/>
      <c r="EF3" s="2"/>
      <c r="EG3" s="7" t="s">
        <v>223</v>
      </c>
      <c r="EH3" s="2"/>
    </row>
    <row r="4" spans="1:157" ht="12.75" customHeight="1" x14ac:dyDescent="0.2">
      <c r="A4" s="2" t="s">
        <v>228</v>
      </c>
      <c r="B4" s="2"/>
      <c r="C4" s="2"/>
      <c r="D4" s="2"/>
      <c r="E4" s="2"/>
      <c r="F4" s="2"/>
      <c r="G4" s="2"/>
      <c r="H4" s="2"/>
      <c r="I4" s="2"/>
      <c r="J4" s="2"/>
      <c r="K4" s="2"/>
      <c r="L4" s="2"/>
      <c r="M4" s="2"/>
      <c r="N4" s="2"/>
      <c r="O4" s="2"/>
      <c r="P4" s="2"/>
      <c r="Q4" s="2"/>
      <c r="R4" s="2"/>
      <c r="S4" s="2"/>
      <c r="T4" s="2"/>
      <c r="U4" s="2"/>
      <c r="V4" s="2"/>
      <c r="W4" s="35"/>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7"/>
      <c r="BB4" s="2"/>
      <c r="BC4" s="7"/>
      <c r="BD4" s="7"/>
      <c r="BE4" s="7"/>
      <c r="BF4" s="7"/>
      <c r="BG4" s="7"/>
      <c r="BH4" s="2"/>
      <c r="BI4" s="7"/>
      <c r="BJ4" s="7"/>
      <c r="BK4" s="7"/>
      <c r="BL4" s="7"/>
      <c r="BM4" s="7"/>
      <c r="BN4" s="2"/>
      <c r="BO4" s="7"/>
      <c r="BP4" s="7"/>
      <c r="BQ4" s="7"/>
      <c r="BR4" s="7"/>
      <c r="BS4" s="7"/>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47"/>
      <c r="DC4" s="247"/>
      <c r="DD4" s="2"/>
      <c r="DE4" s="2"/>
      <c r="DF4" s="2"/>
      <c r="DG4" s="2"/>
      <c r="DH4" s="2"/>
      <c r="DI4" s="2"/>
      <c r="DJ4" s="2"/>
      <c r="DK4" s="2"/>
      <c r="DL4" s="2"/>
      <c r="DM4" s="2"/>
      <c r="DN4" s="2"/>
      <c r="DO4" s="2"/>
      <c r="DP4" s="2"/>
      <c r="DQ4" s="2"/>
      <c r="DR4" s="2"/>
      <c r="DS4" s="2"/>
      <c r="DT4" s="2"/>
      <c r="DU4" s="64"/>
      <c r="DV4" s="2"/>
      <c r="DW4" s="2"/>
      <c r="DX4" s="2"/>
      <c r="DY4" s="2"/>
      <c r="DZ4" s="2"/>
      <c r="EA4" s="64"/>
      <c r="EB4" s="2"/>
      <c r="EC4" s="2"/>
      <c r="ED4" s="2"/>
      <c r="EE4" s="2"/>
      <c r="EF4" s="2"/>
      <c r="EG4" s="64" t="s">
        <v>232</v>
      </c>
      <c r="EH4" s="2"/>
    </row>
    <row r="5" spans="1:157" ht="12.75" customHeight="1" x14ac:dyDescent="0.2">
      <c r="A5" s="2" t="s">
        <v>229</v>
      </c>
      <c r="B5" s="4"/>
      <c r="C5" s="4"/>
      <c r="D5" s="4"/>
      <c r="E5" s="2"/>
      <c r="F5" s="2"/>
      <c r="G5" s="2"/>
      <c r="H5" s="2"/>
      <c r="I5" s="2"/>
      <c r="J5" s="2"/>
      <c r="K5" s="2"/>
      <c r="L5" s="2"/>
      <c r="M5" s="2"/>
      <c r="N5" s="2"/>
      <c r="O5" s="2"/>
      <c r="P5" s="2"/>
      <c r="Q5" s="2"/>
      <c r="R5" s="2"/>
      <c r="S5" s="2"/>
      <c r="T5" s="2"/>
      <c r="U5" s="2"/>
      <c r="V5" s="2"/>
      <c r="W5" s="2"/>
      <c r="X5" s="2"/>
      <c r="Y5" s="2"/>
      <c r="Z5" s="2"/>
      <c r="AA5" s="2"/>
      <c r="AB5" s="2"/>
      <c r="AC5" s="2"/>
      <c r="AD5" s="2"/>
      <c r="AE5" s="2"/>
      <c r="AF5" s="4"/>
      <c r="AG5" s="4"/>
      <c r="AH5" s="4"/>
      <c r="AI5" s="4"/>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row>
    <row r="6" spans="1:157" ht="12.75" customHeight="1" x14ac:dyDescent="0.2">
      <c r="A6" s="2"/>
      <c r="B6" s="55"/>
      <c r="C6" s="55"/>
      <c r="D6" s="55"/>
      <c r="E6" s="57"/>
      <c r="F6" s="57"/>
      <c r="G6" s="57"/>
      <c r="H6" s="57"/>
      <c r="I6" s="57"/>
      <c r="J6" s="57"/>
      <c r="K6" s="57"/>
      <c r="L6" s="57"/>
      <c r="M6" s="57"/>
      <c r="N6" s="57"/>
      <c r="O6" s="57"/>
      <c r="P6" s="57"/>
      <c r="Q6" s="57"/>
      <c r="R6" s="57"/>
      <c r="S6" s="57"/>
      <c r="T6" s="57"/>
      <c r="U6" s="57"/>
      <c r="V6" s="57"/>
      <c r="W6" s="57"/>
      <c r="X6" s="57"/>
      <c r="Y6" s="57"/>
      <c r="Z6" s="57"/>
      <c r="AA6" s="57"/>
      <c r="AB6" s="57"/>
      <c r="AC6" s="57"/>
      <c r="AD6" s="57"/>
      <c r="AE6" s="2"/>
      <c r="AF6" s="57"/>
      <c r="AG6" s="57"/>
      <c r="AH6" s="57"/>
      <c r="AI6" s="57"/>
      <c r="AJ6" s="57"/>
      <c r="AK6" s="57"/>
      <c r="AL6" s="57"/>
      <c r="AM6" s="57"/>
      <c r="AN6" s="57"/>
      <c r="AO6" s="57"/>
      <c r="AP6" s="57"/>
      <c r="AQ6" s="57"/>
      <c r="AR6" s="57"/>
      <c r="AS6" s="57"/>
      <c r="AT6" s="57"/>
      <c r="AU6" s="57"/>
      <c r="AV6" s="57"/>
      <c r="AW6" s="57"/>
      <c r="AX6" s="57"/>
      <c r="AY6" s="57"/>
      <c r="AZ6" s="57"/>
      <c r="BA6" s="57"/>
      <c r="BB6" s="57"/>
      <c r="BC6" s="57"/>
      <c r="BD6" s="57"/>
      <c r="BE6" s="57"/>
      <c r="BF6" s="57"/>
      <c r="BG6" s="57"/>
      <c r="BH6" s="57"/>
      <c r="BI6" s="57"/>
      <c r="BJ6" s="57"/>
      <c r="BK6" s="57"/>
      <c r="BL6" s="57"/>
      <c r="BM6" s="2"/>
      <c r="BN6" s="57"/>
      <c r="BO6" s="2"/>
      <c r="BP6" s="2"/>
      <c r="BQ6" s="2"/>
      <c r="BR6" s="2"/>
      <c r="BS6" s="2"/>
      <c r="BT6" s="57"/>
      <c r="BU6" s="2"/>
      <c r="BV6" s="2"/>
      <c r="BW6" s="2"/>
      <c r="BX6" s="2"/>
      <c r="BY6" s="2"/>
      <c r="BZ6" s="57"/>
      <c r="CA6" s="2"/>
      <c r="CB6" s="2"/>
      <c r="CC6" s="2"/>
      <c r="CD6" s="2"/>
      <c r="CE6" s="2"/>
      <c r="CF6" s="57"/>
      <c r="CG6" s="2"/>
      <c r="CH6" s="2"/>
      <c r="CI6" s="2"/>
      <c r="CJ6" s="2"/>
      <c r="CK6" s="2"/>
      <c r="CL6" s="57"/>
      <c r="CM6" s="2"/>
      <c r="CN6" s="2"/>
      <c r="CO6" s="2"/>
      <c r="CP6" s="2"/>
      <c r="CQ6" s="2"/>
      <c r="CR6" s="57"/>
      <c r="CS6" s="2"/>
      <c r="CT6" s="2"/>
      <c r="CU6" s="2"/>
      <c r="CV6" s="2"/>
      <c r="CW6" s="2"/>
      <c r="CX6" s="57"/>
      <c r="CY6" s="5"/>
      <c r="CZ6" s="5"/>
      <c r="DA6" s="5"/>
      <c r="DB6" s="247"/>
      <c r="DC6" s="247"/>
      <c r="DD6" s="57"/>
      <c r="DE6" s="5"/>
      <c r="DF6" s="5"/>
      <c r="DG6" s="5"/>
      <c r="DH6" s="2"/>
      <c r="DI6" s="2"/>
      <c r="DJ6" s="57"/>
      <c r="DK6" s="2"/>
      <c r="DL6" s="2"/>
      <c r="DM6" s="2"/>
      <c r="DN6" s="2"/>
      <c r="DO6" s="2"/>
      <c r="DP6" s="57"/>
      <c r="DQ6" s="2"/>
      <c r="DR6" s="2"/>
      <c r="DS6" s="2"/>
      <c r="DT6" s="2"/>
      <c r="DU6" s="2"/>
      <c r="DV6" s="57"/>
      <c r="DW6" s="2"/>
      <c r="DX6" s="2"/>
      <c r="DY6" s="2"/>
      <c r="DZ6" s="2"/>
      <c r="EA6" s="2"/>
      <c r="EB6" s="57"/>
      <c r="EC6" s="2"/>
      <c r="ED6" s="2"/>
      <c r="EE6" s="2"/>
      <c r="EF6" s="2"/>
      <c r="EG6" s="2"/>
      <c r="EH6" s="2"/>
    </row>
    <row r="7" spans="1:157" ht="11.25" customHeight="1" x14ac:dyDescent="0.2">
      <c r="A7" s="129" t="s">
        <v>122</v>
      </c>
      <c r="B7" s="2" t="s">
        <v>108</v>
      </c>
      <c r="C7" s="2"/>
      <c r="D7" s="2"/>
      <c r="E7" s="46">
        <v>1997</v>
      </c>
      <c r="F7" s="63"/>
      <c r="G7" s="46">
        <v>1998</v>
      </c>
      <c r="H7" s="63"/>
      <c r="I7" s="46">
        <v>1999</v>
      </c>
      <c r="J7" s="63"/>
      <c r="K7" s="46">
        <f>2000</f>
        <v>2000</v>
      </c>
      <c r="L7" s="63"/>
      <c r="M7" s="78">
        <v>2001</v>
      </c>
      <c r="N7" s="48"/>
      <c r="O7" s="48"/>
      <c r="P7" s="48"/>
      <c r="Q7" s="46">
        <f>2000+1</f>
        <v>2001</v>
      </c>
      <c r="R7" s="63"/>
      <c r="S7" s="78">
        <f>M7+1</f>
        <v>2002</v>
      </c>
      <c r="T7" s="48"/>
      <c r="U7" s="48"/>
      <c r="V7" s="48"/>
      <c r="W7" s="46">
        <f>Q7+1</f>
        <v>2002</v>
      </c>
      <c r="X7" s="63"/>
      <c r="Y7" s="78">
        <f>S7+1</f>
        <v>2003</v>
      </c>
      <c r="Z7" s="48"/>
      <c r="AA7" s="48"/>
      <c r="AB7" s="48"/>
      <c r="AC7" s="46">
        <f>W7+1</f>
        <v>2003</v>
      </c>
      <c r="AD7" s="63"/>
      <c r="AE7" s="78">
        <f>Y7+1</f>
        <v>2004</v>
      </c>
      <c r="AF7" s="48"/>
      <c r="AG7" s="48"/>
      <c r="AH7" s="48"/>
      <c r="AI7" s="46">
        <f>AC7+1</f>
        <v>2004</v>
      </c>
      <c r="AJ7" s="63"/>
      <c r="AK7" s="78">
        <f>AE7+1</f>
        <v>2005</v>
      </c>
      <c r="AL7" s="48"/>
      <c r="AM7" s="48"/>
      <c r="AN7" s="48"/>
      <c r="AO7" s="46">
        <f>AI7+1</f>
        <v>2005</v>
      </c>
      <c r="AP7" s="63"/>
      <c r="AQ7" s="78">
        <f>AK7+1</f>
        <v>2006</v>
      </c>
      <c r="AR7" s="48"/>
      <c r="AS7" s="48"/>
      <c r="AT7" s="48"/>
      <c r="AU7" s="46">
        <f>AO7+1</f>
        <v>2006</v>
      </c>
      <c r="AV7" s="63"/>
      <c r="AW7" s="78">
        <f>AQ7+1</f>
        <v>2007</v>
      </c>
      <c r="AX7" s="48"/>
      <c r="AY7" s="48"/>
      <c r="AZ7" s="48"/>
      <c r="BA7" s="46">
        <f>AU7+1</f>
        <v>2007</v>
      </c>
      <c r="BB7" s="63"/>
      <c r="BC7" s="78">
        <f>AW7+1</f>
        <v>2008</v>
      </c>
      <c r="BD7" s="48"/>
      <c r="BE7" s="48"/>
      <c r="BF7" s="48"/>
      <c r="BG7" s="46">
        <f>BA7+1</f>
        <v>2008</v>
      </c>
      <c r="BH7" s="63"/>
      <c r="BI7" s="78">
        <f>BC7+1</f>
        <v>2009</v>
      </c>
      <c r="BJ7" s="48"/>
      <c r="BK7" s="48"/>
      <c r="BL7" s="48"/>
      <c r="BM7" s="46">
        <f>BG7+1</f>
        <v>2009</v>
      </c>
      <c r="BN7" s="63"/>
      <c r="BO7" s="78">
        <f>BI7+1</f>
        <v>2010</v>
      </c>
      <c r="BP7" s="48"/>
      <c r="BQ7" s="48"/>
      <c r="BR7" s="48"/>
      <c r="BS7" s="46">
        <f>BM7+1</f>
        <v>2010</v>
      </c>
      <c r="BT7" s="63"/>
      <c r="BU7" s="78">
        <f>BO7+1</f>
        <v>2011</v>
      </c>
      <c r="BV7" s="48"/>
      <c r="BW7" s="48"/>
      <c r="BX7" s="48"/>
      <c r="BY7" s="46">
        <f>BS7+1</f>
        <v>2011</v>
      </c>
      <c r="BZ7" s="63"/>
      <c r="CA7" s="78">
        <f>BU7+1</f>
        <v>2012</v>
      </c>
      <c r="CB7" s="48"/>
      <c r="CC7" s="48"/>
      <c r="CD7" s="48"/>
      <c r="CE7" s="46">
        <f>BY7+1</f>
        <v>2012</v>
      </c>
      <c r="CF7" s="63"/>
      <c r="CG7" s="78">
        <f>CA7+1</f>
        <v>2013</v>
      </c>
      <c r="CH7" s="48"/>
      <c r="CI7" s="48"/>
      <c r="CJ7" s="48"/>
      <c r="CK7" s="46">
        <f>CE7+1</f>
        <v>2013</v>
      </c>
      <c r="CL7" s="63"/>
      <c r="CM7" s="78">
        <f>CG7+1</f>
        <v>2014</v>
      </c>
      <c r="CN7" s="48"/>
      <c r="CO7" s="48"/>
      <c r="CP7" s="48"/>
      <c r="CQ7" s="46">
        <f>CK7+1</f>
        <v>2014</v>
      </c>
      <c r="CR7" s="63"/>
      <c r="CS7" s="78">
        <f>CM7+1</f>
        <v>2015</v>
      </c>
      <c r="CT7" s="48"/>
      <c r="CU7" s="48"/>
      <c r="CV7" s="48"/>
      <c r="CW7" s="46">
        <f>CQ7+1</f>
        <v>2015</v>
      </c>
      <c r="CX7" s="63"/>
      <c r="CY7" s="78">
        <f>CS7+1</f>
        <v>2016</v>
      </c>
      <c r="CZ7" s="48"/>
      <c r="DA7" s="48"/>
      <c r="DB7" s="48"/>
      <c r="DC7" s="46">
        <f>CW7+1</f>
        <v>2016</v>
      </c>
      <c r="DD7" s="63"/>
      <c r="DE7" s="78">
        <f>CY7+1</f>
        <v>2017</v>
      </c>
      <c r="DF7" s="48"/>
      <c r="DG7" s="48"/>
      <c r="DH7" s="48"/>
      <c r="DI7" s="46">
        <f>DC7+1</f>
        <v>2017</v>
      </c>
      <c r="DJ7" s="63"/>
      <c r="DK7" s="88">
        <f>DE7+1</f>
        <v>2018</v>
      </c>
      <c r="DL7" s="48"/>
      <c r="DM7" s="48"/>
      <c r="DN7" s="48"/>
      <c r="DO7" s="98">
        <f>DI7+1</f>
        <v>2018</v>
      </c>
      <c r="DP7" s="63"/>
      <c r="DQ7" s="88">
        <f>DK7+1</f>
        <v>2019</v>
      </c>
      <c r="DR7" s="48"/>
      <c r="DS7" s="48"/>
      <c r="DT7" s="48"/>
      <c r="DU7" s="98">
        <f>DO7+1</f>
        <v>2019</v>
      </c>
      <c r="DV7" s="63"/>
      <c r="DW7" s="88">
        <f>DQ7+1</f>
        <v>2020</v>
      </c>
      <c r="DX7" s="48"/>
      <c r="DY7" s="48"/>
      <c r="DZ7" s="48"/>
      <c r="EA7" s="98">
        <f>DU7+1</f>
        <v>2020</v>
      </c>
      <c r="EB7" s="63"/>
      <c r="EC7" s="88">
        <f>DW7+1</f>
        <v>2021</v>
      </c>
      <c r="ED7" s="48"/>
      <c r="EE7" s="48"/>
      <c r="EF7" s="48"/>
      <c r="EG7" s="98">
        <f>EA7+1</f>
        <v>2021</v>
      </c>
      <c r="EH7" s="2"/>
    </row>
    <row r="8" spans="1:157" ht="11.25" customHeight="1" x14ac:dyDescent="0.2">
      <c r="A8" s="51"/>
      <c r="B8" s="65"/>
      <c r="C8" s="65"/>
      <c r="D8" s="65"/>
      <c r="E8" s="89"/>
      <c r="F8" s="58"/>
      <c r="G8" s="89"/>
      <c r="H8" s="58"/>
      <c r="I8" s="89"/>
      <c r="J8" s="58"/>
      <c r="K8" s="89"/>
      <c r="L8" s="58"/>
      <c r="M8" s="79">
        <v>36981</v>
      </c>
      <c r="N8" s="66">
        <f>M8+FLOOR(365/4,1)</f>
        <v>37072</v>
      </c>
      <c r="O8" s="66">
        <f>N8+FLOOR(365/4,1)+1</f>
        <v>37164</v>
      </c>
      <c r="P8" s="66">
        <f>O8+FLOOR(365/4,1)+1</f>
        <v>37256</v>
      </c>
      <c r="Q8" s="97"/>
      <c r="R8" s="58"/>
      <c r="S8" s="79">
        <f>M8+365</f>
        <v>37346</v>
      </c>
      <c r="T8" s="66">
        <f>S8+FLOOR(365/4,1)</f>
        <v>37437</v>
      </c>
      <c r="U8" s="66">
        <f>T8+FLOOR(365/4,1)+1</f>
        <v>37529</v>
      </c>
      <c r="V8" s="66">
        <f>U8+FLOOR(365/4,1)+1</f>
        <v>37621</v>
      </c>
      <c r="W8" s="97"/>
      <c r="X8" s="58"/>
      <c r="Y8" s="79">
        <f>S8+365</f>
        <v>37711</v>
      </c>
      <c r="Z8" s="66">
        <f>Y8+FLOOR(365/4,1)</f>
        <v>37802</v>
      </c>
      <c r="AA8" s="66">
        <f>Z8+FLOOR(365/4,1)+1</f>
        <v>37894</v>
      </c>
      <c r="AB8" s="66">
        <f>AA8+FLOOR(365/4,1)+1</f>
        <v>37986</v>
      </c>
      <c r="AC8" s="97"/>
      <c r="AD8" s="58"/>
      <c r="AE8" s="79">
        <f>Y8+365</f>
        <v>38076</v>
      </c>
      <c r="AF8" s="66">
        <f>AE8+FLOOR(365/4,1)</f>
        <v>38167</v>
      </c>
      <c r="AG8" s="66">
        <f>AF8+FLOOR(365/4,1)+1</f>
        <v>38259</v>
      </c>
      <c r="AH8" s="66">
        <f>AG8+FLOOR(365/4,1)+1</f>
        <v>38351</v>
      </c>
      <c r="AI8" s="97"/>
      <c r="AJ8" s="58"/>
      <c r="AK8" s="79">
        <f>AE8+365</f>
        <v>38441</v>
      </c>
      <c r="AL8" s="66">
        <f>AK8+FLOOR(365/4,1)</f>
        <v>38532</v>
      </c>
      <c r="AM8" s="66">
        <f>AL8+FLOOR(365/4,1)+1</f>
        <v>38624</v>
      </c>
      <c r="AN8" s="66">
        <f>AM8+FLOOR(365/4,1)+1</f>
        <v>38716</v>
      </c>
      <c r="AO8" s="97"/>
      <c r="AP8" s="58"/>
      <c r="AQ8" s="79">
        <f>AK8+365</f>
        <v>38806</v>
      </c>
      <c r="AR8" s="66">
        <f>AQ8+FLOOR(365/4,1)</f>
        <v>38897</v>
      </c>
      <c r="AS8" s="66">
        <f>AR8+FLOOR(365/4,1)+1</f>
        <v>38989</v>
      </c>
      <c r="AT8" s="66">
        <f>AS8+FLOOR(365/4,1)+1</f>
        <v>39081</v>
      </c>
      <c r="AU8" s="97"/>
      <c r="AV8" s="58"/>
      <c r="AW8" s="79">
        <f>AQ8+365</f>
        <v>39171</v>
      </c>
      <c r="AX8" s="66">
        <f>AW8+FLOOR(365/4,1)</f>
        <v>39262</v>
      </c>
      <c r="AY8" s="66">
        <f>AX8+FLOOR(365/4,1)+1</f>
        <v>39354</v>
      </c>
      <c r="AZ8" s="66">
        <f>AY8+FLOOR(365/4,1)+1</f>
        <v>39446</v>
      </c>
      <c r="BA8" s="97"/>
      <c r="BB8" s="58"/>
      <c r="BC8" s="79">
        <f>AW8+365</f>
        <v>39536</v>
      </c>
      <c r="BD8" s="66">
        <f>BC8+FLOOR(365/4,1)</f>
        <v>39627</v>
      </c>
      <c r="BE8" s="66">
        <f>BD8+FLOOR(365/4,1)+1</f>
        <v>39719</v>
      </c>
      <c r="BF8" s="66">
        <f>BE8+FLOOR(365/4,1)+1</f>
        <v>39811</v>
      </c>
      <c r="BG8" s="97"/>
      <c r="BH8" s="58"/>
      <c r="BI8" s="79">
        <f>BC8+365</f>
        <v>39901</v>
      </c>
      <c r="BJ8" s="66">
        <f>BI8+FLOOR(365/4,1)</f>
        <v>39992</v>
      </c>
      <c r="BK8" s="66">
        <f>BJ8+FLOOR(365/4,1)+1</f>
        <v>40084</v>
      </c>
      <c r="BL8" s="66">
        <f>BK8+FLOOR(365/4,1)+1</f>
        <v>40176</v>
      </c>
      <c r="BM8" s="97"/>
      <c r="BN8" s="58"/>
      <c r="BO8" s="79">
        <f>BI8+365</f>
        <v>40266</v>
      </c>
      <c r="BP8" s="66">
        <f>BO8+FLOOR(365/4,1)</f>
        <v>40357</v>
      </c>
      <c r="BQ8" s="66">
        <f>BP8+FLOOR(365/4,1)+1</f>
        <v>40449</v>
      </c>
      <c r="BR8" s="66">
        <f>BQ8+FLOOR(365/4,1)+1</f>
        <v>40541</v>
      </c>
      <c r="BS8" s="97"/>
      <c r="BT8" s="58"/>
      <c r="BU8" s="79">
        <f>BO8+365</f>
        <v>40631</v>
      </c>
      <c r="BV8" s="66">
        <f>BU8+FLOOR(365/4,1)</f>
        <v>40722</v>
      </c>
      <c r="BW8" s="66">
        <f>BV8+FLOOR(365/4,1)+1</f>
        <v>40814</v>
      </c>
      <c r="BX8" s="66">
        <f>BW8+FLOOR(365/4,1)+1</f>
        <v>40906</v>
      </c>
      <c r="BY8" s="97"/>
      <c r="BZ8" s="58"/>
      <c r="CA8" s="79">
        <f>BU8+365</f>
        <v>40996</v>
      </c>
      <c r="CB8" s="66">
        <f>CA8+FLOOR(365/4,1)</f>
        <v>41087</v>
      </c>
      <c r="CC8" s="66">
        <f>CB8+FLOOR(365/4,1)+1</f>
        <v>41179</v>
      </c>
      <c r="CD8" s="66">
        <f>CC8+FLOOR(365/4,1)+1</f>
        <v>41271</v>
      </c>
      <c r="CE8" s="97"/>
      <c r="CF8" s="58"/>
      <c r="CG8" s="79">
        <f>CA8+365</f>
        <v>41361</v>
      </c>
      <c r="CH8" s="66">
        <f>CG8+FLOOR(365/4,1)</f>
        <v>41452</v>
      </c>
      <c r="CI8" s="66">
        <f>CH8+FLOOR(365/4,1)+1</f>
        <v>41544</v>
      </c>
      <c r="CJ8" s="66">
        <f>CI8+FLOOR(365/4,1)+1</f>
        <v>41636</v>
      </c>
      <c r="CK8" s="97"/>
      <c r="CL8" s="58"/>
      <c r="CM8" s="79">
        <f>CG8+365</f>
        <v>41726</v>
      </c>
      <c r="CN8" s="66">
        <f>CM8+FLOOR(365/4,1)</f>
        <v>41817</v>
      </c>
      <c r="CO8" s="66">
        <f>CN8+FLOOR(365/4,1)+1</f>
        <v>41909</v>
      </c>
      <c r="CP8" s="66">
        <f>CO8+FLOOR(365/4,1)+1</f>
        <v>42001</v>
      </c>
      <c r="CQ8" s="97"/>
      <c r="CR8" s="58"/>
      <c r="CS8" s="79">
        <f>CM8+365</f>
        <v>42091</v>
      </c>
      <c r="CT8" s="66">
        <f>CS8+FLOOR(365/4,1)</f>
        <v>42182</v>
      </c>
      <c r="CU8" s="66">
        <f>CT8+FLOOR(365/4,1)+1</f>
        <v>42274</v>
      </c>
      <c r="CV8" s="66">
        <f>CU8+FLOOR(365/4,1)+1</f>
        <v>42366</v>
      </c>
      <c r="CW8" s="97"/>
      <c r="CX8" s="58"/>
      <c r="CY8" s="79">
        <f>CS8+365</f>
        <v>42456</v>
      </c>
      <c r="CZ8" s="66">
        <f>CY8+FLOOR(365/4,1)</f>
        <v>42547</v>
      </c>
      <c r="DA8" s="66">
        <f>CZ8+FLOOR(365/4,1)+1</f>
        <v>42639</v>
      </c>
      <c r="DB8" s="66">
        <f>DA8+FLOOR(365/4,1)+1</f>
        <v>42731</v>
      </c>
      <c r="DC8" s="97"/>
      <c r="DD8" s="58"/>
      <c r="DE8" s="79">
        <v>42825</v>
      </c>
      <c r="DF8" s="66">
        <v>42916</v>
      </c>
      <c r="DG8" s="66">
        <v>43008</v>
      </c>
      <c r="DH8" s="66">
        <v>43100</v>
      </c>
      <c r="DI8" s="97"/>
      <c r="DJ8" s="58"/>
      <c r="DK8" s="79">
        <f>DE8+365</f>
        <v>43190</v>
      </c>
      <c r="DL8" s="102">
        <f>DF8+365</f>
        <v>43281</v>
      </c>
      <c r="DM8" s="102">
        <f>DG8+365</f>
        <v>43373</v>
      </c>
      <c r="DN8" s="103">
        <f>DH8+365</f>
        <v>43465</v>
      </c>
      <c r="DO8" s="97"/>
      <c r="DP8" s="58"/>
      <c r="DQ8" s="101">
        <f>DK8+365</f>
        <v>43555</v>
      </c>
      <c r="DR8" s="102">
        <f>DL8+365</f>
        <v>43646</v>
      </c>
      <c r="DS8" s="102">
        <f>DM8+365</f>
        <v>43738</v>
      </c>
      <c r="DT8" s="103">
        <f>DN8+365</f>
        <v>43830</v>
      </c>
      <c r="DU8" s="97"/>
      <c r="DV8" s="58"/>
      <c r="DW8" s="101">
        <f>DQ8+365</f>
        <v>43920</v>
      </c>
      <c r="DX8" s="102">
        <f>DR8+365</f>
        <v>44011</v>
      </c>
      <c r="DY8" s="102">
        <f>DS8+365</f>
        <v>44103</v>
      </c>
      <c r="DZ8" s="103">
        <f>DT8+365</f>
        <v>44195</v>
      </c>
      <c r="EA8" s="97"/>
      <c r="EB8" s="58"/>
      <c r="EC8" s="101">
        <f>DW8+365</f>
        <v>44285</v>
      </c>
      <c r="ED8" s="102">
        <f>DX8+365</f>
        <v>44376</v>
      </c>
      <c r="EE8" s="102">
        <f>DY8+365</f>
        <v>44468</v>
      </c>
      <c r="EF8" s="103">
        <f>DZ8+365</f>
        <v>44560</v>
      </c>
      <c r="EG8" s="97"/>
      <c r="EH8" s="2"/>
    </row>
    <row r="9" spans="1:157" ht="11.25" hidden="1" customHeight="1" outlineLevel="1" x14ac:dyDescent="0.2">
      <c r="A9" s="2"/>
      <c r="B9" s="30"/>
      <c r="C9" s="30"/>
      <c r="D9" s="30"/>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row>
    <row r="10" spans="1:157" ht="11.25" customHeight="1" collapsed="1" x14ac:dyDescent="0.2">
      <c r="A10" s="106" t="s">
        <v>78</v>
      </c>
      <c r="B10" s="74"/>
      <c r="C10" s="74"/>
      <c r="D10" s="74"/>
      <c r="E10" s="107"/>
      <c r="F10" s="75"/>
      <c r="G10" s="107"/>
      <c r="H10" s="75"/>
      <c r="I10" s="107"/>
      <c r="J10" s="75"/>
      <c r="K10" s="107"/>
      <c r="L10" s="75"/>
      <c r="M10" s="109"/>
      <c r="N10" s="110"/>
      <c r="O10" s="110"/>
      <c r="P10" s="110"/>
      <c r="Q10" s="107"/>
      <c r="R10" s="75"/>
      <c r="S10" s="109"/>
      <c r="T10" s="110"/>
      <c r="U10" s="110"/>
      <c r="V10" s="110"/>
      <c r="W10" s="107"/>
      <c r="X10" s="75"/>
      <c r="Y10" s="109"/>
      <c r="Z10" s="110"/>
      <c r="AA10" s="110"/>
      <c r="AB10" s="110"/>
      <c r="AC10" s="107"/>
      <c r="AD10" s="75"/>
      <c r="AE10" s="109"/>
      <c r="AF10" s="110"/>
      <c r="AG10" s="110"/>
      <c r="AH10" s="110"/>
      <c r="AI10" s="107"/>
      <c r="AJ10" s="75"/>
      <c r="AK10" s="109"/>
      <c r="AL10" s="110"/>
      <c r="AM10" s="110"/>
      <c r="AN10" s="110"/>
      <c r="AO10" s="107"/>
      <c r="AP10" s="75"/>
      <c r="AQ10" s="109"/>
      <c r="AR10" s="110"/>
      <c r="AS10" s="110"/>
      <c r="AT10" s="110"/>
      <c r="AU10" s="107"/>
      <c r="AV10" s="75"/>
      <c r="AW10" s="109"/>
      <c r="AX10" s="110"/>
      <c r="AY10" s="110"/>
      <c r="AZ10" s="110"/>
      <c r="BA10" s="107"/>
      <c r="BB10" s="75"/>
      <c r="BC10" s="109"/>
      <c r="BD10" s="110"/>
      <c r="BE10" s="110"/>
      <c r="BF10" s="110"/>
      <c r="BG10" s="107"/>
      <c r="BH10" s="75"/>
      <c r="BI10" s="109"/>
      <c r="BJ10" s="110"/>
      <c r="BK10" s="110"/>
      <c r="BL10" s="110"/>
      <c r="BM10" s="107"/>
      <c r="BN10" s="75"/>
      <c r="BO10" s="109"/>
      <c r="BP10" s="110"/>
      <c r="BQ10" s="110"/>
      <c r="BR10" s="110"/>
      <c r="BS10" s="107"/>
      <c r="BT10" s="75"/>
      <c r="BU10" s="109"/>
      <c r="BV10" s="110"/>
      <c r="BW10" s="110"/>
      <c r="BX10" s="110"/>
      <c r="BY10" s="107"/>
      <c r="BZ10" s="75"/>
      <c r="CA10" s="109"/>
      <c r="CB10" s="110"/>
      <c r="CC10" s="110"/>
      <c r="CD10" s="110"/>
      <c r="CE10" s="107"/>
      <c r="CF10" s="75"/>
      <c r="CG10" s="109"/>
      <c r="CH10" s="110"/>
      <c r="CI10" s="110"/>
      <c r="CJ10" s="110"/>
      <c r="CK10" s="107"/>
      <c r="CL10" s="75"/>
      <c r="CM10" s="109"/>
      <c r="CN10" s="110"/>
      <c r="CO10" s="110"/>
      <c r="CP10" s="110"/>
      <c r="CQ10" s="107"/>
      <c r="CR10" s="75"/>
      <c r="CS10" s="109"/>
      <c r="CT10" s="110"/>
      <c r="CU10" s="110"/>
      <c r="CV10" s="110"/>
      <c r="CW10" s="107"/>
      <c r="CX10" s="75"/>
      <c r="CY10" s="109"/>
      <c r="CZ10" s="110"/>
      <c r="DA10" s="110"/>
      <c r="DB10" s="110"/>
      <c r="DC10" s="107"/>
      <c r="DD10" s="75"/>
      <c r="DE10" s="109"/>
      <c r="DF10" s="110"/>
      <c r="DG10" s="110"/>
      <c r="DH10" s="110"/>
      <c r="DI10" s="107"/>
      <c r="DJ10" s="75"/>
      <c r="DK10" s="109"/>
      <c r="DL10" s="110"/>
      <c r="DM10" s="110"/>
      <c r="DN10" s="110"/>
      <c r="DO10" s="107"/>
      <c r="DP10" s="75"/>
      <c r="DQ10" s="109"/>
      <c r="DR10" s="110"/>
      <c r="DS10" s="110"/>
      <c r="DT10" s="110"/>
      <c r="DU10" s="107"/>
      <c r="DV10" s="75"/>
      <c r="DW10" s="109"/>
      <c r="DX10" s="110"/>
      <c r="DY10" s="110"/>
      <c r="DZ10" s="110"/>
      <c r="EA10" s="107"/>
      <c r="EB10" s="75"/>
      <c r="EC10" s="109"/>
      <c r="ED10" s="110"/>
      <c r="EE10" s="110"/>
      <c r="EF10" s="110"/>
      <c r="EG10" s="107"/>
      <c r="EH10" s="9"/>
      <c r="EJ10" s="1067" t="s">
        <v>224</v>
      </c>
      <c r="EK10" s="1068"/>
      <c r="EL10" s="1069" t="s">
        <v>186</v>
      </c>
      <c r="EM10" s="1069" t="s">
        <v>187</v>
      </c>
      <c r="EN10" s="1069" t="s">
        <v>188</v>
      </c>
      <c r="EO10" s="1069" t="s">
        <v>189</v>
      </c>
      <c r="EP10" s="1069" t="s">
        <v>205</v>
      </c>
      <c r="EQ10" s="1069" t="s">
        <v>210</v>
      </c>
      <c r="ER10" s="1069" t="s">
        <v>213</v>
      </c>
      <c r="ES10" s="1069" t="s">
        <v>220</v>
      </c>
      <c r="ET10" s="1069" t="s">
        <v>572</v>
      </c>
      <c r="EU10" s="1069" t="s">
        <v>615</v>
      </c>
      <c r="EV10" s="1069" t="s">
        <v>616</v>
      </c>
      <c r="EW10" s="1069" t="s">
        <v>617</v>
      </c>
      <c r="EX10" s="1069" t="s">
        <v>618</v>
      </c>
      <c r="EY10" s="1069" t="s">
        <v>626</v>
      </c>
      <c r="EZ10" s="1069" t="s">
        <v>627</v>
      </c>
      <c r="FA10" s="1069" t="s">
        <v>628</v>
      </c>
    </row>
    <row r="11" spans="1:157" ht="11.25" customHeight="1" x14ac:dyDescent="0.2">
      <c r="A11" s="128" t="s">
        <v>377</v>
      </c>
      <c r="B11" s="14"/>
      <c r="C11" s="14"/>
      <c r="D11" s="14"/>
      <c r="E11" s="421"/>
      <c r="F11" s="67"/>
      <c r="G11" s="421"/>
      <c r="H11" s="67"/>
      <c r="I11" s="421"/>
      <c r="J11" s="67"/>
      <c r="K11" s="421"/>
      <c r="L11" s="67"/>
      <c r="M11" s="461"/>
      <c r="N11" s="462"/>
      <c r="O11" s="462"/>
      <c r="P11" s="462"/>
      <c r="Q11" s="464"/>
      <c r="R11" s="67"/>
      <c r="S11" s="461">
        <f>+DHR!S71</f>
        <v>0</v>
      </c>
      <c r="T11" s="462">
        <f>+DHR!T71</f>
        <v>0</v>
      </c>
      <c r="U11" s="462">
        <f>+DHR!U71</f>
        <v>0</v>
      </c>
      <c r="V11" s="462">
        <f>+DHR!V71</f>
        <v>0</v>
      </c>
      <c r="W11" s="464">
        <f>+DHR!W71</f>
        <v>0</v>
      </c>
      <c r="X11" s="67"/>
      <c r="Y11" s="461">
        <f>+DHR!Y71</f>
        <v>0</v>
      </c>
      <c r="Z11" s="462">
        <f>+DHR!Z71</f>
        <v>0</v>
      </c>
      <c r="AA11" s="462">
        <f>+DHR!AA71</f>
        <v>0</v>
      </c>
      <c r="AB11" s="462">
        <f>+DHR!AB71</f>
        <v>0</v>
      </c>
      <c r="AC11" s="464">
        <f>+DHR!AC71</f>
        <v>0</v>
      </c>
      <c r="AD11" s="67"/>
      <c r="AE11" s="461">
        <f>+DHR!AE71</f>
        <v>0</v>
      </c>
      <c r="AF11" s="462">
        <f>+DHR!AF71</f>
        <v>0</v>
      </c>
      <c r="AG11" s="462">
        <f>+DHR!AG71</f>
        <v>0</v>
      </c>
      <c r="AH11" s="462">
        <f>+DHR!AH71</f>
        <v>0</v>
      </c>
      <c r="AI11" s="464">
        <f>+DHR!AI71</f>
        <v>0</v>
      </c>
      <c r="AJ11" s="67"/>
      <c r="AK11" s="461">
        <f>+DHR!AK71</f>
        <v>0</v>
      </c>
      <c r="AL11" s="462">
        <f>+DHR!AL71</f>
        <v>0</v>
      </c>
      <c r="AM11" s="462">
        <f>+DHR!AM71</f>
        <v>0</v>
      </c>
      <c r="AN11" s="462">
        <f>+DHR!AN71</f>
        <v>0</v>
      </c>
      <c r="AO11" s="464">
        <f>+DHR!AO71</f>
        <v>0</v>
      </c>
      <c r="AP11" s="67"/>
      <c r="AQ11" s="461">
        <f>+DHR!AQ71</f>
        <v>0</v>
      </c>
      <c r="AR11" s="462">
        <f>+DHR!AR71</f>
        <v>0</v>
      </c>
      <c r="AS11" s="462">
        <f>+DHR!AS71</f>
        <v>0</v>
      </c>
      <c r="AT11" s="462">
        <f>+DHR!AT71</f>
        <v>0</v>
      </c>
      <c r="AU11" s="464">
        <f>+DHR!AU71</f>
        <v>0.09</v>
      </c>
      <c r="AV11" s="67"/>
      <c r="AW11" s="461">
        <f>+DHR!AW71</f>
        <v>0</v>
      </c>
      <c r="AX11" s="462">
        <f>+DHR!AX71</f>
        <v>0</v>
      </c>
      <c r="AY11" s="462">
        <f>+DHR!AY71</f>
        <v>0</v>
      </c>
      <c r="AZ11" s="462">
        <f>+DHR!AZ71</f>
        <v>0</v>
      </c>
      <c r="BA11" s="464">
        <f>+DHR!BA71</f>
        <v>0.14000000000000001</v>
      </c>
      <c r="BB11" s="67"/>
      <c r="BC11" s="461">
        <f>+DHR!BC71</f>
        <v>0</v>
      </c>
      <c r="BD11" s="462">
        <f>+DHR!BD71</f>
        <v>0</v>
      </c>
      <c r="BE11" s="462">
        <f>+DHR!BE71</f>
        <v>0</v>
      </c>
      <c r="BF11" s="462">
        <f>+DHR!BF71</f>
        <v>0</v>
      </c>
      <c r="BG11" s="464">
        <f>+DHR!BG71</f>
        <v>9.5000000000000001E-2</v>
      </c>
      <c r="BH11" s="67"/>
      <c r="BI11" s="461">
        <f>+DHR!BI71</f>
        <v>-2.545E-2</v>
      </c>
      <c r="BJ11" s="462">
        <f>+DHR!BJ71</f>
        <v>-2.545E-2</v>
      </c>
      <c r="BK11" s="462">
        <f>+DHR!BK71</f>
        <v>-2.545E-2</v>
      </c>
      <c r="BL11" s="462">
        <f>+DHR!BL71</f>
        <v>-2.545E-2</v>
      </c>
      <c r="BM11" s="464">
        <f>+DHR!BM71</f>
        <v>-2.545E-2</v>
      </c>
      <c r="BN11" s="67"/>
      <c r="BO11" s="461">
        <f>+DHR!BO71</f>
        <v>7.0000000000000007E-2</v>
      </c>
      <c r="BP11" s="462">
        <f>+DHR!BP71</f>
        <v>7.0000000000000007E-2</v>
      </c>
      <c r="BQ11" s="462">
        <f>+DHR!BQ71</f>
        <v>0.1</v>
      </c>
      <c r="BR11" s="462">
        <f>+DHR!BR71</f>
        <v>0.1</v>
      </c>
      <c r="BS11" s="464">
        <f>+DHR!BS71</f>
        <v>8.6244020899256743E-2</v>
      </c>
      <c r="BT11" s="67"/>
      <c r="BU11" s="461">
        <f>+DHR!BU71</f>
        <v>0.06</v>
      </c>
      <c r="BV11" s="462">
        <f>+DHR!BV71</f>
        <v>0.06</v>
      </c>
      <c r="BW11" s="462">
        <f>+DHR!BW71</f>
        <v>0.05</v>
      </c>
      <c r="BX11" s="462">
        <f>+DHR!BX71</f>
        <v>0.05</v>
      </c>
      <c r="BY11" s="464">
        <f>+DHR!BY71</f>
        <v>5.4540786153152547E-2</v>
      </c>
      <c r="BZ11" s="67"/>
      <c r="CA11" s="461">
        <f>+DHR!CA71</f>
        <v>0</v>
      </c>
      <c r="CB11" s="462">
        <f>+DHR!CB71</f>
        <v>0.03</v>
      </c>
      <c r="CC11" s="462">
        <f>+DHR!CC71</f>
        <v>-2.8275000000000002E-2</v>
      </c>
      <c r="CD11" s="462">
        <f>+DHR!CD71</f>
        <v>8.2290000000000002E-2</v>
      </c>
      <c r="CE11" s="464">
        <f>+DHR!CE71</f>
        <v>2.4595935051288528E-2</v>
      </c>
      <c r="CF11" s="67"/>
      <c r="CG11" s="461">
        <f>+DHR!CG71</f>
        <v>1.2239999999999999E-2</v>
      </c>
      <c r="CH11" s="462">
        <f>+DHR!CH71</f>
        <v>5.015E-2</v>
      </c>
      <c r="CI11" s="462">
        <f>+DHR!CI71</f>
        <v>7.0000000000000007E-2</v>
      </c>
      <c r="CJ11" s="462">
        <f>+DHR!CJ71</f>
        <v>2.8410000000000001E-2</v>
      </c>
      <c r="CK11" s="464">
        <f>+DHR!CK71</f>
        <v>3.9245640450670458E-2</v>
      </c>
      <c r="CL11" s="67"/>
      <c r="CM11" s="461">
        <f>+DHR!CM71</f>
        <v>5.45E-2</v>
      </c>
      <c r="CN11" s="462">
        <f>+DHR!CN71</f>
        <v>2.52E-2</v>
      </c>
      <c r="CO11" s="462">
        <f>+DHR!CO71</f>
        <v>0.02</v>
      </c>
      <c r="CP11" s="462">
        <f>+DHR!CP71</f>
        <v>3.6249999999999998E-2</v>
      </c>
      <c r="CQ11" s="464">
        <f>+DHR!CQ71</f>
        <v>3.3764548118207276E-2</v>
      </c>
      <c r="CR11" s="67"/>
      <c r="CS11" s="461">
        <f>+DHR!CS71</f>
        <v>2.4999999999999998E-2</v>
      </c>
      <c r="CT11" s="462">
        <f>+DHR!CT71</f>
        <v>2.5000000000000001E-2</v>
      </c>
      <c r="CU11" s="462">
        <f>+DHR!CU71</f>
        <v>4.4999999999999998E-2</v>
      </c>
      <c r="CV11" s="462">
        <f>+DHR!CV71</f>
        <v>3.5000000000000003E-2</v>
      </c>
      <c r="CW11" s="464">
        <f>+DHR!CW71</f>
        <v>0.03</v>
      </c>
      <c r="CX11" s="67"/>
      <c r="CY11" s="461">
        <f>+DHR!CY71</f>
        <v>3.4999999999999996E-2</v>
      </c>
      <c r="CZ11" s="462">
        <f>+DHR!CZ71</f>
        <v>0.04</v>
      </c>
      <c r="DA11" s="462">
        <f>+DHR!DA71</f>
        <v>3.4999999999999996E-2</v>
      </c>
      <c r="DB11" s="462">
        <f>+DHR!DB71</f>
        <v>3.5000000000000003E-2</v>
      </c>
      <c r="DC11" s="464">
        <f>+DHR!DC71</f>
        <v>3.5890427489667247E-2</v>
      </c>
      <c r="DD11" s="67"/>
      <c r="DE11" s="461">
        <f>+DHR!DE71</f>
        <v>3.4999999999999996E-2</v>
      </c>
      <c r="DF11" s="462">
        <f>+DHR!DF71</f>
        <v>3.7000000000000005E-2</v>
      </c>
      <c r="DG11" s="462">
        <f>+DHR!DG71</f>
        <v>0.04</v>
      </c>
      <c r="DH11" s="462">
        <f>+DHR!DH71</f>
        <v>6.5000000000000002E-2</v>
      </c>
      <c r="DI11" s="464">
        <f>+DHR!DI71</f>
        <v>4.485978121098045E-2</v>
      </c>
      <c r="DJ11" s="67"/>
      <c r="DK11" s="461">
        <f>+DHR!DK71</f>
        <v>5.5E-2</v>
      </c>
      <c r="DL11" s="462">
        <f>+DHR!DL71</f>
        <v>0.05</v>
      </c>
      <c r="DM11" s="462">
        <f>+DHR!DM71</f>
        <v>0.05</v>
      </c>
      <c r="DN11" s="462">
        <f>+DHR!DN71</f>
        <v>3.5000000000000003E-2</v>
      </c>
      <c r="DO11" s="464">
        <f>+DHR!DO71</f>
        <v>4.6876411971769325E-2</v>
      </c>
      <c r="DP11" s="67"/>
      <c r="DQ11" s="461">
        <f>+DHR!DQ71</f>
        <v>0.04</v>
      </c>
      <c r="DR11" s="462">
        <f>+DHR!DR71</f>
        <v>0.04</v>
      </c>
      <c r="DS11" s="462">
        <f>+DHR!DS71</f>
        <v>0.04</v>
      </c>
      <c r="DT11" s="462">
        <f>+DHR!DT71</f>
        <v>0.04</v>
      </c>
      <c r="DU11" s="464">
        <f>+DHR!DU71</f>
        <v>0.04</v>
      </c>
      <c r="DV11" s="67"/>
      <c r="DW11" s="461">
        <f>+DHR!DW71</f>
        <v>0.04</v>
      </c>
      <c r="DX11" s="462">
        <f>+DHR!DX71</f>
        <v>0.04</v>
      </c>
      <c r="DY11" s="462">
        <f>+DHR!DY71</f>
        <v>0.04</v>
      </c>
      <c r="DZ11" s="462">
        <f>+DHR!DZ71</f>
        <v>0.04</v>
      </c>
      <c r="EA11" s="464">
        <f>+DHR!EA71</f>
        <v>4.0000000000000008E-2</v>
      </c>
      <c r="EB11" s="67"/>
      <c r="EC11" s="461">
        <f>+DHR!EC71</f>
        <v>0.04</v>
      </c>
      <c r="ED11" s="462">
        <f>+DHR!ED71</f>
        <v>0.04</v>
      </c>
      <c r="EE11" s="462">
        <f>+DHR!EE71</f>
        <v>0.04</v>
      </c>
      <c r="EF11" s="462">
        <f>+DHR!EF71</f>
        <v>0.04</v>
      </c>
      <c r="EG11" s="464">
        <f>+DHR!EG71</f>
        <v>0.04</v>
      </c>
      <c r="EH11" s="9"/>
      <c r="EJ11" s="378" t="s">
        <v>377</v>
      </c>
      <c r="EK11" s="378"/>
      <c r="EL11" s="380">
        <f>+CS11</f>
        <v>2.4999999999999998E-2</v>
      </c>
      <c r="EM11" s="380">
        <f t="shared" ref="EM11:EM16" si="0">+CT11</f>
        <v>2.5000000000000001E-2</v>
      </c>
      <c r="EN11" s="380">
        <f t="shared" ref="EN11:EN16" si="1">+CU11</f>
        <v>4.4999999999999998E-2</v>
      </c>
      <c r="EO11" s="380">
        <f t="shared" ref="EO11:EO16" si="2">+CV11</f>
        <v>3.5000000000000003E-2</v>
      </c>
      <c r="EP11" s="380">
        <f>+CY11</f>
        <v>3.4999999999999996E-2</v>
      </c>
      <c r="EQ11" s="380">
        <f t="shared" ref="EQ11:EQ16" si="3">+CZ11</f>
        <v>0.04</v>
      </c>
      <c r="ER11" s="380">
        <f t="shared" ref="ER11:ER16" si="4">+DA11</f>
        <v>3.4999999999999996E-2</v>
      </c>
      <c r="ES11" s="380">
        <f t="shared" ref="ES11:ES16" si="5">+DB11</f>
        <v>3.5000000000000003E-2</v>
      </c>
      <c r="ET11" s="380">
        <f>+DE11</f>
        <v>3.4999999999999996E-2</v>
      </c>
      <c r="EU11" s="380">
        <f t="shared" ref="EU11:EW16" si="6">+DF11</f>
        <v>3.7000000000000005E-2</v>
      </c>
      <c r="EV11" s="380">
        <f t="shared" si="6"/>
        <v>0.04</v>
      </c>
      <c r="EW11" s="380">
        <f t="shared" si="6"/>
        <v>6.5000000000000002E-2</v>
      </c>
      <c r="EX11" s="380">
        <f t="shared" ref="EX11:FA16" si="7">+DK11</f>
        <v>5.5E-2</v>
      </c>
      <c r="EY11" s="380">
        <f t="shared" si="7"/>
        <v>0.05</v>
      </c>
      <c r="EZ11" s="380">
        <f t="shared" si="7"/>
        <v>0.05</v>
      </c>
      <c r="FA11" s="380">
        <f t="shared" si="7"/>
        <v>3.5000000000000003E-2</v>
      </c>
    </row>
    <row r="12" spans="1:157" ht="11.25" customHeight="1" x14ac:dyDescent="0.2">
      <c r="A12" s="51" t="s">
        <v>115</v>
      </c>
      <c r="B12" s="14"/>
      <c r="C12" s="14"/>
      <c r="D12" s="14"/>
      <c r="E12" s="91"/>
      <c r="F12" s="67"/>
      <c r="G12" s="91"/>
      <c r="H12" s="67"/>
      <c r="I12" s="91"/>
      <c r="J12" s="67"/>
      <c r="K12" s="91"/>
      <c r="L12" s="67"/>
      <c r="M12" s="463"/>
      <c r="N12" s="353"/>
      <c r="O12" s="353"/>
      <c r="P12" s="353"/>
      <c r="Q12" s="465"/>
      <c r="R12" s="67"/>
      <c r="S12" s="463">
        <f>+DHR!S147</f>
        <v>0</v>
      </c>
      <c r="T12" s="353">
        <f>+DHR!T147</f>
        <v>0</v>
      </c>
      <c r="U12" s="353">
        <f>+DHR!U147</f>
        <v>0</v>
      </c>
      <c r="V12" s="353">
        <f>+DHR!V147</f>
        <v>0</v>
      </c>
      <c r="W12" s="465">
        <f>+DHR!W147</f>
        <v>0</v>
      </c>
      <c r="X12" s="67"/>
      <c r="Y12" s="463">
        <f>+DHR!Y147</f>
        <v>0</v>
      </c>
      <c r="Z12" s="353">
        <f>+DHR!Z147</f>
        <v>0</v>
      </c>
      <c r="AA12" s="353">
        <f>+DHR!AA147</f>
        <v>0</v>
      </c>
      <c r="AB12" s="353">
        <f>+DHR!AB147</f>
        <v>0</v>
      </c>
      <c r="AC12" s="465">
        <f>+DHR!AC147</f>
        <v>0</v>
      </c>
      <c r="AD12" s="67"/>
      <c r="AE12" s="463">
        <f>+DHR!AE147</f>
        <v>0</v>
      </c>
      <c r="AF12" s="353">
        <f>+DHR!AF147</f>
        <v>0</v>
      </c>
      <c r="AG12" s="353">
        <f>+DHR!AG147</f>
        <v>0</v>
      </c>
      <c r="AH12" s="353">
        <f>+DHR!AH147</f>
        <v>0</v>
      </c>
      <c r="AI12" s="465">
        <f>+DHR!AI147</f>
        <v>0.09</v>
      </c>
      <c r="AJ12" s="67"/>
      <c r="AK12" s="463">
        <f>+DHR!AK147</f>
        <v>0.04</v>
      </c>
      <c r="AL12" s="353">
        <f>+DHR!AL147</f>
        <v>0.04</v>
      </c>
      <c r="AM12" s="353">
        <f>+DHR!AM147</f>
        <v>0.04</v>
      </c>
      <c r="AN12" s="353">
        <f>+DHR!AN147</f>
        <v>0.04</v>
      </c>
      <c r="AO12" s="465">
        <f>+DHR!AO147</f>
        <v>0.04</v>
      </c>
      <c r="AP12" s="67"/>
      <c r="AQ12" s="463">
        <f>+DHR!AQ147</f>
        <v>0.16</v>
      </c>
      <c r="AR12" s="353">
        <f>+DHR!AR147</f>
        <v>0.16</v>
      </c>
      <c r="AS12" s="353">
        <f>+DHR!AS147</f>
        <v>0.16</v>
      </c>
      <c r="AT12" s="353">
        <f>+DHR!AT147</f>
        <v>0.16</v>
      </c>
      <c r="AU12" s="465">
        <f>+DHR!AU147</f>
        <v>0.06</v>
      </c>
      <c r="AV12" s="67"/>
      <c r="AW12" s="463">
        <f>+DHR!AW147</f>
        <v>0</v>
      </c>
      <c r="AX12" s="353">
        <f>+DHR!AX147</f>
        <v>0</v>
      </c>
      <c r="AY12" s="353">
        <f>+DHR!AY147</f>
        <v>0</v>
      </c>
      <c r="AZ12" s="353">
        <f>+DHR!AZ147</f>
        <v>0</v>
      </c>
      <c r="BA12" s="465">
        <f>+DHR!BA147</f>
        <v>0.09</v>
      </c>
      <c r="BB12" s="67"/>
      <c r="BC12" s="463">
        <f>+DHR!BC147</f>
        <v>0</v>
      </c>
      <c r="BD12" s="353">
        <f>+DHR!BD147</f>
        <v>0</v>
      </c>
      <c r="BE12" s="353">
        <f>+DHR!BE147</f>
        <v>0</v>
      </c>
      <c r="BF12" s="353">
        <f>+DHR!BF147</f>
        <v>0</v>
      </c>
      <c r="BG12" s="465">
        <f>+DHR!BG147</f>
        <v>6.5000000000000002E-2</v>
      </c>
      <c r="BH12" s="67"/>
      <c r="BI12" s="463">
        <f>+DHR!BI147</f>
        <v>0.05</v>
      </c>
      <c r="BJ12" s="353">
        <f>+DHR!BJ147</f>
        <v>0.05</v>
      </c>
      <c r="BK12" s="353">
        <f>+DHR!BK147</f>
        <v>0.05</v>
      </c>
      <c r="BL12" s="353">
        <f>+DHR!BL147</f>
        <v>0.05</v>
      </c>
      <c r="BM12" s="465">
        <f>+DHR!BM147</f>
        <v>0.05</v>
      </c>
      <c r="BN12" s="67"/>
      <c r="BO12" s="463">
        <f>+DHR!BO147</f>
        <v>0.08</v>
      </c>
      <c r="BP12" s="353">
        <f>+DHR!BP147</f>
        <v>0.08</v>
      </c>
      <c r="BQ12" s="353">
        <f>+DHR!BQ147</f>
        <v>0.09</v>
      </c>
      <c r="BR12" s="353">
        <f>+DHR!BR147</f>
        <v>0.09</v>
      </c>
      <c r="BS12" s="465">
        <f>+DHR!BS147</f>
        <v>8.5286566209042236E-2</v>
      </c>
      <c r="BT12" s="67"/>
      <c r="BU12" s="463">
        <f>+DHR!BU147</f>
        <v>0.09</v>
      </c>
      <c r="BV12" s="353">
        <f>+DHR!BV147</f>
        <v>0.09</v>
      </c>
      <c r="BW12" s="353">
        <f>+DHR!BW147</f>
        <v>0.08</v>
      </c>
      <c r="BX12" s="353">
        <f>+DHR!BX147</f>
        <v>0.08</v>
      </c>
      <c r="BY12" s="465">
        <f>+DHR!BY147</f>
        <v>8.4709555247431484E-2</v>
      </c>
      <c r="BZ12" s="67"/>
      <c r="CA12" s="463">
        <f>+DHR!CA147</f>
        <v>0.05</v>
      </c>
      <c r="CB12" s="353">
        <f>+DHR!CB147</f>
        <v>0.05</v>
      </c>
      <c r="CC12" s="353">
        <f>+DHR!CC147</f>
        <v>0.05</v>
      </c>
      <c r="CD12" s="353">
        <f>+DHR!CD147</f>
        <v>0.06</v>
      </c>
      <c r="CE12" s="465">
        <f>+DHR!CE147</f>
        <v>5.4278885173983348E-2</v>
      </c>
      <c r="CF12" s="67"/>
      <c r="CG12" s="463">
        <f>+DHR!CG147</f>
        <v>0.03</v>
      </c>
      <c r="CH12" s="353">
        <f>+DHR!CH147</f>
        <v>5.382E-2</v>
      </c>
      <c r="CI12" s="353">
        <f>+DHR!CI147</f>
        <v>5.2900000000000003E-2</v>
      </c>
      <c r="CJ12" s="353">
        <f>+DHR!CJ147</f>
        <v>0.04</v>
      </c>
      <c r="CK12" s="465">
        <f>+DHR!CK147</f>
        <v>4.4077232581273197E-2</v>
      </c>
      <c r="CL12" s="67"/>
      <c r="CM12" s="463">
        <f>+DHR!CM147</f>
        <v>3.15E-2</v>
      </c>
      <c r="CN12" s="353">
        <f>+DHR!CN147</f>
        <v>5.4399999999999997E-2</v>
      </c>
      <c r="CO12" s="353">
        <f>+DHR!CO147</f>
        <v>3.5000000000000003E-2</v>
      </c>
      <c r="CP12" s="353">
        <f>+DHR!CP147</f>
        <v>5.1580000000000001E-2</v>
      </c>
      <c r="CQ12" s="465">
        <f>+DHR!CQ147</f>
        <v>4.3516142889724031E-2</v>
      </c>
      <c r="CR12" s="67"/>
      <c r="CS12" s="463">
        <f>+DHR!CS147</f>
        <v>3.9999999999999994E-2</v>
      </c>
      <c r="CT12" s="353">
        <f>+DHR!CT147</f>
        <v>5.5E-2</v>
      </c>
      <c r="CU12" s="353">
        <f>+DHR!CU147</f>
        <v>0.03</v>
      </c>
      <c r="CV12" s="353">
        <f>+DHR!CV147</f>
        <v>3.5000000000000003E-2</v>
      </c>
      <c r="CW12" s="465">
        <f>+DHR!CW147</f>
        <v>0.04</v>
      </c>
      <c r="CX12" s="67"/>
      <c r="CY12" s="463">
        <f>+DHR!CY147</f>
        <v>2.5000000000000001E-2</v>
      </c>
      <c r="CZ12" s="353">
        <f>+DHR!CZ147</f>
        <v>0.02</v>
      </c>
      <c r="DA12" s="353">
        <f>+DHR!DA147</f>
        <v>3.4999999999999996E-2</v>
      </c>
      <c r="DB12" s="353">
        <f>+DHR!DB147</f>
        <v>2.4999999999999998E-2</v>
      </c>
      <c r="DC12" s="465">
        <f>+DHR!DC147</f>
        <v>2.5097260160582731E-2</v>
      </c>
      <c r="DD12" s="67"/>
      <c r="DE12" s="463">
        <f>+DHR!DE147</f>
        <v>3.0000000000000002E-2</v>
      </c>
      <c r="DF12" s="353">
        <f>+DHR!DF147</f>
        <v>2.7000000000000003E-2</v>
      </c>
      <c r="DG12" s="353">
        <f>+DHR!DG147</f>
        <v>0.04</v>
      </c>
      <c r="DH12" s="353">
        <f>+DHR!DH147</f>
        <v>0.06</v>
      </c>
      <c r="DI12" s="465">
        <f>+DHR!DI147</f>
        <v>4.0183633368398072E-2</v>
      </c>
      <c r="DJ12" s="67"/>
      <c r="DK12" s="463">
        <f>+DHR!DK147</f>
        <v>9.5000000000000001E-2</v>
      </c>
      <c r="DL12" s="353">
        <f>+DHR!DL147</f>
        <v>5.5E-2</v>
      </c>
      <c r="DM12" s="353">
        <f>+DHR!DM147</f>
        <v>0.04</v>
      </c>
      <c r="DN12" s="353">
        <f>+DHR!DN147</f>
        <v>0.03</v>
      </c>
      <c r="DO12" s="465">
        <f>+DHR!DO147</f>
        <v>5.3418466069624478E-2</v>
      </c>
      <c r="DP12" s="67"/>
      <c r="DQ12" s="463">
        <f>+DHR!DQ147</f>
        <v>0</v>
      </c>
      <c r="DR12" s="353">
        <f>+DHR!DR147</f>
        <v>0.03</v>
      </c>
      <c r="DS12" s="353">
        <f>+DHR!DS147</f>
        <v>0.03</v>
      </c>
      <c r="DT12" s="353">
        <f>+DHR!DT147</f>
        <v>0.03</v>
      </c>
      <c r="DU12" s="465">
        <f>+DHR!DU147</f>
        <v>2.2781128424692779E-2</v>
      </c>
      <c r="DV12" s="67"/>
      <c r="DW12" s="463">
        <f>+DHR!DW147</f>
        <v>0.05</v>
      </c>
      <c r="DX12" s="353">
        <f>+DHR!DX147</f>
        <v>0.05</v>
      </c>
      <c r="DY12" s="353">
        <f>+DHR!DY147</f>
        <v>0.05</v>
      </c>
      <c r="DZ12" s="353">
        <f>+DHR!DZ147</f>
        <v>0.05</v>
      </c>
      <c r="EA12" s="465">
        <f>+DHR!EA147</f>
        <v>5.0000000000000017E-2</v>
      </c>
      <c r="EB12" s="67"/>
      <c r="EC12" s="463">
        <f>+DHR!EC147</f>
        <v>0.05</v>
      </c>
      <c r="ED12" s="353">
        <f>+DHR!ED147</f>
        <v>0.05</v>
      </c>
      <c r="EE12" s="353">
        <f>+DHR!EE147</f>
        <v>0.05</v>
      </c>
      <c r="EF12" s="353">
        <f>+DHR!EF147</f>
        <v>0.05</v>
      </c>
      <c r="EG12" s="465">
        <f>+DHR!EG147</f>
        <v>5.000000000000001E-2</v>
      </c>
      <c r="EH12" s="9"/>
      <c r="EJ12" s="379" t="s">
        <v>115</v>
      </c>
      <c r="EK12" s="379"/>
      <c r="EL12" s="381">
        <f t="shared" ref="EL12:EL16" si="8">+CS12</f>
        <v>3.9999999999999994E-2</v>
      </c>
      <c r="EM12" s="381">
        <f t="shared" si="0"/>
        <v>5.5E-2</v>
      </c>
      <c r="EN12" s="381">
        <f t="shared" si="1"/>
        <v>0.03</v>
      </c>
      <c r="EO12" s="381">
        <f t="shared" si="2"/>
        <v>3.5000000000000003E-2</v>
      </c>
      <c r="EP12" s="381">
        <f t="shared" ref="EP12:EP16" si="9">+CY12</f>
        <v>2.5000000000000001E-2</v>
      </c>
      <c r="EQ12" s="381">
        <f t="shared" si="3"/>
        <v>0.02</v>
      </c>
      <c r="ER12" s="381">
        <f t="shared" si="4"/>
        <v>3.4999999999999996E-2</v>
      </c>
      <c r="ES12" s="381">
        <f t="shared" si="5"/>
        <v>2.4999999999999998E-2</v>
      </c>
      <c r="ET12" s="381">
        <f t="shared" ref="ET12:ET16" si="10">+DE12</f>
        <v>3.0000000000000002E-2</v>
      </c>
      <c r="EU12" s="381">
        <f t="shared" si="6"/>
        <v>2.7000000000000003E-2</v>
      </c>
      <c r="EV12" s="381">
        <f t="shared" si="6"/>
        <v>0.04</v>
      </c>
      <c r="EW12" s="381">
        <f t="shared" si="6"/>
        <v>0.06</v>
      </c>
      <c r="EX12" s="381">
        <f t="shared" si="7"/>
        <v>9.5000000000000001E-2</v>
      </c>
      <c r="EY12" s="381">
        <f t="shared" si="7"/>
        <v>5.5E-2</v>
      </c>
      <c r="EZ12" s="381">
        <f t="shared" si="7"/>
        <v>0.04</v>
      </c>
      <c r="FA12" s="381">
        <f t="shared" si="7"/>
        <v>0.03</v>
      </c>
    </row>
    <row r="13" spans="1:157" ht="11.25" hidden="1" customHeight="1" outlineLevel="1" x14ac:dyDescent="0.2">
      <c r="A13" s="51" t="s">
        <v>644</v>
      </c>
      <c r="B13" s="14"/>
      <c r="C13" s="14"/>
      <c r="D13" s="14"/>
      <c r="E13" s="91"/>
      <c r="F13" s="67"/>
      <c r="G13" s="91"/>
      <c r="H13" s="67"/>
      <c r="I13" s="91"/>
      <c r="J13" s="67"/>
      <c r="K13" s="91"/>
      <c r="L13" s="67"/>
      <c r="M13" s="463"/>
      <c r="N13" s="353"/>
      <c r="O13" s="353"/>
      <c r="P13" s="353"/>
      <c r="Q13" s="465"/>
      <c r="R13" s="67"/>
      <c r="S13" s="463"/>
      <c r="T13" s="353"/>
      <c r="U13" s="353"/>
      <c r="V13" s="353"/>
      <c r="W13" s="465"/>
      <c r="X13" s="67"/>
      <c r="Y13" s="463"/>
      <c r="Z13" s="353"/>
      <c r="AA13" s="353"/>
      <c r="AB13" s="353"/>
      <c r="AC13" s="465"/>
      <c r="AD13" s="67"/>
      <c r="AE13" s="463"/>
      <c r="AF13" s="353"/>
      <c r="AG13" s="353"/>
      <c r="AH13" s="353"/>
      <c r="AI13" s="465"/>
      <c r="AJ13" s="67"/>
      <c r="AK13" s="463"/>
      <c r="AL13" s="353"/>
      <c r="AM13" s="353"/>
      <c r="AN13" s="353"/>
      <c r="AO13" s="465"/>
      <c r="AP13" s="67"/>
      <c r="AQ13" s="463"/>
      <c r="AR13" s="353"/>
      <c r="AS13" s="353"/>
      <c r="AT13" s="353"/>
      <c r="AU13" s="465"/>
      <c r="AV13" s="67"/>
      <c r="AW13" s="463"/>
      <c r="AX13" s="353"/>
      <c r="AY13" s="353"/>
      <c r="AZ13" s="353"/>
      <c r="BA13" s="465"/>
      <c r="BB13" s="67"/>
      <c r="BC13" s="463"/>
      <c r="BD13" s="353"/>
      <c r="BE13" s="353"/>
      <c r="BF13" s="353"/>
      <c r="BG13" s="465"/>
      <c r="BH13" s="67"/>
      <c r="BI13" s="463"/>
      <c r="BJ13" s="353"/>
      <c r="BK13" s="353"/>
      <c r="BL13" s="353"/>
      <c r="BM13" s="465"/>
      <c r="BN13" s="67"/>
      <c r="BO13" s="463"/>
      <c r="BP13" s="353"/>
      <c r="BQ13" s="353"/>
      <c r="BR13" s="353"/>
      <c r="BS13" s="465"/>
      <c r="BT13" s="67"/>
      <c r="BU13" s="463">
        <f>+DHR!BU148</f>
        <v>0.09</v>
      </c>
      <c r="BV13" s="353">
        <f>+DHR!BV148</f>
        <v>0.09</v>
      </c>
      <c r="BW13" s="353">
        <f>+DHR!BW148</f>
        <v>0.08</v>
      </c>
      <c r="BX13" s="353">
        <f>+DHR!BX148</f>
        <v>0.08</v>
      </c>
      <c r="BY13" s="465">
        <f>+DHR!BY148</f>
        <v>8.4709555247431484E-2</v>
      </c>
      <c r="BZ13" s="67"/>
      <c r="CA13" s="463">
        <f>+DHR!CA148</f>
        <v>0.05</v>
      </c>
      <c r="CB13" s="353">
        <f>+DHR!CB148</f>
        <v>0.05</v>
      </c>
      <c r="CC13" s="353">
        <f>+DHR!CC148</f>
        <v>0.05</v>
      </c>
      <c r="CD13" s="353">
        <f>+DHR!CD148</f>
        <v>0.06</v>
      </c>
      <c r="CE13" s="465">
        <f>+DHR!CE148</f>
        <v>5.4278885173983348E-2</v>
      </c>
      <c r="CF13" s="67"/>
      <c r="CG13" s="463">
        <f>+DHR!CG148</f>
        <v>0.03</v>
      </c>
      <c r="CH13" s="353">
        <f>+DHR!CH148</f>
        <v>5.382E-2</v>
      </c>
      <c r="CI13" s="353">
        <f>+DHR!CI148</f>
        <v>5.2900000000000003E-2</v>
      </c>
      <c r="CJ13" s="353">
        <f>+DHR!CJ148</f>
        <v>0.04</v>
      </c>
      <c r="CK13" s="465">
        <f>+DHR!CK148</f>
        <v>4.4077232581273197E-2</v>
      </c>
      <c r="CL13" s="67"/>
      <c r="CM13" s="463">
        <f>+DHR!CM148</f>
        <v>3.15E-2</v>
      </c>
      <c r="CN13" s="353">
        <f>+DHR!CN148</f>
        <v>5.4399999999999997E-2</v>
      </c>
      <c r="CO13" s="353">
        <f>+DHR!CO148</f>
        <v>3.5000000000000003E-2</v>
      </c>
      <c r="CP13" s="353">
        <f>+DHR!CP148</f>
        <v>5.1580000000000001E-2</v>
      </c>
      <c r="CQ13" s="465">
        <f>+DHR!CQ148</f>
        <v>4.3516142889724031E-2</v>
      </c>
      <c r="CR13" s="67"/>
      <c r="CS13" s="463">
        <f>+DHR!CS148</f>
        <v>3.9999999999999994E-2</v>
      </c>
      <c r="CT13" s="353">
        <f>+DHR!CT148</f>
        <v>5.5E-2</v>
      </c>
      <c r="CU13" s="353">
        <f>+DHR!CU148</f>
        <v>0.03</v>
      </c>
      <c r="CV13" s="353">
        <f>+DHR!CV148</f>
        <v>3.5000000000000003E-2</v>
      </c>
      <c r="CW13" s="465">
        <f>+DHR!CW148</f>
        <v>0.04</v>
      </c>
      <c r="CX13" s="67"/>
      <c r="CY13" s="463">
        <f>+DHR!CY148</f>
        <v>2.5000000000000001E-2</v>
      </c>
      <c r="CZ13" s="353">
        <f>+DHR!CZ148</f>
        <v>0.02</v>
      </c>
      <c r="DA13" s="353">
        <f>+DHR!DA148</f>
        <v>3.4999999999999996E-2</v>
      </c>
      <c r="DB13" s="353">
        <f>+DHR!DB148</f>
        <v>2.4999999999999998E-2</v>
      </c>
      <c r="DC13" s="465">
        <f>+DHR!DC148</f>
        <v>2.5097260160582731E-2</v>
      </c>
      <c r="DD13" s="67"/>
      <c r="DE13" s="463">
        <f>+DHR!DE148</f>
        <v>3.0000000000000002E-2</v>
      </c>
      <c r="DF13" s="353">
        <f>+DHR!DF148</f>
        <v>2.7000000000000003E-2</v>
      </c>
      <c r="DG13" s="353">
        <f>+DHR!DG148</f>
        <v>0.04</v>
      </c>
      <c r="DH13" s="353">
        <f>+DHR!DH148</f>
        <v>4.56671531129893E-2</v>
      </c>
      <c r="DI13" s="465">
        <f>+DHR!DI148</f>
        <v>3.6110479691002541E-2</v>
      </c>
      <c r="DJ13" s="67"/>
      <c r="DK13" s="463">
        <f>+DHR!DK148</f>
        <v>3.3296382670339408E-2</v>
      </c>
      <c r="DL13" s="353">
        <f>+DHR!DL148</f>
        <v>2.1845714640352787E-2</v>
      </c>
      <c r="DM13" s="353">
        <f>+DHR!DM148</f>
        <v>2.6514262516571518E-2</v>
      </c>
      <c r="DN13" s="353">
        <f>+DHR!DN148</f>
        <v>4.9893449051996219E-2</v>
      </c>
      <c r="DO13" s="465">
        <f>+DHR!DO148</f>
        <v>3.3180787708967596E-2</v>
      </c>
      <c r="DP13" s="67"/>
      <c r="DQ13" s="463">
        <f>+DHR!DQ148</f>
        <v>6.3409433406445892E-2</v>
      </c>
      <c r="DR13" s="353">
        <f>+DHR!DR148</f>
        <v>5.1448765114544326E-2</v>
      </c>
      <c r="DS13" s="353">
        <f>+DHR!DS148</f>
        <v>1.8099911928028733E-2</v>
      </c>
      <c r="DT13" s="353">
        <f>+DHR!DT148</f>
        <v>2.8703429609231668E-2</v>
      </c>
      <c r="DU13" s="465">
        <f>+DHR!DU148</f>
        <v>3.9744525109749462E-2</v>
      </c>
      <c r="DV13" s="67"/>
      <c r="DW13" s="463">
        <f>+DHR!DW148</f>
        <v>3.6449433490437055E-2</v>
      </c>
      <c r="DX13" s="353">
        <f>+DHR!DX148</f>
        <v>2.7504962753772233E-2</v>
      </c>
      <c r="DY13" s="353">
        <f>+DHR!DY148</f>
        <v>2.647742920515328E-2</v>
      </c>
      <c r="DZ13" s="353">
        <f>+DHR!DZ148</f>
        <v>2.4995020948122226E-2</v>
      </c>
      <c r="EA13" s="465">
        <f>+DHR!EA148</f>
        <v>2.8673104705575714E-2</v>
      </c>
      <c r="EB13" s="67"/>
      <c r="EC13" s="463">
        <f>+DHR!EC148</f>
        <v>2.9693006421346979E-2</v>
      </c>
      <c r="ED13" s="353">
        <f>+DHR!ED148</f>
        <v>3.0713375781162844E-2</v>
      </c>
      <c r="EE13" s="353">
        <f>+DHR!EE148</f>
        <v>2.8408623770412422E-2</v>
      </c>
      <c r="EF13" s="353">
        <f>+DHR!EF148</f>
        <v>2.8347801630285385E-2</v>
      </c>
      <c r="EG13" s="465">
        <f>+DHR!EG148</f>
        <v>2.9279207354293124E-2</v>
      </c>
      <c r="EH13" s="9"/>
      <c r="EJ13" s="379" t="s">
        <v>728</v>
      </c>
      <c r="EK13" s="379"/>
      <c r="EL13" s="381">
        <f t="shared" ref="EL13" si="11">+CS13</f>
        <v>3.9999999999999994E-2</v>
      </c>
      <c r="EM13" s="381">
        <f t="shared" ref="EM13" si="12">+CT13</f>
        <v>5.5E-2</v>
      </c>
      <c r="EN13" s="381">
        <f t="shared" ref="EN13" si="13">+CU13</f>
        <v>0.03</v>
      </c>
      <c r="EO13" s="381">
        <f t="shared" ref="EO13" si="14">+CV13</f>
        <v>3.5000000000000003E-2</v>
      </c>
      <c r="EP13" s="381">
        <f t="shared" ref="EP13" si="15">+CY13</f>
        <v>2.5000000000000001E-2</v>
      </c>
      <c r="EQ13" s="381">
        <f t="shared" ref="EQ13" si="16">+CZ13</f>
        <v>0.02</v>
      </c>
      <c r="ER13" s="381">
        <f t="shared" ref="ER13" si="17">+DA13</f>
        <v>3.4999999999999996E-2</v>
      </c>
      <c r="ES13" s="381">
        <f t="shared" ref="ES13" si="18">+DB13</f>
        <v>2.4999999999999998E-2</v>
      </c>
      <c r="ET13" s="381">
        <f t="shared" ref="ET13" si="19">+DE13</f>
        <v>3.0000000000000002E-2</v>
      </c>
      <c r="EU13" s="381">
        <f t="shared" ref="EU13" si="20">+DF13</f>
        <v>2.7000000000000003E-2</v>
      </c>
      <c r="EV13" s="381">
        <f t="shared" ref="EV13" si="21">+DG13</f>
        <v>0.04</v>
      </c>
      <c r="EW13" s="381">
        <f t="shared" ref="EW13" si="22">+DH13</f>
        <v>4.56671531129893E-2</v>
      </c>
      <c r="EX13" s="381">
        <f t="shared" ref="EX13" si="23">+DK13</f>
        <v>3.3296382670339408E-2</v>
      </c>
      <c r="EY13" s="381">
        <f t="shared" ref="EY13" si="24">+DL13</f>
        <v>2.1845714640352787E-2</v>
      </c>
      <c r="EZ13" s="381">
        <f t="shared" ref="EZ13" si="25">+DM13</f>
        <v>2.6514262516571518E-2</v>
      </c>
      <c r="FA13" s="381">
        <f t="shared" ref="FA13" si="26">+DN13</f>
        <v>4.9893449051996219E-2</v>
      </c>
    </row>
    <row r="14" spans="1:157" ht="11.25" customHeight="1" collapsed="1" x14ac:dyDescent="0.2">
      <c r="A14" s="51" t="s">
        <v>163</v>
      </c>
      <c r="B14" s="14"/>
      <c r="C14" s="14"/>
      <c r="D14" s="14"/>
      <c r="E14" s="91"/>
      <c r="F14" s="67"/>
      <c r="G14" s="91"/>
      <c r="H14" s="67"/>
      <c r="I14" s="91"/>
      <c r="J14" s="67"/>
      <c r="K14" s="91"/>
      <c r="L14" s="67"/>
      <c r="M14" s="463"/>
      <c r="N14" s="353"/>
      <c r="O14" s="353"/>
      <c r="P14" s="353"/>
      <c r="Q14" s="465"/>
      <c r="R14" s="67"/>
      <c r="S14" s="463">
        <f>+DHR!S214</f>
        <v>0</v>
      </c>
      <c r="T14" s="353">
        <f>+DHR!T214</f>
        <v>0</v>
      </c>
      <c r="U14" s="353">
        <f>+DHR!U214</f>
        <v>0</v>
      </c>
      <c r="V14" s="353">
        <f>+DHR!V214</f>
        <v>0</v>
      </c>
      <c r="W14" s="465">
        <f>+DHR!W214</f>
        <v>0</v>
      </c>
      <c r="X14" s="67"/>
      <c r="Y14" s="463">
        <f>+DHR!Y214</f>
        <v>0</v>
      </c>
      <c r="Z14" s="353">
        <f>+DHR!Z214</f>
        <v>0</v>
      </c>
      <c r="AA14" s="353">
        <f>+DHR!AA214</f>
        <v>0</v>
      </c>
      <c r="AB14" s="353">
        <f>+DHR!AB214</f>
        <v>0</v>
      </c>
      <c r="AC14" s="465">
        <f>+DHR!AC214</f>
        <v>0</v>
      </c>
      <c r="AD14" s="67"/>
      <c r="AE14" s="463">
        <f>+DHR!AE214</f>
        <v>0</v>
      </c>
      <c r="AF14" s="353">
        <f>+DHR!AF214</f>
        <v>0</v>
      </c>
      <c r="AG14" s="353">
        <f>+DHR!AG214</f>
        <v>0</v>
      </c>
      <c r="AH14" s="353">
        <f>+DHR!AH214</f>
        <v>0</v>
      </c>
      <c r="AI14" s="465">
        <f>+DHR!AI214</f>
        <v>0</v>
      </c>
      <c r="AJ14" s="67"/>
      <c r="AK14" s="463">
        <f>+DHR!AK214</f>
        <v>0.04</v>
      </c>
      <c r="AL14" s="353">
        <f>+DHR!AL214</f>
        <v>0.04</v>
      </c>
      <c r="AM14" s="353">
        <f>+DHR!AM214</f>
        <v>-0.01</v>
      </c>
      <c r="AN14" s="353">
        <f>+DHR!AN214</f>
        <v>0.02</v>
      </c>
      <c r="AO14" s="465">
        <f>+DHR!AO214</f>
        <v>0.04</v>
      </c>
      <c r="AP14" s="67"/>
      <c r="AQ14" s="463">
        <f>+DHR!AQ214</f>
        <v>0.05</v>
      </c>
      <c r="AR14" s="353">
        <f>+DHR!AR214</f>
        <v>0.05</v>
      </c>
      <c r="AS14" s="353">
        <f>+DHR!AS214</f>
        <v>0.1</v>
      </c>
      <c r="AT14" s="353">
        <f>+DHR!AT214</f>
        <v>9.5000000000000001E-2</v>
      </c>
      <c r="AU14" s="465">
        <f>+DHR!AU214</f>
        <v>0.09</v>
      </c>
      <c r="AV14" s="67"/>
      <c r="AW14" s="463">
        <f>+DHR!AW214</f>
        <v>0.05</v>
      </c>
      <c r="AX14" s="353">
        <f>+DHR!AX214</f>
        <v>0.05</v>
      </c>
      <c r="AY14" s="353">
        <f>+DHR!AY214</f>
        <v>0.05</v>
      </c>
      <c r="AZ14" s="353">
        <f>+DHR!AZ214</f>
        <v>0.05</v>
      </c>
      <c r="BA14" s="465">
        <f>+DHR!BA214</f>
        <v>0.05</v>
      </c>
      <c r="BB14" s="67"/>
      <c r="BC14" s="463">
        <f>+DHR!BC214</f>
        <v>5.0000000000000001E-3</v>
      </c>
      <c r="BD14" s="353">
        <f>+DHR!BD214</f>
        <v>5.0000000000000001E-3</v>
      </c>
      <c r="BE14" s="353">
        <f>+DHR!BE214</f>
        <v>5.0000000000000001E-3</v>
      </c>
      <c r="BF14" s="353">
        <f>+DHR!BF214</f>
        <v>5.0000000000000001E-3</v>
      </c>
      <c r="BG14" s="465">
        <f>+DHR!BG214</f>
        <v>5.0000000000000001E-3</v>
      </c>
      <c r="BH14" s="67"/>
      <c r="BI14" s="463">
        <f>+DHR!BI214</f>
        <v>-0.05</v>
      </c>
      <c r="BJ14" s="353">
        <f>+DHR!BJ214</f>
        <v>-0.11</v>
      </c>
      <c r="BK14" s="353">
        <f>+DHR!BK214</f>
        <v>-0.13</v>
      </c>
      <c r="BL14" s="353">
        <f>+DHR!BL214</f>
        <v>-0.04</v>
      </c>
      <c r="BM14" s="465">
        <f>+DHR!BM214</f>
        <v>-8.5000000000000006E-2</v>
      </c>
      <c r="BN14" s="67"/>
      <c r="BO14" s="463">
        <f>+DHR!BO214</f>
        <v>0.02</v>
      </c>
      <c r="BP14" s="353">
        <f>+DHR!BP214</f>
        <v>0.02</v>
      </c>
      <c r="BQ14" s="353">
        <f>+DHR!BQ214</f>
        <v>0.06</v>
      </c>
      <c r="BR14" s="353">
        <f>+DHR!BR214</f>
        <v>7.4999999999999997E-2</v>
      </c>
      <c r="BS14" s="465">
        <f>+DHR!BS214</f>
        <v>4.4999999999999998E-2</v>
      </c>
      <c r="BT14" s="67"/>
      <c r="BU14" s="463">
        <f>+DHR!BU214</f>
        <v>5.5E-2</v>
      </c>
      <c r="BV14" s="353">
        <f>+DHR!BV214</f>
        <v>6.5000000000000002E-2</v>
      </c>
      <c r="BW14" s="353">
        <f>+DHR!BW214</f>
        <v>4.4999999999999998E-2</v>
      </c>
      <c r="BX14" s="353">
        <f>+DHR!BX214</f>
        <v>2.5000000000000001E-2</v>
      </c>
      <c r="BY14" s="465">
        <f>+DHR!BY214</f>
        <v>4.4999999999999998E-2</v>
      </c>
      <c r="BZ14" s="67"/>
      <c r="CA14" s="463">
        <f>+DHR!CA214</f>
        <v>5.0000000000000001E-3</v>
      </c>
      <c r="CB14" s="353">
        <f>+DHR!CB214</f>
        <v>0.05</v>
      </c>
      <c r="CC14" s="353">
        <f>+DHR!CC214</f>
        <v>0.03</v>
      </c>
      <c r="CD14" s="353">
        <f>+DHR!CD214</f>
        <v>0.04</v>
      </c>
      <c r="CE14" s="465">
        <f>+DHR!CE214</f>
        <v>3.5000000000000003E-2</v>
      </c>
      <c r="CF14" s="67"/>
      <c r="CG14" s="463">
        <f>+DHR!CG214</f>
        <v>2.5000000000000001E-2</v>
      </c>
      <c r="CH14" s="353">
        <f>+DHR!CH214</f>
        <v>2.5000000000000001E-2</v>
      </c>
      <c r="CI14" s="353">
        <f>+DHR!CI214</f>
        <v>3.5000000000000003E-2</v>
      </c>
      <c r="CJ14" s="353">
        <f>+DHR!CJ214</f>
        <v>0.03</v>
      </c>
      <c r="CK14" s="465">
        <f>+DHR!CK214</f>
        <v>0.03</v>
      </c>
      <c r="CL14" s="67"/>
      <c r="CM14" s="463">
        <f>+DHR!CM214</f>
        <v>0.06</v>
      </c>
      <c r="CN14" s="353">
        <f>+DHR!CN214</f>
        <v>0.02</v>
      </c>
      <c r="CO14" s="353">
        <f>+DHR!CO214</f>
        <v>0.02</v>
      </c>
      <c r="CP14" s="353">
        <f>+DHR!CP214</f>
        <v>2.5000000000000001E-2</v>
      </c>
      <c r="CQ14" s="465">
        <f>+DHR!CQ214</f>
        <v>3.0569955606472861E-2</v>
      </c>
      <c r="CR14" s="67"/>
      <c r="CS14" s="463">
        <f>+DHR!CS214</f>
        <v>-2.5000000000000001E-2</v>
      </c>
      <c r="CT14" s="353">
        <f>+DHR!CT214</f>
        <v>0.01</v>
      </c>
      <c r="CU14" s="353">
        <f>+DHR!CU214</f>
        <v>-5.0000000000000001E-3</v>
      </c>
      <c r="CV14" s="353">
        <f>+DHR!CV214</f>
        <v>2.5000000000000001E-2</v>
      </c>
      <c r="CW14" s="465">
        <f>+DHR!CW214</f>
        <v>2.5393278920249895E-3</v>
      </c>
      <c r="CX14" s="67"/>
      <c r="CY14" s="463">
        <f>+DHR!CY214</f>
        <v>0.01</v>
      </c>
      <c r="CZ14" s="353">
        <f>+DHR!CZ214</f>
        <v>0.04</v>
      </c>
      <c r="DA14" s="353">
        <f>+DHR!DA214</f>
        <v>3.4999999999999996E-2</v>
      </c>
      <c r="DB14" s="353">
        <f>+DHR!DB214</f>
        <v>0</v>
      </c>
      <c r="DC14" s="465">
        <f>+DHR!DC214</f>
        <v>2.0810800935399006E-2</v>
      </c>
      <c r="DD14" s="67"/>
      <c r="DE14" s="463">
        <f>+DHR!DE214</f>
        <v>5.0000000000000001E-3</v>
      </c>
      <c r="DF14" s="353">
        <f>+DHR!DF214</f>
        <v>-8.0000000000000002E-3</v>
      </c>
      <c r="DG14" s="353">
        <f>+DHR!DG214</f>
        <v>0.01</v>
      </c>
      <c r="DH14" s="353">
        <f>+DHR!DH214</f>
        <v>-5.0000000000000001E-3</v>
      </c>
      <c r="DI14" s="465">
        <f>+DHR!DI214</f>
        <v>2.2337904789258273E-4</v>
      </c>
      <c r="DJ14" s="67"/>
      <c r="DK14" s="463">
        <f>+DHR!DK214</f>
        <v>-0.03</v>
      </c>
      <c r="DL14" s="353">
        <f>+DHR!DL214</f>
        <v>0</v>
      </c>
      <c r="DM14" s="353">
        <f>+DHR!DM214</f>
        <v>0</v>
      </c>
      <c r="DN14" s="353">
        <f>+DHR!DN214</f>
        <v>0.02</v>
      </c>
      <c r="DO14" s="465">
        <f>+DHR!DO214</f>
        <v>-1.596997402967021E-3</v>
      </c>
      <c r="DP14" s="67"/>
      <c r="DQ14" s="463">
        <f>+DHR!DQ214</f>
        <v>0.03</v>
      </c>
      <c r="DR14" s="353">
        <f>+DHR!DR214</f>
        <v>0.03</v>
      </c>
      <c r="DS14" s="353">
        <f>+DHR!DS214</f>
        <v>0.03</v>
      </c>
      <c r="DT14" s="353">
        <f>+DHR!DT214</f>
        <v>0.03</v>
      </c>
      <c r="DU14" s="465">
        <f>+DHR!DU214</f>
        <v>3.0000000000000002E-2</v>
      </c>
      <c r="DV14" s="67"/>
      <c r="DW14" s="463">
        <f>+DHR!DW214</f>
        <v>0.03</v>
      </c>
      <c r="DX14" s="353">
        <f>+DHR!DX214</f>
        <v>0.03</v>
      </c>
      <c r="DY14" s="353">
        <f>+DHR!DY214</f>
        <v>0.03</v>
      </c>
      <c r="DZ14" s="353">
        <f>+DHR!DZ214</f>
        <v>0.03</v>
      </c>
      <c r="EA14" s="465">
        <f>+DHR!EA214</f>
        <v>3.0000000000000006E-2</v>
      </c>
      <c r="EB14" s="67"/>
      <c r="EC14" s="463">
        <f>+DHR!EC214</f>
        <v>0.03</v>
      </c>
      <c r="ED14" s="353">
        <f>+DHR!ED214</f>
        <v>0.03</v>
      </c>
      <c r="EE14" s="353">
        <f>+DHR!EE214</f>
        <v>0.03</v>
      </c>
      <c r="EF14" s="353">
        <f>+DHR!EF214</f>
        <v>0.03</v>
      </c>
      <c r="EG14" s="465">
        <f>+DHR!EG214</f>
        <v>0.03</v>
      </c>
      <c r="EH14" s="9"/>
      <c r="EJ14" s="378" t="s">
        <v>163</v>
      </c>
      <c r="EK14" s="378"/>
      <c r="EL14" s="380">
        <f t="shared" si="8"/>
        <v>-2.5000000000000001E-2</v>
      </c>
      <c r="EM14" s="380">
        <f t="shared" si="0"/>
        <v>0.01</v>
      </c>
      <c r="EN14" s="380">
        <f t="shared" si="1"/>
        <v>-5.0000000000000001E-3</v>
      </c>
      <c r="EO14" s="380">
        <f t="shared" si="2"/>
        <v>2.5000000000000001E-2</v>
      </c>
      <c r="EP14" s="380">
        <f t="shared" si="9"/>
        <v>0.01</v>
      </c>
      <c r="EQ14" s="380">
        <f t="shared" si="3"/>
        <v>0.04</v>
      </c>
      <c r="ER14" s="380">
        <f t="shared" si="4"/>
        <v>3.4999999999999996E-2</v>
      </c>
      <c r="ES14" s="380">
        <f t="shared" si="5"/>
        <v>0</v>
      </c>
      <c r="ET14" s="380">
        <f t="shared" si="10"/>
        <v>5.0000000000000001E-3</v>
      </c>
      <c r="EU14" s="380">
        <f t="shared" si="6"/>
        <v>-8.0000000000000002E-3</v>
      </c>
      <c r="EV14" s="380">
        <f t="shared" si="6"/>
        <v>0.01</v>
      </c>
      <c r="EW14" s="380">
        <f t="shared" si="6"/>
        <v>-5.0000000000000001E-3</v>
      </c>
      <c r="EX14" s="380">
        <f t="shared" si="7"/>
        <v>-0.03</v>
      </c>
      <c r="EY14" s="380">
        <f t="shared" si="7"/>
        <v>0</v>
      </c>
      <c r="EZ14" s="380">
        <f t="shared" si="7"/>
        <v>0</v>
      </c>
      <c r="FA14" s="380">
        <f t="shared" si="7"/>
        <v>0.02</v>
      </c>
    </row>
    <row r="15" spans="1:157" ht="11.25" customHeight="1" x14ac:dyDescent="0.2">
      <c r="A15" s="51" t="s">
        <v>466</v>
      </c>
      <c r="B15" s="14"/>
      <c r="C15" s="14"/>
      <c r="D15" s="14"/>
      <c r="E15" s="91"/>
      <c r="F15" s="67"/>
      <c r="G15" s="91"/>
      <c r="H15" s="67"/>
      <c r="I15" s="91"/>
      <c r="J15" s="67"/>
      <c r="K15" s="91"/>
      <c r="L15" s="67"/>
      <c r="M15" s="463"/>
      <c r="N15" s="353"/>
      <c r="O15" s="353"/>
      <c r="P15" s="353"/>
      <c r="Q15" s="465"/>
      <c r="R15" s="67"/>
      <c r="S15" s="463">
        <f>+DHR!S312</f>
        <v>0</v>
      </c>
      <c r="T15" s="353">
        <f>+DHR!T312</f>
        <v>0.01</v>
      </c>
      <c r="U15" s="353">
        <f>+DHR!U312</f>
        <v>0.01</v>
      </c>
      <c r="V15" s="353">
        <f>+DHR!V312</f>
        <v>1.9999999999999997E-2</v>
      </c>
      <c r="W15" s="465">
        <f>+DHR!W312</f>
        <v>0.01</v>
      </c>
      <c r="X15" s="67"/>
      <c r="Y15" s="463">
        <f>+DHR!Y312</f>
        <v>5.2507314148888096E-2</v>
      </c>
      <c r="Z15" s="353">
        <f>+DHR!Z312</f>
        <v>4.9516091127553841E-2</v>
      </c>
      <c r="AA15" s="353">
        <f>+DHR!AA312</f>
        <v>2.2250731414888834E-2</v>
      </c>
      <c r="AB15" s="353">
        <f>+DHR!AB312</f>
        <v>9.7434172660007135E-3</v>
      </c>
      <c r="AC15" s="465">
        <f>+DHR!AC312</f>
        <v>3.3504388489332876E-2</v>
      </c>
      <c r="AD15" s="67"/>
      <c r="AE15" s="463">
        <f>+DHR!AE312</f>
        <v>7.7846707437989965E-2</v>
      </c>
      <c r="AF15" s="353">
        <f>+DHR!AF312</f>
        <v>5.9999999999999984E-2</v>
      </c>
      <c r="AG15" s="353">
        <f>+DHR!AG312</f>
        <v>7.0000000000000007E-2</v>
      </c>
      <c r="AH15" s="353">
        <f>+DHR!AH312</f>
        <v>8.2500000000000018E-2</v>
      </c>
      <c r="AI15" s="465">
        <f>+DHR!AI312</f>
        <v>7.2460601427501145E-2</v>
      </c>
      <c r="AJ15" s="67"/>
      <c r="AK15" s="463">
        <f>+DHR!AK312</f>
        <v>6.4580697569584913E-2</v>
      </c>
      <c r="AL15" s="353">
        <f>+DHR!AL312</f>
        <v>9.7500000000000003E-2</v>
      </c>
      <c r="AM15" s="353">
        <f>+DHR!AM312</f>
        <v>0.10750000000000001</v>
      </c>
      <c r="AN15" s="353">
        <f>+DHR!AN312</f>
        <v>0.09</v>
      </c>
      <c r="AO15" s="465">
        <f>+DHR!AO312</f>
        <v>9.0020965121520774E-2</v>
      </c>
      <c r="AP15" s="67"/>
      <c r="AQ15" s="463">
        <f>+DHR!AQ312</f>
        <v>8.4497252271346815E-2</v>
      </c>
      <c r="AR15" s="353">
        <f>+DHR!AR312</f>
        <v>5.9856357791813378E-2</v>
      </c>
      <c r="AS15" s="353">
        <f>+DHR!AS312</f>
        <v>3.3325942697073091E-2</v>
      </c>
      <c r="AT15" s="353">
        <f>+DHR!AT312</f>
        <v>-6.6740573029269029E-3</v>
      </c>
      <c r="AU15" s="465">
        <f>+DHR!AU312</f>
        <v>4.2751373864326592E-2</v>
      </c>
      <c r="AV15" s="67"/>
      <c r="AW15" s="463">
        <f>+DHR!AW312</f>
        <v>2.7000000000000003E-2</v>
      </c>
      <c r="AX15" s="353">
        <f>+DHR!AX312</f>
        <v>4.2000000000000003E-2</v>
      </c>
      <c r="AY15" s="353">
        <f>+DHR!AY312</f>
        <v>6.1750000000000006E-2</v>
      </c>
      <c r="AZ15" s="353">
        <f>+DHR!AZ312</f>
        <v>7.400000000000001E-2</v>
      </c>
      <c r="BA15" s="465">
        <f>+DHR!BA312</f>
        <v>5.1187500000000011E-2</v>
      </c>
      <c r="BB15" s="67"/>
      <c r="BC15" s="463">
        <f>+DHR!BC312</f>
        <v>5.0932549137391439E-2</v>
      </c>
      <c r="BD15" s="353">
        <f>+DHR!BD312</f>
        <v>6.4671435378921838E-2</v>
      </c>
      <c r="BE15" s="353">
        <f>+DHR!BE312</f>
        <v>1.859683144793052E-2</v>
      </c>
      <c r="BF15" s="353">
        <f>+DHR!BF312</f>
        <v>2.3268266826852346E-2</v>
      </c>
      <c r="BG15" s="465">
        <f>+DHR!BG312</f>
        <v>3.9367270697774029E-2</v>
      </c>
      <c r="BH15" s="67"/>
      <c r="BI15" s="463">
        <f>+DHR!BI312</f>
        <v>-1.6756852255581985E-2</v>
      </c>
      <c r="BJ15" s="353">
        <f>+DHR!BJ312</f>
        <v>-5.859469486836108E-2</v>
      </c>
      <c r="BK15" s="353">
        <f>+DHR!BK312</f>
        <v>-1.8594694868361086E-2</v>
      </c>
      <c r="BL15" s="353">
        <f>+DHR!BL312</f>
        <v>-2.3675685225558192E-2</v>
      </c>
      <c r="BM15" s="465">
        <f>+DHR!BM312</f>
        <v>-2.9405481804465589E-2</v>
      </c>
      <c r="BN15" s="67"/>
      <c r="BO15" s="463">
        <f>+DHR!BO312</f>
        <v>9.6960130630017682E-2</v>
      </c>
      <c r="BP15" s="353">
        <f>+DHR!BP312</f>
        <v>0.1256602939175398</v>
      </c>
      <c r="BQ15" s="353">
        <f>+DHR!BQ312</f>
        <v>0.12740032657504424</v>
      </c>
      <c r="BR15" s="353">
        <f>+DHR!BR312</f>
        <v>0.12740032657504424</v>
      </c>
      <c r="BS15" s="465">
        <f>+DHR!BS312</f>
        <v>0.11935526942441149</v>
      </c>
      <c r="BT15" s="67"/>
      <c r="BU15" s="463">
        <f>+DHR!BU312</f>
        <v>0.11837288826075978</v>
      </c>
      <c r="BV15" s="353">
        <f>+DHR!BV312</f>
        <v>9.8106539503074214E-2</v>
      </c>
      <c r="BW15" s="353">
        <f>+DHR!BW312</f>
        <v>8.405326975153711E-2</v>
      </c>
      <c r="BX15" s="353">
        <f>+DHR!BX312</f>
        <v>5.9733651242314445E-2</v>
      </c>
      <c r="BY15" s="465">
        <f>+DHR!BY312</f>
        <v>9.0066587189421399E-2</v>
      </c>
      <c r="BZ15" s="67"/>
      <c r="CA15" s="463">
        <f>+DHR!CA312</f>
        <v>2.1337216882612576E-2</v>
      </c>
      <c r="CB15" s="353">
        <f>+DHR!CB312</f>
        <v>0.05</v>
      </c>
      <c r="CC15" s="353">
        <f>+DHR!CC312</f>
        <v>5.6000000000000001E-2</v>
      </c>
      <c r="CD15" s="353">
        <f>+DHR!CD312</f>
        <v>4.9749999999999989E-2</v>
      </c>
      <c r="CE15" s="465">
        <f>+DHR!CE312</f>
        <v>4.406631268281111E-2</v>
      </c>
      <c r="CF15" s="67"/>
      <c r="CG15" s="463">
        <f>+DHR!CG312</f>
        <v>4.6227998367034076E-2</v>
      </c>
      <c r="CH15" s="353">
        <f>+DHR!CH312</f>
        <v>4.3473598040440889E-2</v>
      </c>
      <c r="CI15" s="353">
        <f>+DHR!CI312</f>
        <v>3.2544003265931848E-2</v>
      </c>
      <c r="CJ15" s="353">
        <f>+DHR!CJ312</f>
        <v>5.4999999999999993E-2</v>
      </c>
      <c r="CK15" s="465">
        <f>+DHR!CK312</f>
        <v>4.4311399918351702E-2</v>
      </c>
      <c r="CL15" s="67"/>
      <c r="CM15" s="463">
        <f>+DHR!CM312</f>
        <v>3.9E-2</v>
      </c>
      <c r="CN15" s="353">
        <f>+DHR!CN312</f>
        <v>4.2000000000000003E-2</v>
      </c>
      <c r="CO15" s="353">
        <f>+DHR!CO312</f>
        <v>5.45E-2</v>
      </c>
      <c r="CP15" s="353">
        <f>+DHR!CP312</f>
        <v>5.5499999999999994E-2</v>
      </c>
      <c r="CQ15" s="465">
        <f>+DHR!CQ312</f>
        <v>4.8117610819210191E-2</v>
      </c>
      <c r="CR15" s="67"/>
      <c r="CS15" s="463">
        <f>+DHR!CS312</f>
        <v>6.9999999999999993E-2</v>
      </c>
      <c r="CT15" s="353">
        <f>+DHR!CT312</f>
        <v>5.5E-2</v>
      </c>
      <c r="CU15" s="353">
        <f>+DHR!CU312</f>
        <v>3.5000000000000003E-2</v>
      </c>
      <c r="CV15" s="353">
        <f>+DHR!CV312</f>
        <v>0.03</v>
      </c>
      <c r="CW15" s="465">
        <f>+DHR!CW312</f>
        <v>4.6602322018567212E-2</v>
      </c>
      <c r="CX15" s="67"/>
      <c r="CY15" s="463">
        <f>+DHR!CY312</f>
        <v>0.02</v>
      </c>
      <c r="CZ15" s="353">
        <f>+DHR!CZ312</f>
        <v>2.5000000000000001E-2</v>
      </c>
      <c r="DA15" s="353">
        <f>+DHR!DA312</f>
        <v>0.04</v>
      </c>
      <c r="DB15" s="353">
        <f>+DHR!DB312</f>
        <v>3.5000000000000003E-2</v>
      </c>
      <c r="DC15" s="465">
        <f>+DHR!DC312</f>
        <v>3.0133810355512988E-2</v>
      </c>
      <c r="DD15" s="67"/>
      <c r="DE15" s="463">
        <f>+DHR!DE312</f>
        <v>4.9999999999999996E-2</v>
      </c>
      <c r="DF15" s="353">
        <f>+DHR!DF312</f>
        <v>3.2000000000000001E-2</v>
      </c>
      <c r="DG15" s="353">
        <f>+DHR!DG312</f>
        <v>0.03</v>
      </c>
      <c r="DH15" s="353">
        <f>+DHR!DH312</f>
        <v>0.06</v>
      </c>
      <c r="DI15" s="465">
        <f>+DHR!DI312</f>
        <v>4.3034499566724435E-2</v>
      </c>
      <c r="DJ15" s="67"/>
      <c r="DK15" s="463">
        <f>+DHR!DK312</f>
        <v>4.4999999999999998E-2</v>
      </c>
      <c r="DL15" s="353">
        <f>+DHR!DL312</f>
        <v>7.0000000000000007E-2</v>
      </c>
      <c r="DM15" s="353">
        <f>+DHR!DM312</f>
        <v>7.0000000000000007E-2</v>
      </c>
      <c r="DN15" s="353">
        <f>+DHR!DN312</f>
        <v>0.04</v>
      </c>
      <c r="DO15" s="465">
        <f>+DHR!DO312</f>
        <v>5.6089750050393065E-2</v>
      </c>
      <c r="DP15" s="67"/>
      <c r="DQ15" s="463">
        <f>+DHR!DQ312</f>
        <v>5.7500000000000002E-2</v>
      </c>
      <c r="DR15" s="353">
        <f>+DHR!DR312</f>
        <v>5.7500000000000002E-2</v>
      </c>
      <c r="DS15" s="353">
        <f>+DHR!DS312</f>
        <v>5.7500000000000002E-2</v>
      </c>
      <c r="DT15" s="353">
        <f>+DHR!DT312</f>
        <v>5.7500000000000002E-2</v>
      </c>
      <c r="DU15" s="465">
        <f>+DHR!DU312</f>
        <v>5.7499999999999996E-2</v>
      </c>
      <c r="DV15" s="67"/>
      <c r="DW15" s="463">
        <f>+DHR!DW312</f>
        <v>4.4999999999999998E-2</v>
      </c>
      <c r="DX15" s="353">
        <f>+DHR!DX312</f>
        <v>4.4999999999999998E-2</v>
      </c>
      <c r="DY15" s="353">
        <f>+DHR!DY312</f>
        <v>4.4999999999999998E-2</v>
      </c>
      <c r="DZ15" s="353">
        <f>+DHR!DZ312</f>
        <v>4.4999999999999998E-2</v>
      </c>
      <c r="EA15" s="465">
        <f>+DHR!EA312</f>
        <v>4.5000000000000005E-2</v>
      </c>
      <c r="EB15" s="67"/>
      <c r="EC15" s="463">
        <f>+DHR!EC312</f>
        <v>4.4999999999999998E-2</v>
      </c>
      <c r="ED15" s="353">
        <f>+DHR!ED312</f>
        <v>4.4999999999999998E-2</v>
      </c>
      <c r="EE15" s="353">
        <f>+DHR!EE312</f>
        <v>4.4999999999999998E-2</v>
      </c>
      <c r="EF15" s="353">
        <f>+DHR!EF312</f>
        <v>4.4999999999999998E-2</v>
      </c>
      <c r="EG15" s="465">
        <f>+DHR!EG312</f>
        <v>4.4999999999999991E-2</v>
      </c>
      <c r="EH15" s="9"/>
      <c r="EJ15" s="379" t="s">
        <v>629</v>
      </c>
      <c r="EK15" s="379"/>
      <c r="EL15" s="381">
        <f t="shared" si="8"/>
        <v>6.9999999999999993E-2</v>
      </c>
      <c r="EM15" s="381">
        <f t="shared" si="0"/>
        <v>5.5E-2</v>
      </c>
      <c r="EN15" s="381">
        <f t="shared" si="1"/>
        <v>3.5000000000000003E-2</v>
      </c>
      <c r="EO15" s="381">
        <f t="shared" si="2"/>
        <v>0.03</v>
      </c>
      <c r="EP15" s="381">
        <f t="shared" si="9"/>
        <v>0.02</v>
      </c>
      <c r="EQ15" s="381">
        <f t="shared" si="3"/>
        <v>2.5000000000000001E-2</v>
      </c>
      <c r="ER15" s="381">
        <f t="shared" si="4"/>
        <v>0.04</v>
      </c>
      <c r="ES15" s="381">
        <f t="shared" si="5"/>
        <v>3.5000000000000003E-2</v>
      </c>
      <c r="ET15" s="381">
        <f t="shared" si="10"/>
        <v>4.9999999999999996E-2</v>
      </c>
      <c r="EU15" s="381">
        <f t="shared" si="6"/>
        <v>3.2000000000000001E-2</v>
      </c>
      <c r="EV15" s="381">
        <f t="shared" si="6"/>
        <v>0.03</v>
      </c>
      <c r="EW15" s="381">
        <f t="shared" si="6"/>
        <v>0.06</v>
      </c>
      <c r="EX15" s="381">
        <f t="shared" si="7"/>
        <v>4.4999999999999998E-2</v>
      </c>
      <c r="EY15" s="381">
        <f t="shared" si="7"/>
        <v>7.0000000000000007E-2</v>
      </c>
      <c r="EZ15" s="381">
        <f t="shared" si="7"/>
        <v>7.0000000000000007E-2</v>
      </c>
      <c r="FA15" s="381">
        <f t="shared" si="7"/>
        <v>0.04</v>
      </c>
    </row>
    <row r="16" spans="1:157" ht="11.25" customHeight="1" x14ac:dyDescent="0.2">
      <c r="A16" s="409" t="s">
        <v>239</v>
      </c>
      <c r="B16" s="343"/>
      <c r="C16" s="343"/>
      <c r="D16" s="343"/>
      <c r="E16" s="1056"/>
      <c r="F16" s="164"/>
      <c r="G16" s="1057"/>
      <c r="H16" s="164"/>
      <c r="I16" s="1057"/>
      <c r="J16" s="164"/>
      <c r="K16" s="1057"/>
      <c r="L16" s="164"/>
      <c r="M16" s="1058"/>
      <c r="N16" s="1059"/>
      <c r="O16" s="1059"/>
      <c r="P16" s="1059"/>
      <c r="Q16" s="1057"/>
      <c r="R16" s="164"/>
      <c r="S16" s="1058">
        <f>+DHR!S19</f>
        <v>0</v>
      </c>
      <c r="T16" s="1059">
        <f>+DHR!T19</f>
        <v>0.01</v>
      </c>
      <c r="U16" s="1059">
        <f>+DHR!U19</f>
        <v>0.01</v>
      </c>
      <c r="V16" s="1059">
        <f>+DHR!V19</f>
        <v>1.9999999999999997E-2</v>
      </c>
      <c r="W16" s="1057">
        <f>+DHR!W19</f>
        <v>0.01</v>
      </c>
      <c r="X16" s="164"/>
      <c r="Y16" s="1058">
        <f>+DHR!Y19</f>
        <v>5.2507314148888096E-2</v>
      </c>
      <c r="Z16" s="1059">
        <f>+DHR!Z19</f>
        <v>4.9516091127553841E-2</v>
      </c>
      <c r="AA16" s="1059">
        <f>+DHR!AA19</f>
        <v>2.2250731414888834E-2</v>
      </c>
      <c r="AB16" s="1059">
        <f>+DHR!AB19</f>
        <v>9.7434172660007135E-3</v>
      </c>
      <c r="AC16" s="1057">
        <f>+DHR!AC19</f>
        <v>3.3504388489332876E-2</v>
      </c>
      <c r="AD16" s="164"/>
      <c r="AE16" s="1058">
        <f>+DHR!AE19</f>
        <v>7.7846707437989965E-2</v>
      </c>
      <c r="AF16" s="1059">
        <f>+DHR!AF19</f>
        <v>5.9999999999999984E-2</v>
      </c>
      <c r="AG16" s="1059">
        <f>+DHR!AG19</f>
        <v>7.0000000000000007E-2</v>
      </c>
      <c r="AH16" s="1059">
        <f>+DHR!AH19</f>
        <v>8.2500000000000018E-2</v>
      </c>
      <c r="AI16" s="1057">
        <f>+DHR!AI19</f>
        <v>7.2460601427501145E-2</v>
      </c>
      <c r="AJ16" s="164"/>
      <c r="AK16" s="1058">
        <f>+DHR!AK19</f>
        <v>6.7820591930926058E-2</v>
      </c>
      <c r="AL16" s="1059">
        <f>+DHR!AL19</f>
        <v>8.2920755692761763E-2</v>
      </c>
      <c r="AM16" s="1059">
        <f>+DHR!AM19</f>
        <v>5.5670437749656999E-2</v>
      </c>
      <c r="AN16" s="1059">
        <f>+DHR!AN19</f>
        <v>5.2566721750663535E-2</v>
      </c>
      <c r="AO16" s="1057">
        <f>+DHR!AO19</f>
        <v>6.7777958715877232E-2</v>
      </c>
      <c r="AP16" s="164"/>
      <c r="AQ16" s="1058">
        <f>+DHR!AQ19</f>
        <v>7.193601572561388E-2</v>
      </c>
      <c r="AR16" s="1059">
        <f>+DHR!AR19</f>
        <v>5.8059181724534406E-2</v>
      </c>
      <c r="AS16" s="1059">
        <f>+DHR!AS19</f>
        <v>7.1606501378582918E-2</v>
      </c>
      <c r="AT16" s="1059">
        <f>+DHR!AT19</f>
        <v>5.0944672789118191E-2</v>
      </c>
      <c r="AU16" s="1057">
        <f>+DHR!AU19</f>
        <v>6.0538993266304644E-2</v>
      </c>
      <c r="AV16" s="164"/>
      <c r="AW16" s="1058">
        <f>+DHR!AW19</f>
        <v>5.5523756221036655E-2</v>
      </c>
      <c r="AX16" s="1059">
        <f>+DHR!AX19</f>
        <v>5.7515247885375931E-2</v>
      </c>
      <c r="AY16" s="1059">
        <f>+DHR!AY19</f>
        <v>6.952957108348766E-2</v>
      </c>
      <c r="AZ16" s="1059">
        <f>+DHR!AZ19</f>
        <v>8.6419938700768445E-2</v>
      </c>
      <c r="BA16" s="1057">
        <f>+DHR!BA19</f>
        <v>6.7368657790973827E-2</v>
      </c>
      <c r="BB16" s="164"/>
      <c r="BC16" s="1058">
        <f>+DHR!BC19</f>
        <v>3.8466103825769121E-2</v>
      </c>
      <c r="BD16" s="1059">
        <f>+DHR!BD19</f>
        <v>8.5739577419187182E-2</v>
      </c>
      <c r="BE16" s="1059">
        <f>+DHR!BE19</f>
        <v>3.9431856036204395E-2</v>
      </c>
      <c r="BF16" s="1059">
        <f>+DHR!BF19</f>
        <v>6.6067308457547404E-3</v>
      </c>
      <c r="BG16" s="1057">
        <f>+DHR!BG19</f>
        <v>4.2679701339111885E-2</v>
      </c>
      <c r="BH16" s="164"/>
      <c r="BI16" s="1058">
        <f>+DHR!BI19</f>
        <v>-1.572145454766562E-2</v>
      </c>
      <c r="BJ16" s="1059">
        <f>+DHR!BJ19</f>
        <v>-6.8503599485554248E-2</v>
      </c>
      <c r="BK16" s="1059">
        <f>+DHR!BK19</f>
        <v>-5.7832997611371187E-2</v>
      </c>
      <c r="BL16" s="1059">
        <f>+DHR!BL19</f>
        <v>-2.1515583152833737E-2</v>
      </c>
      <c r="BM16" s="1057">
        <f>+DHR!BM19</f>
        <v>-4.1617979654916253E-2</v>
      </c>
      <c r="BN16" s="164"/>
      <c r="BO16" s="1058">
        <f>+DHR!BO19</f>
        <v>6.6029313382879318E-2</v>
      </c>
      <c r="BP16" s="1059">
        <f>+DHR!BP19</f>
        <v>7.7628482655535791E-2</v>
      </c>
      <c r="BQ16" s="1059">
        <f>+DHR!BQ19</f>
        <v>9.7744593884907527E-2</v>
      </c>
      <c r="BR16" s="1059">
        <f>+DHR!BR19</f>
        <v>0.10210044279101593</v>
      </c>
      <c r="BS16" s="1057">
        <f>+DHR!BS19</f>
        <v>8.7152625269798153E-2</v>
      </c>
      <c r="BT16" s="164"/>
      <c r="BU16" s="1058">
        <f>+DHR!BU19</f>
        <v>8.299748893621528E-2</v>
      </c>
      <c r="BV16" s="1059">
        <f>+DHR!BV19</f>
        <v>7.9113803793383397E-2</v>
      </c>
      <c r="BW16" s="1059">
        <f>+DHR!BW19</f>
        <v>6.4512189411868093E-2</v>
      </c>
      <c r="BX16" s="1059">
        <f>+DHR!BX19</f>
        <v>4.964871698369544E-2</v>
      </c>
      <c r="BY16" s="1057">
        <f>+DHR!BY19</f>
        <v>6.8009561808239347E-2</v>
      </c>
      <c r="BZ16" s="164"/>
      <c r="CA16" s="1058">
        <f>+DHR!CA19</f>
        <v>1.5565430109347966E-2</v>
      </c>
      <c r="CB16" s="1059">
        <f>+DHR!CB19</f>
        <v>4.5109821456820853E-2</v>
      </c>
      <c r="CC16" s="1059">
        <f>+DHR!CC19</f>
        <v>3.1876163034763927E-2</v>
      </c>
      <c r="CD16" s="1059">
        <f>+DHR!CD19</f>
        <v>5.855969533352634E-2</v>
      </c>
      <c r="CE16" s="1057">
        <f>+DHR!CE19</f>
        <v>4.0114430538801552E-2</v>
      </c>
      <c r="CF16" s="164"/>
      <c r="CG16" s="1058">
        <f>+DHR!CG19</f>
        <v>3.0016309053847667E-2</v>
      </c>
      <c r="CH16" s="1059">
        <f>+DHR!CH19</f>
        <v>4.5217557539055653E-2</v>
      </c>
      <c r="CI16" s="1059">
        <f>+DHR!CI19</f>
        <v>4.7041072026672293E-2</v>
      </c>
      <c r="CJ16" s="1059">
        <f>+DHR!CJ19</f>
        <v>3.9828304727510977E-2</v>
      </c>
      <c r="CK16" s="1057">
        <f>+DHR!CK19</f>
        <v>4.059462181576446E-2</v>
      </c>
      <c r="CL16" s="164"/>
      <c r="CM16" s="1058">
        <f>+DHR!CM19</f>
        <v>4.2859131782993165E-2</v>
      </c>
      <c r="CN16" s="1059">
        <f>+DHR!CN19</f>
        <v>3.9440873414967825E-2</v>
      </c>
      <c r="CO16" s="1059">
        <f>+DHR!CO19</f>
        <v>3.5117396163564685E-2</v>
      </c>
      <c r="CP16" s="1059">
        <f>+DHR!CP19</f>
        <v>4.485348145094914E-2</v>
      </c>
      <c r="CQ16" s="1057">
        <f>+DHR!CQ19</f>
        <v>4.0674501450694033E-2</v>
      </c>
      <c r="CR16" s="164"/>
      <c r="CS16" s="1058">
        <f>+DHR!CS19</f>
        <v>3.5000000000000003E-2</v>
      </c>
      <c r="CT16" s="1059">
        <f>+DHR!CT19</f>
        <v>4.4999999999999998E-2</v>
      </c>
      <c r="CU16" s="1059">
        <f>+DHR!CU19</f>
        <v>0.03</v>
      </c>
      <c r="CV16" s="1059">
        <f>+DHR!CV19</f>
        <v>3.3894627844330477E-2</v>
      </c>
      <c r="CW16" s="1057">
        <f>+DHR!CW19</f>
        <v>3.5938643642546682E-2</v>
      </c>
      <c r="CX16" s="164"/>
      <c r="CY16" s="1058">
        <f>+DHR!CY19</f>
        <v>2.5000000000000001E-2</v>
      </c>
      <c r="CZ16" s="1059">
        <f>+DHR!CZ19</f>
        <v>0.03</v>
      </c>
      <c r="DA16" s="1059">
        <f>+DHR!DA19</f>
        <v>3.4999999999999996E-2</v>
      </c>
      <c r="DB16" s="1059">
        <f>+DHR!DB19</f>
        <v>3.0000000000000002E-2</v>
      </c>
      <c r="DC16" s="1057">
        <f>+DHR!DC19</f>
        <v>3.0110851687370526E-2</v>
      </c>
      <c r="DD16" s="164"/>
      <c r="DE16" s="1058">
        <f>+DHR!DE19</f>
        <v>3.0000000000000002E-2</v>
      </c>
      <c r="DF16" s="1059">
        <f>+DHR!DF19</f>
        <v>2.1999999999999999E-2</v>
      </c>
      <c r="DG16" s="1059">
        <f>+DHR!DG19</f>
        <v>0.03</v>
      </c>
      <c r="DH16" s="1059">
        <f>+DHR!DH19</f>
        <v>5.5E-2</v>
      </c>
      <c r="DI16" s="1057">
        <f>+DHR!DI19</f>
        <v>3.4778485286452165E-2</v>
      </c>
      <c r="DJ16" s="164"/>
      <c r="DK16" s="1058">
        <f>+DHR!DK19</f>
        <v>5.5E-2</v>
      </c>
      <c r="DL16" s="1059">
        <f>+DHR!DL19</f>
        <v>4.8167224673510534E-2</v>
      </c>
      <c r="DM16" s="1059">
        <f>+DHR!DM19</f>
        <v>4.3523033434919034E-2</v>
      </c>
      <c r="DN16" s="1059">
        <f>+DHR!DN19</f>
        <v>3.2225160744833392E-2</v>
      </c>
      <c r="DO16" s="1057">
        <f>+DHR!DO19</f>
        <v>4.4164443498802462E-2</v>
      </c>
      <c r="DP16" s="164"/>
      <c r="DQ16" s="1058">
        <f>+DHR!DQ19</f>
        <v>2.9449301443966514E-2</v>
      </c>
      <c r="DR16" s="1059">
        <f>+DHR!DR19</f>
        <v>3.9197743292984866E-2</v>
      </c>
      <c r="DS16" s="1059">
        <f>+DHR!DS19</f>
        <v>3.9287723919883222E-2</v>
      </c>
      <c r="DT16" s="1059">
        <f>+DHR!DT19</f>
        <v>3.9090262832982114E-2</v>
      </c>
      <c r="DU16" s="1057">
        <f>+DHR!DU19</f>
        <v>3.6891836167061993E-2</v>
      </c>
      <c r="DV16" s="164"/>
      <c r="DW16" s="1058">
        <f>+DHR!DW19</f>
        <v>4.2788138768808714E-2</v>
      </c>
      <c r="DX16" s="1059">
        <f>+DHR!DX19</f>
        <v>4.2790267338284949E-2</v>
      </c>
      <c r="DY16" s="1059">
        <f>+DHR!DY19</f>
        <v>4.2800555098892135E-2</v>
      </c>
      <c r="DZ16" s="1059">
        <f>+DHR!DZ19</f>
        <v>4.2738609937501559E-2</v>
      </c>
      <c r="EA16" s="1057">
        <f>+DHR!EA19</f>
        <v>4.2778208727336633E-2</v>
      </c>
      <c r="EB16" s="164"/>
      <c r="EC16" s="1058">
        <f>+DHR!EC19</f>
        <v>4.2829162845669844E-2</v>
      </c>
      <c r="ED16" s="1059">
        <f>+DHR!ED19</f>
        <v>4.2832024157480442E-2</v>
      </c>
      <c r="EE16" s="1059">
        <f>+DHR!EE19</f>
        <v>4.2841964603433258E-2</v>
      </c>
      <c r="EF16" s="1059">
        <f>+DHR!EF19</f>
        <v>4.2780143574314256E-2</v>
      </c>
      <c r="EG16" s="1057">
        <f>+DHR!EG19</f>
        <v>4.2819647823484214E-2</v>
      </c>
      <c r="EH16" s="9"/>
      <c r="EJ16" s="378" t="s">
        <v>415</v>
      </c>
      <c r="EK16" s="378"/>
      <c r="EL16" s="380">
        <f t="shared" si="8"/>
        <v>3.5000000000000003E-2</v>
      </c>
      <c r="EM16" s="380">
        <f t="shared" si="0"/>
        <v>4.4999999999999998E-2</v>
      </c>
      <c r="EN16" s="380">
        <f t="shared" si="1"/>
        <v>0.03</v>
      </c>
      <c r="EO16" s="380">
        <f t="shared" si="2"/>
        <v>3.3894627844330477E-2</v>
      </c>
      <c r="EP16" s="380">
        <f t="shared" si="9"/>
        <v>2.5000000000000001E-2</v>
      </c>
      <c r="EQ16" s="380">
        <f t="shared" si="3"/>
        <v>0.03</v>
      </c>
      <c r="ER16" s="380">
        <f t="shared" si="4"/>
        <v>3.4999999999999996E-2</v>
      </c>
      <c r="ES16" s="380">
        <f t="shared" si="5"/>
        <v>3.0000000000000002E-2</v>
      </c>
      <c r="ET16" s="380">
        <f t="shared" si="10"/>
        <v>3.0000000000000002E-2</v>
      </c>
      <c r="EU16" s="380">
        <f t="shared" si="6"/>
        <v>2.1999999999999999E-2</v>
      </c>
      <c r="EV16" s="380">
        <f t="shared" si="6"/>
        <v>0.03</v>
      </c>
      <c r="EW16" s="380">
        <f t="shared" si="6"/>
        <v>5.5E-2</v>
      </c>
      <c r="EX16" s="380">
        <f t="shared" si="7"/>
        <v>5.5E-2</v>
      </c>
      <c r="EY16" s="380">
        <f t="shared" si="7"/>
        <v>4.8167224673510534E-2</v>
      </c>
      <c r="EZ16" s="380">
        <f t="shared" si="7"/>
        <v>4.3523033434919034E-2</v>
      </c>
      <c r="FA16" s="380">
        <f t="shared" si="7"/>
        <v>3.2225160744833392E-2</v>
      </c>
    </row>
    <row r="17" spans="1:157" ht="11.25" customHeight="1" x14ac:dyDescent="0.2">
      <c r="A17" s="2"/>
      <c r="B17" s="14"/>
      <c r="C17" s="14"/>
      <c r="D17" s="14"/>
      <c r="E17" s="69"/>
      <c r="F17" s="67"/>
      <c r="G17" s="69"/>
      <c r="H17" s="67"/>
      <c r="I17" s="69"/>
      <c r="J17" s="67"/>
      <c r="K17" s="69"/>
      <c r="L17" s="67"/>
      <c r="M17" s="69"/>
      <c r="N17" s="69"/>
      <c r="O17" s="69"/>
      <c r="P17" s="69"/>
      <c r="Q17" s="67"/>
      <c r="R17" s="67"/>
      <c r="S17" s="69"/>
      <c r="T17" s="69"/>
      <c r="U17" s="69"/>
      <c r="V17" s="69"/>
      <c r="W17" s="67"/>
      <c r="X17" s="67"/>
      <c r="Y17" s="69"/>
      <c r="Z17" s="69"/>
      <c r="AA17" s="69"/>
      <c r="AB17" s="69"/>
      <c r="AC17" s="67"/>
      <c r="AD17" s="67"/>
      <c r="AE17" s="69"/>
      <c r="AF17" s="69"/>
      <c r="AG17" s="69"/>
      <c r="AH17" s="69"/>
      <c r="AI17" s="67"/>
      <c r="AJ17" s="67"/>
      <c r="AK17" s="69"/>
      <c r="AL17" s="69"/>
      <c r="AM17" s="69"/>
      <c r="AN17" s="69"/>
      <c r="AO17" s="67"/>
      <c r="AP17" s="67"/>
      <c r="AQ17" s="69"/>
      <c r="AR17" s="69"/>
      <c r="AS17" s="69"/>
      <c r="AT17" s="69"/>
      <c r="AU17" s="67"/>
      <c r="AV17" s="67"/>
      <c r="AW17" s="69"/>
      <c r="AX17" s="69"/>
      <c r="AY17" s="69"/>
      <c r="AZ17" s="69"/>
      <c r="BA17" s="67"/>
      <c r="BB17" s="67"/>
      <c r="BC17" s="69"/>
      <c r="BD17" s="69"/>
      <c r="BE17" s="69"/>
      <c r="BF17" s="69"/>
      <c r="BG17" s="67"/>
      <c r="BH17" s="67"/>
      <c r="BI17" s="69"/>
      <c r="BJ17" s="69"/>
      <c r="BK17" s="69"/>
      <c r="BL17" s="69"/>
      <c r="BM17" s="67"/>
      <c r="BN17" s="67"/>
      <c r="BO17" s="69"/>
      <c r="BP17" s="69"/>
      <c r="BQ17" s="69"/>
      <c r="BR17" s="69"/>
      <c r="BS17" s="67"/>
      <c r="BT17" s="67"/>
      <c r="BU17" s="69"/>
      <c r="BV17" s="69"/>
      <c r="BW17" s="69"/>
      <c r="BX17" s="69"/>
      <c r="BY17" s="67"/>
      <c r="BZ17" s="67"/>
      <c r="CA17" s="69"/>
      <c r="CB17" s="69"/>
      <c r="CC17" s="69"/>
      <c r="CD17" s="69"/>
      <c r="CE17" s="67"/>
      <c r="CF17" s="67"/>
      <c r="CG17" s="69"/>
      <c r="CH17" s="69"/>
      <c r="CI17" s="69"/>
      <c r="CJ17" s="69"/>
      <c r="CK17" s="67"/>
      <c r="CL17" s="67"/>
      <c r="CM17" s="69"/>
      <c r="CN17" s="69"/>
      <c r="CO17" s="69"/>
      <c r="CP17" s="69"/>
      <c r="CQ17" s="67"/>
      <c r="CR17" s="67"/>
      <c r="CS17" s="71"/>
      <c r="CT17" s="71"/>
      <c r="CU17" s="71"/>
      <c r="CV17" s="71"/>
      <c r="CW17" s="67"/>
      <c r="CX17" s="67"/>
      <c r="CY17" s="71"/>
      <c r="CZ17" s="71"/>
      <c r="DA17" s="71"/>
      <c r="DB17" s="71"/>
      <c r="DC17" s="67"/>
      <c r="DD17" s="67"/>
      <c r="DE17" s="355"/>
      <c r="DF17" s="355"/>
      <c r="DG17" s="355"/>
      <c r="DH17" s="355"/>
      <c r="DI17" s="67"/>
      <c r="DJ17" s="67"/>
      <c r="DK17" s="355"/>
      <c r="DL17" s="355"/>
      <c r="DM17" s="355"/>
      <c r="DN17" s="355"/>
      <c r="DO17" s="67"/>
      <c r="DP17" s="67"/>
      <c r="DQ17" s="355"/>
      <c r="DR17" s="355"/>
      <c r="DS17" s="355"/>
      <c r="DT17" s="355"/>
      <c r="DU17" s="67"/>
      <c r="DV17" s="67"/>
      <c r="DW17" s="355"/>
      <c r="DX17" s="355"/>
      <c r="DY17" s="355"/>
      <c r="DZ17" s="355"/>
      <c r="EA17" s="67"/>
      <c r="EB17" s="67"/>
      <c r="EC17" s="355"/>
      <c r="ED17" s="355"/>
      <c r="EE17" s="355"/>
      <c r="EF17" s="355"/>
      <c r="EG17" s="67"/>
      <c r="EH17" s="9"/>
      <c r="EJ17" s="378"/>
      <c r="EK17" s="378"/>
      <c r="EL17" s="378"/>
      <c r="EM17" s="378"/>
      <c r="EN17" s="378"/>
      <c r="EO17" s="378"/>
      <c r="EP17" s="378"/>
      <c r="EQ17" s="378"/>
      <c r="ER17" s="378"/>
      <c r="ES17" s="378"/>
      <c r="ET17" s="378"/>
      <c r="EU17" s="378"/>
      <c r="EV17" s="378"/>
      <c r="EW17" s="378"/>
      <c r="EX17" s="378"/>
      <c r="EY17" s="378"/>
      <c r="EZ17" s="378"/>
      <c r="FA17" s="378"/>
    </row>
    <row r="18" spans="1:157" ht="11.25" customHeight="1" x14ac:dyDescent="0.2">
      <c r="A18" s="106" t="s">
        <v>416</v>
      </c>
      <c r="B18" s="74"/>
      <c r="C18" s="74"/>
      <c r="D18" s="74"/>
      <c r="E18" s="107"/>
      <c r="F18" s="75"/>
      <c r="G18" s="107"/>
      <c r="H18" s="75"/>
      <c r="I18" s="107"/>
      <c r="J18" s="75"/>
      <c r="K18" s="107"/>
      <c r="L18" s="75"/>
      <c r="M18" s="109"/>
      <c r="N18" s="110"/>
      <c r="O18" s="110"/>
      <c r="P18" s="110"/>
      <c r="Q18" s="107"/>
      <c r="R18" s="75"/>
      <c r="S18" s="109"/>
      <c r="T18" s="110"/>
      <c r="U18" s="110"/>
      <c r="V18" s="110"/>
      <c r="W18" s="107"/>
      <c r="X18" s="75"/>
      <c r="Y18" s="109"/>
      <c r="Z18" s="110"/>
      <c r="AA18" s="110"/>
      <c r="AB18" s="110"/>
      <c r="AC18" s="107"/>
      <c r="AD18" s="75"/>
      <c r="AE18" s="109"/>
      <c r="AF18" s="110"/>
      <c r="AG18" s="110"/>
      <c r="AH18" s="110"/>
      <c r="AI18" s="107"/>
      <c r="AJ18" s="75"/>
      <c r="AK18" s="109"/>
      <c r="AL18" s="110"/>
      <c r="AM18" s="110"/>
      <c r="AN18" s="110"/>
      <c r="AO18" s="107"/>
      <c r="AP18" s="75"/>
      <c r="AQ18" s="109"/>
      <c r="AR18" s="110"/>
      <c r="AS18" s="110"/>
      <c r="AT18" s="110"/>
      <c r="AU18" s="107"/>
      <c r="AV18" s="75"/>
      <c r="AW18" s="109"/>
      <c r="AX18" s="110"/>
      <c r="AY18" s="110"/>
      <c r="AZ18" s="110"/>
      <c r="BA18" s="107"/>
      <c r="BB18" s="75"/>
      <c r="BC18" s="109"/>
      <c r="BD18" s="110"/>
      <c r="BE18" s="110"/>
      <c r="BF18" s="110"/>
      <c r="BG18" s="107"/>
      <c r="BH18" s="75"/>
      <c r="BI18" s="109"/>
      <c r="BJ18" s="110"/>
      <c r="BK18" s="110"/>
      <c r="BL18" s="110"/>
      <c r="BM18" s="107"/>
      <c r="BN18" s="75"/>
      <c r="BO18" s="109"/>
      <c r="BP18" s="110"/>
      <c r="BQ18" s="110"/>
      <c r="BR18" s="110"/>
      <c r="BS18" s="107"/>
      <c r="BT18" s="75"/>
      <c r="BU18" s="109"/>
      <c r="BV18" s="110"/>
      <c r="BW18" s="110"/>
      <c r="BX18" s="110"/>
      <c r="BY18" s="107"/>
      <c r="BZ18" s="75"/>
      <c r="CA18" s="109"/>
      <c r="CB18" s="110"/>
      <c r="CC18" s="110"/>
      <c r="CD18" s="110"/>
      <c r="CE18" s="107"/>
      <c r="CF18" s="75"/>
      <c r="CG18" s="109"/>
      <c r="CH18" s="110"/>
      <c r="CI18" s="110"/>
      <c r="CJ18" s="110"/>
      <c r="CK18" s="107"/>
      <c r="CL18" s="75"/>
      <c r="CM18" s="109"/>
      <c r="CN18" s="110"/>
      <c r="CO18" s="110"/>
      <c r="CP18" s="110"/>
      <c r="CQ18" s="107"/>
      <c r="CR18" s="75"/>
      <c r="CS18" s="109"/>
      <c r="CT18" s="110"/>
      <c r="CU18" s="110"/>
      <c r="CV18" s="110"/>
      <c r="CW18" s="107"/>
      <c r="CX18" s="75"/>
      <c r="CY18" s="109"/>
      <c r="CZ18" s="110"/>
      <c r="DA18" s="110"/>
      <c r="DB18" s="110"/>
      <c r="DC18" s="107"/>
      <c r="DD18" s="75"/>
      <c r="DE18" s="109"/>
      <c r="DF18" s="110"/>
      <c r="DG18" s="110"/>
      <c r="DH18" s="110"/>
      <c r="DI18" s="107"/>
      <c r="DJ18" s="75"/>
      <c r="DK18" s="109"/>
      <c r="DL18" s="110"/>
      <c r="DM18" s="110"/>
      <c r="DN18" s="110"/>
      <c r="DO18" s="107"/>
      <c r="DP18" s="75"/>
      <c r="DQ18" s="109"/>
      <c r="DR18" s="110"/>
      <c r="DS18" s="110"/>
      <c r="DT18" s="110"/>
      <c r="DU18" s="107"/>
      <c r="DV18" s="75"/>
      <c r="DW18" s="109"/>
      <c r="DX18" s="110"/>
      <c r="DY18" s="110"/>
      <c r="DZ18" s="110"/>
      <c r="EA18" s="107"/>
      <c r="EB18" s="75"/>
      <c r="EC18" s="109"/>
      <c r="ED18" s="110"/>
      <c r="EE18" s="110"/>
      <c r="EF18" s="110"/>
      <c r="EG18" s="107"/>
      <c r="EH18" s="9"/>
      <c r="EJ18" s="1067" t="s">
        <v>225</v>
      </c>
      <c r="EK18" s="1068"/>
      <c r="EL18" s="1069" t="s">
        <v>186</v>
      </c>
      <c r="EM18" s="1069" t="s">
        <v>187</v>
      </c>
      <c r="EN18" s="1069" t="s">
        <v>188</v>
      </c>
      <c r="EO18" s="1069" t="s">
        <v>189</v>
      </c>
      <c r="EP18" s="1069" t="s">
        <v>205</v>
      </c>
      <c r="EQ18" s="1069" t="s">
        <v>210</v>
      </c>
      <c r="ER18" s="1069" t="s">
        <v>213</v>
      </c>
      <c r="ES18" s="1069" t="s">
        <v>220</v>
      </c>
      <c r="ET18" s="1069" t="s">
        <v>572</v>
      </c>
      <c r="EU18" s="1069" t="s">
        <v>615</v>
      </c>
      <c r="EV18" s="1069" t="s">
        <v>616</v>
      </c>
      <c r="EW18" s="1069" t="s">
        <v>617</v>
      </c>
      <c r="EX18" s="1069" t="str">
        <f>+EX10</f>
        <v>1Q18</v>
      </c>
      <c r="EY18" s="1069" t="str">
        <f t="shared" ref="EY18:FA18" si="27">+EY10</f>
        <v>2Q18E</v>
      </c>
      <c r="EZ18" s="1069" t="str">
        <f t="shared" si="27"/>
        <v>3Q18E</v>
      </c>
      <c r="FA18" s="1069" t="str">
        <f t="shared" si="27"/>
        <v>4Q18E</v>
      </c>
    </row>
    <row r="19" spans="1:157" ht="11.25" customHeight="1" x14ac:dyDescent="0.2">
      <c r="A19" s="128" t="s">
        <v>377</v>
      </c>
      <c r="B19" s="14"/>
      <c r="C19" s="14"/>
      <c r="D19" s="14"/>
      <c r="E19" s="213"/>
      <c r="F19" s="22"/>
      <c r="G19" s="213"/>
      <c r="H19" s="22"/>
      <c r="I19" s="213"/>
      <c r="J19" s="22"/>
      <c r="K19" s="213"/>
      <c r="L19" s="22"/>
      <c r="M19" s="413"/>
      <c r="N19" s="211"/>
      <c r="O19" s="211"/>
      <c r="P19" s="211"/>
      <c r="Q19" s="213"/>
      <c r="R19" s="22"/>
      <c r="S19" s="413"/>
      <c r="T19" s="211"/>
      <c r="U19" s="211"/>
      <c r="V19" s="211"/>
      <c r="W19" s="213"/>
      <c r="X19" s="22"/>
      <c r="Y19" s="413">
        <f t="shared" ref="Y19:AC20" si="28">Y11+S11</f>
        <v>0</v>
      </c>
      <c r="Z19" s="211">
        <f t="shared" si="28"/>
        <v>0</v>
      </c>
      <c r="AA19" s="211">
        <f t="shared" si="28"/>
        <v>0</v>
      </c>
      <c r="AB19" s="211">
        <f t="shared" si="28"/>
        <v>0</v>
      </c>
      <c r="AC19" s="213">
        <f t="shared" si="28"/>
        <v>0</v>
      </c>
      <c r="AD19" s="22"/>
      <c r="AE19" s="413">
        <f t="shared" ref="AE19:AI20" si="29">AE11+Y11</f>
        <v>0</v>
      </c>
      <c r="AF19" s="211">
        <f t="shared" si="29"/>
        <v>0</v>
      </c>
      <c r="AG19" s="211">
        <f t="shared" si="29"/>
        <v>0</v>
      </c>
      <c r="AH19" s="211">
        <f t="shared" si="29"/>
        <v>0</v>
      </c>
      <c r="AI19" s="213">
        <f t="shared" si="29"/>
        <v>0</v>
      </c>
      <c r="AJ19" s="22"/>
      <c r="AK19" s="413">
        <f t="shared" ref="AK19:AO20" si="30">AK11+AE11</f>
        <v>0</v>
      </c>
      <c r="AL19" s="211">
        <f t="shared" si="30"/>
        <v>0</v>
      </c>
      <c r="AM19" s="211">
        <f t="shared" si="30"/>
        <v>0</v>
      </c>
      <c r="AN19" s="211">
        <f t="shared" si="30"/>
        <v>0</v>
      </c>
      <c r="AO19" s="213">
        <f t="shared" si="30"/>
        <v>0</v>
      </c>
      <c r="AP19" s="22"/>
      <c r="AQ19" s="413">
        <f t="shared" ref="AQ19:AU20" si="31">AQ11+AK11</f>
        <v>0</v>
      </c>
      <c r="AR19" s="211">
        <f t="shared" si="31"/>
        <v>0</v>
      </c>
      <c r="AS19" s="211">
        <f t="shared" si="31"/>
        <v>0</v>
      </c>
      <c r="AT19" s="211">
        <f t="shared" si="31"/>
        <v>0</v>
      </c>
      <c r="AU19" s="213">
        <f t="shared" si="31"/>
        <v>0.09</v>
      </c>
      <c r="AV19" s="22"/>
      <c r="AW19" s="413">
        <f t="shared" ref="AW19:BA20" si="32">AW11+AQ11</f>
        <v>0</v>
      </c>
      <c r="AX19" s="211">
        <f t="shared" si="32"/>
        <v>0</v>
      </c>
      <c r="AY19" s="211">
        <f t="shared" si="32"/>
        <v>0</v>
      </c>
      <c r="AZ19" s="211">
        <f t="shared" si="32"/>
        <v>0</v>
      </c>
      <c r="BA19" s="213">
        <f t="shared" si="32"/>
        <v>0.23</v>
      </c>
      <c r="BB19" s="22"/>
      <c r="BC19" s="413">
        <f t="shared" ref="BC19:BG20" si="33">BC11+AW11</f>
        <v>0</v>
      </c>
      <c r="BD19" s="211">
        <f t="shared" si="33"/>
        <v>0</v>
      </c>
      <c r="BE19" s="211">
        <f t="shared" si="33"/>
        <v>0</v>
      </c>
      <c r="BF19" s="211">
        <f t="shared" si="33"/>
        <v>0</v>
      </c>
      <c r="BG19" s="213">
        <f t="shared" si="33"/>
        <v>0.23500000000000001</v>
      </c>
      <c r="BH19" s="22"/>
      <c r="BI19" s="413">
        <f t="shared" ref="BI19:BM20" si="34">BI11+BC11</f>
        <v>-2.545E-2</v>
      </c>
      <c r="BJ19" s="211">
        <f t="shared" si="34"/>
        <v>-2.545E-2</v>
      </c>
      <c r="BK19" s="211">
        <f t="shared" si="34"/>
        <v>-2.545E-2</v>
      </c>
      <c r="BL19" s="211">
        <f t="shared" si="34"/>
        <v>-2.545E-2</v>
      </c>
      <c r="BM19" s="213">
        <f t="shared" si="34"/>
        <v>6.9550000000000001E-2</v>
      </c>
      <c r="BN19" s="22"/>
      <c r="BO19" s="413">
        <f t="shared" ref="BO19:BS20" si="35">BO11+BI11</f>
        <v>4.4550000000000006E-2</v>
      </c>
      <c r="BP19" s="211">
        <f t="shared" si="35"/>
        <v>4.4550000000000006E-2</v>
      </c>
      <c r="BQ19" s="211">
        <f t="shared" si="35"/>
        <v>7.4550000000000005E-2</v>
      </c>
      <c r="BR19" s="211">
        <f t="shared" si="35"/>
        <v>7.4550000000000005E-2</v>
      </c>
      <c r="BS19" s="213">
        <f t="shared" si="35"/>
        <v>6.0794020899256743E-2</v>
      </c>
      <c r="BT19" s="22"/>
      <c r="BU19" s="413">
        <f t="shared" ref="BU19:BY24" si="36">BU11+BO11</f>
        <v>0.13</v>
      </c>
      <c r="BV19" s="211">
        <f t="shared" si="36"/>
        <v>0.13</v>
      </c>
      <c r="BW19" s="211">
        <f t="shared" si="36"/>
        <v>0.15000000000000002</v>
      </c>
      <c r="BX19" s="211">
        <f t="shared" si="36"/>
        <v>0.15000000000000002</v>
      </c>
      <c r="BY19" s="213">
        <f t="shared" si="36"/>
        <v>0.14078480705240928</v>
      </c>
      <c r="BZ19" s="22"/>
      <c r="CA19" s="413">
        <f t="shared" ref="CA19:CE24" si="37">CA11+BU11</f>
        <v>0.06</v>
      </c>
      <c r="CB19" s="211">
        <f t="shared" si="37"/>
        <v>0.09</v>
      </c>
      <c r="CC19" s="211">
        <f t="shared" si="37"/>
        <v>2.1725000000000001E-2</v>
      </c>
      <c r="CD19" s="211">
        <f t="shared" si="37"/>
        <v>0.13229000000000002</v>
      </c>
      <c r="CE19" s="213">
        <f t="shared" si="37"/>
        <v>7.9136721204441068E-2</v>
      </c>
      <c r="CF19" s="22"/>
      <c r="CG19" s="413">
        <f t="shared" ref="CG19:CK24" si="38">CG11+CA11</f>
        <v>1.2239999999999999E-2</v>
      </c>
      <c r="CH19" s="211">
        <f t="shared" si="38"/>
        <v>8.0149999999999999E-2</v>
      </c>
      <c r="CI19" s="211">
        <f t="shared" si="38"/>
        <v>4.1725000000000005E-2</v>
      </c>
      <c r="CJ19" s="211">
        <f t="shared" si="38"/>
        <v>0.11070000000000001</v>
      </c>
      <c r="CK19" s="213">
        <f t="shared" si="38"/>
        <v>6.3841575501958986E-2</v>
      </c>
      <c r="CL19" s="22"/>
      <c r="CM19" s="413">
        <f t="shared" ref="CM19:CQ24" si="39">CM11+CG11</f>
        <v>6.6739999999999994E-2</v>
      </c>
      <c r="CN19" s="211">
        <f t="shared" si="39"/>
        <v>7.535E-2</v>
      </c>
      <c r="CO19" s="211">
        <f t="shared" si="39"/>
        <v>9.0000000000000011E-2</v>
      </c>
      <c r="CP19" s="211">
        <f t="shared" si="39"/>
        <v>6.4659999999999995E-2</v>
      </c>
      <c r="CQ19" s="213">
        <f t="shared" si="39"/>
        <v>7.3010188568877726E-2</v>
      </c>
      <c r="CR19" s="22"/>
      <c r="CS19" s="413">
        <f t="shared" ref="CS19:CW24" si="40">CS11+CM11</f>
        <v>7.9500000000000001E-2</v>
      </c>
      <c r="CT19" s="211">
        <f t="shared" si="40"/>
        <v>5.0200000000000002E-2</v>
      </c>
      <c r="CU19" s="211">
        <f t="shared" si="40"/>
        <v>6.5000000000000002E-2</v>
      </c>
      <c r="CV19" s="211">
        <f t="shared" si="40"/>
        <v>7.1250000000000008E-2</v>
      </c>
      <c r="CW19" s="213">
        <f t="shared" si="40"/>
        <v>6.3764548118207282E-2</v>
      </c>
      <c r="CX19" s="22"/>
      <c r="CY19" s="413">
        <f t="shared" ref="CY19:CY24" si="41">CY11+CS11</f>
        <v>0.06</v>
      </c>
      <c r="CZ19" s="211">
        <f t="shared" ref="CZ19:DC19" si="42">CZ11+CT11</f>
        <v>6.5000000000000002E-2</v>
      </c>
      <c r="DA19" s="211">
        <f t="shared" si="42"/>
        <v>7.9999999999999988E-2</v>
      </c>
      <c r="DB19" s="211">
        <f t="shared" si="42"/>
        <v>7.0000000000000007E-2</v>
      </c>
      <c r="DC19" s="213">
        <f t="shared" si="42"/>
        <v>6.5890427489667253E-2</v>
      </c>
      <c r="DD19" s="22"/>
      <c r="DE19" s="413">
        <f t="shared" ref="DE19:DI24" si="43">DE11+CY11</f>
        <v>6.9999999999999993E-2</v>
      </c>
      <c r="DF19" s="211">
        <f t="shared" si="43"/>
        <v>7.7000000000000013E-2</v>
      </c>
      <c r="DG19" s="211">
        <f t="shared" si="43"/>
        <v>7.4999999999999997E-2</v>
      </c>
      <c r="DH19" s="211">
        <f t="shared" si="43"/>
        <v>0.1</v>
      </c>
      <c r="DI19" s="213">
        <f t="shared" si="43"/>
        <v>8.0750208700647697E-2</v>
      </c>
      <c r="DJ19" s="22"/>
      <c r="DK19" s="413">
        <f t="shared" ref="DK19:DO24" si="44">DK11+DE11</f>
        <v>0.09</v>
      </c>
      <c r="DL19" s="211">
        <f t="shared" si="44"/>
        <v>8.7000000000000008E-2</v>
      </c>
      <c r="DM19" s="211">
        <f t="shared" si="44"/>
        <v>0.09</v>
      </c>
      <c r="DN19" s="211">
        <f t="shared" si="44"/>
        <v>0.1</v>
      </c>
      <c r="DO19" s="213">
        <f t="shared" si="44"/>
        <v>9.1736193182749781E-2</v>
      </c>
      <c r="DP19" s="22"/>
      <c r="DQ19" s="413">
        <f t="shared" ref="DQ19:DU24" si="45">DQ11+DK11</f>
        <v>9.5000000000000001E-2</v>
      </c>
      <c r="DR19" s="211">
        <f t="shared" si="45"/>
        <v>0.09</v>
      </c>
      <c r="DS19" s="211">
        <f t="shared" si="45"/>
        <v>0.09</v>
      </c>
      <c r="DT19" s="211">
        <f t="shared" si="45"/>
        <v>7.5000000000000011E-2</v>
      </c>
      <c r="DU19" s="213">
        <f t="shared" si="45"/>
        <v>8.6876411971769318E-2</v>
      </c>
      <c r="DV19" s="22"/>
      <c r="DW19" s="413">
        <f t="shared" ref="DW19:EA24" si="46">DW11+DQ11</f>
        <v>0.08</v>
      </c>
      <c r="DX19" s="211">
        <f t="shared" si="46"/>
        <v>0.08</v>
      </c>
      <c r="DY19" s="211">
        <f t="shared" si="46"/>
        <v>0.08</v>
      </c>
      <c r="DZ19" s="211">
        <f t="shared" si="46"/>
        <v>0.08</v>
      </c>
      <c r="EA19" s="213">
        <f t="shared" si="46"/>
        <v>8.0000000000000016E-2</v>
      </c>
      <c r="EB19" s="22"/>
      <c r="EC19" s="413">
        <f t="shared" ref="EC19:EC24" si="47">EC11+DW11</f>
        <v>0.08</v>
      </c>
      <c r="ED19" s="211">
        <f t="shared" ref="ED19:ED24" si="48">ED11+DX11</f>
        <v>0.08</v>
      </c>
      <c r="EE19" s="211">
        <f t="shared" ref="EE19:EE24" si="49">EE11+DY11</f>
        <v>0.08</v>
      </c>
      <c r="EF19" s="211">
        <f t="shared" ref="EF19:EF24" si="50">EF11+DZ11</f>
        <v>0.08</v>
      </c>
      <c r="EG19" s="213">
        <f t="shared" ref="EG19:EG24" si="51">EG11+EA11</f>
        <v>8.0000000000000016E-2</v>
      </c>
      <c r="EH19" s="9"/>
      <c r="EJ19" s="378" t="s">
        <v>377</v>
      </c>
      <c r="EK19" s="378"/>
      <c r="EL19" s="380">
        <f>+CS19</f>
        <v>7.9500000000000001E-2</v>
      </c>
      <c r="EM19" s="380">
        <f t="shared" ref="EM19:EM24" si="52">+CT19</f>
        <v>5.0200000000000002E-2</v>
      </c>
      <c r="EN19" s="380">
        <f t="shared" ref="EN19:EN24" si="53">+CU19</f>
        <v>6.5000000000000002E-2</v>
      </c>
      <c r="EO19" s="380">
        <f t="shared" ref="EO19:EO24" si="54">+CV19</f>
        <v>7.1250000000000008E-2</v>
      </c>
      <c r="EP19" s="380">
        <f>+CY19</f>
        <v>0.06</v>
      </c>
      <c r="EQ19" s="380">
        <f t="shared" ref="EQ19:EQ24" si="55">+CZ19</f>
        <v>6.5000000000000002E-2</v>
      </c>
      <c r="ER19" s="380">
        <f t="shared" ref="ER19:ER24" si="56">+DA19</f>
        <v>7.9999999999999988E-2</v>
      </c>
      <c r="ES19" s="380">
        <f t="shared" ref="ES19:ES24" si="57">+DB19</f>
        <v>7.0000000000000007E-2</v>
      </c>
      <c r="ET19" s="380">
        <f>+DE19</f>
        <v>6.9999999999999993E-2</v>
      </c>
      <c r="EU19" s="380">
        <f t="shared" ref="EU19:EU24" si="58">+DF19</f>
        <v>7.7000000000000013E-2</v>
      </c>
      <c r="EV19" s="380">
        <f t="shared" ref="EV19:EV24" si="59">+DG19</f>
        <v>7.4999999999999997E-2</v>
      </c>
      <c r="EW19" s="380">
        <f t="shared" ref="EW19:EW24" si="60">+DH19</f>
        <v>0.1</v>
      </c>
      <c r="EX19" s="380">
        <f t="shared" ref="EX19:FA24" si="61">+DK19</f>
        <v>0.09</v>
      </c>
      <c r="EY19" s="380">
        <f t="shared" si="61"/>
        <v>8.7000000000000008E-2</v>
      </c>
      <c r="EZ19" s="380">
        <f t="shared" si="61"/>
        <v>0.09</v>
      </c>
      <c r="FA19" s="380">
        <f t="shared" si="61"/>
        <v>0.1</v>
      </c>
    </row>
    <row r="20" spans="1:157" ht="11.25" customHeight="1" x14ac:dyDescent="0.2">
      <c r="A20" s="51" t="s">
        <v>115</v>
      </c>
      <c r="B20" s="14"/>
      <c r="C20" s="14"/>
      <c r="D20" s="14"/>
      <c r="E20" s="158"/>
      <c r="F20" s="22"/>
      <c r="G20" s="158"/>
      <c r="H20" s="22"/>
      <c r="I20" s="158"/>
      <c r="J20" s="22"/>
      <c r="K20" s="158"/>
      <c r="L20" s="22"/>
      <c r="M20" s="149"/>
      <c r="N20" s="22"/>
      <c r="O20" s="22"/>
      <c r="P20" s="22"/>
      <c r="Q20" s="158"/>
      <c r="R20" s="22"/>
      <c r="S20" s="149"/>
      <c r="T20" s="22"/>
      <c r="U20" s="22"/>
      <c r="V20" s="22"/>
      <c r="W20" s="158"/>
      <c r="X20" s="22"/>
      <c r="Y20" s="149">
        <f t="shared" si="28"/>
        <v>0</v>
      </c>
      <c r="Z20" s="22">
        <f t="shared" si="28"/>
        <v>0</v>
      </c>
      <c r="AA20" s="22">
        <f t="shared" si="28"/>
        <v>0</v>
      </c>
      <c r="AB20" s="22">
        <f t="shared" si="28"/>
        <v>0</v>
      </c>
      <c r="AC20" s="158">
        <f t="shared" si="28"/>
        <v>0</v>
      </c>
      <c r="AD20" s="22"/>
      <c r="AE20" s="149">
        <f t="shared" si="29"/>
        <v>0</v>
      </c>
      <c r="AF20" s="22">
        <f t="shared" si="29"/>
        <v>0</v>
      </c>
      <c r="AG20" s="22">
        <f t="shared" si="29"/>
        <v>0</v>
      </c>
      <c r="AH20" s="22">
        <f t="shared" si="29"/>
        <v>0</v>
      </c>
      <c r="AI20" s="158">
        <f t="shared" si="29"/>
        <v>0.09</v>
      </c>
      <c r="AJ20" s="22"/>
      <c r="AK20" s="149">
        <f t="shared" si="30"/>
        <v>0.04</v>
      </c>
      <c r="AL20" s="22">
        <f t="shared" si="30"/>
        <v>0.04</v>
      </c>
      <c r="AM20" s="22">
        <f t="shared" si="30"/>
        <v>0.04</v>
      </c>
      <c r="AN20" s="22">
        <f t="shared" si="30"/>
        <v>0.04</v>
      </c>
      <c r="AO20" s="158">
        <f t="shared" si="30"/>
        <v>0.13</v>
      </c>
      <c r="AP20" s="22"/>
      <c r="AQ20" s="149">
        <f t="shared" si="31"/>
        <v>0.2</v>
      </c>
      <c r="AR20" s="22">
        <f t="shared" si="31"/>
        <v>0.2</v>
      </c>
      <c r="AS20" s="22">
        <f t="shared" si="31"/>
        <v>0.2</v>
      </c>
      <c r="AT20" s="22">
        <f t="shared" si="31"/>
        <v>0.2</v>
      </c>
      <c r="AU20" s="158">
        <f t="shared" si="31"/>
        <v>0.1</v>
      </c>
      <c r="AV20" s="22"/>
      <c r="AW20" s="149">
        <f t="shared" si="32"/>
        <v>0.16</v>
      </c>
      <c r="AX20" s="22">
        <f t="shared" si="32"/>
        <v>0.16</v>
      </c>
      <c r="AY20" s="22">
        <f t="shared" si="32"/>
        <v>0.16</v>
      </c>
      <c r="AZ20" s="22">
        <f t="shared" si="32"/>
        <v>0.16</v>
      </c>
      <c r="BA20" s="158">
        <f t="shared" si="32"/>
        <v>0.15</v>
      </c>
      <c r="BB20" s="22"/>
      <c r="BC20" s="149">
        <f t="shared" si="33"/>
        <v>0</v>
      </c>
      <c r="BD20" s="22">
        <f t="shared" si="33"/>
        <v>0</v>
      </c>
      <c r="BE20" s="22">
        <f t="shared" si="33"/>
        <v>0</v>
      </c>
      <c r="BF20" s="22">
        <f t="shared" si="33"/>
        <v>0</v>
      </c>
      <c r="BG20" s="158">
        <f t="shared" si="33"/>
        <v>0.155</v>
      </c>
      <c r="BH20" s="22"/>
      <c r="BI20" s="149">
        <f t="shared" si="34"/>
        <v>0.05</v>
      </c>
      <c r="BJ20" s="22">
        <f t="shared" si="34"/>
        <v>0.05</v>
      </c>
      <c r="BK20" s="22">
        <f t="shared" si="34"/>
        <v>0.05</v>
      </c>
      <c r="BL20" s="22">
        <f t="shared" si="34"/>
        <v>0.05</v>
      </c>
      <c r="BM20" s="158">
        <f t="shared" si="34"/>
        <v>0.115</v>
      </c>
      <c r="BN20" s="22"/>
      <c r="BO20" s="149">
        <f t="shared" si="35"/>
        <v>0.13</v>
      </c>
      <c r="BP20" s="22">
        <f t="shared" si="35"/>
        <v>0.13</v>
      </c>
      <c r="BQ20" s="22">
        <f t="shared" si="35"/>
        <v>0.14000000000000001</v>
      </c>
      <c r="BR20" s="22">
        <f t="shared" si="35"/>
        <v>0.14000000000000001</v>
      </c>
      <c r="BS20" s="158">
        <f t="shared" si="35"/>
        <v>0.13528656620904222</v>
      </c>
      <c r="BT20" s="22"/>
      <c r="BU20" s="149">
        <f t="shared" si="36"/>
        <v>0.16999999999999998</v>
      </c>
      <c r="BV20" s="22">
        <f t="shared" si="36"/>
        <v>0.16999999999999998</v>
      </c>
      <c r="BW20" s="22">
        <f t="shared" si="36"/>
        <v>0.16999999999999998</v>
      </c>
      <c r="BX20" s="22">
        <f t="shared" si="36"/>
        <v>0.16999999999999998</v>
      </c>
      <c r="BY20" s="158">
        <f t="shared" si="36"/>
        <v>0.16999612145647372</v>
      </c>
      <c r="BZ20" s="22"/>
      <c r="CA20" s="149">
        <f t="shared" si="37"/>
        <v>0.14000000000000001</v>
      </c>
      <c r="CB20" s="22">
        <f t="shared" si="37"/>
        <v>0.14000000000000001</v>
      </c>
      <c r="CC20" s="22">
        <f t="shared" si="37"/>
        <v>0.13</v>
      </c>
      <c r="CD20" s="22">
        <f t="shared" si="37"/>
        <v>0.14000000000000001</v>
      </c>
      <c r="CE20" s="158">
        <f t="shared" si="37"/>
        <v>0.13898844042141484</v>
      </c>
      <c r="CF20" s="22"/>
      <c r="CG20" s="149">
        <f t="shared" si="38"/>
        <v>0.08</v>
      </c>
      <c r="CH20" s="22">
        <f t="shared" si="38"/>
        <v>0.10382</v>
      </c>
      <c r="CI20" s="22">
        <f t="shared" si="38"/>
        <v>0.10290000000000001</v>
      </c>
      <c r="CJ20" s="22">
        <f t="shared" si="38"/>
        <v>0.1</v>
      </c>
      <c r="CK20" s="158">
        <f t="shared" si="38"/>
        <v>9.8356117755256545E-2</v>
      </c>
      <c r="CL20" s="22"/>
      <c r="CM20" s="149">
        <f t="shared" si="39"/>
        <v>6.1499999999999999E-2</v>
      </c>
      <c r="CN20" s="22">
        <f t="shared" si="39"/>
        <v>0.10822</v>
      </c>
      <c r="CO20" s="22">
        <f t="shared" si="39"/>
        <v>8.7900000000000006E-2</v>
      </c>
      <c r="CP20" s="22">
        <f t="shared" si="39"/>
        <v>9.1579999999999995E-2</v>
      </c>
      <c r="CQ20" s="158">
        <f t="shared" si="39"/>
        <v>8.7593375470997228E-2</v>
      </c>
      <c r="CR20" s="22"/>
      <c r="CS20" s="149">
        <f t="shared" si="40"/>
        <v>7.1499999999999994E-2</v>
      </c>
      <c r="CT20" s="22">
        <f t="shared" si="40"/>
        <v>0.1094</v>
      </c>
      <c r="CU20" s="22">
        <f t="shared" si="40"/>
        <v>6.5000000000000002E-2</v>
      </c>
      <c r="CV20" s="22">
        <f t="shared" si="40"/>
        <v>8.6580000000000004E-2</v>
      </c>
      <c r="CW20" s="158">
        <f t="shared" si="40"/>
        <v>8.3516142889724032E-2</v>
      </c>
      <c r="CX20" s="22"/>
      <c r="CY20" s="149">
        <f t="shared" si="41"/>
        <v>6.5000000000000002E-2</v>
      </c>
      <c r="CZ20" s="22">
        <f t="shared" ref="CZ20:DC24" si="62">CZ12+CT12</f>
        <v>7.4999999999999997E-2</v>
      </c>
      <c r="DA20" s="22">
        <f t="shared" si="62"/>
        <v>6.5000000000000002E-2</v>
      </c>
      <c r="DB20" s="22">
        <f t="shared" si="62"/>
        <v>0.06</v>
      </c>
      <c r="DC20" s="158">
        <f t="shared" si="62"/>
        <v>6.5097260160582732E-2</v>
      </c>
      <c r="DD20" s="22"/>
      <c r="DE20" s="149">
        <f t="shared" si="43"/>
        <v>5.5000000000000007E-2</v>
      </c>
      <c r="DF20" s="22">
        <f t="shared" si="43"/>
        <v>4.7E-2</v>
      </c>
      <c r="DG20" s="22">
        <f t="shared" si="43"/>
        <v>7.4999999999999997E-2</v>
      </c>
      <c r="DH20" s="22">
        <f t="shared" si="43"/>
        <v>8.4999999999999992E-2</v>
      </c>
      <c r="DI20" s="158">
        <f t="shared" si="43"/>
        <v>6.528089352898081E-2</v>
      </c>
      <c r="DJ20" s="22"/>
      <c r="DK20" s="149">
        <f t="shared" si="44"/>
        <v>0.125</v>
      </c>
      <c r="DL20" s="22">
        <f t="shared" si="44"/>
        <v>8.2000000000000003E-2</v>
      </c>
      <c r="DM20" s="22">
        <f t="shared" si="44"/>
        <v>0.08</v>
      </c>
      <c r="DN20" s="22">
        <f t="shared" si="44"/>
        <v>0.09</v>
      </c>
      <c r="DO20" s="158">
        <f t="shared" si="44"/>
        <v>9.3602099438022557E-2</v>
      </c>
      <c r="DP20" s="22"/>
      <c r="DQ20" s="149">
        <f t="shared" si="45"/>
        <v>9.5000000000000001E-2</v>
      </c>
      <c r="DR20" s="22">
        <f t="shared" si="45"/>
        <v>8.4999999999999992E-2</v>
      </c>
      <c r="DS20" s="22">
        <f t="shared" si="45"/>
        <v>7.0000000000000007E-2</v>
      </c>
      <c r="DT20" s="22">
        <f t="shared" si="45"/>
        <v>0.06</v>
      </c>
      <c r="DU20" s="158">
        <f t="shared" si="45"/>
        <v>7.6199594494317263E-2</v>
      </c>
      <c r="DV20" s="22"/>
      <c r="DW20" s="149">
        <f t="shared" si="46"/>
        <v>0.05</v>
      </c>
      <c r="DX20" s="22">
        <f t="shared" si="46"/>
        <v>0.08</v>
      </c>
      <c r="DY20" s="22">
        <f t="shared" si="46"/>
        <v>0.08</v>
      </c>
      <c r="DZ20" s="22">
        <f t="shared" si="46"/>
        <v>0.08</v>
      </c>
      <c r="EA20" s="158">
        <f t="shared" si="46"/>
        <v>7.2781128424692795E-2</v>
      </c>
      <c r="EB20" s="22"/>
      <c r="EC20" s="149">
        <f t="shared" si="47"/>
        <v>0.1</v>
      </c>
      <c r="ED20" s="22">
        <f t="shared" si="48"/>
        <v>0.1</v>
      </c>
      <c r="EE20" s="22">
        <f t="shared" si="49"/>
        <v>0.1</v>
      </c>
      <c r="EF20" s="22">
        <f t="shared" si="50"/>
        <v>0.1</v>
      </c>
      <c r="EG20" s="158">
        <f t="shared" si="51"/>
        <v>0.10000000000000003</v>
      </c>
      <c r="EH20" s="9"/>
      <c r="EJ20" s="379" t="s">
        <v>115</v>
      </c>
      <c r="EK20" s="379"/>
      <c r="EL20" s="381">
        <f t="shared" ref="EL20:EL24" si="63">+CS20</f>
        <v>7.1499999999999994E-2</v>
      </c>
      <c r="EM20" s="381">
        <f t="shared" si="52"/>
        <v>0.1094</v>
      </c>
      <c r="EN20" s="381">
        <f t="shared" si="53"/>
        <v>6.5000000000000002E-2</v>
      </c>
      <c r="EO20" s="381">
        <f t="shared" si="54"/>
        <v>8.6580000000000004E-2</v>
      </c>
      <c r="EP20" s="381">
        <f t="shared" ref="EP20:EP24" si="64">+CY20</f>
        <v>6.5000000000000002E-2</v>
      </c>
      <c r="EQ20" s="381">
        <f t="shared" si="55"/>
        <v>7.4999999999999997E-2</v>
      </c>
      <c r="ER20" s="381">
        <f t="shared" si="56"/>
        <v>6.5000000000000002E-2</v>
      </c>
      <c r="ES20" s="381">
        <f t="shared" si="57"/>
        <v>0.06</v>
      </c>
      <c r="ET20" s="381">
        <f t="shared" ref="ET20:ET24" si="65">+DE20</f>
        <v>5.5000000000000007E-2</v>
      </c>
      <c r="EU20" s="381">
        <f t="shared" si="58"/>
        <v>4.7E-2</v>
      </c>
      <c r="EV20" s="381">
        <f t="shared" si="59"/>
        <v>7.4999999999999997E-2</v>
      </c>
      <c r="EW20" s="381">
        <f t="shared" si="60"/>
        <v>8.4999999999999992E-2</v>
      </c>
      <c r="EX20" s="381">
        <f t="shared" si="61"/>
        <v>0.125</v>
      </c>
      <c r="EY20" s="381">
        <f t="shared" si="61"/>
        <v>8.2000000000000003E-2</v>
      </c>
      <c r="EZ20" s="381">
        <f t="shared" si="61"/>
        <v>0.08</v>
      </c>
      <c r="FA20" s="381">
        <f t="shared" si="61"/>
        <v>0.09</v>
      </c>
    </row>
    <row r="21" spans="1:157" ht="11.25" hidden="1" customHeight="1" outlineLevel="1" x14ac:dyDescent="0.2">
      <c r="A21" s="51" t="s">
        <v>644</v>
      </c>
      <c r="B21" s="14"/>
      <c r="C21" s="14"/>
      <c r="D21" s="14"/>
      <c r="E21" s="158"/>
      <c r="F21" s="22"/>
      <c r="G21" s="158"/>
      <c r="H21" s="22"/>
      <c r="I21" s="158"/>
      <c r="J21" s="22"/>
      <c r="K21" s="158"/>
      <c r="L21" s="22"/>
      <c r="M21" s="149"/>
      <c r="N21" s="22"/>
      <c r="O21" s="22"/>
      <c r="P21" s="22"/>
      <c r="Q21" s="158"/>
      <c r="R21" s="22"/>
      <c r="S21" s="149"/>
      <c r="T21" s="22"/>
      <c r="U21" s="22"/>
      <c r="V21" s="22"/>
      <c r="W21" s="158"/>
      <c r="X21" s="22"/>
      <c r="Y21" s="149"/>
      <c r="Z21" s="22"/>
      <c r="AA21" s="22"/>
      <c r="AB21" s="22"/>
      <c r="AC21" s="158"/>
      <c r="AD21" s="22"/>
      <c r="AE21" s="149"/>
      <c r="AF21" s="22"/>
      <c r="AG21" s="22"/>
      <c r="AH21" s="22"/>
      <c r="AI21" s="158"/>
      <c r="AJ21" s="22"/>
      <c r="AK21" s="149"/>
      <c r="AL21" s="22"/>
      <c r="AM21" s="22"/>
      <c r="AN21" s="22"/>
      <c r="AO21" s="158"/>
      <c r="AP21" s="22"/>
      <c r="AQ21" s="149"/>
      <c r="AR21" s="22"/>
      <c r="AS21" s="22"/>
      <c r="AT21" s="22"/>
      <c r="AU21" s="158"/>
      <c r="AV21" s="22"/>
      <c r="AW21" s="149"/>
      <c r="AX21" s="22"/>
      <c r="AY21" s="22"/>
      <c r="AZ21" s="22"/>
      <c r="BA21" s="158"/>
      <c r="BB21" s="22"/>
      <c r="BC21" s="149"/>
      <c r="BD21" s="22"/>
      <c r="BE21" s="22"/>
      <c r="BF21" s="22"/>
      <c r="BG21" s="158"/>
      <c r="BH21" s="22"/>
      <c r="BI21" s="149"/>
      <c r="BJ21" s="22"/>
      <c r="BK21" s="22"/>
      <c r="BL21" s="22"/>
      <c r="BM21" s="158"/>
      <c r="BN21" s="22"/>
      <c r="BO21" s="149"/>
      <c r="BP21" s="22"/>
      <c r="BQ21" s="22"/>
      <c r="BR21" s="22"/>
      <c r="BS21" s="158"/>
      <c r="BT21" s="22"/>
      <c r="BU21" s="149">
        <f t="shared" si="36"/>
        <v>0.09</v>
      </c>
      <c r="BV21" s="22">
        <f t="shared" si="36"/>
        <v>0.09</v>
      </c>
      <c r="BW21" s="22">
        <f t="shared" si="36"/>
        <v>0.08</v>
      </c>
      <c r="BX21" s="22">
        <f t="shared" si="36"/>
        <v>0.08</v>
      </c>
      <c r="BY21" s="158">
        <f t="shared" si="36"/>
        <v>8.4709555247431484E-2</v>
      </c>
      <c r="BZ21" s="22"/>
      <c r="CA21" s="149">
        <f t="shared" si="37"/>
        <v>0.14000000000000001</v>
      </c>
      <c r="CB21" s="22">
        <f t="shared" si="37"/>
        <v>0.14000000000000001</v>
      </c>
      <c r="CC21" s="22">
        <f t="shared" si="37"/>
        <v>0.13</v>
      </c>
      <c r="CD21" s="22">
        <f t="shared" si="37"/>
        <v>0.14000000000000001</v>
      </c>
      <c r="CE21" s="158">
        <f t="shared" si="37"/>
        <v>0.13898844042141484</v>
      </c>
      <c r="CF21" s="22"/>
      <c r="CG21" s="149">
        <f t="shared" si="38"/>
        <v>0.08</v>
      </c>
      <c r="CH21" s="22">
        <f t="shared" si="38"/>
        <v>0.10382</v>
      </c>
      <c r="CI21" s="22">
        <f t="shared" si="38"/>
        <v>0.10290000000000001</v>
      </c>
      <c r="CJ21" s="22">
        <f t="shared" si="38"/>
        <v>0.1</v>
      </c>
      <c r="CK21" s="158">
        <f t="shared" si="38"/>
        <v>9.8356117755256545E-2</v>
      </c>
      <c r="CL21" s="22"/>
      <c r="CM21" s="149">
        <f t="shared" si="39"/>
        <v>6.1499999999999999E-2</v>
      </c>
      <c r="CN21" s="22">
        <f t="shared" si="39"/>
        <v>0.10822</v>
      </c>
      <c r="CO21" s="22">
        <f t="shared" si="39"/>
        <v>8.7900000000000006E-2</v>
      </c>
      <c r="CP21" s="22">
        <f t="shared" si="39"/>
        <v>9.1579999999999995E-2</v>
      </c>
      <c r="CQ21" s="158">
        <f t="shared" si="39"/>
        <v>8.7593375470997228E-2</v>
      </c>
      <c r="CR21" s="22"/>
      <c r="CS21" s="149">
        <f t="shared" si="40"/>
        <v>7.1499999999999994E-2</v>
      </c>
      <c r="CT21" s="22">
        <f t="shared" si="40"/>
        <v>0.1094</v>
      </c>
      <c r="CU21" s="22">
        <f t="shared" si="40"/>
        <v>6.5000000000000002E-2</v>
      </c>
      <c r="CV21" s="22">
        <f t="shared" si="40"/>
        <v>8.6580000000000004E-2</v>
      </c>
      <c r="CW21" s="158">
        <f t="shared" si="40"/>
        <v>8.3516142889724032E-2</v>
      </c>
      <c r="CX21" s="22"/>
      <c r="CY21" s="149">
        <f t="shared" si="41"/>
        <v>6.5000000000000002E-2</v>
      </c>
      <c r="CZ21" s="22">
        <f t="shared" si="62"/>
        <v>7.4999999999999997E-2</v>
      </c>
      <c r="DA21" s="22">
        <f t="shared" si="62"/>
        <v>6.5000000000000002E-2</v>
      </c>
      <c r="DB21" s="22">
        <f t="shared" si="62"/>
        <v>0.06</v>
      </c>
      <c r="DC21" s="158">
        <f t="shared" si="62"/>
        <v>6.5097260160582732E-2</v>
      </c>
      <c r="DD21" s="22"/>
      <c r="DE21" s="149">
        <f t="shared" si="43"/>
        <v>5.5000000000000007E-2</v>
      </c>
      <c r="DF21" s="22">
        <f t="shared" si="43"/>
        <v>4.7E-2</v>
      </c>
      <c r="DG21" s="22">
        <f t="shared" si="43"/>
        <v>7.4999999999999997E-2</v>
      </c>
      <c r="DH21" s="22">
        <f t="shared" si="43"/>
        <v>7.0667153112989295E-2</v>
      </c>
      <c r="DI21" s="158">
        <f t="shared" si="43"/>
        <v>6.1207739851585272E-2</v>
      </c>
      <c r="DJ21" s="22"/>
      <c r="DK21" s="149">
        <f t="shared" si="44"/>
        <v>6.3296382670339407E-2</v>
      </c>
      <c r="DL21" s="22">
        <f t="shared" si="44"/>
        <v>4.884571464035279E-2</v>
      </c>
      <c r="DM21" s="22">
        <f t="shared" si="44"/>
        <v>6.6514262516571526E-2</v>
      </c>
      <c r="DN21" s="22">
        <f t="shared" si="44"/>
        <v>9.556060216498552E-2</v>
      </c>
      <c r="DO21" s="158">
        <f t="shared" si="44"/>
        <v>6.929126739997013E-2</v>
      </c>
      <c r="DP21" s="22"/>
      <c r="DQ21" s="149">
        <f t="shared" si="45"/>
        <v>9.67058160767853E-2</v>
      </c>
      <c r="DR21" s="22">
        <f t="shared" si="45"/>
        <v>7.3294479754897113E-2</v>
      </c>
      <c r="DS21" s="22">
        <f t="shared" si="45"/>
        <v>4.4614174444600252E-2</v>
      </c>
      <c r="DT21" s="22">
        <f t="shared" si="45"/>
        <v>7.8596878661227887E-2</v>
      </c>
      <c r="DU21" s="158">
        <f t="shared" si="45"/>
        <v>7.2925312818717059E-2</v>
      </c>
      <c r="DV21" s="22"/>
      <c r="DW21" s="149">
        <f t="shared" si="46"/>
        <v>9.9858866896882947E-2</v>
      </c>
      <c r="DX21" s="22">
        <f t="shared" si="46"/>
        <v>7.8953727868316559E-2</v>
      </c>
      <c r="DY21" s="22">
        <f t="shared" si="46"/>
        <v>4.4577341133182014E-2</v>
      </c>
      <c r="DZ21" s="22">
        <f t="shared" si="46"/>
        <v>5.3698450557353894E-2</v>
      </c>
      <c r="EA21" s="158">
        <f t="shared" si="46"/>
        <v>6.8417629815325176E-2</v>
      </c>
      <c r="EB21" s="22"/>
      <c r="EC21" s="149">
        <f t="shared" si="47"/>
        <v>6.6142439911784034E-2</v>
      </c>
      <c r="ED21" s="22">
        <f t="shared" si="48"/>
        <v>5.8218338534935077E-2</v>
      </c>
      <c r="EE21" s="22">
        <f t="shared" si="49"/>
        <v>5.4886052975565702E-2</v>
      </c>
      <c r="EF21" s="22">
        <f t="shared" si="50"/>
        <v>5.3342822578407612E-2</v>
      </c>
      <c r="EG21" s="158">
        <f t="shared" si="51"/>
        <v>5.7952312059868838E-2</v>
      </c>
      <c r="EH21" s="9"/>
      <c r="EJ21" s="379" t="s">
        <v>728</v>
      </c>
      <c r="EK21" s="379"/>
      <c r="EL21" s="381">
        <f t="shared" si="63"/>
        <v>7.1499999999999994E-2</v>
      </c>
      <c r="EM21" s="381">
        <f t="shared" si="52"/>
        <v>0.1094</v>
      </c>
      <c r="EN21" s="381">
        <f t="shared" si="53"/>
        <v>6.5000000000000002E-2</v>
      </c>
      <c r="EO21" s="381">
        <f t="shared" si="54"/>
        <v>8.6580000000000004E-2</v>
      </c>
      <c r="EP21" s="381">
        <f t="shared" si="64"/>
        <v>6.5000000000000002E-2</v>
      </c>
      <c r="EQ21" s="381">
        <f t="shared" si="55"/>
        <v>7.4999999999999997E-2</v>
      </c>
      <c r="ER21" s="381">
        <f t="shared" si="56"/>
        <v>6.5000000000000002E-2</v>
      </c>
      <c r="ES21" s="381">
        <f t="shared" si="57"/>
        <v>0.06</v>
      </c>
      <c r="ET21" s="381">
        <f t="shared" si="65"/>
        <v>5.5000000000000007E-2</v>
      </c>
      <c r="EU21" s="381">
        <f t="shared" si="58"/>
        <v>4.7E-2</v>
      </c>
      <c r="EV21" s="381">
        <f t="shared" si="59"/>
        <v>7.4999999999999997E-2</v>
      </c>
      <c r="EW21" s="381">
        <f t="shared" si="60"/>
        <v>7.0667153112989295E-2</v>
      </c>
      <c r="EX21" s="381">
        <f t="shared" si="61"/>
        <v>6.3296382670339407E-2</v>
      </c>
      <c r="EY21" s="381">
        <f t="shared" si="61"/>
        <v>4.884571464035279E-2</v>
      </c>
      <c r="EZ21" s="381">
        <f t="shared" si="61"/>
        <v>6.6514262516571526E-2</v>
      </c>
      <c r="FA21" s="381">
        <f t="shared" si="61"/>
        <v>9.556060216498552E-2</v>
      </c>
    </row>
    <row r="22" spans="1:157" ht="11.25" customHeight="1" collapsed="1" x14ac:dyDescent="0.2">
      <c r="A22" s="51" t="s">
        <v>163</v>
      </c>
      <c r="B22" s="14"/>
      <c r="C22" s="14"/>
      <c r="D22" s="14"/>
      <c r="E22" s="158"/>
      <c r="F22" s="22"/>
      <c r="G22" s="158"/>
      <c r="H22" s="22"/>
      <c r="I22" s="158"/>
      <c r="J22" s="22"/>
      <c r="K22" s="158"/>
      <c r="L22" s="22"/>
      <c r="M22" s="149"/>
      <c r="N22" s="22"/>
      <c r="O22" s="22"/>
      <c r="P22" s="22"/>
      <c r="Q22" s="158"/>
      <c r="R22" s="22"/>
      <c r="S22" s="149"/>
      <c r="T22" s="22"/>
      <c r="U22" s="22"/>
      <c r="V22" s="22"/>
      <c r="W22" s="158"/>
      <c r="X22" s="22"/>
      <c r="Y22" s="149">
        <f t="shared" ref="Y22:AC24" si="66">Y14+S14</f>
        <v>0</v>
      </c>
      <c r="Z22" s="22">
        <f t="shared" si="66"/>
        <v>0</v>
      </c>
      <c r="AA22" s="22">
        <f t="shared" si="66"/>
        <v>0</v>
      </c>
      <c r="AB22" s="22">
        <f t="shared" si="66"/>
        <v>0</v>
      </c>
      <c r="AC22" s="158">
        <f t="shared" si="66"/>
        <v>0</v>
      </c>
      <c r="AD22" s="22"/>
      <c r="AE22" s="149">
        <f t="shared" ref="AE22:AI24" si="67">AE14+Y14</f>
        <v>0</v>
      </c>
      <c r="AF22" s="22">
        <f t="shared" si="67"/>
        <v>0</v>
      </c>
      <c r="AG22" s="22">
        <f t="shared" si="67"/>
        <v>0</v>
      </c>
      <c r="AH22" s="22">
        <f t="shared" si="67"/>
        <v>0</v>
      </c>
      <c r="AI22" s="158">
        <f t="shared" si="67"/>
        <v>0</v>
      </c>
      <c r="AJ22" s="22"/>
      <c r="AK22" s="149">
        <f t="shared" ref="AK22:AO24" si="68">AK14+AE14</f>
        <v>0.04</v>
      </c>
      <c r="AL22" s="22">
        <f t="shared" si="68"/>
        <v>0.04</v>
      </c>
      <c r="AM22" s="22">
        <f t="shared" si="68"/>
        <v>-0.01</v>
      </c>
      <c r="AN22" s="22">
        <f t="shared" si="68"/>
        <v>0.02</v>
      </c>
      <c r="AO22" s="158">
        <f t="shared" si="68"/>
        <v>0.04</v>
      </c>
      <c r="AP22" s="22"/>
      <c r="AQ22" s="149">
        <f t="shared" ref="AQ22:AU24" si="69">AQ14+AK14</f>
        <v>0.09</v>
      </c>
      <c r="AR22" s="22">
        <f t="shared" si="69"/>
        <v>0.09</v>
      </c>
      <c r="AS22" s="22">
        <f t="shared" si="69"/>
        <v>9.0000000000000011E-2</v>
      </c>
      <c r="AT22" s="22">
        <f t="shared" si="69"/>
        <v>0.115</v>
      </c>
      <c r="AU22" s="158">
        <f t="shared" si="69"/>
        <v>0.13</v>
      </c>
      <c r="AV22" s="22"/>
      <c r="AW22" s="149">
        <f t="shared" ref="AW22:BA24" si="70">AW14+AQ14</f>
        <v>0.1</v>
      </c>
      <c r="AX22" s="22">
        <f t="shared" si="70"/>
        <v>0.1</v>
      </c>
      <c r="AY22" s="22">
        <f t="shared" si="70"/>
        <v>0.15000000000000002</v>
      </c>
      <c r="AZ22" s="22">
        <f t="shared" si="70"/>
        <v>0.14500000000000002</v>
      </c>
      <c r="BA22" s="158">
        <f t="shared" si="70"/>
        <v>0.14000000000000001</v>
      </c>
      <c r="BB22" s="22"/>
      <c r="BC22" s="149">
        <f t="shared" ref="BC22:BG24" si="71">BC14+AW14</f>
        <v>5.5E-2</v>
      </c>
      <c r="BD22" s="22">
        <f t="shared" si="71"/>
        <v>5.5E-2</v>
      </c>
      <c r="BE22" s="22">
        <f t="shared" si="71"/>
        <v>5.5E-2</v>
      </c>
      <c r="BF22" s="22">
        <f t="shared" si="71"/>
        <v>5.5E-2</v>
      </c>
      <c r="BG22" s="158">
        <f t="shared" si="71"/>
        <v>5.5E-2</v>
      </c>
      <c r="BH22" s="22"/>
      <c r="BI22" s="149">
        <f t="shared" ref="BI22:BM24" si="72">BI14+BC14</f>
        <v>-4.5000000000000005E-2</v>
      </c>
      <c r="BJ22" s="22">
        <f t="shared" si="72"/>
        <v>-0.105</v>
      </c>
      <c r="BK22" s="22">
        <f t="shared" si="72"/>
        <v>-0.125</v>
      </c>
      <c r="BL22" s="22">
        <f t="shared" si="72"/>
        <v>-3.5000000000000003E-2</v>
      </c>
      <c r="BM22" s="158">
        <f t="shared" si="72"/>
        <v>-0.08</v>
      </c>
      <c r="BN22" s="22"/>
      <c r="BO22" s="149">
        <f t="shared" ref="BO22:BS24" si="73">BO14+BI14</f>
        <v>-3.0000000000000002E-2</v>
      </c>
      <c r="BP22" s="22">
        <f t="shared" si="73"/>
        <v>-0.09</v>
      </c>
      <c r="BQ22" s="22">
        <f t="shared" si="73"/>
        <v>-7.0000000000000007E-2</v>
      </c>
      <c r="BR22" s="22">
        <f t="shared" si="73"/>
        <v>3.4999999999999996E-2</v>
      </c>
      <c r="BS22" s="158">
        <f t="shared" si="73"/>
        <v>-4.0000000000000008E-2</v>
      </c>
      <c r="BT22" s="22"/>
      <c r="BU22" s="149">
        <f t="shared" si="36"/>
        <v>7.4999999999999997E-2</v>
      </c>
      <c r="BV22" s="22">
        <f t="shared" si="36"/>
        <v>8.5000000000000006E-2</v>
      </c>
      <c r="BW22" s="22">
        <f t="shared" si="36"/>
        <v>0.105</v>
      </c>
      <c r="BX22" s="22">
        <f t="shared" si="36"/>
        <v>0.1</v>
      </c>
      <c r="BY22" s="158">
        <f t="shared" si="36"/>
        <v>0.09</v>
      </c>
      <c r="BZ22" s="22"/>
      <c r="CA22" s="149">
        <f t="shared" si="37"/>
        <v>0.06</v>
      </c>
      <c r="CB22" s="22">
        <f t="shared" si="37"/>
        <v>0.115</v>
      </c>
      <c r="CC22" s="22">
        <f t="shared" si="37"/>
        <v>7.4999999999999997E-2</v>
      </c>
      <c r="CD22" s="22">
        <f t="shared" si="37"/>
        <v>6.5000000000000002E-2</v>
      </c>
      <c r="CE22" s="158">
        <f t="shared" si="37"/>
        <v>0.08</v>
      </c>
      <c r="CF22" s="22"/>
      <c r="CG22" s="149">
        <f t="shared" si="38"/>
        <v>3.0000000000000002E-2</v>
      </c>
      <c r="CH22" s="22">
        <f t="shared" si="38"/>
        <v>7.5000000000000011E-2</v>
      </c>
      <c r="CI22" s="22">
        <f t="shared" si="38"/>
        <v>6.5000000000000002E-2</v>
      </c>
      <c r="CJ22" s="22">
        <f t="shared" si="38"/>
        <v>7.0000000000000007E-2</v>
      </c>
      <c r="CK22" s="158">
        <f t="shared" si="38"/>
        <v>6.5000000000000002E-2</v>
      </c>
      <c r="CL22" s="22"/>
      <c r="CM22" s="149">
        <f t="shared" si="39"/>
        <v>8.4999999999999992E-2</v>
      </c>
      <c r="CN22" s="22">
        <f t="shared" si="39"/>
        <v>4.4999999999999998E-2</v>
      </c>
      <c r="CO22" s="22">
        <f t="shared" si="39"/>
        <v>5.5000000000000007E-2</v>
      </c>
      <c r="CP22" s="22">
        <f t="shared" si="39"/>
        <v>5.5E-2</v>
      </c>
      <c r="CQ22" s="158">
        <f t="shared" si="39"/>
        <v>6.056995560647286E-2</v>
      </c>
      <c r="CR22" s="22"/>
      <c r="CS22" s="149">
        <f t="shared" si="40"/>
        <v>3.4999999999999996E-2</v>
      </c>
      <c r="CT22" s="22">
        <f t="shared" si="40"/>
        <v>0.03</v>
      </c>
      <c r="CU22" s="22">
        <f t="shared" si="40"/>
        <v>1.4999999999999999E-2</v>
      </c>
      <c r="CV22" s="22">
        <f t="shared" si="40"/>
        <v>0.05</v>
      </c>
      <c r="CW22" s="158">
        <f t="shared" si="40"/>
        <v>3.310928349849785E-2</v>
      </c>
      <c r="CX22" s="22"/>
      <c r="CY22" s="149">
        <f t="shared" si="41"/>
        <v>-1.5000000000000001E-2</v>
      </c>
      <c r="CZ22" s="22">
        <f t="shared" si="62"/>
        <v>0.05</v>
      </c>
      <c r="DA22" s="22">
        <f t="shared" si="62"/>
        <v>2.9999999999999995E-2</v>
      </c>
      <c r="DB22" s="22">
        <f t="shared" si="62"/>
        <v>2.5000000000000001E-2</v>
      </c>
      <c r="DC22" s="158">
        <f t="shared" si="62"/>
        <v>2.3350128827423995E-2</v>
      </c>
      <c r="DD22" s="22"/>
      <c r="DE22" s="149">
        <f t="shared" si="43"/>
        <v>1.4999999999999999E-2</v>
      </c>
      <c r="DF22" s="22">
        <f t="shared" si="43"/>
        <v>3.2000000000000001E-2</v>
      </c>
      <c r="DG22" s="22">
        <f t="shared" si="43"/>
        <v>4.4999999999999998E-2</v>
      </c>
      <c r="DH22" s="22">
        <f t="shared" si="43"/>
        <v>-5.0000000000000001E-3</v>
      </c>
      <c r="DI22" s="158">
        <f t="shared" si="43"/>
        <v>2.1034179983291587E-2</v>
      </c>
      <c r="DJ22" s="22"/>
      <c r="DK22" s="149">
        <f t="shared" si="44"/>
        <v>-2.4999999999999998E-2</v>
      </c>
      <c r="DL22" s="22">
        <f t="shared" si="44"/>
        <v>-8.0000000000000002E-3</v>
      </c>
      <c r="DM22" s="22">
        <f t="shared" si="44"/>
        <v>0.01</v>
      </c>
      <c r="DN22" s="22">
        <f t="shared" si="44"/>
        <v>1.4999999999999999E-2</v>
      </c>
      <c r="DO22" s="158">
        <f t="shared" si="44"/>
        <v>-1.3736183550744382E-3</v>
      </c>
      <c r="DP22" s="22"/>
      <c r="DQ22" s="149">
        <f t="shared" si="45"/>
        <v>0</v>
      </c>
      <c r="DR22" s="22">
        <f t="shared" si="45"/>
        <v>0.03</v>
      </c>
      <c r="DS22" s="22">
        <f t="shared" si="45"/>
        <v>0.03</v>
      </c>
      <c r="DT22" s="22">
        <f t="shared" si="45"/>
        <v>0.05</v>
      </c>
      <c r="DU22" s="158">
        <f t="shared" si="45"/>
        <v>2.8403002597032982E-2</v>
      </c>
      <c r="DV22" s="22"/>
      <c r="DW22" s="149">
        <f t="shared" si="46"/>
        <v>0.06</v>
      </c>
      <c r="DX22" s="22">
        <f t="shared" si="46"/>
        <v>0.06</v>
      </c>
      <c r="DY22" s="22">
        <f t="shared" si="46"/>
        <v>0.06</v>
      </c>
      <c r="DZ22" s="22">
        <f t="shared" si="46"/>
        <v>0.06</v>
      </c>
      <c r="EA22" s="158">
        <f t="shared" si="46"/>
        <v>6.0000000000000012E-2</v>
      </c>
      <c r="EB22" s="22"/>
      <c r="EC22" s="149">
        <f t="shared" si="47"/>
        <v>0.06</v>
      </c>
      <c r="ED22" s="22">
        <f t="shared" si="48"/>
        <v>0.06</v>
      </c>
      <c r="EE22" s="22">
        <f t="shared" si="49"/>
        <v>0.06</v>
      </c>
      <c r="EF22" s="22">
        <f t="shared" si="50"/>
        <v>0.06</v>
      </c>
      <c r="EG22" s="158">
        <f t="shared" si="51"/>
        <v>6.0000000000000005E-2</v>
      </c>
      <c r="EH22" s="9"/>
      <c r="EJ22" s="378" t="s">
        <v>163</v>
      </c>
      <c r="EK22" s="378"/>
      <c r="EL22" s="380">
        <f t="shared" si="63"/>
        <v>3.4999999999999996E-2</v>
      </c>
      <c r="EM22" s="380">
        <f t="shared" si="52"/>
        <v>0.03</v>
      </c>
      <c r="EN22" s="380">
        <f t="shared" si="53"/>
        <v>1.4999999999999999E-2</v>
      </c>
      <c r="EO22" s="380">
        <f t="shared" si="54"/>
        <v>0.05</v>
      </c>
      <c r="EP22" s="380">
        <f t="shared" si="64"/>
        <v>-1.5000000000000001E-2</v>
      </c>
      <c r="EQ22" s="380">
        <f t="shared" si="55"/>
        <v>0.05</v>
      </c>
      <c r="ER22" s="380">
        <f t="shared" si="56"/>
        <v>2.9999999999999995E-2</v>
      </c>
      <c r="ES22" s="380">
        <f t="shared" si="57"/>
        <v>2.5000000000000001E-2</v>
      </c>
      <c r="ET22" s="380">
        <f t="shared" si="65"/>
        <v>1.4999999999999999E-2</v>
      </c>
      <c r="EU22" s="380">
        <f t="shared" si="58"/>
        <v>3.2000000000000001E-2</v>
      </c>
      <c r="EV22" s="380">
        <f t="shared" si="59"/>
        <v>4.4999999999999998E-2</v>
      </c>
      <c r="EW22" s="380">
        <f t="shared" si="60"/>
        <v>-5.0000000000000001E-3</v>
      </c>
      <c r="EX22" s="380">
        <f t="shared" si="61"/>
        <v>-2.4999999999999998E-2</v>
      </c>
      <c r="EY22" s="380">
        <f t="shared" si="61"/>
        <v>-8.0000000000000002E-3</v>
      </c>
      <c r="EZ22" s="380">
        <f t="shared" si="61"/>
        <v>0.01</v>
      </c>
      <c r="FA22" s="380">
        <f t="shared" si="61"/>
        <v>1.4999999999999999E-2</v>
      </c>
    </row>
    <row r="23" spans="1:157" ht="11.25" customHeight="1" x14ac:dyDescent="0.2">
      <c r="A23" s="51" t="s">
        <v>466</v>
      </c>
      <c r="B23" s="14"/>
      <c r="C23" s="14"/>
      <c r="D23" s="14"/>
      <c r="E23" s="158"/>
      <c r="F23" s="22"/>
      <c r="G23" s="158"/>
      <c r="H23" s="22"/>
      <c r="I23" s="158"/>
      <c r="J23" s="22"/>
      <c r="K23" s="158"/>
      <c r="L23" s="22"/>
      <c r="M23" s="149"/>
      <c r="N23" s="22"/>
      <c r="O23" s="22"/>
      <c r="P23" s="22"/>
      <c r="Q23" s="158"/>
      <c r="R23" s="22"/>
      <c r="S23" s="149"/>
      <c r="T23" s="22"/>
      <c r="U23" s="22"/>
      <c r="V23" s="22"/>
      <c r="W23" s="158"/>
      <c r="X23" s="22"/>
      <c r="Y23" s="149">
        <f t="shared" si="66"/>
        <v>5.2507314148888096E-2</v>
      </c>
      <c r="Z23" s="22">
        <f t="shared" si="66"/>
        <v>5.9516091127553843E-2</v>
      </c>
      <c r="AA23" s="22">
        <f t="shared" si="66"/>
        <v>3.2250731414888836E-2</v>
      </c>
      <c r="AB23" s="22">
        <f t="shared" si="66"/>
        <v>2.9743417266000709E-2</v>
      </c>
      <c r="AC23" s="158">
        <f t="shared" si="66"/>
        <v>4.3504388489332878E-2</v>
      </c>
      <c r="AD23" s="22"/>
      <c r="AE23" s="149">
        <f t="shared" si="67"/>
        <v>0.13035402158687806</v>
      </c>
      <c r="AF23" s="22">
        <f t="shared" si="67"/>
        <v>0.10951609112755382</v>
      </c>
      <c r="AG23" s="22">
        <f t="shared" si="67"/>
        <v>9.2250731414888848E-2</v>
      </c>
      <c r="AH23" s="22">
        <f t="shared" si="67"/>
        <v>9.224341726600073E-2</v>
      </c>
      <c r="AI23" s="158">
        <f t="shared" si="67"/>
        <v>0.10596498991683402</v>
      </c>
      <c r="AJ23" s="22"/>
      <c r="AK23" s="149">
        <f t="shared" si="68"/>
        <v>0.14242740500757489</v>
      </c>
      <c r="AL23" s="22">
        <f t="shared" si="68"/>
        <v>0.15749999999999997</v>
      </c>
      <c r="AM23" s="22">
        <f t="shared" si="68"/>
        <v>0.17750000000000002</v>
      </c>
      <c r="AN23" s="22">
        <f t="shared" si="68"/>
        <v>0.17250000000000001</v>
      </c>
      <c r="AO23" s="158">
        <f t="shared" si="68"/>
        <v>0.16248156654902191</v>
      </c>
      <c r="AP23" s="22"/>
      <c r="AQ23" s="149">
        <f t="shared" si="69"/>
        <v>0.14907794984093173</v>
      </c>
      <c r="AR23" s="22">
        <f t="shared" si="69"/>
        <v>0.15735635779181339</v>
      </c>
      <c r="AS23" s="22">
        <f t="shared" si="69"/>
        <v>0.1408259426970731</v>
      </c>
      <c r="AT23" s="22">
        <f t="shared" si="69"/>
        <v>8.3325942697073094E-2</v>
      </c>
      <c r="AU23" s="158">
        <f t="shared" si="69"/>
        <v>0.13277233898584737</v>
      </c>
      <c r="AV23" s="22"/>
      <c r="AW23" s="149">
        <f t="shared" si="70"/>
        <v>0.11149725227134683</v>
      </c>
      <c r="AX23" s="22">
        <f t="shared" si="70"/>
        <v>0.10185635779181337</v>
      </c>
      <c r="AY23" s="22">
        <f t="shared" si="70"/>
        <v>9.507594269707309E-2</v>
      </c>
      <c r="AZ23" s="22">
        <f t="shared" si="70"/>
        <v>6.7325942697073107E-2</v>
      </c>
      <c r="BA23" s="158">
        <f t="shared" si="70"/>
        <v>9.3938873864326602E-2</v>
      </c>
      <c r="BB23" s="22"/>
      <c r="BC23" s="149">
        <f t="shared" si="71"/>
        <v>7.7932549137391449E-2</v>
      </c>
      <c r="BD23" s="22">
        <f t="shared" si="71"/>
        <v>0.10667143537892185</v>
      </c>
      <c r="BE23" s="22">
        <f t="shared" si="71"/>
        <v>8.0346831447930533E-2</v>
      </c>
      <c r="BF23" s="22">
        <f t="shared" si="71"/>
        <v>9.7268266826852356E-2</v>
      </c>
      <c r="BG23" s="158">
        <f t="shared" si="71"/>
        <v>9.055477069777404E-2</v>
      </c>
      <c r="BH23" s="22"/>
      <c r="BI23" s="149">
        <f t="shared" si="72"/>
        <v>3.417569688180945E-2</v>
      </c>
      <c r="BJ23" s="22">
        <f t="shared" si="72"/>
        <v>6.0767405105607575E-3</v>
      </c>
      <c r="BK23" s="22">
        <f t="shared" si="72"/>
        <v>2.1365795694339162E-6</v>
      </c>
      <c r="BL23" s="22">
        <f t="shared" si="72"/>
        <v>-4.0741839870584579E-4</v>
      </c>
      <c r="BM23" s="158">
        <f t="shared" si="72"/>
        <v>9.9617888933084403E-3</v>
      </c>
      <c r="BN23" s="22"/>
      <c r="BO23" s="149">
        <f t="shared" si="73"/>
        <v>8.0203278374435694E-2</v>
      </c>
      <c r="BP23" s="22">
        <f t="shared" si="73"/>
        <v>6.706559904917872E-2</v>
      </c>
      <c r="BQ23" s="22">
        <f t="shared" si="73"/>
        <v>0.10880563170668316</v>
      </c>
      <c r="BR23" s="22">
        <f t="shared" si="73"/>
        <v>0.10372464134948606</v>
      </c>
      <c r="BS23" s="158">
        <f t="shared" si="73"/>
        <v>8.9949787619945903E-2</v>
      </c>
      <c r="BT23" s="22"/>
      <c r="BU23" s="149">
        <f t="shared" si="36"/>
        <v>0.21533301889077747</v>
      </c>
      <c r="BV23" s="22">
        <f t="shared" si="36"/>
        <v>0.22376683342061401</v>
      </c>
      <c r="BW23" s="22">
        <f t="shared" si="36"/>
        <v>0.21145359632658134</v>
      </c>
      <c r="BX23" s="22">
        <f t="shared" si="36"/>
        <v>0.18713397781735869</v>
      </c>
      <c r="BY23" s="158">
        <f t="shared" si="36"/>
        <v>0.20942185661383289</v>
      </c>
      <c r="BZ23" s="22"/>
      <c r="CA23" s="149">
        <f t="shared" si="37"/>
        <v>0.13971010514337237</v>
      </c>
      <c r="CB23" s="22">
        <f t="shared" si="37"/>
        <v>0.14810653950307423</v>
      </c>
      <c r="CC23" s="22">
        <f t="shared" si="37"/>
        <v>0.14005326975153712</v>
      </c>
      <c r="CD23" s="22">
        <f t="shared" si="37"/>
        <v>0.10948365124231443</v>
      </c>
      <c r="CE23" s="158">
        <f t="shared" si="37"/>
        <v>0.13413289987223251</v>
      </c>
      <c r="CF23" s="22"/>
      <c r="CG23" s="149">
        <f t="shared" si="38"/>
        <v>6.7565215249646648E-2</v>
      </c>
      <c r="CH23" s="22">
        <f t="shared" si="38"/>
        <v>9.3473598040440892E-2</v>
      </c>
      <c r="CI23" s="22">
        <f t="shared" si="38"/>
        <v>8.8544003265931842E-2</v>
      </c>
      <c r="CJ23" s="22">
        <f t="shared" si="38"/>
        <v>0.10474999999999998</v>
      </c>
      <c r="CK23" s="158">
        <f t="shared" si="38"/>
        <v>8.8377712601162811E-2</v>
      </c>
      <c r="CL23" s="22"/>
      <c r="CM23" s="149">
        <f t="shared" si="39"/>
        <v>8.5227998367034069E-2</v>
      </c>
      <c r="CN23" s="22">
        <f t="shared" si="39"/>
        <v>8.5473598040440885E-2</v>
      </c>
      <c r="CO23" s="22">
        <f t="shared" si="39"/>
        <v>8.7044003265931841E-2</v>
      </c>
      <c r="CP23" s="22">
        <f t="shared" si="39"/>
        <v>0.11049999999999999</v>
      </c>
      <c r="CQ23" s="158">
        <f t="shared" si="39"/>
        <v>9.2429010737561892E-2</v>
      </c>
      <c r="CR23" s="22"/>
      <c r="CS23" s="149">
        <f t="shared" si="40"/>
        <v>0.10899999999999999</v>
      </c>
      <c r="CT23" s="22">
        <f t="shared" si="40"/>
        <v>9.7000000000000003E-2</v>
      </c>
      <c r="CU23" s="22">
        <f t="shared" si="40"/>
        <v>8.9499999999999996E-2</v>
      </c>
      <c r="CV23" s="22">
        <f t="shared" si="40"/>
        <v>8.5499999999999993E-2</v>
      </c>
      <c r="CW23" s="158">
        <f t="shared" si="40"/>
        <v>9.471993283777741E-2</v>
      </c>
      <c r="CX23" s="22"/>
      <c r="CY23" s="149">
        <f t="shared" si="41"/>
        <v>0.09</v>
      </c>
      <c r="CZ23" s="22">
        <f t="shared" si="62"/>
        <v>0.08</v>
      </c>
      <c r="DA23" s="22">
        <f t="shared" si="62"/>
        <v>7.5000000000000011E-2</v>
      </c>
      <c r="DB23" s="22">
        <f t="shared" si="62"/>
        <v>6.5000000000000002E-2</v>
      </c>
      <c r="DC23" s="158">
        <f t="shared" si="62"/>
        <v>7.6736132374080196E-2</v>
      </c>
      <c r="DD23" s="22"/>
      <c r="DE23" s="149">
        <f t="shared" si="43"/>
        <v>6.9999999999999993E-2</v>
      </c>
      <c r="DF23" s="22">
        <f t="shared" si="43"/>
        <v>5.7000000000000002E-2</v>
      </c>
      <c r="DG23" s="22">
        <f t="shared" si="43"/>
        <v>7.0000000000000007E-2</v>
      </c>
      <c r="DH23" s="22">
        <f t="shared" si="43"/>
        <v>9.5000000000000001E-2</v>
      </c>
      <c r="DI23" s="158">
        <f t="shared" si="43"/>
        <v>7.3168309922237426E-2</v>
      </c>
      <c r="DJ23" s="22"/>
      <c r="DK23" s="149">
        <f t="shared" si="44"/>
        <v>9.5000000000000001E-2</v>
      </c>
      <c r="DL23" s="22">
        <f t="shared" si="44"/>
        <v>0.10200000000000001</v>
      </c>
      <c r="DM23" s="22">
        <f t="shared" si="44"/>
        <v>0.1</v>
      </c>
      <c r="DN23" s="22">
        <f t="shared" si="44"/>
        <v>0.1</v>
      </c>
      <c r="DO23" s="158">
        <f t="shared" si="44"/>
        <v>9.9124249617117494E-2</v>
      </c>
      <c r="DP23" s="22"/>
      <c r="DQ23" s="149">
        <f t="shared" si="45"/>
        <v>0.10250000000000001</v>
      </c>
      <c r="DR23" s="22">
        <f t="shared" si="45"/>
        <v>0.1275</v>
      </c>
      <c r="DS23" s="22">
        <f t="shared" si="45"/>
        <v>0.1275</v>
      </c>
      <c r="DT23" s="22">
        <f t="shared" si="45"/>
        <v>9.7500000000000003E-2</v>
      </c>
      <c r="DU23" s="158">
        <f t="shared" si="45"/>
        <v>0.11358975005039307</v>
      </c>
      <c r="DV23" s="22"/>
      <c r="DW23" s="149">
        <f t="shared" si="46"/>
        <v>0.10250000000000001</v>
      </c>
      <c r="DX23" s="22">
        <f t="shared" si="46"/>
        <v>0.10250000000000001</v>
      </c>
      <c r="DY23" s="22">
        <f t="shared" si="46"/>
        <v>0.10250000000000001</v>
      </c>
      <c r="DZ23" s="22">
        <f t="shared" si="46"/>
        <v>0.10250000000000001</v>
      </c>
      <c r="EA23" s="158">
        <f t="shared" si="46"/>
        <v>0.10250000000000001</v>
      </c>
      <c r="EB23" s="22"/>
      <c r="EC23" s="149">
        <f t="shared" si="47"/>
        <v>0.09</v>
      </c>
      <c r="ED23" s="22">
        <f t="shared" si="48"/>
        <v>0.09</v>
      </c>
      <c r="EE23" s="22">
        <f t="shared" si="49"/>
        <v>0.09</v>
      </c>
      <c r="EF23" s="22">
        <f t="shared" si="50"/>
        <v>0.09</v>
      </c>
      <c r="EG23" s="158">
        <f t="shared" si="51"/>
        <v>0.09</v>
      </c>
      <c r="EH23" s="9"/>
      <c r="EJ23" s="379" t="s">
        <v>629</v>
      </c>
      <c r="EK23" s="379"/>
      <c r="EL23" s="381">
        <f t="shared" si="63"/>
        <v>0.10899999999999999</v>
      </c>
      <c r="EM23" s="381">
        <f t="shared" si="52"/>
        <v>9.7000000000000003E-2</v>
      </c>
      <c r="EN23" s="381">
        <f t="shared" si="53"/>
        <v>8.9499999999999996E-2</v>
      </c>
      <c r="EO23" s="381">
        <f t="shared" si="54"/>
        <v>8.5499999999999993E-2</v>
      </c>
      <c r="EP23" s="381">
        <f t="shared" si="64"/>
        <v>0.09</v>
      </c>
      <c r="EQ23" s="381">
        <f t="shared" si="55"/>
        <v>0.08</v>
      </c>
      <c r="ER23" s="381">
        <f t="shared" si="56"/>
        <v>7.5000000000000011E-2</v>
      </c>
      <c r="ES23" s="381">
        <f t="shared" si="57"/>
        <v>6.5000000000000002E-2</v>
      </c>
      <c r="ET23" s="381">
        <f t="shared" si="65"/>
        <v>6.9999999999999993E-2</v>
      </c>
      <c r="EU23" s="381">
        <f t="shared" si="58"/>
        <v>5.7000000000000002E-2</v>
      </c>
      <c r="EV23" s="381">
        <f t="shared" si="59"/>
        <v>7.0000000000000007E-2</v>
      </c>
      <c r="EW23" s="381">
        <f t="shared" si="60"/>
        <v>9.5000000000000001E-2</v>
      </c>
      <c r="EX23" s="381">
        <f t="shared" si="61"/>
        <v>9.5000000000000001E-2</v>
      </c>
      <c r="EY23" s="381">
        <f t="shared" si="61"/>
        <v>0.10200000000000001</v>
      </c>
      <c r="EZ23" s="381">
        <f t="shared" si="61"/>
        <v>0.1</v>
      </c>
      <c r="FA23" s="381">
        <f t="shared" si="61"/>
        <v>0.1</v>
      </c>
    </row>
    <row r="24" spans="1:157" ht="11.25" customHeight="1" x14ac:dyDescent="0.2">
      <c r="A24" s="409" t="s">
        <v>239</v>
      </c>
      <c r="B24" s="343"/>
      <c r="C24" s="343"/>
      <c r="D24" s="343"/>
      <c r="E24" s="1060"/>
      <c r="F24" s="1061"/>
      <c r="G24" s="1060"/>
      <c r="H24" s="1061"/>
      <c r="I24" s="1060"/>
      <c r="J24" s="1061"/>
      <c r="K24" s="1060"/>
      <c r="L24" s="1061"/>
      <c r="M24" s="1062"/>
      <c r="N24" s="1063"/>
      <c r="O24" s="1063"/>
      <c r="P24" s="1063"/>
      <c r="Q24" s="1060"/>
      <c r="R24" s="1061"/>
      <c r="S24" s="1062"/>
      <c r="T24" s="1063"/>
      <c r="U24" s="1063"/>
      <c r="V24" s="1063"/>
      <c r="W24" s="1060"/>
      <c r="X24" s="1061"/>
      <c r="Y24" s="1062">
        <f t="shared" si="66"/>
        <v>5.2507314148888096E-2</v>
      </c>
      <c r="Z24" s="1063">
        <f t="shared" si="66"/>
        <v>5.9516091127553843E-2</v>
      </c>
      <c r="AA24" s="1063">
        <f t="shared" si="66"/>
        <v>3.2250731414888836E-2</v>
      </c>
      <c r="AB24" s="1063">
        <f t="shared" si="66"/>
        <v>2.9743417266000709E-2</v>
      </c>
      <c r="AC24" s="1060">
        <f t="shared" si="66"/>
        <v>4.3504388489332878E-2</v>
      </c>
      <c r="AD24" s="1061"/>
      <c r="AE24" s="1062">
        <f t="shared" si="67"/>
        <v>0.13035402158687806</v>
      </c>
      <c r="AF24" s="1063">
        <f t="shared" si="67"/>
        <v>0.10951609112755382</v>
      </c>
      <c r="AG24" s="1063">
        <f t="shared" si="67"/>
        <v>9.2250731414888848E-2</v>
      </c>
      <c r="AH24" s="1063">
        <f t="shared" si="67"/>
        <v>9.224341726600073E-2</v>
      </c>
      <c r="AI24" s="1060">
        <f t="shared" si="67"/>
        <v>0.10596498991683402</v>
      </c>
      <c r="AJ24" s="1061"/>
      <c r="AK24" s="1062">
        <f t="shared" si="68"/>
        <v>0.14566729936891604</v>
      </c>
      <c r="AL24" s="1063">
        <f t="shared" si="68"/>
        <v>0.14292075569276175</v>
      </c>
      <c r="AM24" s="1063">
        <f t="shared" si="68"/>
        <v>0.125670437749657</v>
      </c>
      <c r="AN24" s="1063">
        <f t="shared" si="68"/>
        <v>0.13506672175066356</v>
      </c>
      <c r="AO24" s="1060">
        <f t="shared" si="68"/>
        <v>0.14023856014337838</v>
      </c>
      <c r="AP24" s="1061"/>
      <c r="AQ24" s="1062">
        <f t="shared" si="69"/>
        <v>0.13975660765653994</v>
      </c>
      <c r="AR24" s="1063">
        <f t="shared" si="69"/>
        <v>0.14097993741729617</v>
      </c>
      <c r="AS24" s="1063">
        <f t="shared" si="69"/>
        <v>0.12727693912823992</v>
      </c>
      <c r="AT24" s="1063">
        <f t="shared" si="69"/>
        <v>0.10351139453978173</v>
      </c>
      <c r="AU24" s="1060">
        <f t="shared" si="69"/>
        <v>0.12831695198218188</v>
      </c>
      <c r="AV24" s="1061"/>
      <c r="AW24" s="1062">
        <f t="shared" si="70"/>
        <v>0.12745977194665054</v>
      </c>
      <c r="AX24" s="1063">
        <f t="shared" si="70"/>
        <v>0.11557442960991034</v>
      </c>
      <c r="AY24" s="1063">
        <f t="shared" si="70"/>
        <v>0.14113607246207058</v>
      </c>
      <c r="AZ24" s="1063">
        <f t="shared" si="70"/>
        <v>0.13736461148988663</v>
      </c>
      <c r="BA24" s="1060">
        <f t="shared" si="70"/>
        <v>0.12790765105727847</v>
      </c>
      <c r="BB24" s="1061"/>
      <c r="BC24" s="1062">
        <f t="shared" si="71"/>
        <v>9.3989860046805776E-2</v>
      </c>
      <c r="BD24" s="1063">
        <f t="shared" si="71"/>
        <v>0.14325482530456313</v>
      </c>
      <c r="BE24" s="1063">
        <f t="shared" si="71"/>
        <v>0.10896142711969206</v>
      </c>
      <c r="BF24" s="1063">
        <f t="shared" si="71"/>
        <v>9.302666954652318E-2</v>
      </c>
      <c r="BG24" s="1060">
        <f t="shared" si="71"/>
        <v>0.1100483591300857</v>
      </c>
      <c r="BH24" s="1061"/>
      <c r="BI24" s="1062">
        <f t="shared" si="72"/>
        <v>2.2744649278103501E-2</v>
      </c>
      <c r="BJ24" s="1063">
        <f t="shared" si="72"/>
        <v>1.7235977933632934E-2</v>
      </c>
      <c r="BK24" s="1063">
        <f t="shared" si="72"/>
        <v>-1.8401141575166792E-2</v>
      </c>
      <c r="BL24" s="1063">
        <f t="shared" si="72"/>
        <v>-1.4908852307078996E-2</v>
      </c>
      <c r="BM24" s="1060">
        <f t="shared" si="72"/>
        <v>1.0617216841956323E-3</v>
      </c>
      <c r="BN24" s="1061"/>
      <c r="BO24" s="1062">
        <f t="shared" si="73"/>
        <v>5.0307858835213701E-2</v>
      </c>
      <c r="BP24" s="1063">
        <f t="shared" si="73"/>
        <v>9.124883169981543E-3</v>
      </c>
      <c r="BQ24" s="1063">
        <f t="shared" si="73"/>
        <v>3.991159627353634E-2</v>
      </c>
      <c r="BR24" s="1063">
        <f t="shared" si="73"/>
        <v>8.0584859638182196E-2</v>
      </c>
      <c r="BS24" s="1060">
        <f t="shared" si="73"/>
        <v>4.5534645614881901E-2</v>
      </c>
      <c r="BT24" s="1061"/>
      <c r="BU24" s="1062">
        <f t="shared" si="36"/>
        <v>0.1490268023190946</v>
      </c>
      <c r="BV24" s="1063">
        <f t="shared" si="36"/>
        <v>0.15674228644891919</v>
      </c>
      <c r="BW24" s="1063">
        <f t="shared" si="36"/>
        <v>0.16225678329677562</v>
      </c>
      <c r="BX24" s="1063">
        <f t="shared" si="36"/>
        <v>0.15174915977471137</v>
      </c>
      <c r="BY24" s="1060">
        <f t="shared" si="36"/>
        <v>0.1551621870780375</v>
      </c>
      <c r="BZ24" s="1061"/>
      <c r="CA24" s="1062">
        <f t="shared" si="37"/>
        <v>9.8562919045563246E-2</v>
      </c>
      <c r="CB24" s="1063">
        <f t="shared" si="37"/>
        <v>0.12422362525020425</v>
      </c>
      <c r="CC24" s="1063">
        <f t="shared" si="37"/>
        <v>9.638835244663202E-2</v>
      </c>
      <c r="CD24" s="1063">
        <f t="shared" si="37"/>
        <v>0.10820841231722178</v>
      </c>
      <c r="CE24" s="1060">
        <f t="shared" si="37"/>
        <v>0.1081239923470409</v>
      </c>
      <c r="CF24" s="1061"/>
      <c r="CG24" s="1062">
        <f t="shared" si="38"/>
        <v>4.5581739163195634E-2</v>
      </c>
      <c r="CH24" s="1063">
        <f t="shared" si="38"/>
        <v>9.0327378995876506E-2</v>
      </c>
      <c r="CI24" s="1063">
        <f t="shared" si="38"/>
        <v>7.8917235061436219E-2</v>
      </c>
      <c r="CJ24" s="1063">
        <f t="shared" si="38"/>
        <v>9.8388000061037317E-2</v>
      </c>
      <c r="CK24" s="1060">
        <f t="shared" si="38"/>
        <v>8.0709052354566019E-2</v>
      </c>
      <c r="CL24" s="1061"/>
      <c r="CM24" s="1062">
        <f t="shared" si="39"/>
        <v>7.2875440836840832E-2</v>
      </c>
      <c r="CN24" s="1063">
        <f t="shared" si="39"/>
        <v>8.4658430954023478E-2</v>
      </c>
      <c r="CO24" s="1063">
        <f t="shared" si="39"/>
        <v>8.2158468190236977E-2</v>
      </c>
      <c r="CP24" s="1063">
        <f t="shared" si="39"/>
        <v>8.4681786178460117E-2</v>
      </c>
      <c r="CQ24" s="1060">
        <f t="shared" si="39"/>
        <v>8.1269123266458493E-2</v>
      </c>
      <c r="CR24" s="1061"/>
      <c r="CS24" s="1062">
        <f t="shared" si="40"/>
        <v>7.7859131782993168E-2</v>
      </c>
      <c r="CT24" s="1063">
        <f t="shared" si="40"/>
        <v>8.4440873414967824E-2</v>
      </c>
      <c r="CU24" s="1063">
        <f t="shared" si="40"/>
        <v>6.5117396163564684E-2</v>
      </c>
      <c r="CV24" s="1063">
        <f t="shared" si="40"/>
        <v>7.8748109295279617E-2</v>
      </c>
      <c r="CW24" s="1060">
        <f t="shared" si="40"/>
        <v>7.6613145093240714E-2</v>
      </c>
      <c r="CX24" s="1061"/>
      <c r="CY24" s="1062">
        <f t="shared" si="41"/>
        <v>6.0000000000000005E-2</v>
      </c>
      <c r="CZ24" s="1063">
        <f t="shared" si="62"/>
        <v>7.4999999999999997E-2</v>
      </c>
      <c r="DA24" s="1063">
        <f t="shared" si="62"/>
        <v>6.5000000000000002E-2</v>
      </c>
      <c r="DB24" s="1063">
        <f t="shared" si="62"/>
        <v>6.3894627844330476E-2</v>
      </c>
      <c r="DC24" s="1060">
        <f t="shared" si="62"/>
        <v>6.6049495329917204E-2</v>
      </c>
      <c r="DD24" s="1061"/>
      <c r="DE24" s="1062">
        <f t="shared" si="43"/>
        <v>5.5000000000000007E-2</v>
      </c>
      <c r="DF24" s="1063">
        <f t="shared" si="43"/>
        <v>5.1999999999999998E-2</v>
      </c>
      <c r="DG24" s="1063">
        <f t="shared" si="43"/>
        <v>6.5000000000000002E-2</v>
      </c>
      <c r="DH24" s="1063">
        <f t="shared" si="43"/>
        <v>8.5000000000000006E-2</v>
      </c>
      <c r="DI24" s="1060">
        <f t="shared" si="43"/>
        <v>6.4889336973822695E-2</v>
      </c>
      <c r="DJ24" s="1061"/>
      <c r="DK24" s="1062">
        <f t="shared" si="44"/>
        <v>8.5000000000000006E-2</v>
      </c>
      <c r="DL24" s="1063">
        <f t="shared" si="44"/>
        <v>7.0167224673510525E-2</v>
      </c>
      <c r="DM24" s="1063">
        <f t="shared" si="44"/>
        <v>7.3523033434919033E-2</v>
      </c>
      <c r="DN24" s="1063">
        <f t="shared" si="44"/>
        <v>8.7225160744833385E-2</v>
      </c>
      <c r="DO24" s="1060">
        <f t="shared" si="44"/>
        <v>7.8942928785254635E-2</v>
      </c>
      <c r="DP24" s="1061"/>
      <c r="DQ24" s="1062">
        <f t="shared" si="45"/>
        <v>8.4449301443966507E-2</v>
      </c>
      <c r="DR24" s="1063">
        <f t="shared" si="45"/>
        <v>8.7364967966495399E-2</v>
      </c>
      <c r="DS24" s="1063">
        <f t="shared" si="45"/>
        <v>8.2810757354802256E-2</v>
      </c>
      <c r="DT24" s="1063">
        <f t="shared" si="45"/>
        <v>7.1315423577815507E-2</v>
      </c>
      <c r="DU24" s="1060">
        <f t="shared" si="45"/>
        <v>8.1056279665864456E-2</v>
      </c>
      <c r="DV24" s="1061"/>
      <c r="DW24" s="1062">
        <f t="shared" si="46"/>
        <v>7.2237440212775228E-2</v>
      </c>
      <c r="DX24" s="1063">
        <f t="shared" si="46"/>
        <v>8.1988010631269814E-2</v>
      </c>
      <c r="DY24" s="1063">
        <f t="shared" si="46"/>
        <v>8.2088279018775356E-2</v>
      </c>
      <c r="DZ24" s="1063">
        <f t="shared" si="46"/>
        <v>8.1828872770483674E-2</v>
      </c>
      <c r="EA24" s="1060">
        <f t="shared" si="46"/>
        <v>7.9670044894398634E-2</v>
      </c>
      <c r="EB24" s="1061"/>
      <c r="EC24" s="1062">
        <f t="shared" si="47"/>
        <v>8.5617301614478558E-2</v>
      </c>
      <c r="ED24" s="1063">
        <f t="shared" si="48"/>
        <v>8.562229149576539E-2</v>
      </c>
      <c r="EE24" s="1063">
        <f t="shared" si="49"/>
        <v>8.5642519702325393E-2</v>
      </c>
      <c r="EF24" s="1063">
        <f t="shared" si="50"/>
        <v>8.5518753511815815E-2</v>
      </c>
      <c r="EG24" s="1060">
        <f t="shared" si="51"/>
        <v>8.5597856550820847E-2</v>
      </c>
      <c r="EH24" s="9"/>
      <c r="EJ24" s="378" t="s">
        <v>415</v>
      </c>
      <c r="EK24" s="378"/>
      <c r="EL24" s="380">
        <f t="shared" si="63"/>
        <v>7.7859131782993168E-2</v>
      </c>
      <c r="EM24" s="380">
        <f t="shared" si="52"/>
        <v>8.4440873414967824E-2</v>
      </c>
      <c r="EN24" s="380">
        <f t="shared" si="53"/>
        <v>6.5117396163564684E-2</v>
      </c>
      <c r="EO24" s="380">
        <f t="shared" si="54"/>
        <v>7.8748109295279617E-2</v>
      </c>
      <c r="EP24" s="380">
        <f t="shared" si="64"/>
        <v>6.0000000000000005E-2</v>
      </c>
      <c r="EQ24" s="380">
        <f t="shared" si="55"/>
        <v>7.4999999999999997E-2</v>
      </c>
      <c r="ER24" s="380">
        <f t="shared" si="56"/>
        <v>6.5000000000000002E-2</v>
      </c>
      <c r="ES24" s="380">
        <f t="shared" si="57"/>
        <v>6.3894627844330476E-2</v>
      </c>
      <c r="ET24" s="380">
        <f t="shared" si="65"/>
        <v>5.5000000000000007E-2</v>
      </c>
      <c r="EU24" s="380">
        <f t="shared" si="58"/>
        <v>5.1999999999999998E-2</v>
      </c>
      <c r="EV24" s="380">
        <f t="shared" si="59"/>
        <v>6.5000000000000002E-2</v>
      </c>
      <c r="EW24" s="380">
        <f t="shared" si="60"/>
        <v>8.5000000000000006E-2</v>
      </c>
      <c r="EX24" s="380">
        <f t="shared" si="61"/>
        <v>8.5000000000000006E-2</v>
      </c>
      <c r="EY24" s="380">
        <f t="shared" si="61"/>
        <v>7.0167224673510525E-2</v>
      </c>
      <c r="EZ24" s="380">
        <f t="shared" si="61"/>
        <v>7.3523033434919033E-2</v>
      </c>
      <c r="FA24" s="380">
        <f t="shared" si="61"/>
        <v>8.7225160744833385E-2</v>
      </c>
    </row>
    <row r="25" spans="1:157" ht="11.25" customHeight="1" x14ac:dyDescent="0.2">
      <c r="A25" s="2"/>
      <c r="B25" s="14"/>
      <c r="C25" s="14"/>
      <c r="D25" s="14"/>
      <c r="E25" s="69"/>
      <c r="F25" s="67"/>
      <c r="G25" s="69"/>
      <c r="H25" s="67"/>
      <c r="I25" s="69"/>
      <c r="J25" s="67"/>
      <c r="K25" s="69"/>
      <c r="L25" s="67"/>
      <c r="M25" s="69"/>
      <c r="N25" s="69"/>
      <c r="O25" s="69"/>
      <c r="P25" s="69"/>
      <c r="Q25" s="67"/>
      <c r="R25" s="67"/>
      <c r="S25" s="69"/>
      <c r="T25" s="69"/>
      <c r="U25" s="69"/>
      <c r="V25" s="69"/>
      <c r="W25" s="67"/>
      <c r="X25" s="67"/>
      <c r="Y25" s="69"/>
      <c r="Z25" s="69"/>
      <c r="AA25" s="69"/>
      <c r="AB25" s="69"/>
      <c r="AC25" s="67"/>
      <c r="AD25" s="67"/>
      <c r="AE25" s="69"/>
      <c r="AF25" s="69"/>
      <c r="AG25" s="69"/>
      <c r="AH25" s="69"/>
      <c r="AI25" s="67"/>
      <c r="AJ25" s="67"/>
      <c r="AK25" s="69"/>
      <c r="AL25" s="69"/>
      <c r="AM25" s="69"/>
      <c r="AN25" s="69"/>
      <c r="AO25" s="67"/>
      <c r="AP25" s="67"/>
      <c r="AQ25" s="69"/>
      <c r="AR25" s="69"/>
      <c r="AS25" s="69"/>
      <c r="AT25" s="69"/>
      <c r="AU25" s="67"/>
      <c r="AV25" s="67"/>
      <c r="AW25" s="69"/>
      <c r="AX25" s="69"/>
      <c r="AY25" s="69"/>
      <c r="AZ25" s="69"/>
      <c r="BA25" s="67"/>
      <c r="BB25" s="67"/>
      <c r="BC25" s="69"/>
      <c r="BD25" s="69"/>
      <c r="BE25" s="69"/>
      <c r="BF25" s="69"/>
      <c r="BG25" s="67"/>
      <c r="BH25" s="67"/>
      <c r="BI25" s="69"/>
      <c r="BJ25" s="69"/>
      <c r="BK25" s="69"/>
      <c r="BL25" s="69"/>
      <c r="BM25" s="67"/>
      <c r="BN25" s="67"/>
      <c r="BO25" s="69"/>
      <c r="BP25" s="69"/>
      <c r="BQ25" s="69"/>
      <c r="BR25" s="69"/>
      <c r="BS25" s="67"/>
      <c r="BT25" s="67"/>
      <c r="BU25" s="69"/>
      <c r="BV25" s="69"/>
      <c r="BW25" s="69"/>
      <c r="BX25" s="69"/>
      <c r="BY25" s="67"/>
      <c r="BZ25" s="67"/>
      <c r="CA25" s="69"/>
      <c r="CB25" s="69"/>
      <c r="CC25" s="69"/>
      <c r="CD25" s="69"/>
      <c r="CE25" s="67"/>
      <c r="CF25" s="67"/>
      <c r="CG25" s="69"/>
      <c r="CH25" s="69"/>
      <c r="CI25" s="69"/>
      <c r="CJ25" s="69"/>
      <c r="CK25" s="67"/>
      <c r="CL25" s="67"/>
      <c r="CM25" s="69"/>
      <c r="CN25" s="69"/>
      <c r="CO25" s="69"/>
      <c r="CP25" s="69"/>
      <c r="CQ25" s="67"/>
      <c r="CR25" s="67"/>
      <c r="CS25" s="71"/>
      <c r="CT25" s="71"/>
      <c r="CU25" s="71"/>
      <c r="CV25" s="71"/>
      <c r="CW25" s="67"/>
      <c r="CX25" s="67"/>
      <c r="CY25" s="71"/>
      <c r="CZ25" s="71"/>
      <c r="DA25" s="71"/>
      <c r="DB25" s="71"/>
      <c r="DC25" s="67"/>
      <c r="DD25" s="67"/>
      <c r="DE25" s="355"/>
      <c r="DF25" s="355"/>
      <c r="DG25" s="355"/>
      <c r="DH25" s="355"/>
      <c r="DI25" s="67"/>
      <c r="DJ25" s="67"/>
      <c r="DK25" s="355"/>
      <c r="DL25" s="355"/>
      <c r="DM25" s="355"/>
      <c r="DN25" s="355"/>
      <c r="DO25" s="67"/>
      <c r="DP25" s="67"/>
      <c r="DQ25" s="355"/>
      <c r="DR25" s="355"/>
      <c r="DS25" s="355"/>
      <c r="DT25" s="355"/>
      <c r="DU25" s="67"/>
      <c r="DV25" s="67"/>
      <c r="DW25" s="355"/>
      <c r="DX25" s="355"/>
      <c r="DY25" s="355"/>
      <c r="DZ25" s="355"/>
      <c r="EA25" s="67"/>
      <c r="EB25" s="67"/>
      <c r="EC25" s="355"/>
      <c r="ED25" s="355"/>
      <c r="EE25" s="355"/>
      <c r="EF25" s="355"/>
      <c r="EG25" s="67"/>
      <c r="EH25" s="9"/>
    </row>
    <row r="26" spans="1:157" ht="11.25" customHeight="1" x14ac:dyDescent="0.2">
      <c r="A26" s="106" t="s">
        <v>417</v>
      </c>
      <c r="B26" s="74"/>
      <c r="C26" s="74"/>
      <c r="D26" s="74"/>
      <c r="E26" s="107"/>
      <c r="F26" s="75"/>
      <c r="G26" s="107"/>
      <c r="H26" s="75"/>
      <c r="I26" s="107"/>
      <c r="J26" s="75"/>
      <c r="K26" s="107"/>
      <c r="L26" s="75"/>
      <c r="M26" s="109"/>
      <c r="N26" s="110"/>
      <c r="O26" s="110"/>
      <c r="P26" s="110"/>
      <c r="Q26" s="107"/>
      <c r="R26" s="75"/>
      <c r="S26" s="109"/>
      <c r="T26" s="110"/>
      <c r="U26" s="110"/>
      <c r="V26" s="110"/>
      <c r="W26" s="107"/>
      <c r="X26" s="75"/>
      <c r="Y26" s="109"/>
      <c r="Z26" s="110"/>
      <c r="AA26" s="110"/>
      <c r="AB26" s="110"/>
      <c r="AC26" s="107"/>
      <c r="AD26" s="75"/>
      <c r="AE26" s="109"/>
      <c r="AF26" s="110"/>
      <c r="AG26" s="110"/>
      <c r="AH26" s="110"/>
      <c r="AI26" s="107"/>
      <c r="AJ26" s="75"/>
      <c r="AK26" s="109"/>
      <c r="AL26" s="110"/>
      <c r="AM26" s="110"/>
      <c r="AN26" s="110"/>
      <c r="AO26" s="107"/>
      <c r="AP26" s="75"/>
      <c r="AQ26" s="109"/>
      <c r="AR26" s="110"/>
      <c r="AS26" s="110"/>
      <c r="AT26" s="110"/>
      <c r="AU26" s="107"/>
      <c r="AV26" s="75"/>
      <c r="AW26" s="109"/>
      <c r="AX26" s="110"/>
      <c r="AY26" s="110"/>
      <c r="AZ26" s="110"/>
      <c r="BA26" s="107"/>
      <c r="BB26" s="75"/>
      <c r="BC26" s="109"/>
      <c r="BD26" s="110"/>
      <c r="BE26" s="110"/>
      <c r="BF26" s="110"/>
      <c r="BG26" s="107"/>
      <c r="BH26" s="75"/>
      <c r="BI26" s="109"/>
      <c r="BJ26" s="110"/>
      <c r="BK26" s="110"/>
      <c r="BL26" s="110"/>
      <c r="BM26" s="107"/>
      <c r="BN26" s="75"/>
      <c r="BO26" s="109"/>
      <c r="BP26" s="110"/>
      <c r="BQ26" s="110"/>
      <c r="BR26" s="110"/>
      <c r="BS26" s="107"/>
      <c r="BT26" s="75"/>
      <c r="BU26" s="109"/>
      <c r="BV26" s="110"/>
      <c r="BW26" s="110"/>
      <c r="BX26" s="110"/>
      <c r="BY26" s="107"/>
      <c r="BZ26" s="75"/>
      <c r="CA26" s="109"/>
      <c r="CB26" s="110"/>
      <c r="CC26" s="110"/>
      <c r="CD26" s="110"/>
      <c r="CE26" s="107"/>
      <c r="CF26" s="75"/>
      <c r="CG26" s="109"/>
      <c r="CH26" s="110"/>
      <c r="CI26" s="110"/>
      <c r="CJ26" s="110"/>
      <c r="CK26" s="107"/>
      <c r="CL26" s="75"/>
      <c r="CM26" s="109"/>
      <c r="CN26" s="110"/>
      <c r="CO26" s="110"/>
      <c r="CP26" s="110"/>
      <c r="CQ26" s="107"/>
      <c r="CR26" s="75"/>
      <c r="CS26" s="109"/>
      <c r="CT26" s="110"/>
      <c r="CU26" s="110"/>
      <c r="CV26" s="110"/>
      <c r="CW26" s="107"/>
      <c r="CX26" s="75"/>
      <c r="CY26" s="109"/>
      <c r="CZ26" s="110"/>
      <c r="DA26" s="110"/>
      <c r="DB26" s="110"/>
      <c r="DC26" s="107"/>
      <c r="DD26" s="75"/>
      <c r="DE26" s="109"/>
      <c r="DF26" s="110"/>
      <c r="DG26" s="110"/>
      <c r="DH26" s="110"/>
      <c r="DI26" s="107"/>
      <c r="DJ26" s="75"/>
      <c r="DK26" s="109"/>
      <c r="DL26" s="110"/>
      <c r="DM26" s="110"/>
      <c r="DN26" s="110"/>
      <c r="DO26" s="107"/>
      <c r="DP26" s="75"/>
      <c r="DQ26" s="109"/>
      <c r="DR26" s="110"/>
      <c r="DS26" s="110"/>
      <c r="DT26" s="110"/>
      <c r="DU26" s="107"/>
      <c r="DV26" s="75"/>
      <c r="DW26" s="109"/>
      <c r="DX26" s="110"/>
      <c r="DY26" s="110"/>
      <c r="DZ26" s="110"/>
      <c r="EA26" s="107"/>
      <c r="EB26" s="75"/>
      <c r="EC26" s="109"/>
      <c r="ED26" s="110"/>
      <c r="EE26" s="110"/>
      <c r="EF26" s="110"/>
      <c r="EG26" s="107"/>
      <c r="EH26" s="9"/>
    </row>
    <row r="27" spans="1:157" ht="11.25" customHeight="1" x14ac:dyDescent="0.2">
      <c r="A27" s="128" t="s">
        <v>377</v>
      </c>
      <c r="B27" s="14"/>
      <c r="C27" s="14"/>
      <c r="D27" s="14"/>
      <c r="E27" s="213"/>
      <c r="F27" s="22"/>
      <c r="G27" s="213"/>
      <c r="H27" s="22"/>
      <c r="I27" s="213"/>
      <c r="J27" s="22"/>
      <c r="K27" s="213"/>
      <c r="L27" s="22"/>
      <c r="M27" s="413"/>
      <c r="N27" s="211"/>
      <c r="O27" s="211"/>
      <c r="P27" s="211"/>
      <c r="Q27" s="213"/>
      <c r="R27" s="22"/>
      <c r="S27" s="413"/>
      <c r="T27" s="211"/>
      <c r="U27" s="211"/>
      <c r="V27" s="211"/>
      <c r="W27" s="213"/>
      <c r="X27" s="22"/>
      <c r="Y27" s="413">
        <f>+Y19+V19</f>
        <v>0</v>
      </c>
      <c r="Z27" s="211">
        <f t="shared" ref="Z27:AB28" si="74">+Z19+Y19</f>
        <v>0</v>
      </c>
      <c r="AA27" s="211">
        <f t="shared" si="74"/>
        <v>0</v>
      </c>
      <c r="AB27" s="211">
        <f t="shared" si="74"/>
        <v>0</v>
      </c>
      <c r="AC27" s="213">
        <f t="shared" ref="AC27:AC32" si="75">AVERAGE(Y27:AB27)</f>
        <v>0</v>
      </c>
      <c r="AD27" s="22"/>
      <c r="AE27" s="413">
        <f>+AE19+AB19</f>
        <v>0</v>
      </c>
      <c r="AF27" s="211">
        <f t="shared" ref="AF27:AH28" si="76">+AF19+AE19</f>
        <v>0</v>
      </c>
      <c r="AG27" s="211">
        <f t="shared" si="76"/>
        <v>0</v>
      </c>
      <c r="AH27" s="211">
        <f t="shared" si="76"/>
        <v>0</v>
      </c>
      <c r="AI27" s="213">
        <f t="shared" ref="AI27:AI32" si="77">AVERAGE(AE27:AH27)</f>
        <v>0</v>
      </c>
      <c r="AJ27" s="22"/>
      <c r="AK27" s="413">
        <f>+AK19+AH19</f>
        <v>0</v>
      </c>
      <c r="AL27" s="211">
        <f t="shared" ref="AL27:AN28" si="78">+AL19+AK19</f>
        <v>0</v>
      </c>
      <c r="AM27" s="211">
        <f t="shared" si="78"/>
        <v>0</v>
      </c>
      <c r="AN27" s="211">
        <f t="shared" si="78"/>
        <v>0</v>
      </c>
      <c r="AO27" s="213">
        <f t="shared" ref="AO27:AO32" si="79">AVERAGE(AK27:AN27)</f>
        <v>0</v>
      </c>
      <c r="AP27" s="22"/>
      <c r="AQ27" s="413">
        <f>+AQ19+AN19</f>
        <v>0</v>
      </c>
      <c r="AR27" s="211">
        <f t="shared" ref="AR27:AT28" si="80">+AR19+AQ19</f>
        <v>0</v>
      </c>
      <c r="AS27" s="211">
        <f t="shared" si="80"/>
        <v>0</v>
      </c>
      <c r="AT27" s="211">
        <f t="shared" si="80"/>
        <v>0</v>
      </c>
      <c r="AU27" s="213">
        <f t="shared" ref="AU27:AU32" si="81">AVERAGE(AQ27:AT27)</f>
        <v>0</v>
      </c>
      <c r="AV27" s="22"/>
      <c r="AW27" s="413">
        <f>+AW19+AT19</f>
        <v>0</v>
      </c>
      <c r="AX27" s="211">
        <f t="shared" ref="AX27:AZ28" si="82">+AX19+AW19</f>
        <v>0</v>
      </c>
      <c r="AY27" s="211">
        <f t="shared" si="82"/>
        <v>0</v>
      </c>
      <c r="AZ27" s="211">
        <f t="shared" si="82"/>
        <v>0</v>
      </c>
      <c r="BA27" s="213">
        <f t="shared" ref="BA27:BA32" si="83">AVERAGE(AW27:AZ27)</f>
        <v>0</v>
      </c>
      <c r="BB27" s="22"/>
      <c r="BC27" s="413">
        <f>+BC19+AZ19</f>
        <v>0</v>
      </c>
      <c r="BD27" s="211">
        <f t="shared" ref="BD27:BF28" si="84">+BD19+BC19</f>
        <v>0</v>
      </c>
      <c r="BE27" s="211">
        <f t="shared" si="84"/>
        <v>0</v>
      </c>
      <c r="BF27" s="211">
        <f t="shared" si="84"/>
        <v>0</v>
      </c>
      <c r="BG27" s="213">
        <f t="shared" ref="BG27:BG32" si="85">AVERAGE(BC27:BF27)</f>
        <v>0</v>
      </c>
      <c r="BH27" s="22"/>
      <c r="BI27" s="413">
        <f>+BI19+BF19</f>
        <v>-2.545E-2</v>
      </c>
      <c r="BJ27" s="211">
        <f t="shared" ref="BJ27:BL28" si="86">+BJ19+BI19</f>
        <v>-5.0900000000000001E-2</v>
      </c>
      <c r="BK27" s="211">
        <f t="shared" si="86"/>
        <v>-5.0900000000000001E-2</v>
      </c>
      <c r="BL27" s="211">
        <f t="shared" si="86"/>
        <v>-5.0900000000000001E-2</v>
      </c>
      <c r="BM27" s="213">
        <f t="shared" ref="BM27:BM32" si="87">AVERAGE(BI27:BL27)</f>
        <v>-4.4537500000000001E-2</v>
      </c>
      <c r="BN27" s="22"/>
      <c r="BO27" s="413">
        <f>+BO19+BL19</f>
        <v>1.9100000000000006E-2</v>
      </c>
      <c r="BP27" s="211">
        <f t="shared" ref="BP27:BR28" si="88">+BP19+BO19</f>
        <v>8.9100000000000013E-2</v>
      </c>
      <c r="BQ27" s="211">
        <f t="shared" si="88"/>
        <v>0.11910000000000001</v>
      </c>
      <c r="BR27" s="211">
        <f t="shared" si="88"/>
        <v>0.14910000000000001</v>
      </c>
      <c r="BS27" s="213">
        <f t="shared" ref="BS27:BS32" si="89">AVERAGE(BO27:BR27)</f>
        <v>9.4100000000000017E-2</v>
      </c>
      <c r="BT27" s="22"/>
      <c r="BU27" s="413">
        <f t="shared" ref="BU27:BU32" si="90">+BU19+BR19</f>
        <v>0.20455000000000001</v>
      </c>
      <c r="BV27" s="211">
        <f t="shared" ref="BV27:BX32" si="91">+BV19+BU19</f>
        <v>0.26</v>
      </c>
      <c r="BW27" s="211">
        <f t="shared" si="91"/>
        <v>0.28000000000000003</v>
      </c>
      <c r="BX27" s="211">
        <f t="shared" si="91"/>
        <v>0.30000000000000004</v>
      </c>
      <c r="BY27" s="213">
        <f t="shared" ref="BY27:BY32" si="92">AVERAGE(BU27:BX27)</f>
        <v>0.26113750000000002</v>
      </c>
      <c r="BZ27" s="22"/>
      <c r="CA27" s="413">
        <f t="shared" ref="CA27:CA32" si="93">+CA19+BX19</f>
        <v>0.21000000000000002</v>
      </c>
      <c r="CB27" s="211">
        <f t="shared" ref="CB27:CD32" si="94">+CB19+CA19</f>
        <v>0.15</v>
      </c>
      <c r="CC27" s="211">
        <f t="shared" si="94"/>
        <v>0.11172499999999999</v>
      </c>
      <c r="CD27" s="211">
        <f t="shared" si="94"/>
        <v>0.15401500000000001</v>
      </c>
      <c r="CE27" s="213">
        <f t="shared" ref="CE27:CE32" si="95">AVERAGE(CA27:CD27)</f>
        <v>0.15643499999999999</v>
      </c>
      <c r="CF27" s="22"/>
      <c r="CG27" s="413">
        <f t="shared" ref="CG27:CG32" si="96">+CG19+CD19</f>
        <v>0.14453000000000002</v>
      </c>
      <c r="CH27" s="211">
        <f t="shared" ref="CH27:CJ32" si="97">+CH19+CG19</f>
        <v>9.239E-2</v>
      </c>
      <c r="CI27" s="211">
        <f t="shared" si="97"/>
        <v>0.12187500000000001</v>
      </c>
      <c r="CJ27" s="211">
        <f t="shared" si="97"/>
        <v>0.152425</v>
      </c>
      <c r="CK27" s="213">
        <f t="shared" ref="CK27:CK32" si="98">AVERAGE(CG27:CJ27)</f>
        <v>0.127805</v>
      </c>
      <c r="CL27" s="22"/>
      <c r="CM27" s="413">
        <f t="shared" ref="CM27:CM32" si="99">+CM19+CJ19</f>
        <v>0.17743999999999999</v>
      </c>
      <c r="CN27" s="211">
        <f t="shared" ref="CN27:CP32" si="100">+CN19+CM19</f>
        <v>0.14208999999999999</v>
      </c>
      <c r="CO27" s="211">
        <f t="shared" si="100"/>
        <v>0.16535</v>
      </c>
      <c r="CP27" s="211">
        <f t="shared" si="100"/>
        <v>0.15466000000000002</v>
      </c>
      <c r="CQ27" s="213">
        <f t="shared" ref="CQ27:CQ32" si="101">AVERAGE(CM27:CP27)</f>
        <v>0.159885</v>
      </c>
      <c r="CR27" s="22"/>
      <c r="CS27" s="413">
        <f t="shared" ref="CS27:CS32" si="102">+CS19+CP19</f>
        <v>0.14416000000000001</v>
      </c>
      <c r="CT27" s="211">
        <f t="shared" ref="CT27:CV32" si="103">+CT19+CS19</f>
        <v>0.12970000000000001</v>
      </c>
      <c r="CU27" s="211">
        <f t="shared" si="103"/>
        <v>0.1152</v>
      </c>
      <c r="CV27" s="211">
        <f t="shared" si="103"/>
        <v>0.13625000000000001</v>
      </c>
      <c r="CW27" s="213">
        <f t="shared" ref="CW27:CW32" si="104">AVERAGE(CS27:CV27)</f>
        <v>0.13132749999999999</v>
      </c>
      <c r="CX27" s="22"/>
      <c r="CY27" s="413">
        <f t="shared" ref="CY27:CY32" si="105">+CY19+CV19</f>
        <v>0.13125000000000001</v>
      </c>
      <c r="CZ27" s="211">
        <f t="shared" ref="CZ27:DB32" si="106">+CZ19+CY19</f>
        <v>0.125</v>
      </c>
      <c r="DA27" s="211">
        <f t="shared" si="106"/>
        <v>0.14499999999999999</v>
      </c>
      <c r="DB27" s="211">
        <f t="shared" si="106"/>
        <v>0.15</v>
      </c>
      <c r="DC27" s="213">
        <f t="shared" ref="DC27:DC32" si="107">AVERAGE(CY27:DB27)</f>
        <v>0.1378125</v>
      </c>
      <c r="DD27" s="22"/>
      <c r="DE27" s="413">
        <f t="shared" ref="DE27:DE32" si="108">+DE19+DB19</f>
        <v>0.14000000000000001</v>
      </c>
      <c r="DF27" s="211">
        <f>+DF19+DE19</f>
        <v>0.14700000000000002</v>
      </c>
      <c r="DG27" s="211">
        <f t="shared" ref="DG27:DH27" si="109">+DG19+DF19</f>
        <v>0.15200000000000002</v>
      </c>
      <c r="DH27" s="211">
        <f t="shared" si="109"/>
        <v>0.17499999999999999</v>
      </c>
      <c r="DI27" s="213">
        <f t="shared" ref="DI27:DI32" si="110">AVERAGE(DE27:DH27)</f>
        <v>0.15350000000000003</v>
      </c>
      <c r="DJ27" s="22"/>
      <c r="DK27" s="413">
        <f t="shared" ref="DK27:DK32" si="111">+DK19+DH19</f>
        <v>0.19</v>
      </c>
      <c r="DL27" s="211">
        <f>+DL19+DK19</f>
        <v>0.17699999999999999</v>
      </c>
      <c r="DM27" s="211">
        <f t="shared" ref="DM27:DN27" si="112">+DM19+DL19</f>
        <v>0.17699999999999999</v>
      </c>
      <c r="DN27" s="211">
        <f t="shared" si="112"/>
        <v>0.19</v>
      </c>
      <c r="DO27" s="213">
        <f t="shared" ref="DO27:DO32" si="113">AVERAGE(DK27:DN27)</f>
        <v>0.1835</v>
      </c>
      <c r="DP27" s="22"/>
      <c r="DQ27" s="413">
        <f t="shared" ref="DQ27:DQ32" si="114">+DQ19+DN19</f>
        <v>0.19500000000000001</v>
      </c>
      <c r="DR27" s="211">
        <f>+DR19+DQ19</f>
        <v>0.185</v>
      </c>
      <c r="DS27" s="211">
        <f t="shared" ref="DS27:DT27" si="115">+DS19+DR19</f>
        <v>0.18</v>
      </c>
      <c r="DT27" s="211">
        <f t="shared" si="115"/>
        <v>0.16500000000000001</v>
      </c>
      <c r="DU27" s="213">
        <f t="shared" ref="DU27" si="116">AVERAGE(DQ27:DT27)</f>
        <v>0.18125000000000002</v>
      </c>
      <c r="DV27" s="22"/>
      <c r="DW27" s="413">
        <f t="shared" ref="DW27:DW32" si="117">+DW19+DT19</f>
        <v>0.15500000000000003</v>
      </c>
      <c r="DX27" s="211">
        <f t="shared" ref="DX27:DZ32" si="118">+DX19+DW19</f>
        <v>0.16</v>
      </c>
      <c r="DY27" s="211">
        <f t="shared" si="118"/>
        <v>0.16</v>
      </c>
      <c r="DZ27" s="211">
        <f t="shared" si="118"/>
        <v>0.16</v>
      </c>
      <c r="EA27" s="213">
        <f t="shared" ref="EA27:EA32" si="119">AVERAGE(DW27:DZ27)</f>
        <v>0.15875000000000003</v>
      </c>
      <c r="EB27" s="22"/>
      <c r="EC27" s="413">
        <f t="shared" ref="EC27:EC32" si="120">+EC19+DZ19</f>
        <v>0.16</v>
      </c>
      <c r="ED27" s="211">
        <f t="shared" ref="ED27:ED32" si="121">+ED19+EC19</f>
        <v>0.16</v>
      </c>
      <c r="EE27" s="211">
        <f t="shared" ref="EE27:EE32" si="122">+EE19+ED19</f>
        <v>0.16</v>
      </c>
      <c r="EF27" s="211">
        <f t="shared" ref="EF27:EF32" si="123">+EF19+EE19</f>
        <v>0.16</v>
      </c>
      <c r="EG27" s="213">
        <f t="shared" ref="EG27:EG32" si="124">AVERAGE(EC27:EF27)</f>
        <v>0.16</v>
      </c>
      <c r="EH27" s="9"/>
    </row>
    <row r="28" spans="1:157" ht="11.25" customHeight="1" x14ac:dyDescent="0.2">
      <c r="A28" s="51" t="s">
        <v>115</v>
      </c>
      <c r="B28" s="14"/>
      <c r="C28" s="14"/>
      <c r="D28" s="14"/>
      <c r="E28" s="158"/>
      <c r="F28" s="22"/>
      <c r="G28" s="158"/>
      <c r="H28" s="22"/>
      <c r="I28" s="158"/>
      <c r="J28" s="22"/>
      <c r="K28" s="158"/>
      <c r="L28" s="22"/>
      <c r="M28" s="149"/>
      <c r="N28" s="22"/>
      <c r="O28" s="22"/>
      <c r="P28" s="22"/>
      <c r="Q28" s="158"/>
      <c r="R28" s="22"/>
      <c r="S28" s="149"/>
      <c r="T28" s="22"/>
      <c r="U28" s="22"/>
      <c r="V28" s="22"/>
      <c r="W28" s="158"/>
      <c r="X28" s="22"/>
      <c r="Y28" s="149">
        <f>+Y20+V20</f>
        <v>0</v>
      </c>
      <c r="Z28" s="22">
        <f t="shared" si="74"/>
        <v>0</v>
      </c>
      <c r="AA28" s="22">
        <f t="shared" si="74"/>
        <v>0</v>
      </c>
      <c r="AB28" s="22">
        <f t="shared" si="74"/>
        <v>0</v>
      </c>
      <c r="AC28" s="158">
        <f t="shared" si="75"/>
        <v>0</v>
      </c>
      <c r="AD28" s="22"/>
      <c r="AE28" s="149">
        <f>+AE20+AB20</f>
        <v>0</v>
      </c>
      <c r="AF28" s="22">
        <f t="shared" si="76"/>
        <v>0</v>
      </c>
      <c r="AG28" s="22">
        <f t="shared" si="76"/>
        <v>0</v>
      </c>
      <c r="AH28" s="22">
        <f t="shared" si="76"/>
        <v>0</v>
      </c>
      <c r="AI28" s="158">
        <f t="shared" si="77"/>
        <v>0</v>
      </c>
      <c r="AJ28" s="22"/>
      <c r="AK28" s="149">
        <f>+AK20+AH20</f>
        <v>0.04</v>
      </c>
      <c r="AL28" s="22">
        <f t="shared" si="78"/>
        <v>0.08</v>
      </c>
      <c r="AM28" s="22">
        <f t="shared" si="78"/>
        <v>0.08</v>
      </c>
      <c r="AN28" s="22">
        <f t="shared" si="78"/>
        <v>0.08</v>
      </c>
      <c r="AO28" s="158">
        <f t="shared" si="79"/>
        <v>7.0000000000000007E-2</v>
      </c>
      <c r="AP28" s="22"/>
      <c r="AQ28" s="149">
        <f>+AQ20+AN20</f>
        <v>0.24000000000000002</v>
      </c>
      <c r="AR28" s="22">
        <f t="shared" si="80"/>
        <v>0.4</v>
      </c>
      <c r="AS28" s="22">
        <f t="shared" si="80"/>
        <v>0.4</v>
      </c>
      <c r="AT28" s="22">
        <f t="shared" si="80"/>
        <v>0.4</v>
      </c>
      <c r="AU28" s="158">
        <f t="shared" si="81"/>
        <v>0.36</v>
      </c>
      <c r="AV28" s="22"/>
      <c r="AW28" s="149">
        <f>+AW20+AT20</f>
        <v>0.36</v>
      </c>
      <c r="AX28" s="22">
        <f t="shared" si="82"/>
        <v>0.32</v>
      </c>
      <c r="AY28" s="22">
        <f t="shared" si="82"/>
        <v>0.32</v>
      </c>
      <c r="AZ28" s="22">
        <f t="shared" si="82"/>
        <v>0.32</v>
      </c>
      <c r="BA28" s="158">
        <f t="shared" si="83"/>
        <v>0.33</v>
      </c>
      <c r="BB28" s="22"/>
      <c r="BC28" s="149">
        <f>+BC20+AZ20</f>
        <v>0.16</v>
      </c>
      <c r="BD28" s="22">
        <f t="shared" si="84"/>
        <v>0</v>
      </c>
      <c r="BE28" s="22">
        <f t="shared" si="84"/>
        <v>0</v>
      </c>
      <c r="BF28" s="22">
        <f t="shared" si="84"/>
        <v>0</v>
      </c>
      <c r="BG28" s="158">
        <f t="shared" si="85"/>
        <v>0.04</v>
      </c>
      <c r="BH28" s="22"/>
      <c r="BI28" s="149">
        <f>+BI20+BF20</f>
        <v>0.05</v>
      </c>
      <c r="BJ28" s="22">
        <f t="shared" si="86"/>
        <v>0.1</v>
      </c>
      <c r="BK28" s="22">
        <f t="shared" si="86"/>
        <v>0.1</v>
      </c>
      <c r="BL28" s="22">
        <f t="shared" si="86"/>
        <v>0.1</v>
      </c>
      <c r="BM28" s="158">
        <f t="shared" si="87"/>
        <v>8.7499999999999994E-2</v>
      </c>
      <c r="BN28" s="22"/>
      <c r="BO28" s="149">
        <f>+BO20+BL20</f>
        <v>0.18</v>
      </c>
      <c r="BP28" s="22">
        <f t="shared" si="88"/>
        <v>0.26</v>
      </c>
      <c r="BQ28" s="22">
        <f t="shared" si="88"/>
        <v>0.27</v>
      </c>
      <c r="BR28" s="22">
        <f t="shared" si="88"/>
        <v>0.28000000000000003</v>
      </c>
      <c r="BS28" s="158">
        <f t="shared" si="89"/>
        <v>0.2475</v>
      </c>
      <c r="BT28" s="22"/>
      <c r="BU28" s="149">
        <f t="shared" si="90"/>
        <v>0.31</v>
      </c>
      <c r="BV28" s="22">
        <f t="shared" si="91"/>
        <v>0.33999999999999997</v>
      </c>
      <c r="BW28" s="22">
        <f t="shared" si="91"/>
        <v>0.33999999999999997</v>
      </c>
      <c r="BX28" s="22">
        <f t="shared" si="91"/>
        <v>0.33999999999999997</v>
      </c>
      <c r="BY28" s="158">
        <f t="shared" si="92"/>
        <v>0.33249999999999996</v>
      </c>
      <c r="BZ28" s="22"/>
      <c r="CA28" s="149">
        <f t="shared" si="93"/>
        <v>0.31</v>
      </c>
      <c r="CB28" s="22">
        <f t="shared" si="94"/>
        <v>0.28000000000000003</v>
      </c>
      <c r="CC28" s="22">
        <f t="shared" si="94"/>
        <v>0.27</v>
      </c>
      <c r="CD28" s="22">
        <f t="shared" si="94"/>
        <v>0.27</v>
      </c>
      <c r="CE28" s="158">
        <f t="shared" si="95"/>
        <v>0.28250000000000003</v>
      </c>
      <c r="CF28" s="22"/>
      <c r="CG28" s="149">
        <f t="shared" si="96"/>
        <v>0.22000000000000003</v>
      </c>
      <c r="CH28" s="22">
        <f t="shared" si="97"/>
        <v>0.18381999999999998</v>
      </c>
      <c r="CI28" s="22">
        <f t="shared" si="97"/>
        <v>0.20672000000000001</v>
      </c>
      <c r="CJ28" s="22">
        <f t="shared" si="97"/>
        <v>0.20290000000000002</v>
      </c>
      <c r="CK28" s="158">
        <f t="shared" si="98"/>
        <v>0.20336000000000004</v>
      </c>
      <c r="CL28" s="22"/>
      <c r="CM28" s="149">
        <f t="shared" si="99"/>
        <v>0.1615</v>
      </c>
      <c r="CN28" s="22">
        <f t="shared" si="100"/>
        <v>0.16971999999999998</v>
      </c>
      <c r="CO28" s="22">
        <f t="shared" si="100"/>
        <v>0.19612000000000002</v>
      </c>
      <c r="CP28" s="22">
        <f t="shared" si="100"/>
        <v>0.17948</v>
      </c>
      <c r="CQ28" s="158">
        <f t="shared" si="101"/>
        <v>0.17670499999999997</v>
      </c>
      <c r="CR28" s="22"/>
      <c r="CS28" s="149">
        <f t="shared" si="102"/>
        <v>0.16308</v>
      </c>
      <c r="CT28" s="22">
        <f t="shared" si="103"/>
        <v>0.18090000000000001</v>
      </c>
      <c r="CU28" s="22">
        <f t="shared" si="103"/>
        <v>0.1744</v>
      </c>
      <c r="CV28" s="22">
        <f t="shared" si="103"/>
        <v>0.15157999999999999</v>
      </c>
      <c r="CW28" s="158">
        <f t="shared" si="104"/>
        <v>0.16749000000000003</v>
      </c>
      <c r="CX28" s="22"/>
      <c r="CY28" s="149">
        <f t="shared" si="105"/>
        <v>0.15157999999999999</v>
      </c>
      <c r="CZ28" s="22">
        <f t="shared" si="106"/>
        <v>0.14000000000000001</v>
      </c>
      <c r="DA28" s="22">
        <f t="shared" si="106"/>
        <v>0.14000000000000001</v>
      </c>
      <c r="DB28" s="22">
        <f t="shared" si="106"/>
        <v>0.125</v>
      </c>
      <c r="DC28" s="158">
        <f t="shared" si="107"/>
        <v>0.13914500000000002</v>
      </c>
      <c r="DD28" s="22"/>
      <c r="DE28" s="149">
        <f t="shared" si="108"/>
        <v>0.115</v>
      </c>
      <c r="DF28" s="22">
        <f t="shared" ref="DF28:DH28" si="125">+DF20+DE20</f>
        <v>0.10200000000000001</v>
      </c>
      <c r="DG28" s="22">
        <f t="shared" si="125"/>
        <v>0.122</v>
      </c>
      <c r="DH28" s="22">
        <f t="shared" si="125"/>
        <v>0.15999999999999998</v>
      </c>
      <c r="DI28" s="158">
        <f t="shared" si="110"/>
        <v>0.12475</v>
      </c>
      <c r="DJ28" s="22"/>
      <c r="DK28" s="149">
        <f t="shared" si="111"/>
        <v>0.21</v>
      </c>
      <c r="DL28" s="22">
        <f t="shared" ref="DL28:DN28" si="126">+DL20+DK20</f>
        <v>0.20700000000000002</v>
      </c>
      <c r="DM28" s="22">
        <f t="shared" si="126"/>
        <v>0.16200000000000001</v>
      </c>
      <c r="DN28" s="22">
        <f t="shared" si="126"/>
        <v>0.16999999999999998</v>
      </c>
      <c r="DO28" s="158">
        <f t="shared" si="113"/>
        <v>0.18725000000000003</v>
      </c>
      <c r="DP28" s="22"/>
      <c r="DQ28" s="149">
        <f t="shared" si="114"/>
        <v>0.185</v>
      </c>
      <c r="DR28" s="22">
        <f t="shared" ref="DR28:DT28" si="127">+DR20+DQ20</f>
        <v>0.18</v>
      </c>
      <c r="DS28" s="22">
        <f t="shared" si="127"/>
        <v>0.155</v>
      </c>
      <c r="DT28" s="22">
        <f t="shared" si="127"/>
        <v>0.13</v>
      </c>
      <c r="DU28" s="158">
        <f t="shared" ref="DU28:DU32" si="128">AVERAGE(DQ28:DT28)</f>
        <v>0.16250000000000001</v>
      </c>
      <c r="DV28" s="22"/>
      <c r="DW28" s="149">
        <f t="shared" si="117"/>
        <v>0.11</v>
      </c>
      <c r="DX28" s="22">
        <f t="shared" si="118"/>
        <v>0.13</v>
      </c>
      <c r="DY28" s="22">
        <f t="shared" si="118"/>
        <v>0.16</v>
      </c>
      <c r="DZ28" s="22">
        <f t="shared" si="118"/>
        <v>0.16</v>
      </c>
      <c r="EA28" s="158">
        <f t="shared" si="119"/>
        <v>0.14000000000000001</v>
      </c>
      <c r="EB28" s="22"/>
      <c r="EC28" s="149">
        <f t="shared" si="120"/>
        <v>0.18</v>
      </c>
      <c r="ED28" s="22">
        <f t="shared" si="121"/>
        <v>0.2</v>
      </c>
      <c r="EE28" s="22">
        <f t="shared" si="122"/>
        <v>0.2</v>
      </c>
      <c r="EF28" s="22">
        <f t="shared" si="123"/>
        <v>0.2</v>
      </c>
      <c r="EG28" s="158">
        <f t="shared" si="124"/>
        <v>0.19500000000000001</v>
      </c>
      <c r="EH28" s="9"/>
    </row>
    <row r="29" spans="1:157" ht="11.25" hidden="1" customHeight="1" outlineLevel="1" x14ac:dyDescent="0.2">
      <c r="A29" s="51" t="s">
        <v>644</v>
      </c>
      <c r="B29" s="14"/>
      <c r="C29" s="14"/>
      <c r="D29" s="14"/>
      <c r="E29" s="158"/>
      <c r="F29" s="22"/>
      <c r="G29" s="158"/>
      <c r="H29" s="22"/>
      <c r="I29" s="158"/>
      <c r="J29" s="22"/>
      <c r="K29" s="158"/>
      <c r="L29" s="22"/>
      <c r="M29" s="149"/>
      <c r="N29" s="22"/>
      <c r="O29" s="22"/>
      <c r="P29" s="22"/>
      <c r="Q29" s="158"/>
      <c r="R29" s="22"/>
      <c r="S29" s="149"/>
      <c r="T29" s="22"/>
      <c r="U29" s="22"/>
      <c r="V29" s="22"/>
      <c r="W29" s="158"/>
      <c r="X29" s="22"/>
      <c r="Y29" s="149"/>
      <c r="Z29" s="22"/>
      <c r="AA29" s="22"/>
      <c r="AB29" s="22"/>
      <c r="AC29" s="158"/>
      <c r="AD29" s="22"/>
      <c r="AE29" s="149"/>
      <c r="AF29" s="22"/>
      <c r="AG29" s="22"/>
      <c r="AH29" s="22"/>
      <c r="AI29" s="158"/>
      <c r="AJ29" s="22"/>
      <c r="AK29" s="149"/>
      <c r="AL29" s="22"/>
      <c r="AM29" s="22"/>
      <c r="AN29" s="22"/>
      <c r="AO29" s="158"/>
      <c r="AP29" s="22"/>
      <c r="AQ29" s="149"/>
      <c r="AR29" s="22"/>
      <c r="AS29" s="22"/>
      <c r="AT29" s="22"/>
      <c r="AU29" s="158"/>
      <c r="AV29" s="22"/>
      <c r="AW29" s="149"/>
      <c r="AX29" s="22"/>
      <c r="AY29" s="22"/>
      <c r="AZ29" s="22"/>
      <c r="BA29" s="158"/>
      <c r="BB29" s="22"/>
      <c r="BC29" s="149"/>
      <c r="BD29" s="22"/>
      <c r="BE29" s="22"/>
      <c r="BF29" s="22"/>
      <c r="BG29" s="158"/>
      <c r="BH29" s="22"/>
      <c r="BI29" s="149"/>
      <c r="BJ29" s="22"/>
      <c r="BK29" s="22"/>
      <c r="BL29" s="22"/>
      <c r="BM29" s="158"/>
      <c r="BN29" s="22"/>
      <c r="BO29" s="149"/>
      <c r="BP29" s="22"/>
      <c r="BQ29" s="22"/>
      <c r="BR29" s="22"/>
      <c r="BS29" s="158" t="e">
        <f t="shared" ref="BS29" si="129">AVERAGE(BO29:BR29)</f>
        <v>#DIV/0!</v>
      </c>
      <c r="BT29" s="22"/>
      <c r="BU29" s="149">
        <f t="shared" si="90"/>
        <v>0.09</v>
      </c>
      <c r="BV29" s="22">
        <f t="shared" si="91"/>
        <v>0.18</v>
      </c>
      <c r="BW29" s="22">
        <f t="shared" si="91"/>
        <v>0.16999999999999998</v>
      </c>
      <c r="BX29" s="22">
        <f t="shared" si="91"/>
        <v>0.16</v>
      </c>
      <c r="BY29" s="158">
        <f t="shared" ref="BY29" si="130">AVERAGE(BU29:BX29)</f>
        <v>0.15</v>
      </c>
      <c r="BZ29" s="22"/>
      <c r="CA29" s="149">
        <f t="shared" si="93"/>
        <v>0.22000000000000003</v>
      </c>
      <c r="CB29" s="22">
        <f t="shared" si="94"/>
        <v>0.28000000000000003</v>
      </c>
      <c r="CC29" s="22">
        <f t="shared" si="94"/>
        <v>0.27</v>
      </c>
      <c r="CD29" s="22">
        <f t="shared" si="94"/>
        <v>0.27</v>
      </c>
      <c r="CE29" s="158">
        <f t="shared" ref="CE29" si="131">AVERAGE(CA29:CD29)</f>
        <v>0.26</v>
      </c>
      <c r="CF29" s="22"/>
      <c r="CG29" s="149">
        <f t="shared" si="96"/>
        <v>0.22000000000000003</v>
      </c>
      <c r="CH29" s="22">
        <f t="shared" si="97"/>
        <v>0.18381999999999998</v>
      </c>
      <c r="CI29" s="22">
        <f t="shared" si="97"/>
        <v>0.20672000000000001</v>
      </c>
      <c r="CJ29" s="22">
        <f t="shared" si="97"/>
        <v>0.20290000000000002</v>
      </c>
      <c r="CK29" s="158">
        <f t="shared" ref="CK29" si="132">AVERAGE(CG29:CJ29)</f>
        <v>0.20336000000000004</v>
      </c>
      <c r="CL29" s="22"/>
      <c r="CM29" s="149">
        <f t="shared" si="99"/>
        <v>0.1615</v>
      </c>
      <c r="CN29" s="22">
        <f t="shared" si="100"/>
        <v>0.16971999999999998</v>
      </c>
      <c r="CO29" s="22">
        <f t="shared" si="100"/>
        <v>0.19612000000000002</v>
      </c>
      <c r="CP29" s="22">
        <f t="shared" si="100"/>
        <v>0.17948</v>
      </c>
      <c r="CQ29" s="158">
        <f t="shared" ref="CQ29" si="133">AVERAGE(CM29:CP29)</f>
        <v>0.17670499999999997</v>
      </c>
      <c r="CR29" s="22"/>
      <c r="CS29" s="149">
        <f t="shared" si="102"/>
        <v>0.16308</v>
      </c>
      <c r="CT29" s="22">
        <f t="shared" si="103"/>
        <v>0.18090000000000001</v>
      </c>
      <c r="CU29" s="22">
        <f t="shared" si="103"/>
        <v>0.1744</v>
      </c>
      <c r="CV29" s="22">
        <f t="shared" si="103"/>
        <v>0.15157999999999999</v>
      </c>
      <c r="CW29" s="158">
        <f t="shared" ref="CW29" si="134">AVERAGE(CS29:CV29)</f>
        <v>0.16749000000000003</v>
      </c>
      <c r="CX29" s="22"/>
      <c r="CY29" s="149">
        <f t="shared" si="105"/>
        <v>0.15157999999999999</v>
      </c>
      <c r="CZ29" s="22">
        <f t="shared" si="106"/>
        <v>0.14000000000000001</v>
      </c>
      <c r="DA29" s="22">
        <f t="shared" si="106"/>
        <v>0.14000000000000001</v>
      </c>
      <c r="DB29" s="22">
        <f t="shared" si="106"/>
        <v>0.125</v>
      </c>
      <c r="DC29" s="158">
        <f t="shared" ref="DC29" si="135">AVERAGE(CY29:DB29)</f>
        <v>0.13914500000000002</v>
      </c>
      <c r="DD29" s="22"/>
      <c r="DE29" s="149">
        <f t="shared" si="108"/>
        <v>0.115</v>
      </c>
      <c r="DF29" s="22">
        <f t="shared" ref="DF29" si="136">+DF21+DE21</f>
        <v>0.10200000000000001</v>
      </c>
      <c r="DG29" s="22">
        <f t="shared" ref="DG29" si="137">+DG21+DF21</f>
        <v>0.122</v>
      </c>
      <c r="DH29" s="22">
        <f t="shared" ref="DH29" si="138">+DH21+DG21</f>
        <v>0.14566715311298928</v>
      </c>
      <c r="DI29" s="158">
        <f t="shared" ref="DI29" si="139">AVERAGE(DE29:DH29)</f>
        <v>0.12116678827824733</v>
      </c>
      <c r="DJ29" s="22"/>
      <c r="DK29" s="149">
        <f t="shared" si="111"/>
        <v>0.1339635357833287</v>
      </c>
      <c r="DL29" s="22">
        <f t="shared" ref="DL29" si="140">+DL21+DK21</f>
        <v>0.11214209731069219</v>
      </c>
      <c r="DM29" s="22">
        <f t="shared" ref="DM29" si="141">+DM21+DL21</f>
        <v>0.11535997715692431</v>
      </c>
      <c r="DN29" s="22">
        <f t="shared" ref="DN29" si="142">+DN21+DM21</f>
        <v>0.16207486468155705</v>
      </c>
      <c r="DO29" s="158">
        <f t="shared" ref="DO29" si="143">AVERAGE(DK29:DN29)</f>
        <v>0.13088511873312556</v>
      </c>
      <c r="DP29" s="22"/>
      <c r="DQ29" s="149">
        <f t="shared" si="114"/>
        <v>0.19226641824177082</v>
      </c>
      <c r="DR29" s="22">
        <f t="shared" ref="DR29" si="144">+DR21+DQ21</f>
        <v>0.17000029583168241</v>
      </c>
      <c r="DS29" s="22">
        <f t="shared" ref="DS29" si="145">+DS21+DR21</f>
        <v>0.11790865419949736</v>
      </c>
      <c r="DT29" s="22">
        <f t="shared" ref="DT29" si="146">+DT21+DS21</f>
        <v>0.12321105310582814</v>
      </c>
      <c r="DU29" s="158">
        <f t="shared" ref="DU29" si="147">AVERAGE(DQ29:DT29)</f>
        <v>0.15084660534469468</v>
      </c>
      <c r="DV29" s="22"/>
      <c r="DW29" s="149">
        <f t="shared" si="117"/>
        <v>0.17845574555811083</v>
      </c>
      <c r="DX29" s="22">
        <f t="shared" si="118"/>
        <v>0.17881259476519951</v>
      </c>
      <c r="DY29" s="22">
        <f t="shared" si="118"/>
        <v>0.12353106900149857</v>
      </c>
      <c r="DZ29" s="22">
        <f t="shared" si="118"/>
        <v>9.8275791690535907E-2</v>
      </c>
      <c r="EA29" s="158">
        <f t="shared" ref="EA29" si="148">AVERAGE(DW29:DZ29)</f>
        <v>0.14476880025383621</v>
      </c>
      <c r="EB29" s="22"/>
      <c r="EC29" s="149">
        <f t="shared" si="120"/>
        <v>0.11984089046913793</v>
      </c>
      <c r="ED29" s="22">
        <f t="shared" si="121"/>
        <v>0.12436077844671911</v>
      </c>
      <c r="EE29" s="22">
        <f t="shared" si="122"/>
        <v>0.11310439151050078</v>
      </c>
      <c r="EF29" s="22">
        <f t="shared" si="123"/>
        <v>0.10822887555397331</v>
      </c>
      <c r="EG29" s="158">
        <f t="shared" si="124"/>
        <v>0.11638373399508278</v>
      </c>
      <c r="EH29" s="9"/>
    </row>
    <row r="30" spans="1:157" ht="11.25" customHeight="1" collapsed="1" x14ac:dyDescent="0.2">
      <c r="A30" s="51" t="s">
        <v>163</v>
      </c>
      <c r="B30" s="14"/>
      <c r="C30" s="14"/>
      <c r="D30" s="14"/>
      <c r="E30" s="158"/>
      <c r="F30" s="22"/>
      <c r="G30" s="158"/>
      <c r="H30" s="22"/>
      <c r="I30" s="158"/>
      <c r="J30" s="22"/>
      <c r="K30" s="158"/>
      <c r="L30" s="22"/>
      <c r="M30" s="149"/>
      <c r="N30" s="22"/>
      <c r="O30" s="22"/>
      <c r="P30" s="22"/>
      <c r="Q30" s="158"/>
      <c r="R30" s="22"/>
      <c r="S30" s="149"/>
      <c r="T30" s="22"/>
      <c r="U30" s="22"/>
      <c r="V30" s="22"/>
      <c r="W30" s="158"/>
      <c r="X30" s="22"/>
      <c r="Y30" s="149">
        <f>+Y22+V22</f>
        <v>0</v>
      </c>
      <c r="Z30" s="22">
        <f t="shared" ref="Z30:AB32" si="149">+Z22+Y22</f>
        <v>0</v>
      </c>
      <c r="AA30" s="22">
        <f t="shared" si="149"/>
        <v>0</v>
      </c>
      <c r="AB30" s="22">
        <f t="shared" si="149"/>
        <v>0</v>
      </c>
      <c r="AC30" s="158">
        <f t="shared" si="75"/>
        <v>0</v>
      </c>
      <c r="AD30" s="22"/>
      <c r="AE30" s="149">
        <f>+AE22+AB22</f>
        <v>0</v>
      </c>
      <c r="AF30" s="22">
        <f t="shared" ref="AF30:AH32" si="150">+AF22+AE22</f>
        <v>0</v>
      </c>
      <c r="AG30" s="22">
        <f t="shared" si="150"/>
        <v>0</v>
      </c>
      <c r="AH30" s="22">
        <f t="shared" si="150"/>
        <v>0</v>
      </c>
      <c r="AI30" s="158">
        <f t="shared" si="77"/>
        <v>0</v>
      </c>
      <c r="AJ30" s="22"/>
      <c r="AK30" s="149">
        <f>+AK22+AH22</f>
        <v>0.04</v>
      </c>
      <c r="AL30" s="22">
        <f t="shared" ref="AL30:AN32" si="151">+AL22+AK22</f>
        <v>0.08</v>
      </c>
      <c r="AM30" s="22">
        <f t="shared" si="151"/>
        <v>0.03</v>
      </c>
      <c r="AN30" s="22">
        <f t="shared" si="151"/>
        <v>0.01</v>
      </c>
      <c r="AO30" s="158">
        <f t="shared" si="79"/>
        <v>0.04</v>
      </c>
      <c r="AP30" s="22"/>
      <c r="AQ30" s="149">
        <f>+AQ22+AN22</f>
        <v>0.11</v>
      </c>
      <c r="AR30" s="22">
        <f t="shared" ref="AR30:AT32" si="152">+AR22+AQ22</f>
        <v>0.18</v>
      </c>
      <c r="AS30" s="22">
        <f t="shared" si="152"/>
        <v>0.18</v>
      </c>
      <c r="AT30" s="22">
        <f t="shared" si="152"/>
        <v>0.20500000000000002</v>
      </c>
      <c r="AU30" s="158">
        <f t="shared" si="81"/>
        <v>0.16875000000000001</v>
      </c>
      <c r="AV30" s="22"/>
      <c r="AW30" s="149">
        <f>+AW22+AT22</f>
        <v>0.21500000000000002</v>
      </c>
      <c r="AX30" s="22">
        <f t="shared" ref="AX30:AZ32" si="153">+AX22+AW22</f>
        <v>0.2</v>
      </c>
      <c r="AY30" s="22">
        <f t="shared" si="153"/>
        <v>0.25</v>
      </c>
      <c r="AZ30" s="22">
        <f t="shared" si="153"/>
        <v>0.29500000000000004</v>
      </c>
      <c r="BA30" s="158">
        <f t="shared" si="83"/>
        <v>0.24000000000000002</v>
      </c>
      <c r="BB30" s="22"/>
      <c r="BC30" s="149">
        <f>+BC22+AZ22</f>
        <v>0.2</v>
      </c>
      <c r="BD30" s="22">
        <f t="shared" ref="BD30:BF32" si="154">+BD22+BC22</f>
        <v>0.11</v>
      </c>
      <c r="BE30" s="22">
        <f t="shared" si="154"/>
        <v>0.11</v>
      </c>
      <c r="BF30" s="22">
        <f t="shared" si="154"/>
        <v>0.11</v>
      </c>
      <c r="BG30" s="158">
        <f t="shared" si="85"/>
        <v>0.13250000000000001</v>
      </c>
      <c r="BH30" s="22"/>
      <c r="BI30" s="149">
        <f>+BI22+BF22</f>
        <v>9.999999999999995E-3</v>
      </c>
      <c r="BJ30" s="22">
        <f t="shared" ref="BJ30:BL32" si="155">+BJ22+BI22</f>
        <v>-0.15</v>
      </c>
      <c r="BK30" s="22">
        <f t="shared" si="155"/>
        <v>-0.22999999999999998</v>
      </c>
      <c r="BL30" s="22">
        <f t="shared" si="155"/>
        <v>-0.16</v>
      </c>
      <c r="BM30" s="158">
        <f t="shared" si="87"/>
        <v>-0.13250000000000001</v>
      </c>
      <c r="BN30" s="22"/>
      <c r="BO30" s="149">
        <f>+BO22+BL22</f>
        <v>-6.5000000000000002E-2</v>
      </c>
      <c r="BP30" s="22">
        <f t="shared" ref="BP30:BR32" si="156">+BP22+BO22</f>
        <v>-0.12</v>
      </c>
      <c r="BQ30" s="22">
        <f t="shared" si="156"/>
        <v>-0.16</v>
      </c>
      <c r="BR30" s="22">
        <f t="shared" si="156"/>
        <v>-3.500000000000001E-2</v>
      </c>
      <c r="BS30" s="158">
        <f t="shared" si="89"/>
        <v>-9.5000000000000001E-2</v>
      </c>
      <c r="BT30" s="22"/>
      <c r="BU30" s="149">
        <f t="shared" si="90"/>
        <v>0.10999999999999999</v>
      </c>
      <c r="BV30" s="22">
        <f t="shared" si="91"/>
        <v>0.16</v>
      </c>
      <c r="BW30" s="22">
        <f t="shared" si="91"/>
        <v>0.19</v>
      </c>
      <c r="BX30" s="22">
        <f t="shared" si="91"/>
        <v>0.20500000000000002</v>
      </c>
      <c r="BY30" s="158">
        <f t="shared" si="92"/>
        <v>0.16625000000000001</v>
      </c>
      <c r="BZ30" s="22"/>
      <c r="CA30" s="149">
        <f t="shared" si="93"/>
        <v>0.16</v>
      </c>
      <c r="CB30" s="22">
        <f t="shared" si="94"/>
        <v>0.17499999999999999</v>
      </c>
      <c r="CC30" s="22">
        <f t="shared" si="94"/>
        <v>0.19</v>
      </c>
      <c r="CD30" s="22">
        <f t="shared" si="94"/>
        <v>0.14000000000000001</v>
      </c>
      <c r="CE30" s="158">
        <f t="shared" si="95"/>
        <v>0.16624999999999998</v>
      </c>
      <c r="CF30" s="22"/>
      <c r="CG30" s="149">
        <f t="shared" si="96"/>
        <v>9.5000000000000001E-2</v>
      </c>
      <c r="CH30" s="22">
        <f t="shared" si="97"/>
        <v>0.10500000000000001</v>
      </c>
      <c r="CI30" s="22">
        <f t="shared" si="97"/>
        <v>0.14000000000000001</v>
      </c>
      <c r="CJ30" s="22">
        <f t="shared" si="97"/>
        <v>0.13500000000000001</v>
      </c>
      <c r="CK30" s="158">
        <f t="shared" si="98"/>
        <v>0.11875000000000001</v>
      </c>
      <c r="CL30" s="22"/>
      <c r="CM30" s="149">
        <f t="shared" si="99"/>
        <v>0.155</v>
      </c>
      <c r="CN30" s="22">
        <f t="shared" si="100"/>
        <v>0.13</v>
      </c>
      <c r="CO30" s="22">
        <f t="shared" si="100"/>
        <v>0.1</v>
      </c>
      <c r="CP30" s="22">
        <f t="shared" si="100"/>
        <v>0.11000000000000001</v>
      </c>
      <c r="CQ30" s="158">
        <f t="shared" si="101"/>
        <v>0.12375</v>
      </c>
      <c r="CR30" s="22"/>
      <c r="CS30" s="149">
        <f t="shared" si="102"/>
        <v>0.09</v>
      </c>
      <c r="CT30" s="22">
        <f t="shared" si="103"/>
        <v>6.5000000000000002E-2</v>
      </c>
      <c r="CU30" s="22">
        <f t="shared" si="103"/>
        <v>4.4999999999999998E-2</v>
      </c>
      <c r="CV30" s="22">
        <f t="shared" si="103"/>
        <v>6.5000000000000002E-2</v>
      </c>
      <c r="CW30" s="158">
        <f t="shared" si="104"/>
        <v>6.6250000000000003E-2</v>
      </c>
      <c r="CX30" s="22"/>
      <c r="CY30" s="149">
        <f t="shared" si="105"/>
        <v>3.5000000000000003E-2</v>
      </c>
      <c r="CZ30" s="22">
        <f t="shared" si="106"/>
        <v>3.5000000000000003E-2</v>
      </c>
      <c r="DA30" s="22">
        <f t="shared" si="106"/>
        <v>0.08</v>
      </c>
      <c r="DB30" s="22">
        <f t="shared" si="106"/>
        <v>5.4999999999999993E-2</v>
      </c>
      <c r="DC30" s="158">
        <f t="shared" si="107"/>
        <v>5.1250000000000004E-2</v>
      </c>
      <c r="DD30" s="22"/>
      <c r="DE30" s="149">
        <f t="shared" si="108"/>
        <v>0.04</v>
      </c>
      <c r="DF30" s="22">
        <f t="shared" ref="DF30:DH30" si="157">+DF22+DE22</f>
        <v>4.7E-2</v>
      </c>
      <c r="DG30" s="22">
        <f t="shared" si="157"/>
        <v>7.6999999999999999E-2</v>
      </c>
      <c r="DH30" s="22">
        <f t="shared" si="157"/>
        <v>0.04</v>
      </c>
      <c r="DI30" s="158">
        <f t="shared" si="110"/>
        <v>5.0999999999999997E-2</v>
      </c>
      <c r="DJ30" s="22"/>
      <c r="DK30" s="149">
        <f t="shared" si="111"/>
        <v>-0.03</v>
      </c>
      <c r="DL30" s="22">
        <f t="shared" ref="DL30:DN30" si="158">+DL22+DK22</f>
        <v>-3.3000000000000002E-2</v>
      </c>
      <c r="DM30" s="22">
        <f t="shared" si="158"/>
        <v>2E-3</v>
      </c>
      <c r="DN30" s="22">
        <f t="shared" si="158"/>
        <v>2.5000000000000001E-2</v>
      </c>
      <c r="DO30" s="158">
        <f t="shared" si="113"/>
        <v>-8.9999999999999993E-3</v>
      </c>
      <c r="DP30" s="22"/>
      <c r="DQ30" s="149">
        <f t="shared" si="114"/>
        <v>1.4999999999999999E-2</v>
      </c>
      <c r="DR30" s="22">
        <f t="shared" ref="DR30:DT30" si="159">+DR22+DQ22</f>
        <v>0.03</v>
      </c>
      <c r="DS30" s="22">
        <f t="shared" si="159"/>
        <v>0.06</v>
      </c>
      <c r="DT30" s="22">
        <f t="shared" si="159"/>
        <v>0.08</v>
      </c>
      <c r="DU30" s="158">
        <f t="shared" si="128"/>
        <v>4.6249999999999999E-2</v>
      </c>
      <c r="DV30" s="22"/>
      <c r="DW30" s="149">
        <f t="shared" si="117"/>
        <v>0.11</v>
      </c>
      <c r="DX30" s="22">
        <f t="shared" si="118"/>
        <v>0.12</v>
      </c>
      <c r="DY30" s="22">
        <f t="shared" si="118"/>
        <v>0.12</v>
      </c>
      <c r="DZ30" s="22">
        <f t="shared" si="118"/>
        <v>0.12</v>
      </c>
      <c r="EA30" s="158">
        <f t="shared" si="119"/>
        <v>0.11749999999999999</v>
      </c>
      <c r="EB30" s="22"/>
      <c r="EC30" s="149">
        <f t="shared" si="120"/>
        <v>0.12</v>
      </c>
      <c r="ED30" s="22">
        <f t="shared" si="121"/>
        <v>0.12</v>
      </c>
      <c r="EE30" s="22">
        <f t="shared" si="122"/>
        <v>0.12</v>
      </c>
      <c r="EF30" s="22">
        <f t="shared" si="123"/>
        <v>0.12</v>
      </c>
      <c r="EG30" s="158">
        <f t="shared" si="124"/>
        <v>0.12</v>
      </c>
      <c r="EH30" s="9"/>
    </row>
    <row r="31" spans="1:157" ht="11.25" customHeight="1" x14ac:dyDescent="0.2">
      <c r="A31" s="51" t="s">
        <v>466</v>
      </c>
      <c r="B31" s="14"/>
      <c r="C31" s="14"/>
      <c r="D31" s="14"/>
      <c r="E31" s="158"/>
      <c r="F31" s="22"/>
      <c r="G31" s="158"/>
      <c r="H31" s="22"/>
      <c r="I31" s="158"/>
      <c r="J31" s="22"/>
      <c r="K31" s="158"/>
      <c r="L31" s="22"/>
      <c r="M31" s="149"/>
      <c r="N31" s="22"/>
      <c r="O31" s="22"/>
      <c r="P31" s="22"/>
      <c r="Q31" s="158"/>
      <c r="R31" s="22"/>
      <c r="S31" s="149"/>
      <c r="T31" s="22"/>
      <c r="U31" s="22"/>
      <c r="V31" s="22"/>
      <c r="W31" s="158"/>
      <c r="X31" s="22"/>
      <c r="Y31" s="149">
        <f>+Y23+V23</f>
        <v>5.2507314148888096E-2</v>
      </c>
      <c r="Z31" s="22">
        <f t="shared" si="149"/>
        <v>0.11202340527644195</v>
      </c>
      <c r="AA31" s="22">
        <f t="shared" si="149"/>
        <v>9.1766822542442672E-2</v>
      </c>
      <c r="AB31" s="22">
        <f t="shared" si="149"/>
        <v>6.1994148680889545E-2</v>
      </c>
      <c r="AC31" s="158">
        <f t="shared" si="75"/>
        <v>7.9572922662165563E-2</v>
      </c>
      <c r="AD31" s="22"/>
      <c r="AE31" s="149">
        <f>+AE23+AB23</f>
        <v>0.16009743885287878</v>
      </c>
      <c r="AF31" s="22">
        <f t="shared" si="150"/>
        <v>0.23987011271443187</v>
      </c>
      <c r="AG31" s="22">
        <f t="shared" si="150"/>
        <v>0.20176682254244266</v>
      </c>
      <c r="AH31" s="22">
        <f t="shared" si="150"/>
        <v>0.18449414868088959</v>
      </c>
      <c r="AI31" s="158">
        <f t="shared" si="77"/>
        <v>0.19655713069766073</v>
      </c>
      <c r="AJ31" s="22"/>
      <c r="AK31" s="149">
        <f>+AK23+AH23</f>
        <v>0.23467082227357561</v>
      </c>
      <c r="AL31" s="22">
        <f t="shared" si="151"/>
        <v>0.29992740500757487</v>
      </c>
      <c r="AM31" s="22">
        <f t="shared" si="151"/>
        <v>0.33499999999999996</v>
      </c>
      <c r="AN31" s="22">
        <f t="shared" si="151"/>
        <v>0.35000000000000003</v>
      </c>
      <c r="AO31" s="158">
        <f t="shared" si="79"/>
        <v>0.30489955682028763</v>
      </c>
      <c r="AP31" s="22"/>
      <c r="AQ31" s="149">
        <f>+AQ23+AN23</f>
        <v>0.32157794984093174</v>
      </c>
      <c r="AR31" s="22">
        <f t="shared" si="152"/>
        <v>0.30643430763274515</v>
      </c>
      <c r="AS31" s="22">
        <f t="shared" si="152"/>
        <v>0.2981823004888865</v>
      </c>
      <c r="AT31" s="22">
        <f t="shared" si="152"/>
        <v>0.22415188539414621</v>
      </c>
      <c r="AU31" s="158">
        <f t="shared" si="81"/>
        <v>0.28758661083917736</v>
      </c>
      <c r="AV31" s="22"/>
      <c r="AW31" s="149">
        <f>+AW23+AT23</f>
        <v>0.19482319496841993</v>
      </c>
      <c r="AX31" s="22">
        <f t="shared" si="153"/>
        <v>0.2133536100631602</v>
      </c>
      <c r="AY31" s="22">
        <f t="shared" si="153"/>
        <v>0.19693230048888646</v>
      </c>
      <c r="AZ31" s="22">
        <f t="shared" si="153"/>
        <v>0.16240188539414618</v>
      </c>
      <c r="BA31" s="158">
        <f t="shared" si="83"/>
        <v>0.19187774772865318</v>
      </c>
      <c r="BB31" s="22"/>
      <c r="BC31" s="149">
        <f>+BC23+AZ23</f>
        <v>0.14525849183446454</v>
      </c>
      <c r="BD31" s="22">
        <f t="shared" si="154"/>
        <v>0.1846039845163133</v>
      </c>
      <c r="BE31" s="22">
        <f t="shared" si="154"/>
        <v>0.18701826682685238</v>
      </c>
      <c r="BF31" s="22">
        <f t="shared" si="154"/>
        <v>0.17761509827478289</v>
      </c>
      <c r="BG31" s="158">
        <f t="shared" si="85"/>
        <v>0.17362396036310329</v>
      </c>
      <c r="BH31" s="22"/>
      <c r="BI31" s="149">
        <f>+BI23+BF23</f>
        <v>0.13144396370866179</v>
      </c>
      <c r="BJ31" s="22">
        <f t="shared" si="155"/>
        <v>4.0252437392370208E-2</v>
      </c>
      <c r="BK31" s="22">
        <f t="shared" si="155"/>
        <v>6.0788770901301914E-3</v>
      </c>
      <c r="BL31" s="22">
        <f t="shared" si="155"/>
        <v>-4.0528181913641187E-4</v>
      </c>
      <c r="BM31" s="158">
        <f t="shared" si="87"/>
        <v>4.434249909300645E-2</v>
      </c>
      <c r="BN31" s="22"/>
      <c r="BO31" s="149">
        <f>+BO23+BL23</f>
        <v>7.9795859975729855E-2</v>
      </c>
      <c r="BP31" s="22">
        <f t="shared" si="156"/>
        <v>0.14726887742361441</v>
      </c>
      <c r="BQ31" s="22">
        <f t="shared" si="156"/>
        <v>0.17587123075586186</v>
      </c>
      <c r="BR31" s="22">
        <f t="shared" si="156"/>
        <v>0.21253027305616923</v>
      </c>
      <c r="BS31" s="158">
        <f t="shared" si="89"/>
        <v>0.15386656030284385</v>
      </c>
      <c r="BT31" s="22"/>
      <c r="BU31" s="149">
        <f t="shared" si="90"/>
        <v>0.3190576602402635</v>
      </c>
      <c r="BV31" s="22">
        <f t="shared" si="91"/>
        <v>0.43909985231139148</v>
      </c>
      <c r="BW31" s="22">
        <f t="shared" si="91"/>
        <v>0.43522042974719533</v>
      </c>
      <c r="BX31" s="22">
        <f t="shared" si="91"/>
        <v>0.39858757414394003</v>
      </c>
      <c r="BY31" s="158">
        <f t="shared" si="92"/>
        <v>0.3979913791106976</v>
      </c>
      <c r="BZ31" s="22"/>
      <c r="CA31" s="149">
        <f t="shared" si="93"/>
        <v>0.32684408296073109</v>
      </c>
      <c r="CB31" s="22">
        <f t="shared" si="94"/>
        <v>0.28781664464644663</v>
      </c>
      <c r="CC31" s="22">
        <f t="shared" si="94"/>
        <v>0.28815980925461138</v>
      </c>
      <c r="CD31" s="22">
        <f t="shared" si="94"/>
        <v>0.24953692099385155</v>
      </c>
      <c r="CE31" s="158">
        <f t="shared" si="95"/>
        <v>0.28808936446391015</v>
      </c>
      <c r="CF31" s="22"/>
      <c r="CG31" s="149">
        <f t="shared" si="96"/>
        <v>0.17704886649196108</v>
      </c>
      <c r="CH31" s="22">
        <f t="shared" si="97"/>
        <v>0.16103881329008754</v>
      </c>
      <c r="CI31" s="22">
        <f t="shared" si="97"/>
        <v>0.18201760130637273</v>
      </c>
      <c r="CJ31" s="22">
        <f t="shared" si="97"/>
        <v>0.19329400326593182</v>
      </c>
      <c r="CK31" s="158">
        <f t="shared" si="98"/>
        <v>0.1783498210885883</v>
      </c>
      <c r="CL31" s="22"/>
      <c r="CM31" s="149">
        <f t="shared" si="99"/>
        <v>0.18997799836703405</v>
      </c>
      <c r="CN31" s="22">
        <f t="shared" si="100"/>
        <v>0.17070159640747495</v>
      </c>
      <c r="CO31" s="22">
        <f t="shared" si="100"/>
        <v>0.17251760130637273</v>
      </c>
      <c r="CP31" s="22">
        <f t="shared" si="100"/>
        <v>0.19754400326593183</v>
      </c>
      <c r="CQ31" s="158">
        <f t="shared" si="101"/>
        <v>0.18268529983670337</v>
      </c>
      <c r="CR31" s="22"/>
      <c r="CS31" s="149">
        <f t="shared" si="102"/>
        <v>0.21949999999999997</v>
      </c>
      <c r="CT31" s="22">
        <f t="shared" si="103"/>
        <v>0.20599999999999999</v>
      </c>
      <c r="CU31" s="22">
        <f t="shared" si="103"/>
        <v>0.1865</v>
      </c>
      <c r="CV31" s="22">
        <f t="shared" si="103"/>
        <v>0.17499999999999999</v>
      </c>
      <c r="CW31" s="158">
        <f t="shared" si="104"/>
        <v>0.19674999999999998</v>
      </c>
      <c r="CX31" s="22"/>
      <c r="CY31" s="149">
        <f t="shared" si="105"/>
        <v>0.17549999999999999</v>
      </c>
      <c r="CZ31" s="22">
        <f t="shared" si="106"/>
        <v>0.16999999999999998</v>
      </c>
      <c r="DA31" s="22">
        <f t="shared" si="106"/>
        <v>0.15500000000000003</v>
      </c>
      <c r="DB31" s="22">
        <f t="shared" si="106"/>
        <v>0.14000000000000001</v>
      </c>
      <c r="DC31" s="158">
        <f t="shared" si="107"/>
        <v>0.16012499999999999</v>
      </c>
      <c r="DD31" s="22"/>
      <c r="DE31" s="149">
        <f t="shared" si="108"/>
        <v>0.13500000000000001</v>
      </c>
      <c r="DF31" s="22">
        <f t="shared" ref="DF31:DH31" si="160">+DF23+DE23</f>
        <v>0.127</v>
      </c>
      <c r="DG31" s="22">
        <f t="shared" si="160"/>
        <v>0.127</v>
      </c>
      <c r="DH31" s="22">
        <f t="shared" si="160"/>
        <v>0.16500000000000001</v>
      </c>
      <c r="DI31" s="158">
        <f t="shared" si="110"/>
        <v>0.13850000000000001</v>
      </c>
      <c r="DJ31" s="22"/>
      <c r="DK31" s="149">
        <f t="shared" si="111"/>
        <v>0.19</v>
      </c>
      <c r="DL31" s="22">
        <f t="shared" ref="DL31:DN31" si="161">+DL23+DK23</f>
        <v>0.19700000000000001</v>
      </c>
      <c r="DM31" s="22">
        <f t="shared" si="161"/>
        <v>0.20200000000000001</v>
      </c>
      <c r="DN31" s="22">
        <f t="shared" si="161"/>
        <v>0.2</v>
      </c>
      <c r="DO31" s="158">
        <f t="shared" si="113"/>
        <v>0.19724999999999998</v>
      </c>
      <c r="DP31" s="22"/>
      <c r="DQ31" s="149">
        <f t="shared" si="114"/>
        <v>0.20250000000000001</v>
      </c>
      <c r="DR31" s="22">
        <f t="shared" ref="DR31:DT31" si="162">+DR23+DQ23</f>
        <v>0.23</v>
      </c>
      <c r="DS31" s="22">
        <f t="shared" si="162"/>
        <v>0.255</v>
      </c>
      <c r="DT31" s="22">
        <f t="shared" si="162"/>
        <v>0.22500000000000001</v>
      </c>
      <c r="DU31" s="158">
        <f t="shared" si="128"/>
        <v>0.22812499999999999</v>
      </c>
      <c r="DV31" s="22"/>
      <c r="DW31" s="149">
        <f t="shared" si="117"/>
        <v>0.2</v>
      </c>
      <c r="DX31" s="22">
        <f t="shared" si="118"/>
        <v>0.20500000000000002</v>
      </c>
      <c r="DY31" s="22">
        <f t="shared" si="118"/>
        <v>0.20500000000000002</v>
      </c>
      <c r="DZ31" s="22">
        <f t="shared" si="118"/>
        <v>0.20500000000000002</v>
      </c>
      <c r="EA31" s="158">
        <f t="shared" si="119"/>
        <v>0.20375000000000004</v>
      </c>
      <c r="EB31" s="22"/>
      <c r="EC31" s="149">
        <f t="shared" si="120"/>
        <v>0.1925</v>
      </c>
      <c r="ED31" s="22">
        <f t="shared" si="121"/>
        <v>0.18</v>
      </c>
      <c r="EE31" s="22">
        <f t="shared" si="122"/>
        <v>0.18</v>
      </c>
      <c r="EF31" s="22">
        <f t="shared" si="123"/>
        <v>0.18</v>
      </c>
      <c r="EG31" s="158">
        <f t="shared" si="124"/>
        <v>0.18312499999999998</v>
      </c>
      <c r="EH31" s="9"/>
    </row>
    <row r="32" spans="1:157" ht="11.25" customHeight="1" x14ac:dyDescent="0.2">
      <c r="A32" s="199" t="s">
        <v>239</v>
      </c>
      <c r="B32" s="14"/>
      <c r="C32" s="14"/>
      <c r="D32" s="14"/>
      <c r="E32" s="214"/>
      <c r="F32" s="22"/>
      <c r="G32" s="214"/>
      <c r="H32" s="22"/>
      <c r="I32" s="214"/>
      <c r="J32" s="22"/>
      <c r="K32" s="214"/>
      <c r="L32" s="22"/>
      <c r="M32" s="212"/>
      <c r="N32" s="157"/>
      <c r="O32" s="157"/>
      <c r="P32" s="157"/>
      <c r="Q32" s="214"/>
      <c r="R32" s="22"/>
      <c r="S32" s="212"/>
      <c r="T32" s="157"/>
      <c r="U32" s="157"/>
      <c r="V32" s="157"/>
      <c r="W32" s="214"/>
      <c r="X32" s="22"/>
      <c r="Y32" s="212">
        <f>+Y24+V24</f>
        <v>5.2507314148888096E-2</v>
      </c>
      <c r="Z32" s="157">
        <f t="shared" si="149"/>
        <v>0.11202340527644195</v>
      </c>
      <c r="AA32" s="157">
        <f t="shared" si="149"/>
        <v>9.1766822542442672E-2</v>
      </c>
      <c r="AB32" s="157">
        <f t="shared" si="149"/>
        <v>6.1994148680889545E-2</v>
      </c>
      <c r="AC32" s="214">
        <f t="shared" si="75"/>
        <v>7.9572922662165563E-2</v>
      </c>
      <c r="AD32" s="22"/>
      <c r="AE32" s="212">
        <f>+AE24+AB24</f>
        <v>0.16009743885287878</v>
      </c>
      <c r="AF32" s="157">
        <f t="shared" si="150"/>
        <v>0.23987011271443187</v>
      </c>
      <c r="AG32" s="157">
        <f t="shared" si="150"/>
        <v>0.20176682254244266</v>
      </c>
      <c r="AH32" s="157">
        <f t="shared" si="150"/>
        <v>0.18449414868088959</v>
      </c>
      <c r="AI32" s="214">
        <f t="shared" si="77"/>
        <v>0.19655713069766073</v>
      </c>
      <c r="AJ32" s="22"/>
      <c r="AK32" s="212">
        <f>+AK24+AH24</f>
        <v>0.23791071663491675</v>
      </c>
      <c r="AL32" s="157">
        <f t="shared" si="151"/>
        <v>0.28858805506167778</v>
      </c>
      <c r="AM32" s="157">
        <f t="shared" si="151"/>
        <v>0.26859119344241877</v>
      </c>
      <c r="AN32" s="157">
        <f t="shared" si="151"/>
        <v>0.26073715950032056</v>
      </c>
      <c r="AO32" s="214">
        <f t="shared" si="79"/>
        <v>0.26395678115983345</v>
      </c>
      <c r="AP32" s="22"/>
      <c r="AQ32" s="212">
        <f>+AQ24+AN24</f>
        <v>0.2748233294072035</v>
      </c>
      <c r="AR32" s="157">
        <f t="shared" si="152"/>
        <v>0.28073654507383611</v>
      </c>
      <c r="AS32" s="157">
        <f t="shared" si="152"/>
        <v>0.26825687654553609</v>
      </c>
      <c r="AT32" s="157">
        <f t="shared" si="152"/>
        <v>0.23078833366802165</v>
      </c>
      <c r="AU32" s="214">
        <f t="shared" si="81"/>
        <v>0.26365127117364934</v>
      </c>
      <c r="AV32" s="22"/>
      <c r="AW32" s="212">
        <f>+AW24+AT24</f>
        <v>0.23097116648643226</v>
      </c>
      <c r="AX32" s="157">
        <f t="shared" si="153"/>
        <v>0.24303420155656086</v>
      </c>
      <c r="AY32" s="157">
        <f t="shared" si="153"/>
        <v>0.25671050207198093</v>
      </c>
      <c r="AZ32" s="157">
        <f t="shared" si="153"/>
        <v>0.27850068395195721</v>
      </c>
      <c r="BA32" s="214">
        <f t="shared" si="83"/>
        <v>0.25230413851673283</v>
      </c>
      <c r="BB32" s="22"/>
      <c r="BC32" s="212">
        <f>+BC24+AZ24</f>
        <v>0.23135447153669242</v>
      </c>
      <c r="BD32" s="157">
        <f t="shared" si="154"/>
        <v>0.23724468535136889</v>
      </c>
      <c r="BE32" s="157">
        <f t="shared" si="154"/>
        <v>0.25221625242425516</v>
      </c>
      <c r="BF32" s="157">
        <f t="shared" si="154"/>
        <v>0.20198809666621526</v>
      </c>
      <c r="BG32" s="214">
        <f t="shared" si="85"/>
        <v>0.23070087649463294</v>
      </c>
      <c r="BH32" s="22"/>
      <c r="BI32" s="212">
        <f>+BI24+BF24</f>
        <v>0.11577131882462668</v>
      </c>
      <c r="BJ32" s="157">
        <f t="shared" si="155"/>
        <v>3.9980627211736439E-2</v>
      </c>
      <c r="BK32" s="157">
        <f t="shared" si="155"/>
        <v>-1.1651636415338576E-3</v>
      </c>
      <c r="BL32" s="157">
        <f t="shared" si="155"/>
        <v>-3.3309993882245786E-2</v>
      </c>
      <c r="BM32" s="214">
        <f t="shared" si="87"/>
        <v>3.0319197128145868E-2</v>
      </c>
      <c r="BN32" s="22"/>
      <c r="BO32" s="212">
        <f>+BO24+BL24</f>
        <v>3.5399006528134706E-2</v>
      </c>
      <c r="BP32" s="157">
        <f t="shared" si="156"/>
        <v>5.9432742005195244E-2</v>
      </c>
      <c r="BQ32" s="157">
        <f t="shared" si="156"/>
        <v>4.9036479443517883E-2</v>
      </c>
      <c r="BR32" s="157">
        <f t="shared" si="156"/>
        <v>0.12049645591171854</v>
      </c>
      <c r="BS32" s="214">
        <f t="shared" si="89"/>
        <v>6.6091170972141594E-2</v>
      </c>
      <c r="BT32" s="22"/>
      <c r="BU32" s="212">
        <f t="shared" si="90"/>
        <v>0.22961166195727678</v>
      </c>
      <c r="BV32" s="157">
        <f t="shared" si="91"/>
        <v>0.30576908876801379</v>
      </c>
      <c r="BW32" s="157">
        <f t="shared" si="91"/>
        <v>0.31899906974569481</v>
      </c>
      <c r="BX32" s="157">
        <f t="shared" si="91"/>
        <v>0.31400594307148699</v>
      </c>
      <c r="BY32" s="214">
        <f t="shared" si="92"/>
        <v>0.29209644088561809</v>
      </c>
      <c r="BZ32" s="22"/>
      <c r="CA32" s="212">
        <f t="shared" si="93"/>
        <v>0.25031207882027462</v>
      </c>
      <c r="CB32" s="157">
        <f t="shared" si="94"/>
        <v>0.2227865442957675</v>
      </c>
      <c r="CC32" s="157">
        <f t="shared" si="94"/>
        <v>0.22061197769683627</v>
      </c>
      <c r="CD32" s="157">
        <f t="shared" si="94"/>
        <v>0.2045967647638538</v>
      </c>
      <c r="CE32" s="214">
        <f t="shared" si="95"/>
        <v>0.22457684139418305</v>
      </c>
      <c r="CF32" s="22"/>
      <c r="CG32" s="212">
        <f t="shared" si="96"/>
        <v>0.15379015148041741</v>
      </c>
      <c r="CH32" s="157">
        <f t="shared" si="97"/>
        <v>0.13590911815907214</v>
      </c>
      <c r="CI32" s="157">
        <f t="shared" si="97"/>
        <v>0.16924461405731273</v>
      </c>
      <c r="CJ32" s="157">
        <f t="shared" si="97"/>
        <v>0.17730523512247354</v>
      </c>
      <c r="CK32" s="214">
        <f t="shared" si="98"/>
        <v>0.15906227970481895</v>
      </c>
      <c r="CL32" s="22"/>
      <c r="CM32" s="212">
        <f t="shared" si="99"/>
        <v>0.17126344089787815</v>
      </c>
      <c r="CN32" s="157">
        <f t="shared" si="100"/>
        <v>0.15753387179086431</v>
      </c>
      <c r="CO32" s="157">
        <f t="shared" si="100"/>
        <v>0.16681689914426046</v>
      </c>
      <c r="CP32" s="157">
        <f t="shared" si="100"/>
        <v>0.16684025436869709</v>
      </c>
      <c r="CQ32" s="214">
        <f t="shared" si="101"/>
        <v>0.165613616550425</v>
      </c>
      <c r="CR32" s="22"/>
      <c r="CS32" s="212">
        <f t="shared" si="102"/>
        <v>0.16254091796145329</v>
      </c>
      <c r="CT32" s="157">
        <f t="shared" si="103"/>
        <v>0.16230000519796101</v>
      </c>
      <c r="CU32" s="157">
        <f t="shared" si="103"/>
        <v>0.14955826957853252</v>
      </c>
      <c r="CV32" s="157">
        <f t="shared" si="103"/>
        <v>0.1438655054588443</v>
      </c>
      <c r="CW32" s="214">
        <f t="shared" si="104"/>
        <v>0.15456617454919777</v>
      </c>
      <c r="CX32" s="22"/>
      <c r="CY32" s="212">
        <f t="shared" si="105"/>
        <v>0.13874810929527961</v>
      </c>
      <c r="CZ32" s="157">
        <f t="shared" si="106"/>
        <v>0.13500000000000001</v>
      </c>
      <c r="DA32" s="157">
        <f t="shared" si="106"/>
        <v>0.14000000000000001</v>
      </c>
      <c r="DB32" s="157">
        <f t="shared" si="106"/>
        <v>0.12889462784433048</v>
      </c>
      <c r="DC32" s="214">
        <f t="shared" si="107"/>
        <v>0.13566068428490252</v>
      </c>
      <c r="DD32" s="22"/>
      <c r="DE32" s="212">
        <f t="shared" si="108"/>
        <v>0.11889462784433048</v>
      </c>
      <c r="DF32" s="157">
        <f t="shared" ref="DF32:DH32" si="163">+DF24+DE24</f>
        <v>0.10700000000000001</v>
      </c>
      <c r="DG32" s="157">
        <f t="shared" si="163"/>
        <v>0.11699999999999999</v>
      </c>
      <c r="DH32" s="157">
        <f t="shared" si="163"/>
        <v>0.15000000000000002</v>
      </c>
      <c r="DI32" s="214">
        <f t="shared" si="110"/>
        <v>0.12322365696108263</v>
      </c>
      <c r="DJ32" s="22"/>
      <c r="DK32" s="212">
        <f t="shared" si="111"/>
        <v>0.17</v>
      </c>
      <c r="DL32" s="157">
        <f t="shared" ref="DL32:DN32" si="164">+DL24+DK24</f>
        <v>0.15516722467351052</v>
      </c>
      <c r="DM32" s="157">
        <f t="shared" si="164"/>
        <v>0.14369025810842956</v>
      </c>
      <c r="DN32" s="157">
        <f t="shared" si="164"/>
        <v>0.16074819417975242</v>
      </c>
      <c r="DO32" s="214">
        <f t="shared" si="113"/>
        <v>0.15740141924042314</v>
      </c>
      <c r="DP32" s="22"/>
      <c r="DQ32" s="212">
        <f t="shared" si="114"/>
        <v>0.17167446218879989</v>
      </c>
      <c r="DR32" s="157">
        <f t="shared" ref="DR32:DT32" si="165">+DR24+DQ24</f>
        <v>0.17181426941046191</v>
      </c>
      <c r="DS32" s="157">
        <f t="shared" si="165"/>
        <v>0.17017572532129766</v>
      </c>
      <c r="DT32" s="157">
        <f t="shared" si="165"/>
        <v>0.15412618093261776</v>
      </c>
      <c r="DU32" s="214">
        <f t="shared" si="128"/>
        <v>0.16694765946329432</v>
      </c>
      <c r="DV32" s="22"/>
      <c r="DW32" s="212">
        <f t="shared" si="117"/>
        <v>0.14355286379059073</v>
      </c>
      <c r="DX32" s="157">
        <f t="shared" si="118"/>
        <v>0.15422545084404504</v>
      </c>
      <c r="DY32" s="157">
        <f t="shared" si="118"/>
        <v>0.16407628965004517</v>
      </c>
      <c r="DZ32" s="157">
        <f t="shared" si="118"/>
        <v>0.16391715178925903</v>
      </c>
      <c r="EA32" s="214">
        <f t="shared" si="119"/>
        <v>0.15644293901848499</v>
      </c>
      <c r="EB32" s="22"/>
      <c r="EC32" s="212">
        <f t="shared" si="120"/>
        <v>0.16744617438496223</v>
      </c>
      <c r="ED32" s="157">
        <f t="shared" si="121"/>
        <v>0.17123959311024395</v>
      </c>
      <c r="EE32" s="157">
        <f t="shared" si="122"/>
        <v>0.17126481119809078</v>
      </c>
      <c r="EF32" s="157">
        <f t="shared" si="123"/>
        <v>0.17116127321414121</v>
      </c>
      <c r="EG32" s="214">
        <f t="shared" si="124"/>
        <v>0.17027796297685954</v>
      </c>
      <c r="EH32" s="9"/>
    </row>
    <row r="33" spans="1:138" ht="11.25" customHeight="1" x14ac:dyDescent="0.2">
      <c r="A33" s="2"/>
      <c r="B33" s="14"/>
      <c r="C33" s="14"/>
      <c r="D33" s="14"/>
      <c r="E33" s="69"/>
      <c r="F33" s="67"/>
      <c r="G33" s="69"/>
      <c r="H33" s="67"/>
      <c r="I33" s="69"/>
      <c r="J33" s="67"/>
      <c r="K33" s="69"/>
      <c r="L33" s="67"/>
      <c r="M33" s="69"/>
      <c r="N33" s="69"/>
      <c r="O33" s="69"/>
      <c r="P33" s="69"/>
      <c r="Q33" s="67"/>
      <c r="R33" s="67"/>
      <c r="S33" s="69"/>
      <c r="T33" s="69"/>
      <c r="U33" s="69"/>
      <c r="V33" s="69"/>
      <c r="W33" s="67"/>
      <c r="X33" s="67"/>
      <c r="Y33" s="69"/>
      <c r="Z33" s="69"/>
      <c r="AA33" s="69"/>
      <c r="AB33" s="69"/>
      <c r="AC33" s="67"/>
      <c r="AD33" s="67"/>
      <c r="AE33" s="69"/>
      <c r="AF33" s="69"/>
      <c r="AG33" s="69"/>
      <c r="AH33" s="69"/>
      <c r="AI33" s="67"/>
      <c r="AJ33" s="67"/>
      <c r="AK33" s="69"/>
      <c r="AL33" s="69"/>
      <c r="AM33" s="69"/>
      <c r="AN33" s="69"/>
      <c r="AO33" s="67"/>
      <c r="AP33" s="67"/>
      <c r="AQ33" s="69"/>
      <c r="AR33" s="69"/>
      <c r="AS33" s="69"/>
      <c r="AT33" s="69"/>
      <c r="AU33" s="67"/>
      <c r="AV33" s="67"/>
      <c r="AW33" s="69"/>
      <c r="AX33" s="69"/>
      <c r="AY33" s="69"/>
      <c r="AZ33" s="69"/>
      <c r="BA33" s="67"/>
      <c r="BB33" s="67"/>
      <c r="BC33" s="69"/>
      <c r="BD33" s="69"/>
      <c r="BE33" s="69"/>
      <c r="BF33" s="69"/>
      <c r="BG33" s="67"/>
      <c r="BH33" s="67"/>
      <c r="BI33" s="69"/>
      <c r="BJ33" s="69"/>
      <c r="BK33" s="69"/>
      <c r="BL33" s="69"/>
      <c r="BM33" s="67"/>
      <c r="BN33" s="67"/>
      <c r="BO33" s="69"/>
      <c r="BP33" s="69"/>
      <c r="BQ33" s="69"/>
      <c r="BR33" s="69"/>
      <c r="BS33" s="67"/>
      <c r="BT33" s="67"/>
      <c r="BU33" s="69"/>
      <c r="BV33" s="69"/>
      <c r="BW33" s="69"/>
      <c r="BX33" s="69"/>
      <c r="BY33" s="67"/>
      <c r="BZ33" s="67"/>
      <c r="CA33" s="69"/>
      <c r="CB33" s="69"/>
      <c r="CC33" s="69"/>
      <c r="CD33" s="69"/>
      <c r="CE33" s="67"/>
      <c r="CF33" s="67"/>
      <c r="CG33" s="69"/>
      <c r="CH33" s="69"/>
      <c r="CI33" s="69"/>
      <c r="CJ33" s="69"/>
      <c r="CK33" s="67"/>
      <c r="CL33" s="67"/>
      <c r="CM33" s="69"/>
      <c r="CN33" s="69"/>
      <c r="CO33" s="69"/>
      <c r="CP33" s="69"/>
      <c r="CQ33" s="67"/>
      <c r="CR33" s="67"/>
      <c r="CS33" s="71"/>
      <c r="CT33" s="71"/>
      <c r="CU33" s="71"/>
      <c r="CV33" s="71"/>
      <c r="CW33" s="67"/>
      <c r="CX33" s="67"/>
      <c r="CY33" s="71"/>
      <c r="CZ33" s="71"/>
      <c r="DA33" s="71"/>
      <c r="DB33" s="71"/>
      <c r="DC33" s="67"/>
      <c r="DD33" s="67"/>
      <c r="DE33" s="355"/>
      <c r="DF33" s="355"/>
      <c r="DG33" s="355"/>
      <c r="DH33" s="355"/>
      <c r="DI33" s="67"/>
      <c r="DJ33" s="67"/>
      <c r="DK33" s="355"/>
      <c r="DL33" s="355"/>
      <c r="DM33" s="355"/>
      <c r="DN33" s="355"/>
      <c r="DO33" s="67"/>
      <c r="DP33" s="67"/>
      <c r="DQ33" s="355"/>
      <c r="DR33" s="355"/>
      <c r="DS33" s="355"/>
      <c r="DT33" s="355"/>
      <c r="DU33" s="67"/>
      <c r="DV33" s="67"/>
      <c r="DW33" s="355"/>
      <c r="DX33" s="355"/>
      <c r="DY33" s="355"/>
      <c r="DZ33" s="355"/>
      <c r="EA33" s="67"/>
      <c r="EB33" s="67"/>
      <c r="EC33" s="355"/>
      <c r="ED33" s="355"/>
      <c r="EE33" s="355"/>
      <c r="EF33" s="355"/>
      <c r="EG33" s="67"/>
      <c r="EH33" s="9"/>
    </row>
    <row r="34" spans="1:138" ht="11.25" customHeight="1" x14ac:dyDescent="0.2">
      <c r="A34" s="106" t="s">
        <v>418</v>
      </c>
      <c r="B34" s="74"/>
      <c r="C34" s="74"/>
      <c r="D34" s="74"/>
      <c r="E34" s="466"/>
      <c r="F34" s="75"/>
      <c r="G34" s="107"/>
      <c r="H34" s="75"/>
      <c r="I34" s="107"/>
      <c r="J34" s="75"/>
      <c r="K34" s="107"/>
      <c r="L34" s="75"/>
      <c r="M34" s="109"/>
      <c r="N34" s="110"/>
      <c r="O34" s="110"/>
      <c r="P34" s="110"/>
      <c r="Q34" s="107"/>
      <c r="R34" s="75"/>
      <c r="S34" s="109"/>
      <c r="T34" s="110"/>
      <c r="U34" s="110"/>
      <c r="V34" s="110"/>
      <c r="W34" s="107"/>
      <c r="X34" s="75"/>
      <c r="Y34" s="109"/>
      <c r="Z34" s="110"/>
      <c r="AA34" s="110"/>
      <c r="AB34" s="110"/>
      <c r="AC34" s="107"/>
      <c r="AD34" s="75"/>
      <c r="AE34" s="109"/>
      <c r="AF34" s="110"/>
      <c r="AG34" s="110"/>
      <c r="AH34" s="110"/>
      <c r="AI34" s="107"/>
      <c r="AJ34" s="75"/>
      <c r="AK34" s="109"/>
      <c r="AL34" s="110"/>
      <c r="AM34" s="110"/>
      <c r="AN34" s="110"/>
      <c r="AO34" s="107"/>
      <c r="AP34" s="75"/>
      <c r="AQ34" s="109"/>
      <c r="AR34" s="110"/>
      <c r="AS34" s="110"/>
      <c r="AT34" s="110"/>
      <c r="AU34" s="107"/>
      <c r="AV34" s="75"/>
      <c r="AW34" s="109"/>
      <c r="AX34" s="110"/>
      <c r="AY34" s="110"/>
      <c r="AZ34" s="110"/>
      <c r="BA34" s="107"/>
      <c r="BB34" s="75"/>
      <c r="BC34" s="109"/>
      <c r="BD34" s="110"/>
      <c r="BE34" s="110"/>
      <c r="BF34" s="110"/>
      <c r="BG34" s="107"/>
      <c r="BH34" s="75"/>
      <c r="BI34" s="109"/>
      <c r="BJ34" s="110"/>
      <c r="BK34" s="110"/>
      <c r="BL34" s="110"/>
      <c r="BM34" s="107"/>
      <c r="BN34" s="75"/>
      <c r="BO34" s="109"/>
      <c r="BP34" s="110"/>
      <c r="BQ34" s="110"/>
      <c r="BR34" s="110"/>
      <c r="BS34" s="107"/>
      <c r="BT34" s="75"/>
      <c r="BU34" s="109"/>
      <c r="BV34" s="110"/>
      <c r="BW34" s="110"/>
      <c r="BX34" s="110"/>
      <c r="BY34" s="107"/>
      <c r="BZ34" s="75"/>
      <c r="CA34" s="109"/>
      <c r="CB34" s="110"/>
      <c r="CC34" s="110"/>
      <c r="CD34" s="110"/>
      <c r="CE34" s="107"/>
      <c r="CF34" s="75"/>
      <c r="CG34" s="109"/>
      <c r="CH34" s="110"/>
      <c r="CI34" s="110"/>
      <c r="CJ34" s="110"/>
      <c r="CK34" s="107"/>
      <c r="CL34" s="75"/>
      <c r="CM34" s="109"/>
      <c r="CN34" s="110"/>
      <c r="CO34" s="110"/>
      <c r="CP34" s="110"/>
      <c r="CQ34" s="107"/>
      <c r="CR34" s="75"/>
      <c r="CS34" s="109"/>
      <c r="CT34" s="110"/>
      <c r="CU34" s="110"/>
      <c r="CV34" s="110"/>
      <c r="CW34" s="107"/>
      <c r="CX34" s="75"/>
      <c r="CY34" s="109"/>
      <c r="CZ34" s="110"/>
      <c r="DA34" s="110"/>
      <c r="DB34" s="110"/>
      <c r="DC34" s="107"/>
      <c r="DD34" s="75"/>
      <c r="DE34" s="109"/>
      <c r="DF34" s="110"/>
      <c r="DG34" s="110"/>
      <c r="DH34" s="110"/>
      <c r="DI34" s="107"/>
      <c r="DJ34" s="75"/>
      <c r="DK34" s="109"/>
      <c r="DL34" s="110"/>
      <c r="DM34" s="110"/>
      <c r="DN34" s="110"/>
      <c r="DO34" s="107"/>
      <c r="DP34" s="75"/>
      <c r="DQ34" s="109"/>
      <c r="DR34" s="110"/>
      <c r="DS34" s="110"/>
      <c r="DT34" s="110"/>
      <c r="DU34" s="107"/>
      <c r="DV34" s="75"/>
      <c r="DW34" s="109"/>
      <c r="DX34" s="110"/>
      <c r="DY34" s="110"/>
      <c r="DZ34" s="110"/>
      <c r="EA34" s="107"/>
      <c r="EB34" s="75"/>
      <c r="EC34" s="109"/>
      <c r="ED34" s="110"/>
      <c r="EE34" s="110"/>
      <c r="EF34" s="110"/>
      <c r="EG34" s="107"/>
      <c r="EH34" s="9"/>
    </row>
    <row r="35" spans="1:138" ht="11.25" customHeight="1" x14ac:dyDescent="0.2">
      <c r="A35" s="128" t="s">
        <v>377</v>
      </c>
      <c r="B35" s="14"/>
      <c r="C35" s="14"/>
      <c r="D35" s="14"/>
      <c r="E35" s="141"/>
      <c r="F35" s="67"/>
      <c r="G35" s="141"/>
      <c r="H35" s="67"/>
      <c r="I35" s="141"/>
      <c r="J35" s="67"/>
      <c r="K35" s="141"/>
      <c r="L35" s="67"/>
      <c r="M35" s="418"/>
      <c r="N35" s="138"/>
      <c r="O35" s="138"/>
      <c r="P35" s="138"/>
      <c r="Q35" s="141"/>
      <c r="R35" s="67"/>
      <c r="S35" s="418"/>
      <c r="T35" s="138"/>
      <c r="U35" s="138"/>
      <c r="V35" s="138"/>
      <c r="W35" s="141"/>
      <c r="X35" s="67"/>
      <c r="Y35" s="467">
        <f>+DHR!S70*DHR!Y71</f>
        <v>0</v>
      </c>
      <c r="Z35" s="369">
        <f>+DHR!T70*DHR!Z71</f>
        <v>0</v>
      </c>
      <c r="AA35" s="369">
        <f>+DHR!U70*DHR!AA71</f>
        <v>0</v>
      </c>
      <c r="AB35" s="369">
        <f>+DHR!V70*DHR!AB71</f>
        <v>0</v>
      </c>
      <c r="AC35" s="370">
        <f>+DHR!W70*DHR!AC71</f>
        <v>0</v>
      </c>
      <c r="AD35" s="67"/>
      <c r="AE35" s="467">
        <f>+DHR!Y70*DHR!AE71</f>
        <v>0</v>
      </c>
      <c r="AF35" s="369">
        <f>+DHR!Z70*DHR!AF71</f>
        <v>0</v>
      </c>
      <c r="AG35" s="369">
        <f>+DHR!AA70*DHR!AG71</f>
        <v>0</v>
      </c>
      <c r="AH35" s="369">
        <f>+DHR!AB70*DHR!AH71</f>
        <v>0</v>
      </c>
      <c r="AI35" s="370">
        <f>+DHR!AC70*DHR!AI71</f>
        <v>0</v>
      </c>
      <c r="AJ35" s="67"/>
      <c r="AK35" s="467">
        <f>+DHR!AE70*DHR!AK71</f>
        <v>0</v>
      </c>
      <c r="AL35" s="369">
        <f>+DHR!AF70*DHR!AL71</f>
        <v>0</v>
      </c>
      <c r="AM35" s="369">
        <f>+DHR!AG70*DHR!AM71</f>
        <v>0</v>
      </c>
      <c r="AN35" s="369">
        <f>+DHR!AH70*DHR!AN71</f>
        <v>0</v>
      </c>
      <c r="AO35" s="370">
        <f>+DHR!AI70*DHR!AO71</f>
        <v>0</v>
      </c>
      <c r="AP35" s="67"/>
      <c r="AQ35" s="467">
        <f>+DHR!AK70*DHR!AQ71</f>
        <v>0</v>
      </c>
      <c r="AR35" s="369">
        <f>+DHR!AL70*DHR!AR71</f>
        <v>0</v>
      </c>
      <c r="AS35" s="369">
        <f>+DHR!AM70*DHR!AS71</f>
        <v>0</v>
      </c>
      <c r="AT35" s="369">
        <f>+DHR!AN70*DHR!AT71</f>
        <v>0</v>
      </c>
      <c r="AU35" s="370">
        <f>+DHR!AO70*DHR!AU71</f>
        <v>17.009999999999998</v>
      </c>
      <c r="AV35" s="67"/>
      <c r="AW35" s="467">
        <f>+DHR!AQ70*DHR!AW71</f>
        <v>0</v>
      </c>
      <c r="AX35" s="369">
        <f>+DHR!AR70*DHR!AX71</f>
        <v>0</v>
      </c>
      <c r="AY35" s="369">
        <f>+DHR!AS70*DHR!AY71</f>
        <v>0</v>
      </c>
      <c r="AZ35" s="369">
        <f>+DHR!AT70*DHR!AZ71</f>
        <v>0</v>
      </c>
      <c r="BA35" s="370">
        <f>+DHR!AU70*DHR!BA71</f>
        <v>97.300000000000011</v>
      </c>
      <c r="BB35" s="67"/>
      <c r="BC35" s="467">
        <f>+DHR!AW70*DHR!BC71</f>
        <v>0</v>
      </c>
      <c r="BD35" s="369">
        <f>+DHR!AX70*DHR!BD71</f>
        <v>0</v>
      </c>
      <c r="BE35" s="369">
        <f>+DHR!AY70*DHR!BE71</f>
        <v>0</v>
      </c>
      <c r="BF35" s="369">
        <f>+DHR!AZ70*DHR!BF71</f>
        <v>0</v>
      </c>
      <c r="BG35" s="370">
        <f>+DHR!BA70*DHR!BG71</f>
        <v>75.268500000000017</v>
      </c>
      <c r="BH35" s="67"/>
      <c r="BI35" s="467">
        <f>+DHR!BC70*DHR!BI71</f>
        <v>-5.4094738500000004</v>
      </c>
      <c r="BJ35" s="369">
        <f>+DHR!BD70*DHR!BJ71</f>
        <v>-5.5733972999999999</v>
      </c>
      <c r="BK35" s="369">
        <f>+DHR!BE70*DHR!BK71</f>
        <v>-5.7373207500000003</v>
      </c>
      <c r="BL35" s="369">
        <f>+DHR!BF70*DHR!BL71</f>
        <v>-6.0651676500000002</v>
      </c>
      <c r="BM35" s="370">
        <f>+DHR!BG70*DHR!BM71</f>
        <v>-22.785359549999999</v>
      </c>
      <c r="BN35" s="67"/>
      <c r="BO35" s="467">
        <f>+DHR!BI70*DHR!BO71</f>
        <v>13.837200300000001</v>
      </c>
      <c r="BP35" s="369">
        <f>+DHR!BJ70*DHR!BP71</f>
        <v>14.256509400000001</v>
      </c>
      <c r="BQ35" s="369">
        <f>+DHR!BK70*DHR!BQ71</f>
        <v>21.416325000000001</v>
      </c>
      <c r="BR35" s="369">
        <f>+DHR!BL70*DHR!BR71</f>
        <v>25.976553000000003</v>
      </c>
      <c r="BS35" s="370">
        <f>+DHR!BM70*DHR!BS71</f>
        <v>75.486587700000001</v>
      </c>
      <c r="BT35" s="67"/>
      <c r="BU35" s="467">
        <f>+DHR!BO70*DHR!BU71</f>
        <v>20.402240214906001</v>
      </c>
      <c r="BV35" s="369">
        <f>+DHR!BP70*DHR!BV71</f>
        <v>21.846675004559998</v>
      </c>
      <c r="BW35" s="369">
        <f>+DHR!BQ70*DHR!BW71</f>
        <v>19.042646618625</v>
      </c>
      <c r="BX35" s="369">
        <f>+DHR!BR70*DHR!BX71</f>
        <v>23.285901640260004</v>
      </c>
      <c r="BY35" s="370">
        <f>+DHR!BS70*DHR!BY71</f>
        <v>84.577463478351007</v>
      </c>
      <c r="BZ35" s="67"/>
      <c r="CA35" s="467">
        <f>+DHR!BU70*DHR!CA71</f>
        <v>0</v>
      </c>
      <c r="CB35" s="369">
        <f>+DHR!BV70*DHR!CB71</f>
        <v>14.036488690429799</v>
      </c>
      <c r="CC35" s="369">
        <f>+DHR!BW70*DHR!CC71</f>
        <v>-16.148079116750381</v>
      </c>
      <c r="CD35" s="369">
        <f>+DHR!BX70*DHR!CD71</f>
        <v>53.597175500084155</v>
      </c>
      <c r="CE35" s="370">
        <f>+DHR!BY70*DHR!CE71</f>
        <v>51.485585073763573</v>
      </c>
      <c r="CF35" s="67"/>
      <c r="CG35" s="467">
        <f>+DHR!CA70*DHR!CG71</f>
        <v>6.6335905041466008</v>
      </c>
      <c r="CH35" s="369">
        <f>+DHR!CB70*DHR!CH71</f>
        <v>27.80523135908965</v>
      </c>
      <c r="CI35" s="369">
        <f>+DHR!CC70*DHR!CI71</f>
        <v>36.857112505410079</v>
      </c>
      <c r="CJ35" s="369">
        <f>+DHR!CD70*DHR!CJ71</f>
        <v>19.934195053291258</v>
      </c>
      <c r="CK35" s="370">
        <f>+DHR!CE70*DHR!CK71</f>
        <v>91.23012942193759</v>
      </c>
      <c r="CL35" s="67"/>
      <c r="CM35" s="467">
        <f>+DHR!CG70*DHR!CM71</f>
        <v>29.6029829415634</v>
      </c>
      <c r="CN35" s="369">
        <f>+DHR!CH70*DHR!CN71</f>
        <v>14.74247227691515</v>
      </c>
      <c r="CO35" s="369">
        <f>+DHR!CI70*DHR!CO71</f>
        <v>11.741622983866353</v>
      </c>
      <c r="CP35" s="369">
        <f>+DHR!CJ70*DHR!CP71</f>
        <v>26.666537910894561</v>
      </c>
      <c r="CQ35" s="370">
        <f>+DHR!CK70*DHR!CQ71</f>
        <v>82.75361611323946</v>
      </c>
      <c r="CR35" s="67"/>
      <c r="CS35" s="467">
        <f>+DHR!CM70*DHR!CS71</f>
        <v>14.37238401162876</v>
      </c>
      <c r="CT35" s="369">
        <f>+DHR!CN70*DHR!CT71</f>
        <v>15.1402850208954</v>
      </c>
      <c r="CU35" s="369">
        <f>+DHR!CO70*DHR!CU71</f>
        <v>26.915322365916836</v>
      </c>
      <c r="CV35" s="369">
        <f>+DHR!CP70*DHR!CV71</f>
        <v>25.650450862910478</v>
      </c>
      <c r="CW35" s="370">
        <f>+DHR!CQ70*DHR!CW71</f>
        <v>75.344851822611105</v>
      </c>
      <c r="CX35" s="67"/>
      <c r="CY35" s="467">
        <f>+DHR!CS70*DHR!CY71</f>
        <v>19.519500000000001</v>
      </c>
      <c r="CZ35" s="369">
        <f>+DHR!CT70*DHR!CZ71</f>
        <v>23.131999999999998</v>
      </c>
      <c r="DA35" s="369">
        <f>+DHR!CU70*DHR!DA71</f>
        <v>28.157499999999999</v>
      </c>
      <c r="DB35" s="369">
        <f>+DHR!CV70*DHR!DB71</f>
        <v>48.097000000000008</v>
      </c>
      <c r="DC35" s="370">
        <f>+DHR!CW70*DHR!DC71</f>
        <v>118.96600000000002</v>
      </c>
      <c r="DD35" s="355"/>
      <c r="DE35" s="467">
        <f>+DHR!CY70*DHR!DE71</f>
        <v>44.033499999999989</v>
      </c>
      <c r="DF35" s="369">
        <f>+DHR!CZ70*DHR!DF71</f>
        <v>49.147100000000002</v>
      </c>
      <c r="DG35" s="369">
        <f>+DHR!DA70*DHR!DG71</f>
        <v>53.016000000000005</v>
      </c>
      <c r="DH35" s="369">
        <f>+DHR!DB70*DHR!DH71</f>
        <v>94.516499999999994</v>
      </c>
      <c r="DI35" s="370">
        <f>+DHR!DC70*DHR!DI71</f>
        <v>240.71309999999997</v>
      </c>
      <c r="DJ35" s="355"/>
      <c r="DK35" s="467">
        <f>+DHR!DE70*DHR!DK71</f>
        <v>71.945499999999996</v>
      </c>
      <c r="DL35" s="369">
        <f>+DHR!DF70*DHR!DL71</f>
        <v>69.215000000000003</v>
      </c>
      <c r="DM35" s="369">
        <f>+DHR!DG70*DHR!DM71</f>
        <v>69.63</v>
      </c>
      <c r="DN35" s="369">
        <f>+DHR!DH70*DHR!DN71</f>
        <v>56.878500000000003</v>
      </c>
      <c r="DO35" s="370">
        <f>+DHR!DI70*DHR!DO71</f>
        <v>267.66899999999998</v>
      </c>
      <c r="DP35" s="355"/>
      <c r="DQ35" s="467">
        <f>+DHR!DK70*DHR!DQ71</f>
        <v>59.04</v>
      </c>
      <c r="DR35" s="369">
        <f>+DHR!DL70*DHR!DR71</f>
        <v>61.878620000000005</v>
      </c>
      <c r="DS35" s="369">
        <f>+DHR!DM70*DHR!DS71</f>
        <v>62.246239999999993</v>
      </c>
      <c r="DT35" s="369">
        <f>+DHR!DN70*DHR!DT71</f>
        <v>72.05922000000001</v>
      </c>
      <c r="DU35" s="370">
        <f>+DHR!DO70*DHR!DU71</f>
        <v>255.22408000000004</v>
      </c>
      <c r="DV35" s="355"/>
      <c r="DW35" s="467">
        <f>+DHR!DQ70*DHR!DW71</f>
        <v>64.601599999999991</v>
      </c>
      <c r="DX35" s="369">
        <f>+DHR!DR70*DHR!DX71</f>
        <v>66.153764800000005</v>
      </c>
      <c r="DY35" s="369">
        <f>+DHR!DS70*DHR!DY71</f>
        <v>64.736089599999985</v>
      </c>
      <c r="DZ35" s="369">
        <f>+DHR!DT70*DHR!DZ71</f>
        <v>74.941588800000005</v>
      </c>
      <c r="EA35" s="370">
        <f>+DHR!DU70*DHR!EA71</f>
        <v>270.43304319999999</v>
      </c>
      <c r="EB35" s="355"/>
      <c r="EC35" s="467">
        <f>+DHR!DW70*DHR!EC71</f>
        <v>67.185663999999989</v>
      </c>
      <c r="ED35" s="369">
        <f>+DHR!DX70*DHR!ED71</f>
        <v>68.799915392000017</v>
      </c>
      <c r="EE35" s="369">
        <f>+DHR!DY70*DHR!EE71</f>
        <v>67.325533183999994</v>
      </c>
      <c r="EF35" s="369">
        <f>+DHR!DZ70*DHR!EF71</f>
        <v>77.939252352000011</v>
      </c>
      <c r="EG35" s="370">
        <f>+DHR!EA70*DHR!EG71</f>
        <v>281.25036492800001</v>
      </c>
      <c r="EH35" s="9"/>
    </row>
    <row r="36" spans="1:138" ht="11.25" customHeight="1" x14ac:dyDescent="0.2">
      <c r="A36" s="51" t="s">
        <v>115</v>
      </c>
      <c r="B36" s="14"/>
      <c r="C36" s="14"/>
      <c r="D36" s="14"/>
      <c r="E36" s="93"/>
      <c r="F36" s="67"/>
      <c r="G36" s="93"/>
      <c r="H36" s="67"/>
      <c r="I36" s="93"/>
      <c r="J36" s="67"/>
      <c r="K36" s="93"/>
      <c r="L36" s="67"/>
      <c r="M36" s="82"/>
      <c r="N36" s="67"/>
      <c r="O36" s="67"/>
      <c r="P36" s="67"/>
      <c r="Q36" s="93"/>
      <c r="R36" s="67"/>
      <c r="S36" s="82"/>
      <c r="T36" s="67"/>
      <c r="U36" s="67"/>
      <c r="V36" s="67"/>
      <c r="W36" s="93"/>
      <c r="X36" s="67"/>
      <c r="Y36" s="354">
        <f>+DHR!S146*DHR!Y147</f>
        <v>0</v>
      </c>
      <c r="Z36" s="355">
        <f>+DHR!T146*DHR!Z147</f>
        <v>0</v>
      </c>
      <c r="AA36" s="355">
        <f>+DHR!U146*DHR!AA147</f>
        <v>0</v>
      </c>
      <c r="AB36" s="355">
        <f>+DHR!V146*DHR!AB147</f>
        <v>0</v>
      </c>
      <c r="AC36" s="371">
        <f>+DHR!W146*DHR!AC147</f>
        <v>0</v>
      </c>
      <c r="AD36" s="67"/>
      <c r="AE36" s="354">
        <f>+DHR!Y146*DHR!AE147</f>
        <v>0</v>
      </c>
      <c r="AF36" s="355">
        <f>+DHR!Z146*DHR!AF147</f>
        <v>0</v>
      </c>
      <c r="AG36" s="355">
        <f>+DHR!AA146*DHR!AG147</f>
        <v>0</v>
      </c>
      <c r="AH36" s="355">
        <f>+DHR!AB146*DHR!AH147</f>
        <v>0</v>
      </c>
      <c r="AI36" s="371">
        <f>+DHR!AC146*DHR!AI147</f>
        <v>0</v>
      </c>
      <c r="AJ36" s="67"/>
      <c r="AK36" s="354">
        <f>+DHR!AE146*DHR!AK147</f>
        <v>3.15</v>
      </c>
      <c r="AL36" s="355">
        <f>+DHR!AF146*DHR!AL147</f>
        <v>3.2160000000000002</v>
      </c>
      <c r="AM36" s="355">
        <f>+DHR!AG146*DHR!AM147</f>
        <v>3.3148000000000004</v>
      </c>
      <c r="AN36" s="355">
        <f>+DHR!AH146*DHR!AN147</f>
        <v>3.4362400000000024</v>
      </c>
      <c r="AO36" s="371">
        <f>+DHR!AI146*DHR!AO147</f>
        <v>13.117040000000003</v>
      </c>
      <c r="AP36" s="67"/>
      <c r="AQ36" s="354">
        <f>+DHR!AK146*DHR!AQ147</f>
        <v>13.482000000000001</v>
      </c>
      <c r="AR36" s="355">
        <f>+DHR!AL146*DHR!AR147</f>
        <v>13.507200000000003</v>
      </c>
      <c r="AS36" s="355">
        <f>+DHR!AM146*DHR!AS147</f>
        <v>13.922160000000002</v>
      </c>
      <c r="AT36" s="355">
        <f>+DHR!AN146*DHR!AT147</f>
        <v>14.432208000000012</v>
      </c>
      <c r="AU36" s="371">
        <f>+DHR!AO146*DHR!AU147</f>
        <v>20.753838000000005</v>
      </c>
      <c r="AV36" s="67"/>
      <c r="AW36" s="354">
        <f>+DHR!AQ146*DHR!AW147</f>
        <v>0</v>
      </c>
      <c r="AX36" s="355">
        <f>+DHR!AR146*DHR!AX147</f>
        <v>0</v>
      </c>
      <c r="AY36" s="355">
        <f>+DHR!AS146*DHR!AY147</f>
        <v>0</v>
      </c>
      <c r="AZ36" s="355">
        <f>+DHR!AT146*DHR!AZ147</f>
        <v>0</v>
      </c>
      <c r="BA36" s="371">
        <f>+DHR!AU146*DHR!BA147</f>
        <v>36.111678120000008</v>
      </c>
      <c r="BB36" s="67"/>
      <c r="BC36" s="354">
        <f>+DHR!AW146*DHR!BC147</f>
        <v>0</v>
      </c>
      <c r="BD36" s="355">
        <f>+DHR!AX146*DHR!BD147</f>
        <v>0</v>
      </c>
      <c r="BE36" s="355">
        <f>+DHR!AY146*DHR!BE147</f>
        <v>0</v>
      </c>
      <c r="BF36" s="355">
        <f>+DHR!AZ146*DHR!BF147</f>
        <v>0</v>
      </c>
      <c r="BG36" s="371">
        <f>+DHR!BA146*DHR!BG147</f>
        <v>30.199152023040003</v>
      </c>
      <c r="BH36" s="67"/>
      <c r="BI36" s="354">
        <f>+DHR!BC146*DHR!BI147</f>
        <v>6.6896335799999989</v>
      </c>
      <c r="BJ36" s="355">
        <f>+DHR!BD146*DHR!BJ147</f>
        <v>6.7021375680000013</v>
      </c>
      <c r="BK36" s="355">
        <f>+DHR!BE146*DHR!BK147</f>
        <v>6.9080365703999993</v>
      </c>
      <c r="BL36" s="355">
        <f>+DHR!BF146*DHR!BL147</f>
        <v>7.0665285962880038</v>
      </c>
      <c r="BM36" s="371">
        <f>+DHR!BG146*DHR!BM147</f>
        <v>27.366336314687999</v>
      </c>
      <c r="BN36" s="67"/>
      <c r="BO36" s="354">
        <f>+DHR!BI146*DHR!BO147</f>
        <v>10.693780655644799</v>
      </c>
      <c r="BP36" s="355">
        <f>+DHR!BJ146*DHR!BP147</f>
        <v>10.872368414111234</v>
      </c>
      <c r="BQ36" s="355">
        <f>+DHR!BK146*DHR!BQ147</f>
        <v>12.582435970057967</v>
      </c>
      <c r="BR36" s="355">
        <f>+DHR!BL146*DHR!BR147</f>
        <v>14.629622157037165</v>
      </c>
      <c r="BS36" s="371">
        <f>+DHR!BM146*DHR!BS147</f>
        <v>48.77820719685117</v>
      </c>
      <c r="BT36" s="67"/>
      <c r="BU36" s="354">
        <f>+DHR!BO146*DHR!BU147</f>
        <v>15.038129047000496</v>
      </c>
      <c r="BV36" s="355">
        <f>+DHR!BP146*DHR!BV147</f>
        <v>14.922325648367666</v>
      </c>
      <c r="BW36" s="355">
        <f>+DHR!BQ146*DHR!BW147</f>
        <v>13.501233405560422</v>
      </c>
      <c r="BX36" s="355">
        <f>+DHR!BR146*DHR!BX147</f>
        <v>16.4150862656249</v>
      </c>
      <c r="BY36" s="371">
        <f>+DHR!BS146*DHR!BY147</f>
        <v>59.876774366553484</v>
      </c>
      <c r="BZ36" s="67"/>
      <c r="CA36" s="354">
        <f>+DHR!BU146*DHR!CA147</f>
        <v>10.674481723367814</v>
      </c>
      <c r="CB36" s="355">
        <f>+DHR!BV146*DHR!CB147</f>
        <v>11.316511459057937</v>
      </c>
      <c r="CC36" s="355">
        <f>+DHR!BW146*DHR!CC147</f>
        <v>49.284986806366554</v>
      </c>
      <c r="CD36" s="355">
        <f>+DHR!BX146*DHR!CD147</f>
        <v>63.969714290287229</v>
      </c>
      <c r="CE36" s="371">
        <f>+DHR!BY146*DHR!CE147</f>
        <v>135.24569427907954</v>
      </c>
      <c r="CF36" s="67"/>
      <c r="CG36" s="354">
        <f>+DHR!CA146*DHR!CG147</f>
        <v>29.807102529880581</v>
      </c>
      <c r="CH36" s="355">
        <f>+DHR!CB146*DHR!CH147</f>
        <v>54.797255620629763</v>
      </c>
      <c r="CI36" s="355">
        <f>+DHR!CC146*DHR!CI147</f>
        <v>51.882798460930132</v>
      </c>
      <c r="CJ36" s="355">
        <f>+DHR!CD146*DHR!CJ147</f>
        <v>44.992032384168688</v>
      </c>
      <c r="CK36" s="371">
        <f>+DHR!CE146*DHR!CK147</f>
        <v>181.47918899560915</v>
      </c>
      <c r="CL36" s="67"/>
      <c r="CM36" s="354">
        <f>+DHR!CG146*DHR!CM147</f>
        <v>31.923406809502104</v>
      </c>
      <c r="CN36" s="355">
        <f>+DHR!CH146*DHR!CN147</f>
        <v>58.645696816707463</v>
      </c>
      <c r="CO36" s="355">
        <f>+DHR!CI146*DHR!CO147</f>
        <v>37.687605955745411</v>
      </c>
      <c r="CP36" s="355">
        <f>+DHR!CJ146*DHR!CP147</f>
        <v>61.498259304948654</v>
      </c>
      <c r="CQ36" s="371">
        <f>+DHR!CK146*DHR!CQ147</f>
        <v>189.75496888690361</v>
      </c>
      <c r="CR36" s="67"/>
      <c r="CS36" s="354">
        <f>+DHR!CM146*DHR!CS147</f>
        <v>42.828037199033609</v>
      </c>
      <c r="CT36" s="355">
        <f>+DHR!CN146*DHR!CT147</f>
        <v>64.000350788924123</v>
      </c>
      <c r="CU36" s="355">
        <f>+DHR!CO146*DHR!CU147</f>
        <v>33.91884536017087</v>
      </c>
      <c r="CV36" s="355">
        <f>+DHR!CP146*DHR!CV147</f>
        <v>43.882549111989661</v>
      </c>
      <c r="CW36" s="371">
        <f>+DHR!CQ146*DHR!CW147</f>
        <v>184.75035871001697</v>
      </c>
      <c r="CX36" s="67"/>
      <c r="CY36" s="354">
        <f>+DHR!CS146*DHR!CY147</f>
        <v>28.105000000000004</v>
      </c>
      <c r="CZ36" s="355">
        <f>+DHR!CT146*DHR!CZ147</f>
        <v>24.900000000000002</v>
      </c>
      <c r="DA36" s="355">
        <f>+DHR!CU146*DHR!DA147</f>
        <v>41.152999999999992</v>
      </c>
      <c r="DB36" s="355">
        <f>+DHR!CV146*DHR!DB147</f>
        <v>32.185000000000002</v>
      </c>
      <c r="DC36" s="371">
        <f>+DHR!CW146*DHR!DC147</f>
        <v>121.27999999999997</v>
      </c>
      <c r="DD36" s="355"/>
      <c r="DE36" s="354">
        <f>+DHR!CY146*DHR!DE147</f>
        <v>34.086000000000006</v>
      </c>
      <c r="DF36" s="355">
        <f>+DHR!CZ146*DHR!DF147</f>
        <v>33.955200000000005</v>
      </c>
      <c r="DG36" s="355">
        <f>+DHR!DA146*DHR!DG147</f>
        <v>48.508000000000003</v>
      </c>
      <c r="DH36" s="355">
        <f>+DHR!DB146*DHR!DH147</f>
        <v>85.907999999999987</v>
      </c>
      <c r="DI36" s="371">
        <f>+DHR!DC146*DHR!DI147</f>
        <v>202.45720000000003</v>
      </c>
      <c r="DJ36" s="355"/>
      <c r="DK36" s="354">
        <f>+DHR!DE146*DHR!DK147</f>
        <v>126.09349999999999</v>
      </c>
      <c r="DL36" s="355">
        <f>+DHR!DF146*DHR!DL147</f>
        <v>79.2</v>
      </c>
      <c r="DM36" s="355">
        <f>+DHR!DG146*DHR!DM147</f>
        <v>57.948</v>
      </c>
      <c r="DN36" s="355">
        <f>+DHR!DH146*DHR!DN147</f>
        <v>48.716999999999999</v>
      </c>
      <c r="DO36" s="371">
        <f>+DHR!DI146*DHR!DO147</f>
        <v>311.95849999999996</v>
      </c>
      <c r="DP36" s="355"/>
      <c r="DQ36" s="354">
        <f>+DHR!DK146*DHR!DQ147</f>
        <v>0</v>
      </c>
      <c r="DR36" s="355">
        <f>+DHR!DL146*DHR!DR147</f>
        <v>47.088000000000001</v>
      </c>
      <c r="DS36" s="355">
        <f>+DHR!DM146*DHR!DS147</f>
        <v>45.634050000000002</v>
      </c>
      <c r="DT36" s="355">
        <f>+DHR!DN146*DHR!DT147</f>
        <v>51.152850000000008</v>
      </c>
      <c r="DU36" s="371">
        <f>+DHR!DO146*DHR!DU147</f>
        <v>143.8749</v>
      </c>
      <c r="DV36" s="355"/>
      <c r="DW36" s="354">
        <f>+DHR!DQ146*DHR!DW147</f>
        <v>75.984999999999999</v>
      </c>
      <c r="DX36" s="355">
        <f>+DHR!DR146*DHR!DX147</f>
        <v>80.834400000000016</v>
      </c>
      <c r="DY36" s="355">
        <f>+DHR!DS146*DHR!DY147</f>
        <v>78.338452500000017</v>
      </c>
      <c r="DZ36" s="355">
        <f>+DHR!DT146*DHR!DZ147</f>
        <v>87.812392500000016</v>
      </c>
      <c r="EA36" s="371">
        <f>+DHR!DU146*DHR!EA147</f>
        <v>322.97024500000009</v>
      </c>
      <c r="EB36" s="355"/>
      <c r="EC36" s="354">
        <f>+DHR!DW146*DHR!EC147</f>
        <v>79.784250000000014</v>
      </c>
      <c r="ED36" s="355">
        <f>+DHR!DX146*DHR!ED147</f>
        <v>84.876120000000014</v>
      </c>
      <c r="EE36" s="355">
        <f>+DHR!DY146*DHR!EE147</f>
        <v>82.255375125000029</v>
      </c>
      <c r="EF36" s="355">
        <f>+DHR!DZ146*DHR!EF147</f>
        <v>92.203012125000015</v>
      </c>
      <c r="EG36" s="371">
        <f>+DHR!EA146*DHR!EG147</f>
        <v>339.11875725000004</v>
      </c>
      <c r="EH36" s="9"/>
    </row>
    <row r="37" spans="1:138" ht="11.25" customHeight="1" x14ac:dyDescent="0.2">
      <c r="A37" s="51" t="s">
        <v>163</v>
      </c>
      <c r="B37" s="14"/>
      <c r="C37" s="14"/>
      <c r="D37" s="14"/>
      <c r="E37" s="93"/>
      <c r="F37" s="67"/>
      <c r="G37" s="93"/>
      <c r="H37" s="67"/>
      <c r="I37" s="93"/>
      <c r="J37" s="67"/>
      <c r="K37" s="93"/>
      <c r="L37" s="67"/>
      <c r="M37" s="82"/>
      <c r="N37" s="67"/>
      <c r="O37" s="67"/>
      <c r="P37" s="67"/>
      <c r="Q37" s="93"/>
      <c r="R37" s="67"/>
      <c r="S37" s="82"/>
      <c r="T37" s="67"/>
      <c r="U37" s="67"/>
      <c r="V37" s="67"/>
      <c r="W37" s="93"/>
      <c r="X37" s="67"/>
      <c r="Y37" s="354">
        <f>+DHR!S213*DHR!Y214</f>
        <v>0</v>
      </c>
      <c r="Z37" s="355">
        <f>+DHR!T213*DHR!Z214</f>
        <v>0</v>
      </c>
      <c r="AA37" s="355">
        <f>+DHR!U213*DHR!AA214</f>
        <v>0</v>
      </c>
      <c r="AB37" s="355">
        <f>+DHR!V213*DHR!AB214</f>
        <v>0</v>
      </c>
      <c r="AC37" s="371">
        <f>+DHR!W213*DHR!AC214</f>
        <v>0</v>
      </c>
      <c r="AD37" s="67"/>
      <c r="AE37" s="354">
        <f>+DHR!Y213*DHR!AE214</f>
        <v>0</v>
      </c>
      <c r="AF37" s="355">
        <f>+DHR!Z213*DHR!AF214</f>
        <v>0</v>
      </c>
      <c r="AG37" s="355">
        <f>+DHR!AA213*DHR!AG214</f>
        <v>0</v>
      </c>
      <c r="AH37" s="355">
        <f>+DHR!AB213*DHR!AH214</f>
        <v>0</v>
      </c>
      <c r="AI37" s="371">
        <f>+DHR!AC213*DHR!AI214</f>
        <v>0</v>
      </c>
      <c r="AJ37" s="67"/>
      <c r="AK37" s="354">
        <f>+DHR!AE213*DHR!AK214</f>
        <v>0</v>
      </c>
      <c r="AL37" s="355">
        <f>+DHR!AF213*DHR!AL214</f>
        <v>1.2</v>
      </c>
      <c r="AM37" s="355">
        <f>+DHR!AG213*DHR!AM214</f>
        <v>-1.25</v>
      </c>
      <c r="AN37" s="355">
        <f>+DHR!AH213*DHR!AN214</f>
        <v>3.8000000000000003</v>
      </c>
      <c r="AO37" s="371">
        <f>+DHR!AI213*DHR!AO214</f>
        <v>13.8</v>
      </c>
      <c r="AP37" s="67"/>
      <c r="AQ37" s="354">
        <f>+DHR!AK213*DHR!AQ214</f>
        <v>6.356051250000001</v>
      </c>
      <c r="AR37" s="355">
        <f>+DHR!AL213*DHR!AR214</f>
        <v>7.1043790000000007</v>
      </c>
      <c r="AS37" s="355">
        <f>+DHR!AM213*DHR!AS214</f>
        <v>15.076378</v>
      </c>
      <c r="AT37" s="355">
        <f>+DHR!AN213*DHR!AT214</f>
        <v>21.533109925000005</v>
      </c>
      <c r="AU37" s="371">
        <f>+DHR!AO213*DHR!AU214</f>
        <v>58.197302999999998</v>
      </c>
      <c r="AV37" s="67"/>
      <c r="AW37" s="354">
        <f>+DHR!AQ213*DHR!AW214</f>
        <v>6.3861949999999981</v>
      </c>
      <c r="AX37" s="355">
        <f>+DHR!AR213*DHR!AX214</f>
        <v>12.012869299999998</v>
      </c>
      <c r="AY37" s="355">
        <f>+DHR!AS213*DHR!AY214</f>
        <v>17.453338600000006</v>
      </c>
      <c r="AZ37" s="355">
        <f>+DHR!AT213*DHR!AZ214</f>
        <v>20.334353699999998</v>
      </c>
      <c r="BA37" s="371">
        <f>+DHR!AU213*DHR!BA214</f>
        <v>56.186756600000002</v>
      </c>
      <c r="BB37" s="67"/>
      <c r="BC37" s="354">
        <f>+DHR!AW213*DHR!BC214</f>
        <v>1.8672769</v>
      </c>
      <c r="BD37" s="355">
        <f>+DHR!AX213*DHR!BD214</f>
        <v>1.9525872399999999</v>
      </c>
      <c r="BE37" s="355">
        <f>+DHR!AY213*DHR!BE214</f>
        <v>2.0779881720000004</v>
      </c>
      <c r="BF37" s="355">
        <f>+DHR!AZ213*DHR!BF214</f>
        <v>2.6275659939200002</v>
      </c>
      <c r="BG37" s="371">
        <f>+DHR!BA213*DHR!BG214</f>
        <v>8.5254183059200006</v>
      </c>
      <c r="BH37" s="67"/>
      <c r="BI37" s="354">
        <f>+DHR!BC213*DHR!BI214</f>
        <v>-20.126756420000007</v>
      </c>
      <c r="BJ37" s="355">
        <f>+DHR!BD213*DHR!BJ214</f>
        <v>-52.495107350399998</v>
      </c>
      <c r="BK37" s="355">
        <f>+DHR!BE213*DHR!BK214</f>
        <v>-60.020124916960008</v>
      </c>
      <c r="BL37" s="355">
        <f>+DHR!BF213*DHR!BL214</f>
        <v>-18.1625451229696</v>
      </c>
      <c r="BM37" s="371">
        <f>+DHR!BG213*DHR!BM214</f>
        <v>-152.6192232650304</v>
      </c>
      <c r="BN37" s="67"/>
      <c r="BO37" s="354">
        <f>+DHR!BI213*DHR!BO214</f>
        <v>7.5320000000000009</v>
      </c>
      <c r="BP37" s="355">
        <f>+DHR!BJ213*DHR!BP214</f>
        <v>7.7700000000000005</v>
      </c>
      <c r="BQ37" s="355">
        <f>+DHR!BK213*DHR!BQ214</f>
        <v>24.173999999999999</v>
      </c>
      <c r="BR37" s="355">
        <f>+DHR!BL213*DHR!BR214</f>
        <v>36.674999999999997</v>
      </c>
      <c r="BS37" s="371">
        <f>+DHR!BM213*DHR!BS214</f>
        <v>74.564999999999998</v>
      </c>
      <c r="BT37" s="67"/>
      <c r="BU37" s="354">
        <f>+DHR!BO213*DHR!BU214</f>
        <v>23.749000000000002</v>
      </c>
      <c r="BV37" s="355">
        <f>+DHR!BP213*DHR!BV214</f>
        <v>27.839500000000001</v>
      </c>
      <c r="BW37" s="355">
        <f>+DHR!BQ213*DHR!BW214</f>
        <v>19.934999999999999</v>
      </c>
      <c r="BX37" s="355">
        <f>+DHR!BR213*DHR!BX214</f>
        <v>13.037500000000001</v>
      </c>
      <c r="BY37" s="371">
        <f>+DHR!BS213*DHR!BY214</f>
        <v>82.106999999999999</v>
      </c>
      <c r="BZ37" s="67"/>
      <c r="CA37" s="354">
        <f>+DHR!BU213*DHR!CA214</f>
        <v>2.3174999999999999</v>
      </c>
      <c r="CB37" s="355">
        <f>+DHR!BV213*DHR!CB214</f>
        <v>25.234999999999999</v>
      </c>
      <c r="CC37" s="355">
        <f>+DHR!BW213*DHR!CC214</f>
        <v>14.778</v>
      </c>
      <c r="CD37" s="355">
        <f>+DHR!BX213*DHR!CD214</f>
        <v>22.015999999999995</v>
      </c>
      <c r="CE37" s="371">
        <f>+DHR!BY213*DHR!CE214</f>
        <v>70.39200000000001</v>
      </c>
      <c r="CF37" s="67"/>
      <c r="CG37" s="354">
        <f>+DHR!CA213*DHR!CG214</f>
        <v>11.6175</v>
      </c>
      <c r="CH37" s="355">
        <f>+DHR!CB213*DHR!CH214</f>
        <v>12.47</v>
      </c>
      <c r="CI37" s="355">
        <f>+DHR!CC213*DHR!CI214</f>
        <v>17.111499999999999</v>
      </c>
      <c r="CJ37" s="355">
        <f>+DHR!CD213*DHR!CJ214</f>
        <v>17.114999999999998</v>
      </c>
      <c r="CK37" s="371">
        <f>+DHR!CE213*DHR!CK214</f>
        <v>60.686999999999998</v>
      </c>
      <c r="CL37" s="67"/>
      <c r="CM37" s="354">
        <f>+DHR!CG213*DHR!CM214</f>
        <v>28.788</v>
      </c>
      <c r="CN37" s="355">
        <f>+DHR!CH213*DHR!CN214</f>
        <v>10.294</v>
      </c>
      <c r="CO37" s="355">
        <f>+DHR!CI213*DHR!CO214</f>
        <v>10.204000000000001</v>
      </c>
      <c r="CP37" s="355">
        <f>+DHR!CJ213*DHR!CP214</f>
        <v>14.755000000000003</v>
      </c>
      <c r="CQ37" s="371">
        <f>+DHR!CK213*DHR!CQ214</f>
        <v>64.040999999999997</v>
      </c>
      <c r="CR37" s="67"/>
      <c r="CS37" s="354">
        <f>+DHR!CM213*DHR!CS214</f>
        <v>-12.7425</v>
      </c>
      <c r="CT37" s="355">
        <f>+DHR!CN213*DHR!CT214</f>
        <v>5.2810000000000006</v>
      </c>
      <c r="CU37" s="355">
        <f>+DHR!CO213*DHR!CU214</f>
        <v>-2.6419999999999999</v>
      </c>
      <c r="CV37" s="355">
        <f>+DHR!CP213*DHR!CV214</f>
        <v>15.672500000000003</v>
      </c>
      <c r="CW37" s="371">
        <f>+DHR!CQ213*DHR!CW214</f>
        <v>5.5690000000000044</v>
      </c>
      <c r="CX37" s="67"/>
      <c r="CY37" s="354">
        <f>+DHR!CS213*DHR!CY214</f>
        <v>6.6239999999999997</v>
      </c>
      <c r="CZ37" s="355">
        <f>+DHR!CT213*DHR!CZ214</f>
        <v>27.504000000000001</v>
      </c>
      <c r="DA37" s="355">
        <f>+DHR!CU213*DHR!DA214</f>
        <v>22.826999999999998</v>
      </c>
      <c r="DB37" s="355">
        <f>+DHR!CV213*DHR!DB214</f>
        <v>0</v>
      </c>
      <c r="DC37" s="371">
        <f>+DHR!CW213*DHR!DC214</f>
        <v>56.955000000000005</v>
      </c>
      <c r="DD37" s="355"/>
      <c r="DE37" s="354">
        <f>+DHR!CY213*DHR!DE214</f>
        <v>3.2795000000000001</v>
      </c>
      <c r="DF37" s="355">
        <f>+DHR!CZ213*DHR!DF214</f>
        <v>-5.7168000000000001</v>
      </c>
      <c r="DG37" s="355">
        <f>+DHR!DA213*DHR!DG214</f>
        <v>6.7560000000000002</v>
      </c>
      <c r="DH37" s="355">
        <f>+DHR!DB213*DHR!DH214</f>
        <v>-3.6964999999999999</v>
      </c>
      <c r="DI37" s="371">
        <f>+DHR!DC213*DHR!DI214</f>
        <v>0.62219999999999986</v>
      </c>
      <c r="DJ37" s="355"/>
      <c r="DK37" s="354">
        <f>+DHR!DE213*DHR!DK214</f>
        <v>-19.664999999999999</v>
      </c>
      <c r="DL37" s="355">
        <f>+DHR!DF213*DHR!DL214</f>
        <v>0</v>
      </c>
      <c r="DM37" s="355">
        <f>+DHR!DG213*DHR!DM214</f>
        <v>0</v>
      </c>
      <c r="DN37" s="355">
        <f>+DHR!DH213*DHR!DN214</f>
        <v>15.176</v>
      </c>
      <c r="DO37" s="371">
        <f>+DHR!DI213*DHR!DO214</f>
        <v>-4.488999999999999</v>
      </c>
      <c r="DP37" s="355"/>
      <c r="DQ37" s="354">
        <f>+DHR!DK213*DHR!DQ214</f>
        <v>20.178000000000001</v>
      </c>
      <c r="DR37" s="355">
        <f>+DHR!DL213*DHR!DR214</f>
        <v>21.815729999999995</v>
      </c>
      <c r="DS37" s="355">
        <f>+DHR!DM213*DHR!DS214</f>
        <v>21.028200000000002</v>
      </c>
      <c r="DT37" s="355">
        <f>+DHR!DN213*DHR!DT214</f>
        <v>23.674559999999996</v>
      </c>
      <c r="DU37" s="371">
        <f>+DHR!DO213*DHR!DU214</f>
        <v>86.696489999999997</v>
      </c>
      <c r="DV37" s="355"/>
      <c r="DW37" s="354">
        <f>+DHR!DQ213*DHR!DW214</f>
        <v>20.783339999999999</v>
      </c>
      <c r="DX37" s="355">
        <f>+DHR!DR213*DHR!DX214</f>
        <v>22.470201899999999</v>
      </c>
      <c r="DY37" s="355">
        <f>+DHR!DS213*DHR!DY214</f>
        <v>21.659046</v>
      </c>
      <c r="DZ37" s="355">
        <f>+DHR!DT213*DHR!DZ214</f>
        <v>24.384796799999997</v>
      </c>
      <c r="EA37" s="371">
        <f>+DHR!DU213*DHR!EA214</f>
        <v>89.297384700000009</v>
      </c>
      <c r="EB37" s="355"/>
      <c r="EC37" s="354">
        <f>+DHR!DW213*DHR!EC214</f>
        <v>21.406840200000001</v>
      </c>
      <c r="ED37" s="355">
        <f>+DHR!DX213*DHR!ED214</f>
        <v>23.144307956999999</v>
      </c>
      <c r="EE37" s="355">
        <f>+DHR!DY213*DHR!EE214</f>
        <v>22.308817380000001</v>
      </c>
      <c r="EF37" s="355">
        <f>+DHR!DZ213*DHR!EF214</f>
        <v>25.116340703999999</v>
      </c>
      <c r="EG37" s="371">
        <f>+DHR!EA213*DHR!EG214</f>
        <v>91.976306240999989</v>
      </c>
      <c r="EH37" s="9"/>
    </row>
    <row r="38" spans="1:138" ht="11.25" customHeight="1" x14ac:dyDescent="0.2">
      <c r="A38" s="51" t="s">
        <v>466</v>
      </c>
      <c r="B38" s="14"/>
      <c r="C38" s="14"/>
      <c r="D38" s="14"/>
      <c r="E38" s="93"/>
      <c r="F38" s="67"/>
      <c r="G38" s="93"/>
      <c r="H38" s="67"/>
      <c r="I38" s="93"/>
      <c r="J38" s="67"/>
      <c r="K38" s="93"/>
      <c r="L38" s="67"/>
      <c r="M38" s="82"/>
      <c r="N38" s="67"/>
      <c r="O38" s="67"/>
      <c r="P38" s="67"/>
      <c r="Q38" s="93"/>
      <c r="R38" s="67"/>
      <c r="S38" s="82"/>
      <c r="T38" s="67"/>
      <c r="U38" s="67"/>
      <c r="V38" s="67"/>
      <c r="W38" s="93"/>
      <c r="X38" s="67"/>
      <c r="Y38" s="354">
        <f>+DHR!S311*DHR!Y312</f>
        <v>8.1989008006480368</v>
      </c>
      <c r="Z38" s="355">
        <f>+DHR!T311*DHR!Z312</f>
        <v>10.153773205987157</v>
      </c>
      <c r="AA38" s="355">
        <f>+DHR!U311*DHR!AA312</f>
        <v>4.8315065269142758</v>
      </c>
      <c r="AB38" s="355">
        <f>+DHR!V311*DHR!AB312</f>
        <v>2.5923368158773026</v>
      </c>
      <c r="AC38" s="371">
        <f>+DHR!W311*DHR!AC312</f>
        <v>28.291353907911386</v>
      </c>
      <c r="AD38" s="67"/>
      <c r="AE38" s="354">
        <f>+DHR!Y311*DHR!AE312</f>
        <v>17.410766973616877</v>
      </c>
      <c r="AF38" s="355">
        <f>+DHR!Z311*DHR!AF312</f>
        <v>14.670002579999997</v>
      </c>
      <c r="AG38" s="355">
        <f>+DHR!AA311*DHR!AG312</f>
        <v>18.34635033</v>
      </c>
      <c r="AH38" s="355">
        <f>+DHR!AB311*DHR!AH312</f>
        <v>26.422725202500004</v>
      </c>
      <c r="AI38" s="371">
        <f>+DHR!AC311*DHR!AI312</f>
        <v>76.121363618015138</v>
      </c>
      <c r="AJ38" s="67"/>
      <c r="AK38" s="354">
        <f>+DHR!AE311*DHR!AK312</f>
        <v>19.118271549087499</v>
      </c>
      <c r="AL38" s="355">
        <f>+DHR!AF311*DHR!AL312</f>
        <v>27.997268286000004</v>
      </c>
      <c r="AM38" s="355">
        <f>+DHR!AG311*DHR!AM312</f>
        <v>34.780606674000012</v>
      </c>
      <c r="AN38" s="355">
        <f>+DHR!AH311*DHR!AN312</f>
        <v>34.870380443999991</v>
      </c>
      <c r="AO38" s="371">
        <f>+DHR!AI311*DHR!AO312</f>
        <v>116.50311659065346</v>
      </c>
      <c r="AP38" s="67"/>
      <c r="AQ38" s="354">
        <f>+DHR!AK311*DHR!AQ312</f>
        <v>31.191702294428588</v>
      </c>
      <c r="AR38" s="355">
        <f>+DHR!AL311*DHR!AR312</f>
        <v>23.07850522886956</v>
      </c>
      <c r="AS38" s="355">
        <f>+DHR!AM311*DHR!AS312</f>
        <v>13.562633505592714</v>
      </c>
      <c r="AT38" s="355">
        <f>+DHR!AN311*DHR!AT312</f>
        <v>-3.0909688169485339</v>
      </c>
      <c r="AU38" s="371">
        <f>+DHR!AO311*DHR!AU312</f>
        <v>69.462881999210893</v>
      </c>
      <c r="AV38" s="67"/>
      <c r="AW38" s="354">
        <f>+DHR!AQ311*DHR!AW312</f>
        <v>10.894695100609502</v>
      </c>
      <c r="AX38" s="355">
        <f>+DHR!AR311*DHR!AX312</f>
        <v>17.174811677217605</v>
      </c>
      <c r="AY38" s="355">
        <f>+DHR!AS311*DHR!AY312</f>
        <v>27.13840972182912</v>
      </c>
      <c r="AZ38" s="355">
        <f>+DHR!AT311*DHR!AZ312</f>
        <v>35.596876376363646</v>
      </c>
      <c r="BA38" s="371">
        <f>+DHR!AU311*DHR!BA312</f>
        <v>88.70581833750002</v>
      </c>
      <c r="BB38" s="67"/>
      <c r="BC38" s="354">
        <f>+DHR!AW311*DHR!BC312</f>
        <v>23.345376942498689</v>
      </c>
      <c r="BD38" s="355">
        <f>+DHR!AX311*DHR!BD312</f>
        <v>30.550614188431091</v>
      </c>
      <c r="BE38" s="355">
        <f>+DHR!AY311*DHR!BE312</f>
        <v>10.174226873384754</v>
      </c>
      <c r="BF38" s="355">
        <f>+DHR!AZ311*DHR!BF312</f>
        <v>13.890404836517432</v>
      </c>
      <c r="BG38" s="371">
        <f>+DHR!BA311*DHR!BG312</f>
        <v>81.679938861275062</v>
      </c>
      <c r="BH38" s="67"/>
      <c r="BI38" s="354">
        <f>+DHR!BC311*DHR!BI312</f>
        <v>-8.7439348439275264</v>
      </c>
      <c r="BJ38" s="355">
        <f>+DHR!BD311*DHR!BJ312</f>
        <v>-31.894968068223569</v>
      </c>
      <c r="BK38" s="355">
        <f>+DHR!BE311*DHR!BK312</f>
        <v>-10.624943273016733</v>
      </c>
      <c r="BL38" s="355">
        <f>+DHR!BF311*DHR!BL312</f>
        <v>-13.849168155826755</v>
      </c>
      <c r="BM38" s="371">
        <f>+DHR!BG311*DHR!BM312</f>
        <v>-65.3535127880358</v>
      </c>
      <c r="BN38" s="67"/>
      <c r="BO38" s="354">
        <f>+DHR!BI311*DHR!BO312</f>
        <v>46.02504484683071</v>
      </c>
      <c r="BP38" s="355">
        <f>+DHR!BJ311*DHR!BP312</f>
        <v>61.79442456333755</v>
      </c>
      <c r="BQ38" s="355">
        <f>+DHR!BK311*DHR!BQ312</f>
        <v>67.90651341560374</v>
      </c>
      <c r="BR38" s="355">
        <f>+DHR!BL311*DHR!BR312</f>
        <v>79.384779928129063</v>
      </c>
      <c r="BS38" s="371">
        <f>+DHR!BM311*DHR!BS312</f>
        <v>253.33961583399955</v>
      </c>
      <c r="BT38" s="67"/>
      <c r="BU38" s="354">
        <f>+DHR!BO311*DHR!BU312</f>
        <v>62.70519660681925</v>
      </c>
      <c r="BV38" s="355">
        <f>+DHR!BP311*DHR!BV312</f>
        <v>57.850875574935785</v>
      </c>
      <c r="BW38" s="355">
        <f>+DHR!BQ311*DHR!BW312</f>
        <v>49.711289116072599</v>
      </c>
      <c r="BX38" s="355">
        <f>+DHR!BR311*DHR!BX312</f>
        <v>38.280549333242185</v>
      </c>
      <c r="BY38" s="371">
        <f>+DHR!BS311*DHR!BY312</f>
        <v>211.80779176161855</v>
      </c>
      <c r="BZ38" s="67"/>
      <c r="CA38" s="354">
        <f>+DHR!BU311*DHR!CA312</f>
        <v>14.113151749902876</v>
      </c>
      <c r="CB38" s="355">
        <f>+DHR!BV311*DHR!CB312</f>
        <v>35.732433500000006</v>
      </c>
      <c r="CC38" s="355">
        <f>+DHR!BW311*DHR!CC312</f>
        <v>40.420248400000006</v>
      </c>
      <c r="CD38" s="355">
        <f>+DHR!BX311*DHR!CD312</f>
        <v>38.267481099999983</v>
      </c>
      <c r="CE38" s="371">
        <f>+DHR!BY311*DHR!CE312</f>
        <v>126.34111497088189</v>
      </c>
      <c r="CF38" s="67"/>
      <c r="CG38" s="354">
        <f>+DHR!CA311*DHR!CG312</f>
        <v>34.165037798773014</v>
      </c>
      <c r="CH38" s="355">
        <f>+DHR!CB311*DHR!CH312</f>
        <v>35.120614502826101</v>
      </c>
      <c r="CI38" s="355">
        <f>+DHR!CC311*DHR!CI312</f>
        <v>26.821582873790152</v>
      </c>
      <c r="CJ38" s="355">
        <f>+DHR!CD311*DHR!CJ312</f>
        <v>48.670490618749987</v>
      </c>
      <c r="CK38" s="371">
        <f>+DHR!CE311*DHR!CK312</f>
        <v>144.27780646942534</v>
      </c>
      <c r="CL38" s="67"/>
      <c r="CM38" s="354">
        <f>+DHR!CG311*DHR!CM312</f>
        <v>30.675349072601996</v>
      </c>
      <c r="CN38" s="355">
        <f>+DHR!CH311*DHR!CN312</f>
        <v>36.282829809712496</v>
      </c>
      <c r="CO38" s="355">
        <f>+DHR!CI311*DHR!CO312</f>
        <v>46.997670899531251</v>
      </c>
      <c r="CP38" s="355">
        <f>+DHR!CJ311*DHR!CP312</f>
        <v>52.268063745772871</v>
      </c>
      <c r="CQ38" s="371">
        <f>+DHR!CK311*DHR!CQ312</f>
        <v>166.22391352761861</v>
      </c>
      <c r="CR38" s="67"/>
      <c r="CS38" s="354">
        <f>+DHR!CM311*DHR!CS312</f>
        <v>56.346884459914293</v>
      </c>
      <c r="CT38" s="355">
        <f>+DHR!CN311*DHR!CT312</f>
        <v>48.653658673300313</v>
      </c>
      <c r="CU38" s="355">
        <f>+DHR!CO311*DHR!CU312</f>
        <v>31.617984810234379</v>
      </c>
      <c r="CV38" s="355">
        <f>+DHR!CP311*DHR!CV312</f>
        <v>28.516929217775928</v>
      </c>
      <c r="CW38" s="371">
        <f>+DHR!CQ311*DHR!CW312</f>
        <v>165.13545716122491</v>
      </c>
      <c r="CX38" s="67"/>
      <c r="CY38" s="354">
        <f>+DHR!CS311*DHR!CY312</f>
        <v>16.957999999999998</v>
      </c>
      <c r="CZ38" s="355">
        <f>+DHR!CT311*DHR!CZ312</f>
        <v>22.385000000000002</v>
      </c>
      <c r="DA38" s="355">
        <f>+DHR!CU311*DHR!DA312</f>
        <v>35.188000000000002</v>
      </c>
      <c r="DB38" s="355">
        <f>+DHR!CV311*DHR!DB312</f>
        <v>32.438000000000002</v>
      </c>
      <c r="DC38" s="371">
        <f>+DHR!CW311*DHR!DC312</f>
        <v>106.96900000000001</v>
      </c>
      <c r="DD38" s="355"/>
      <c r="DE38" s="354">
        <f>+DHR!CY311*DHR!DE312</f>
        <v>43.694999999999993</v>
      </c>
      <c r="DF38" s="355">
        <f>+DHR!CZ311*DHR!DF312</f>
        <v>30.1248</v>
      </c>
      <c r="DG38" s="355">
        <f>+DHR!DA311*DHR!DG312</f>
        <v>27.552</v>
      </c>
      <c r="DH38" s="355">
        <f>+DHR!DB311*DHR!DH312</f>
        <v>57.545999999999999</v>
      </c>
      <c r="DI38" s="371">
        <f>+DHR!DC311*DHR!DI312</f>
        <v>158.91779999999997</v>
      </c>
      <c r="DJ38" s="355"/>
      <c r="DK38" s="354">
        <f>+DHR!DE311*DHR!DK312</f>
        <v>41.165999999999997</v>
      </c>
      <c r="DL38" s="355">
        <f>+DHR!DF311*DHR!DL312</f>
        <v>68.824000000000012</v>
      </c>
      <c r="DM38" s="355">
        <f>+DHR!DG311*DHR!DM312</f>
        <v>69.503</v>
      </c>
      <c r="DN38" s="355">
        <f>+DHR!DH311*DHR!DN312</f>
        <v>43.116000000000007</v>
      </c>
      <c r="DO38" s="371">
        <f>+DHR!DI311*DHR!DO312</f>
        <v>222.60900000000001</v>
      </c>
      <c r="DP38" s="355"/>
      <c r="DQ38" s="354">
        <f>+DHR!DK311*DHR!DQ312</f>
        <v>59.058249999999994</v>
      </c>
      <c r="DR38" s="355">
        <f>+DHR!DL311*DHR!DR312</f>
        <v>62.47007</v>
      </c>
      <c r="DS38" s="355">
        <f>+DHR!DM311*DHR!DS312</f>
        <v>61.659090000000006</v>
      </c>
      <c r="DT38" s="355">
        <f>+DHR!DN311*DHR!DT312</f>
        <v>65.698005000000009</v>
      </c>
      <c r="DU38" s="371">
        <f>+DHR!DO311*DHR!DU312</f>
        <v>248.88541500000002</v>
      </c>
      <c r="DV38" s="355"/>
      <c r="DW38" s="354">
        <f>+DHR!DQ311*DHR!DW312</f>
        <v>48.877121249999995</v>
      </c>
      <c r="DX38" s="355">
        <f>+DHR!DR311*DHR!DX312</f>
        <v>51.700773149999996</v>
      </c>
      <c r="DY38" s="355">
        <f>+DHR!DS311*DHR!DY312</f>
        <v>51.029599050000009</v>
      </c>
      <c r="DZ38" s="355">
        <f>+DHR!DT311*DHR!DZ312</f>
        <v>54.372240225000013</v>
      </c>
      <c r="EA38" s="371">
        <f>+DHR!DU311*DHR!EA312</f>
        <v>205.97973367500001</v>
      </c>
      <c r="EB38" s="355"/>
      <c r="EC38" s="354">
        <f>+DHR!DW311*DHR!EC312</f>
        <v>51.076591706249992</v>
      </c>
      <c r="ED38" s="355">
        <f>+DHR!DX311*DHR!ED312</f>
        <v>54.027307941750003</v>
      </c>
      <c r="EE38" s="355">
        <f>+DHR!DY311*DHR!EE312</f>
        <v>53.325931007250006</v>
      </c>
      <c r="EF38" s="355">
        <f>+DHR!DZ311*DHR!EF312</f>
        <v>56.818991035125002</v>
      </c>
      <c r="EG38" s="371">
        <f>+DHR!EA311*DHR!EG312</f>
        <v>215.24882169037497</v>
      </c>
      <c r="EH38" s="9"/>
    </row>
    <row r="39" spans="1:138" ht="11.25" customHeight="1" x14ac:dyDescent="0.2">
      <c r="A39" s="199" t="s">
        <v>239</v>
      </c>
      <c r="B39" s="14"/>
      <c r="C39" s="14"/>
      <c r="D39" s="14"/>
      <c r="E39" s="196"/>
      <c r="F39" s="67"/>
      <c r="G39" s="196"/>
      <c r="H39" s="67"/>
      <c r="I39" s="196"/>
      <c r="J39" s="67"/>
      <c r="K39" s="196"/>
      <c r="L39" s="67"/>
      <c r="M39" s="197"/>
      <c r="N39" s="87"/>
      <c r="O39" s="87"/>
      <c r="P39" s="87"/>
      <c r="Q39" s="196"/>
      <c r="R39" s="67"/>
      <c r="S39" s="197"/>
      <c r="T39" s="87"/>
      <c r="U39" s="87"/>
      <c r="V39" s="87"/>
      <c r="W39" s="196"/>
      <c r="X39" s="67"/>
      <c r="Y39" s="468">
        <f>+DHR!S17*DHR!Y19</f>
        <v>8.1989008006480368</v>
      </c>
      <c r="Z39" s="469">
        <f>+DHR!T17*DHR!Z19</f>
        <v>10.153773205987157</v>
      </c>
      <c r="AA39" s="469">
        <f>+DHR!U17*DHR!AA19</f>
        <v>4.8315065269142758</v>
      </c>
      <c r="AB39" s="469">
        <f>+DHR!V17*DHR!AB19</f>
        <v>2.5923368158773026</v>
      </c>
      <c r="AC39" s="470">
        <f>+DHR!W17*DHR!AC19</f>
        <v>28.291353907911386</v>
      </c>
      <c r="AD39" s="67"/>
      <c r="AE39" s="468">
        <f>+DHR!Y17*DHR!AE19</f>
        <v>17.410766973616877</v>
      </c>
      <c r="AF39" s="469">
        <f>+DHR!Z17*DHR!AF19</f>
        <v>14.670002579999997</v>
      </c>
      <c r="AG39" s="469">
        <f>+DHR!AA17*DHR!AG19</f>
        <v>18.34635033</v>
      </c>
      <c r="AH39" s="469">
        <f>+DHR!AB17*DHR!AH19</f>
        <v>26.422725202500004</v>
      </c>
      <c r="AI39" s="470">
        <f>+DHR!AC17*DHR!AI19</f>
        <v>76.121363618015138</v>
      </c>
      <c r="AJ39" s="67"/>
      <c r="AK39" s="468">
        <f>+DHR!AE17*DHR!AK19</f>
        <v>25.4182715490875</v>
      </c>
      <c r="AL39" s="469">
        <f>+DHR!AF17*DHR!AL19</f>
        <v>32.965268286000004</v>
      </c>
      <c r="AM39" s="469">
        <f>+DHR!AG17*DHR!AM19</f>
        <v>29.58385667400001</v>
      </c>
      <c r="AN39" s="469">
        <f>+DHR!AH17*DHR!AN19</f>
        <v>34.870380443999991</v>
      </c>
      <c r="AO39" s="470">
        <f>+DHR!AI17*DHR!AO19</f>
        <v>133.32626659065346</v>
      </c>
      <c r="AP39" s="67"/>
      <c r="AQ39" s="468">
        <f>+DHR!AK17*DHR!AQ19</f>
        <v>41.760878544428593</v>
      </c>
      <c r="AR39" s="469">
        <f>+DHR!AL17*DHR!AR19</f>
        <v>35.53642212886956</v>
      </c>
      <c r="AS39" s="469">
        <f>+DHR!AM17*DHR!AS19</f>
        <v>50.034793505592717</v>
      </c>
      <c r="AT39" s="469">
        <f>+DHR!AN17*DHR!AT19</f>
        <v>46.614248833051491</v>
      </c>
      <c r="AU39" s="470">
        <f>+DHR!AO17*DHR!AU19</f>
        <v>169.89327199921092</v>
      </c>
      <c r="AV39" s="67"/>
      <c r="AW39" s="468">
        <f>+DHR!AQ17*DHR!AW19</f>
        <v>44.084509100609502</v>
      </c>
      <c r="AX39" s="469">
        <f>+DHR!AR17*DHR!AX19</f>
        <v>52.747732697217607</v>
      </c>
      <c r="AY39" s="469">
        <f>+DHR!AS17*DHR!AY19</f>
        <v>74.013592121829134</v>
      </c>
      <c r="AZ39" s="469">
        <f>+DHR!AT17*DHR!AZ19</f>
        <v>101.74733166636366</v>
      </c>
      <c r="BA39" s="470">
        <f>+DHR!AU17*DHR!BA19</f>
        <v>266.30389833750002</v>
      </c>
      <c r="BB39" s="67"/>
      <c r="BC39" s="468">
        <f>+DHR!AW17*DHR!BC19</f>
        <v>43.593546942498691</v>
      </c>
      <c r="BD39" s="469">
        <f>+DHR!AX17*DHR!BD19</f>
        <v>100.3419141884311</v>
      </c>
      <c r="BE39" s="469">
        <f>+DHR!AY17*DHR!BE19</f>
        <v>50.444291873384756</v>
      </c>
      <c r="BF39" s="469">
        <f>+DHR!AZ17*DHR!BF19</f>
        <v>9.6056498365174328</v>
      </c>
      <c r="BG39" s="470">
        <f>+DHR!BA17*DHR!BG19</f>
        <v>214.96930886127512</v>
      </c>
      <c r="BH39" s="67"/>
      <c r="BI39" s="468">
        <f>+DHR!BC17*DHR!BI19</f>
        <v>-19.977146843927528</v>
      </c>
      <c r="BJ39" s="469">
        <f>+DHR!BD17*DHR!BJ19</f>
        <v>-94.164843068223576</v>
      </c>
      <c r="BK39" s="469">
        <f>+DHR!BE17*DHR!BK19</f>
        <v>-80.77450827301675</v>
      </c>
      <c r="BL39" s="469">
        <f>+DHR!BF17*DHR!BL19</f>
        <v>-30.523392155826752</v>
      </c>
      <c r="BM39" s="470">
        <f>+DHR!BG17*DHR!BM19</f>
        <v>-227.26081278803579</v>
      </c>
      <c r="BN39" s="67"/>
      <c r="BO39" s="468">
        <f>+DHR!BI17*DHR!BO19</f>
        <v>78.088025802475642</v>
      </c>
      <c r="BP39" s="469">
        <f>+DHR!BJ17*DHR!BP19</f>
        <v>94.693302377448703</v>
      </c>
      <c r="BQ39" s="469">
        <f>+DHR!BK17*DHR!BQ19</f>
        <v>126.07927438566171</v>
      </c>
      <c r="BR39" s="469">
        <f>+DHR!BL17*DHR!BR19</f>
        <v>156.6659550851661</v>
      </c>
      <c r="BS39" s="470">
        <f>+DHR!BM17*DHR!BS19</f>
        <v>455.52655765075218</v>
      </c>
      <c r="BT39" s="67"/>
      <c r="BU39" s="468">
        <f>+DHR!BO17*DHR!BU19</f>
        <v>121.89456586872559</v>
      </c>
      <c r="BV39" s="469">
        <f>+DHR!BP17*DHR!BV19</f>
        <v>122.45937622786334</v>
      </c>
      <c r="BW39" s="469">
        <f>+DHR!BQ17*DHR!BW19</f>
        <v>102.19016914025811</v>
      </c>
      <c r="BX39" s="469">
        <f>+DHR!BR17*DHR!BX19</f>
        <v>91.019037239127059</v>
      </c>
      <c r="BY39" s="470">
        <f>+DHR!BS17*DHR!BY19</f>
        <v>437.56314847597406</v>
      </c>
      <c r="BZ39" s="67"/>
      <c r="CA39" s="468">
        <f>+DHR!BU17*DHR!CA19</f>
        <v>27.105133473270623</v>
      </c>
      <c r="CB39" s="469">
        <f>+DHR!BV17*DHR!CB19</f>
        <v>86.320433649487839</v>
      </c>
      <c r="CC39" s="469">
        <f>+DHR!BW17*DHR!CC19</f>
        <v>88.335156089616532</v>
      </c>
      <c r="CD39" s="469">
        <f>+DHR!BX17*DHR!CD19</f>
        <v>177.85037089037149</v>
      </c>
      <c r="CE39" s="470">
        <f>+DHR!BY17*DHR!CE19</f>
        <v>379.61109410274651</v>
      </c>
      <c r="CF39" s="67"/>
      <c r="CG39" s="468">
        <f>+DHR!CA17*DHR!CG19</f>
        <v>82.223230832800525</v>
      </c>
      <c r="CH39" s="469">
        <f>+DHR!CB17*DHR!CH19</f>
        <v>130.19310148254488</v>
      </c>
      <c r="CI39" s="469">
        <f>+DHR!CC17*DHR!CI19</f>
        <v>132.6729938401304</v>
      </c>
      <c r="CJ39" s="469">
        <f>+DHR!CD17*DHR!CJ19</f>
        <v>130.71171805621017</v>
      </c>
      <c r="CK39" s="470">
        <f>+DHR!CE17*DHR!CK19</f>
        <v>475.80104421168596</v>
      </c>
      <c r="CL39" s="67"/>
      <c r="CM39" s="468">
        <f>+DHR!CG17*DHR!CM19</f>
        <v>120.98973882366793</v>
      </c>
      <c r="CN39" s="469">
        <f>+DHR!CH17*DHR!CN19</f>
        <v>119.96499890333463</v>
      </c>
      <c r="CO39" s="469">
        <f>+DHR!CI17*DHR!CO19</f>
        <v>106.63089983914293</v>
      </c>
      <c r="CP39" s="469">
        <f>+DHR!CJ17*DHR!CP19</f>
        <v>155.18786096161551</v>
      </c>
      <c r="CQ39" s="470">
        <f>+DHR!CK17*DHR!CQ19</f>
        <v>502.77349852776098</v>
      </c>
      <c r="CR39" s="67"/>
      <c r="CS39" s="468">
        <f>+DHR!CM17*DHR!CS19</f>
        <v>103.60881239539182</v>
      </c>
      <c r="CT39" s="469">
        <f>+DHR!CN17*DHR!CT19</f>
        <v>143.18847532488624</v>
      </c>
      <c r="CU39" s="469">
        <f>+DHR!CO17*DHR!CU19</f>
        <v>94.815523441459177</v>
      </c>
      <c r="CV39" s="469">
        <f>+DHR!CP17*DHR!CV19</f>
        <v>120.80457011938167</v>
      </c>
      <c r="CW39" s="470">
        <f>+DHR!CQ17*DHR!CW19</f>
        <v>462.41738128111888</v>
      </c>
      <c r="CX39" s="67"/>
      <c r="CY39" s="468">
        <f>+DHR!CS17*DHR!CY19</f>
        <v>79.805000000000007</v>
      </c>
      <c r="CZ39" s="469">
        <f>+DHR!CT17*DHR!CZ19</f>
        <v>102.18900000000001</v>
      </c>
      <c r="DA39" s="469">
        <f>+DHR!CU17*DHR!DA19</f>
        <v>122.92699999999998</v>
      </c>
      <c r="DB39" s="469">
        <f>+DHR!CV17*DHR!DB19</f>
        <v>129.69000000000003</v>
      </c>
      <c r="DC39" s="470">
        <f>+DHR!CW17*DHR!DC19</f>
        <v>434.61099999999999</v>
      </c>
      <c r="DD39" s="355"/>
      <c r="DE39" s="468">
        <f>+DHR!CY17*DHR!DE19</f>
        <v>117.72300000000001</v>
      </c>
      <c r="DF39" s="469">
        <f>+DHR!CZ17*DHR!DF19</f>
        <v>93.321799999999982</v>
      </c>
      <c r="DG39" s="469">
        <f>+DHR!DA17*DHR!DG19</f>
        <v>123.96300000000001</v>
      </c>
      <c r="DH39" s="469">
        <f>+DHR!DB17*DHR!DH19</f>
        <v>252.13650000000001</v>
      </c>
      <c r="DI39" s="470">
        <f>+DHR!DC17*DHR!DI19</f>
        <v>587.14430000000004</v>
      </c>
      <c r="DJ39" s="355"/>
      <c r="DK39" s="468">
        <f>+DHR!DE17*DHR!DK19</f>
        <v>231.3135</v>
      </c>
      <c r="DL39" s="469">
        <f>+DHR!DF17*DHR!DL19</f>
        <v>217.23899999999986</v>
      </c>
      <c r="DM39" s="469">
        <f>+DHR!DG17*DHR!DM19</f>
        <v>197.08100000000036</v>
      </c>
      <c r="DN39" s="469">
        <f>+DHR!DH17*DHR!DN19</f>
        <v>163.88749999999919</v>
      </c>
      <c r="DO39" s="470">
        <f>+DHR!DI17*DHR!DO19</f>
        <v>809.5209999999995</v>
      </c>
      <c r="DP39" s="355"/>
      <c r="DQ39" s="468">
        <f>+DHR!DK17*DHR!DQ19</f>
        <v>138.27625000000035</v>
      </c>
      <c r="DR39" s="469">
        <f>+DHR!DL17*DHR!DR19</f>
        <v>193.25241999999929</v>
      </c>
      <c r="DS39" s="469">
        <f>+DHR!DM17*DHR!DS19</f>
        <v>190.56758000000053</v>
      </c>
      <c r="DT39" s="469">
        <f>+DHR!DN17*DHR!DT19</f>
        <v>212.58463500000087</v>
      </c>
      <c r="DU39" s="470">
        <f>+DHR!DO17*DHR!DU19</f>
        <v>734.68088500000101</v>
      </c>
      <c r="DV39" s="355"/>
      <c r="DW39" s="468">
        <f>+DHR!DQ17*DHR!DW19</f>
        <v>210.24706124999963</v>
      </c>
      <c r="DX39" s="469">
        <f>+DHR!DR17*DHR!DX19</f>
        <v>221.15913985000077</v>
      </c>
      <c r="DY39" s="469">
        <f>+DHR!DS17*DHR!DY19</f>
        <v>215.76318715000011</v>
      </c>
      <c r="DZ39" s="469">
        <f>+DHR!DT17*DHR!DZ19</f>
        <v>241.5110183250008</v>
      </c>
      <c r="EA39" s="470">
        <f>+DHR!DU17*DHR!EA19</f>
        <v>888.68040657500148</v>
      </c>
      <c r="EB39" s="355"/>
      <c r="EC39" s="468">
        <f>+DHR!DW17*DHR!EC19</f>
        <v>219.45334590625009</v>
      </c>
      <c r="ED39" s="469">
        <f>+DHR!DX17*DHR!ED19</f>
        <v>230.84765129074987</v>
      </c>
      <c r="EE39" s="469">
        <f>+DHR!DY17*DHR!EE19</f>
        <v>225.21565669624925</v>
      </c>
      <c r="EF39" s="469">
        <f>+DHR!DZ17*DHR!EF19</f>
        <v>252.07759621612416</v>
      </c>
      <c r="EG39" s="470">
        <f>+DHR!EA17*DHR!EG19</f>
        <v>927.59425010937343</v>
      </c>
      <c r="EH39" s="9"/>
    </row>
    <row r="40" spans="1:138" ht="11.25" customHeight="1" x14ac:dyDescent="0.2">
      <c r="A40" s="173"/>
      <c r="B40" s="376"/>
      <c r="C40" s="376"/>
      <c r="D40" s="376"/>
      <c r="E40" s="377"/>
      <c r="F40" s="377"/>
      <c r="G40" s="377"/>
      <c r="H40" s="377"/>
      <c r="I40" s="377"/>
      <c r="J40" s="377"/>
      <c r="K40" s="377"/>
      <c r="L40" s="377"/>
      <c r="M40" s="377"/>
      <c r="N40" s="377"/>
      <c r="O40" s="377"/>
      <c r="P40" s="377"/>
      <c r="Q40" s="377"/>
      <c r="R40" s="377"/>
      <c r="S40" s="377"/>
      <c r="T40" s="377"/>
      <c r="U40" s="377"/>
      <c r="V40" s="377"/>
      <c r="W40" s="377"/>
      <c r="X40" s="377"/>
      <c r="Y40" s="377"/>
      <c r="Z40" s="377"/>
      <c r="AA40" s="377"/>
      <c r="AB40" s="377"/>
      <c r="AC40" s="377"/>
      <c r="AD40" s="377"/>
      <c r="AE40" s="377"/>
      <c r="AF40" s="377"/>
      <c r="AG40" s="377"/>
      <c r="AH40" s="377"/>
      <c r="AI40" s="377"/>
      <c r="AJ40" s="377"/>
      <c r="AK40" s="377"/>
      <c r="AL40" s="377"/>
      <c r="AM40" s="377"/>
      <c r="AN40" s="377"/>
      <c r="AO40" s="377"/>
      <c r="AP40" s="377"/>
      <c r="AQ40" s="377"/>
      <c r="AR40" s="377"/>
      <c r="AS40" s="377"/>
      <c r="AT40" s="377"/>
      <c r="AU40" s="377"/>
      <c r="AV40" s="377"/>
      <c r="AW40" s="377"/>
      <c r="AX40" s="377"/>
      <c r="AY40" s="377"/>
      <c r="AZ40" s="377"/>
      <c r="BA40" s="377"/>
      <c r="BB40" s="377"/>
      <c r="BC40" s="377"/>
      <c r="BD40" s="377"/>
      <c r="BE40" s="377"/>
      <c r="BF40" s="377"/>
      <c r="BG40" s="377"/>
      <c r="BH40" s="377"/>
      <c r="BI40" s="377"/>
      <c r="BJ40" s="377"/>
      <c r="BK40" s="377"/>
      <c r="BL40" s="377"/>
      <c r="BM40" s="377"/>
      <c r="BN40" s="377"/>
      <c r="BO40" s="377"/>
      <c r="BP40" s="377"/>
      <c r="BQ40" s="377"/>
      <c r="BR40" s="377"/>
      <c r="BS40" s="377"/>
      <c r="BT40" s="377"/>
      <c r="BU40" s="377"/>
      <c r="BV40" s="377"/>
      <c r="BW40" s="377"/>
      <c r="BX40" s="377"/>
      <c r="BY40" s="377"/>
      <c r="BZ40" s="377"/>
      <c r="CA40" s="377"/>
      <c r="CB40" s="377"/>
      <c r="CC40" s="377"/>
      <c r="CD40" s="377"/>
      <c r="CE40" s="377"/>
      <c r="CF40" s="377"/>
      <c r="CG40" s="377"/>
      <c r="CH40" s="377"/>
      <c r="CI40" s="377"/>
      <c r="CJ40" s="377"/>
      <c r="CK40" s="377"/>
      <c r="CL40" s="377"/>
      <c r="CM40" s="377"/>
      <c r="CN40" s="377"/>
      <c r="CO40" s="377"/>
      <c r="CP40" s="377"/>
      <c r="CQ40" s="377"/>
      <c r="CR40" s="377"/>
      <c r="CS40" s="338"/>
      <c r="CT40" s="338"/>
      <c r="CU40" s="338"/>
      <c r="CV40" s="338"/>
      <c r="CW40" s="338"/>
      <c r="CX40" s="377"/>
      <c r="CY40" s="338"/>
      <c r="CZ40" s="338"/>
      <c r="DA40" s="338"/>
      <c r="DB40" s="338"/>
      <c r="DC40" s="338"/>
      <c r="DD40" s="377"/>
      <c r="DE40" s="338"/>
      <c r="DF40" s="338"/>
      <c r="DG40" s="338"/>
      <c r="DH40" s="338"/>
      <c r="DI40" s="338"/>
      <c r="DJ40" s="377"/>
      <c r="DK40" s="338"/>
      <c r="DL40" s="338"/>
      <c r="DM40" s="338"/>
      <c r="DN40" s="338"/>
      <c r="DO40" s="338"/>
      <c r="DP40" s="377"/>
      <c r="DQ40" s="338"/>
      <c r="DR40" s="338"/>
      <c r="DS40" s="338"/>
      <c r="DT40" s="338"/>
      <c r="DU40" s="338"/>
      <c r="DV40" s="377"/>
      <c r="DW40" s="338"/>
      <c r="DX40" s="338"/>
      <c r="DY40" s="338"/>
      <c r="DZ40" s="338"/>
      <c r="EA40" s="338"/>
      <c r="EB40" s="377"/>
      <c r="EC40" s="338"/>
      <c r="ED40" s="338"/>
      <c r="EE40" s="338"/>
      <c r="EF40" s="338"/>
      <c r="EG40" s="338"/>
      <c r="EH40" s="9"/>
    </row>
    <row r="41" spans="1:138" ht="11.25" customHeight="1" x14ac:dyDescent="0.2">
      <c r="A41" s="106" t="s">
        <v>419</v>
      </c>
      <c r="B41" s="74"/>
      <c r="C41" s="74"/>
      <c r="D41" s="74"/>
      <c r="E41" s="107"/>
      <c r="F41" s="75"/>
      <c r="G41" s="107"/>
      <c r="H41" s="75"/>
      <c r="I41" s="107"/>
      <c r="J41" s="75"/>
      <c r="K41" s="107"/>
      <c r="L41" s="75"/>
      <c r="M41" s="109"/>
      <c r="N41" s="110"/>
      <c r="O41" s="110"/>
      <c r="P41" s="110"/>
      <c r="Q41" s="107"/>
      <c r="R41" s="75"/>
      <c r="S41" s="109"/>
      <c r="T41" s="110"/>
      <c r="U41" s="110"/>
      <c r="V41" s="110"/>
      <c r="W41" s="107"/>
      <c r="X41" s="75"/>
      <c r="Y41" s="109"/>
      <c r="Z41" s="110"/>
      <c r="AA41" s="110"/>
      <c r="AB41" s="110"/>
      <c r="AC41" s="107"/>
      <c r="AD41" s="75"/>
      <c r="AE41" s="109"/>
      <c r="AF41" s="110"/>
      <c r="AG41" s="110"/>
      <c r="AH41" s="110"/>
      <c r="AI41" s="107"/>
      <c r="AJ41" s="75"/>
      <c r="AK41" s="109"/>
      <c r="AL41" s="110"/>
      <c r="AM41" s="110"/>
      <c r="AN41" s="110"/>
      <c r="AO41" s="107"/>
      <c r="AP41" s="75"/>
      <c r="AQ41" s="109"/>
      <c r="AR41" s="110"/>
      <c r="AS41" s="110"/>
      <c r="AT41" s="110"/>
      <c r="AU41" s="107"/>
      <c r="AV41" s="75"/>
      <c r="AW41" s="109"/>
      <c r="AX41" s="110"/>
      <c r="AY41" s="110"/>
      <c r="AZ41" s="110"/>
      <c r="BA41" s="107"/>
      <c r="BB41" s="75"/>
      <c r="BC41" s="109"/>
      <c r="BD41" s="110"/>
      <c r="BE41" s="110"/>
      <c r="BF41" s="110"/>
      <c r="BG41" s="107"/>
      <c r="BH41" s="75"/>
      <c r="BI41" s="109"/>
      <c r="BJ41" s="110"/>
      <c r="BK41" s="110"/>
      <c r="BL41" s="110"/>
      <c r="BM41" s="107"/>
      <c r="BN41" s="75"/>
      <c r="BO41" s="109"/>
      <c r="BP41" s="110"/>
      <c r="BQ41" s="110"/>
      <c r="BR41" s="110"/>
      <c r="BS41" s="107"/>
      <c r="BT41" s="75"/>
      <c r="BU41" s="109"/>
      <c r="BV41" s="110"/>
      <c r="BW41" s="110"/>
      <c r="BX41" s="110"/>
      <c r="BY41" s="107"/>
      <c r="BZ41" s="75"/>
      <c r="CA41" s="109"/>
      <c r="CB41" s="110"/>
      <c r="CC41" s="110"/>
      <c r="CD41" s="110"/>
      <c r="CE41" s="107"/>
      <c r="CF41" s="75"/>
      <c r="CG41" s="109"/>
      <c r="CH41" s="110"/>
      <c r="CI41" s="110"/>
      <c r="CJ41" s="110"/>
      <c r="CK41" s="107"/>
      <c r="CL41" s="75"/>
      <c r="CM41" s="109"/>
      <c r="CN41" s="110"/>
      <c r="CO41" s="110"/>
      <c r="CP41" s="110"/>
      <c r="CQ41" s="107"/>
      <c r="CR41" s="75"/>
      <c r="CS41" s="109"/>
      <c r="CT41" s="110"/>
      <c r="CU41" s="110"/>
      <c r="CV41" s="110"/>
      <c r="CW41" s="107"/>
      <c r="CX41" s="75"/>
      <c r="CY41" s="109"/>
      <c r="CZ41" s="110"/>
      <c r="DA41" s="110"/>
      <c r="DB41" s="110"/>
      <c r="DC41" s="107"/>
      <c r="DD41" s="75"/>
      <c r="DE41" s="109"/>
      <c r="DF41" s="110"/>
      <c r="DG41" s="110"/>
      <c r="DH41" s="110"/>
      <c r="DI41" s="107"/>
      <c r="DJ41" s="75"/>
      <c r="DK41" s="109"/>
      <c r="DL41" s="110"/>
      <c r="DM41" s="110"/>
      <c r="DN41" s="110"/>
      <c r="DO41" s="107"/>
      <c r="DP41" s="75"/>
      <c r="DQ41" s="109"/>
      <c r="DR41" s="110"/>
      <c r="DS41" s="110"/>
      <c r="DT41" s="110"/>
      <c r="DU41" s="107"/>
      <c r="DV41" s="75"/>
      <c r="DW41" s="109"/>
      <c r="DX41" s="110"/>
      <c r="DY41" s="110"/>
      <c r="DZ41" s="110"/>
      <c r="EA41" s="107"/>
      <c r="EB41" s="75"/>
      <c r="EC41" s="109"/>
      <c r="ED41" s="110"/>
      <c r="EE41" s="110"/>
      <c r="EF41" s="110"/>
      <c r="EG41" s="107"/>
      <c r="EH41" s="9"/>
    </row>
    <row r="42" spans="1:138" ht="11.25" customHeight="1" x14ac:dyDescent="0.2">
      <c r="A42" s="128" t="s">
        <v>377</v>
      </c>
      <c r="B42" s="14"/>
      <c r="C42" s="14"/>
      <c r="D42" s="14"/>
      <c r="E42" s="141"/>
      <c r="F42" s="67"/>
      <c r="G42" s="141"/>
      <c r="H42" s="67"/>
      <c r="I42" s="141"/>
      <c r="J42" s="67"/>
      <c r="K42" s="141"/>
      <c r="L42" s="67"/>
      <c r="M42" s="418"/>
      <c r="N42" s="138"/>
      <c r="O42" s="138"/>
      <c r="P42" s="138"/>
      <c r="Q42" s="141"/>
      <c r="R42" s="67"/>
      <c r="S42" s="418"/>
      <c r="T42" s="138"/>
      <c r="U42" s="138"/>
      <c r="V42" s="138"/>
      <c r="W42" s="141"/>
      <c r="X42" s="67"/>
      <c r="Y42" s="418">
        <f t="shared" ref="Y42:AC46" si="166">Y35+S35</f>
        <v>0</v>
      </c>
      <c r="Z42" s="138">
        <f t="shared" si="166"/>
        <v>0</v>
      </c>
      <c r="AA42" s="138">
        <f t="shared" si="166"/>
        <v>0</v>
      </c>
      <c r="AB42" s="138">
        <f t="shared" si="166"/>
        <v>0</v>
      </c>
      <c r="AC42" s="141">
        <f t="shared" si="166"/>
        <v>0</v>
      </c>
      <c r="AD42" s="67"/>
      <c r="AE42" s="418">
        <f t="shared" ref="AE42:AI46" si="167">AE35+Y35</f>
        <v>0</v>
      </c>
      <c r="AF42" s="138">
        <f t="shared" si="167"/>
        <v>0</v>
      </c>
      <c r="AG42" s="138">
        <f t="shared" si="167"/>
        <v>0</v>
      </c>
      <c r="AH42" s="138">
        <f t="shared" si="167"/>
        <v>0</v>
      </c>
      <c r="AI42" s="141">
        <f t="shared" si="167"/>
        <v>0</v>
      </c>
      <c r="AJ42" s="67"/>
      <c r="AK42" s="418">
        <f t="shared" ref="AK42:AO46" si="168">AK35+AE35</f>
        <v>0</v>
      </c>
      <c r="AL42" s="138">
        <f t="shared" si="168"/>
        <v>0</v>
      </c>
      <c r="AM42" s="138">
        <f t="shared" si="168"/>
        <v>0</v>
      </c>
      <c r="AN42" s="138">
        <f t="shared" si="168"/>
        <v>0</v>
      </c>
      <c r="AO42" s="141">
        <f t="shared" si="168"/>
        <v>0</v>
      </c>
      <c r="AP42" s="67"/>
      <c r="AQ42" s="418">
        <f t="shared" ref="AQ42:AU46" si="169">AQ35+AK35</f>
        <v>0</v>
      </c>
      <c r="AR42" s="138">
        <f t="shared" si="169"/>
        <v>0</v>
      </c>
      <c r="AS42" s="138">
        <f t="shared" si="169"/>
        <v>0</v>
      </c>
      <c r="AT42" s="138">
        <f t="shared" si="169"/>
        <v>0</v>
      </c>
      <c r="AU42" s="141">
        <f t="shared" si="169"/>
        <v>17.009999999999998</v>
      </c>
      <c r="AV42" s="67"/>
      <c r="AW42" s="418">
        <f t="shared" ref="AW42:BA46" si="170">AW35+AQ35</f>
        <v>0</v>
      </c>
      <c r="AX42" s="138">
        <f t="shared" si="170"/>
        <v>0</v>
      </c>
      <c r="AY42" s="138">
        <f t="shared" si="170"/>
        <v>0</v>
      </c>
      <c r="AZ42" s="138">
        <f t="shared" si="170"/>
        <v>0</v>
      </c>
      <c r="BA42" s="141">
        <f t="shared" si="170"/>
        <v>114.31</v>
      </c>
      <c r="BB42" s="67"/>
      <c r="BC42" s="418">
        <f t="shared" ref="BC42:BG46" si="171">BC35+AW35</f>
        <v>0</v>
      </c>
      <c r="BD42" s="138">
        <f t="shared" si="171"/>
        <v>0</v>
      </c>
      <c r="BE42" s="138">
        <f t="shared" si="171"/>
        <v>0</v>
      </c>
      <c r="BF42" s="138">
        <f t="shared" si="171"/>
        <v>0</v>
      </c>
      <c r="BG42" s="141">
        <f t="shared" si="171"/>
        <v>172.56850000000003</v>
      </c>
      <c r="BH42" s="67"/>
      <c r="BI42" s="418">
        <f t="shared" ref="BI42:BM46" si="172">BI35+BC35</f>
        <v>-5.4094738500000004</v>
      </c>
      <c r="BJ42" s="138">
        <f t="shared" si="172"/>
        <v>-5.5733972999999999</v>
      </c>
      <c r="BK42" s="138">
        <f t="shared" si="172"/>
        <v>-5.7373207500000003</v>
      </c>
      <c r="BL42" s="138">
        <f t="shared" si="172"/>
        <v>-6.0651676500000002</v>
      </c>
      <c r="BM42" s="141">
        <f t="shared" si="172"/>
        <v>52.483140450000022</v>
      </c>
      <c r="BN42" s="67"/>
      <c r="BO42" s="418">
        <f t="shared" ref="BO42:BS46" si="173">BO35+BI35</f>
        <v>8.4277264500000015</v>
      </c>
      <c r="BP42" s="138">
        <f t="shared" si="173"/>
        <v>8.6831121000000007</v>
      </c>
      <c r="BQ42" s="138">
        <f t="shared" si="173"/>
        <v>15.67900425</v>
      </c>
      <c r="BR42" s="138">
        <f t="shared" si="173"/>
        <v>19.911385350000003</v>
      </c>
      <c r="BS42" s="141">
        <f t="shared" si="173"/>
        <v>52.701228150000006</v>
      </c>
      <c r="BT42" s="67"/>
      <c r="BU42" s="418">
        <f t="shared" ref="BU42:BY46" si="174">BU35+BO35</f>
        <v>34.239440514906001</v>
      </c>
      <c r="BV42" s="138">
        <f t="shared" si="174"/>
        <v>36.103184404559997</v>
      </c>
      <c r="BW42" s="138">
        <f t="shared" si="174"/>
        <v>40.458971618625</v>
      </c>
      <c r="BX42" s="138">
        <f t="shared" si="174"/>
        <v>49.262454640260003</v>
      </c>
      <c r="BY42" s="141">
        <f t="shared" si="174"/>
        <v>160.06405117835101</v>
      </c>
      <c r="BZ42" s="67"/>
      <c r="CA42" s="418">
        <f t="shared" ref="CA42:CE46" si="175">CA35+BU35</f>
        <v>20.402240214906001</v>
      </c>
      <c r="CB42" s="138">
        <f t="shared" si="175"/>
        <v>35.883163694989797</v>
      </c>
      <c r="CC42" s="138">
        <f t="shared" si="175"/>
        <v>2.8945675018746186</v>
      </c>
      <c r="CD42" s="138">
        <f t="shared" si="175"/>
        <v>76.883077140344156</v>
      </c>
      <c r="CE42" s="141">
        <f t="shared" si="175"/>
        <v>136.06304855211459</v>
      </c>
      <c r="CF42" s="67"/>
      <c r="CG42" s="418">
        <f t="shared" ref="CG42:CK46" si="176">CG35+CA35</f>
        <v>6.6335905041466008</v>
      </c>
      <c r="CH42" s="138">
        <f t="shared" si="176"/>
        <v>41.841720049519452</v>
      </c>
      <c r="CI42" s="138">
        <f t="shared" si="176"/>
        <v>20.709033388659698</v>
      </c>
      <c r="CJ42" s="138">
        <f t="shared" si="176"/>
        <v>73.53137055337541</v>
      </c>
      <c r="CK42" s="141">
        <f t="shared" si="176"/>
        <v>142.71571449570115</v>
      </c>
      <c r="CL42" s="67"/>
      <c r="CM42" s="418">
        <f t="shared" ref="CM42:CQ46" si="177">CM35+CG35</f>
        <v>36.23657344571</v>
      </c>
      <c r="CN42" s="138">
        <f t="shared" si="177"/>
        <v>42.547703636004798</v>
      </c>
      <c r="CO42" s="138">
        <f t="shared" si="177"/>
        <v>48.598735489276436</v>
      </c>
      <c r="CP42" s="138">
        <f t="shared" si="177"/>
        <v>46.600732964185823</v>
      </c>
      <c r="CQ42" s="141">
        <f t="shared" si="177"/>
        <v>173.98374553517704</v>
      </c>
      <c r="CR42" s="67"/>
      <c r="CS42" s="418">
        <f t="shared" ref="CS42:CW46" si="178">CS35+CM35</f>
        <v>43.975366953192164</v>
      </c>
      <c r="CT42" s="138">
        <f t="shared" si="178"/>
        <v>29.882757297810549</v>
      </c>
      <c r="CU42" s="138">
        <f t="shared" si="178"/>
        <v>38.656945349783186</v>
      </c>
      <c r="CV42" s="138">
        <f t="shared" si="178"/>
        <v>52.316988773805036</v>
      </c>
      <c r="CW42" s="141">
        <f t="shared" si="178"/>
        <v>158.09846793585058</v>
      </c>
      <c r="CX42" s="67"/>
      <c r="CY42" s="418">
        <f t="shared" ref="CY42:DC46" si="179">CY35+CS35</f>
        <v>33.891884011628761</v>
      </c>
      <c r="CZ42" s="138">
        <f t="shared" si="179"/>
        <v>38.272285020895396</v>
      </c>
      <c r="DA42" s="138">
        <f t="shared" si="179"/>
        <v>55.072822365916835</v>
      </c>
      <c r="DB42" s="138">
        <f t="shared" si="179"/>
        <v>73.747450862910483</v>
      </c>
      <c r="DC42" s="141">
        <f t="shared" si="179"/>
        <v>194.31085182261114</v>
      </c>
      <c r="DD42" s="67"/>
      <c r="DE42" s="418">
        <f t="shared" ref="DE42:DI46" si="180">DE35+CY35</f>
        <v>63.55299999999999</v>
      </c>
      <c r="DF42" s="138">
        <f t="shared" si="180"/>
        <v>72.2791</v>
      </c>
      <c r="DG42" s="138">
        <f t="shared" si="180"/>
        <v>81.173500000000004</v>
      </c>
      <c r="DH42" s="138">
        <f t="shared" si="180"/>
        <v>142.61349999999999</v>
      </c>
      <c r="DI42" s="141">
        <f t="shared" si="180"/>
        <v>359.67910000000001</v>
      </c>
      <c r="DJ42" s="67"/>
      <c r="DK42" s="418">
        <f t="shared" ref="DK42:DO46" si="181">DK35+DE35</f>
        <v>115.97899999999998</v>
      </c>
      <c r="DL42" s="138">
        <f t="shared" si="181"/>
        <v>118.3621</v>
      </c>
      <c r="DM42" s="138">
        <f t="shared" si="181"/>
        <v>122.646</v>
      </c>
      <c r="DN42" s="138">
        <f t="shared" si="181"/>
        <v>151.39499999999998</v>
      </c>
      <c r="DO42" s="141">
        <f t="shared" si="181"/>
        <v>508.38209999999992</v>
      </c>
      <c r="DP42" s="67"/>
      <c r="DQ42" s="418">
        <f t="shared" ref="DQ42:DU46" si="182">DQ35+DK35</f>
        <v>130.9855</v>
      </c>
      <c r="DR42" s="138">
        <f t="shared" si="182"/>
        <v>131.09362000000002</v>
      </c>
      <c r="DS42" s="138">
        <f t="shared" si="182"/>
        <v>131.87624</v>
      </c>
      <c r="DT42" s="138">
        <f t="shared" si="182"/>
        <v>128.93772000000001</v>
      </c>
      <c r="DU42" s="141">
        <f t="shared" si="182"/>
        <v>522.89308000000005</v>
      </c>
      <c r="DV42" s="67"/>
      <c r="DW42" s="418">
        <f t="shared" ref="DW42:EA46" si="183">DW35+DQ35</f>
        <v>123.64159999999998</v>
      </c>
      <c r="DX42" s="138">
        <f t="shared" si="183"/>
        <v>128.03238480000002</v>
      </c>
      <c r="DY42" s="138">
        <f t="shared" si="183"/>
        <v>126.98232959999999</v>
      </c>
      <c r="DZ42" s="138">
        <f t="shared" si="183"/>
        <v>147.00080880000002</v>
      </c>
      <c r="EA42" s="141">
        <f t="shared" si="183"/>
        <v>525.6571232</v>
      </c>
      <c r="EB42" s="67"/>
      <c r="EC42" s="418">
        <f t="shared" ref="EC42:EC46" si="184">EC35+DW35</f>
        <v>131.78726399999999</v>
      </c>
      <c r="ED42" s="138">
        <f t="shared" ref="ED42:ED46" si="185">ED35+DX35</f>
        <v>134.95368019200004</v>
      </c>
      <c r="EE42" s="138">
        <f t="shared" ref="EE42:EE46" si="186">EE35+DY35</f>
        <v>132.06162278399998</v>
      </c>
      <c r="EF42" s="138">
        <f t="shared" ref="EF42:EF46" si="187">EF35+DZ35</f>
        <v>152.88084115200002</v>
      </c>
      <c r="EG42" s="141">
        <f t="shared" ref="EG42:EG46" si="188">EG35+EA35</f>
        <v>551.683408128</v>
      </c>
      <c r="EH42" s="9"/>
    </row>
    <row r="43" spans="1:138" ht="11.25" customHeight="1" x14ac:dyDescent="0.2">
      <c r="A43" s="51" t="s">
        <v>115</v>
      </c>
      <c r="B43" s="14"/>
      <c r="C43" s="14"/>
      <c r="D43" s="14"/>
      <c r="E43" s="93"/>
      <c r="F43" s="67"/>
      <c r="G43" s="93"/>
      <c r="H43" s="67"/>
      <c r="I43" s="93"/>
      <c r="J43" s="67"/>
      <c r="K43" s="93"/>
      <c r="L43" s="67"/>
      <c r="M43" s="82"/>
      <c r="N43" s="67"/>
      <c r="O43" s="67"/>
      <c r="P43" s="67"/>
      <c r="Q43" s="93"/>
      <c r="R43" s="67"/>
      <c r="S43" s="82"/>
      <c r="T43" s="67"/>
      <c r="U43" s="67"/>
      <c r="V43" s="67"/>
      <c r="W43" s="93"/>
      <c r="X43" s="67"/>
      <c r="Y43" s="82">
        <f t="shared" si="166"/>
        <v>0</v>
      </c>
      <c r="Z43" s="67">
        <f t="shared" si="166"/>
        <v>0</v>
      </c>
      <c r="AA43" s="67">
        <f t="shared" si="166"/>
        <v>0</v>
      </c>
      <c r="AB43" s="67">
        <f t="shared" si="166"/>
        <v>0</v>
      </c>
      <c r="AC43" s="93">
        <f t="shared" si="166"/>
        <v>0</v>
      </c>
      <c r="AD43" s="67"/>
      <c r="AE43" s="82">
        <f t="shared" si="167"/>
        <v>0</v>
      </c>
      <c r="AF43" s="67">
        <f t="shared" si="167"/>
        <v>0</v>
      </c>
      <c r="AG43" s="67">
        <f t="shared" si="167"/>
        <v>0</v>
      </c>
      <c r="AH43" s="67">
        <f t="shared" si="167"/>
        <v>0</v>
      </c>
      <c r="AI43" s="93">
        <f t="shared" si="167"/>
        <v>0</v>
      </c>
      <c r="AJ43" s="67"/>
      <c r="AK43" s="82">
        <f t="shared" si="168"/>
        <v>3.15</v>
      </c>
      <c r="AL43" s="67">
        <f t="shared" si="168"/>
        <v>3.2160000000000002</v>
      </c>
      <c r="AM43" s="67">
        <f t="shared" si="168"/>
        <v>3.3148000000000004</v>
      </c>
      <c r="AN43" s="67">
        <f t="shared" si="168"/>
        <v>3.4362400000000024</v>
      </c>
      <c r="AO43" s="93">
        <f t="shared" si="168"/>
        <v>13.117040000000003</v>
      </c>
      <c r="AP43" s="67"/>
      <c r="AQ43" s="82">
        <f t="shared" si="169"/>
        <v>16.632000000000001</v>
      </c>
      <c r="AR43" s="67">
        <f t="shared" si="169"/>
        <v>16.723200000000002</v>
      </c>
      <c r="AS43" s="67">
        <f t="shared" si="169"/>
        <v>17.236960000000003</v>
      </c>
      <c r="AT43" s="67">
        <f t="shared" si="169"/>
        <v>17.868448000000015</v>
      </c>
      <c r="AU43" s="93">
        <f t="shared" si="169"/>
        <v>33.870878000000005</v>
      </c>
      <c r="AV43" s="67"/>
      <c r="AW43" s="82">
        <f t="shared" si="170"/>
        <v>13.482000000000001</v>
      </c>
      <c r="AX43" s="67">
        <f t="shared" si="170"/>
        <v>13.507200000000003</v>
      </c>
      <c r="AY43" s="67">
        <f t="shared" si="170"/>
        <v>13.922160000000002</v>
      </c>
      <c r="AZ43" s="67">
        <f t="shared" si="170"/>
        <v>14.432208000000012</v>
      </c>
      <c r="BA43" s="93">
        <f t="shared" si="170"/>
        <v>56.865516120000009</v>
      </c>
      <c r="BB43" s="67"/>
      <c r="BC43" s="82">
        <f t="shared" si="171"/>
        <v>0</v>
      </c>
      <c r="BD43" s="67">
        <f t="shared" si="171"/>
        <v>0</v>
      </c>
      <c r="BE43" s="67">
        <f t="shared" si="171"/>
        <v>0</v>
      </c>
      <c r="BF43" s="67">
        <f t="shared" si="171"/>
        <v>0</v>
      </c>
      <c r="BG43" s="93">
        <f t="shared" si="171"/>
        <v>66.310830143040008</v>
      </c>
      <c r="BH43" s="67"/>
      <c r="BI43" s="82">
        <f t="shared" si="172"/>
        <v>6.6896335799999989</v>
      </c>
      <c r="BJ43" s="67">
        <f t="shared" si="172"/>
        <v>6.7021375680000013</v>
      </c>
      <c r="BK43" s="67">
        <f t="shared" si="172"/>
        <v>6.9080365703999993</v>
      </c>
      <c r="BL43" s="67">
        <f t="shared" si="172"/>
        <v>7.0665285962880038</v>
      </c>
      <c r="BM43" s="93">
        <f t="shared" si="172"/>
        <v>57.565488337727999</v>
      </c>
      <c r="BN43" s="67"/>
      <c r="BO43" s="82">
        <f t="shared" si="173"/>
        <v>17.3834142356448</v>
      </c>
      <c r="BP43" s="67">
        <f t="shared" si="173"/>
        <v>17.574505982111233</v>
      </c>
      <c r="BQ43" s="67">
        <f t="shared" si="173"/>
        <v>19.490472540457965</v>
      </c>
      <c r="BR43" s="67">
        <f t="shared" si="173"/>
        <v>21.696150753325171</v>
      </c>
      <c r="BS43" s="93">
        <f t="shared" si="173"/>
        <v>76.144543511539169</v>
      </c>
      <c r="BT43" s="67"/>
      <c r="BU43" s="82">
        <f t="shared" si="174"/>
        <v>25.731909702645297</v>
      </c>
      <c r="BV43" s="67">
        <f t="shared" si="174"/>
        <v>25.7946940624789</v>
      </c>
      <c r="BW43" s="67">
        <f t="shared" si="174"/>
        <v>26.083669375618388</v>
      </c>
      <c r="BX43" s="67">
        <f t="shared" si="174"/>
        <v>31.044708422662065</v>
      </c>
      <c r="BY43" s="93">
        <f t="shared" si="174"/>
        <v>108.65498156340465</v>
      </c>
      <c r="BZ43" s="67"/>
      <c r="CA43" s="82">
        <f t="shared" si="175"/>
        <v>25.712610770368308</v>
      </c>
      <c r="CB43" s="67">
        <f t="shared" si="175"/>
        <v>26.238837107425603</v>
      </c>
      <c r="CC43" s="67">
        <f t="shared" si="175"/>
        <v>62.786220211926974</v>
      </c>
      <c r="CD43" s="67">
        <f t="shared" si="175"/>
        <v>80.384800555912136</v>
      </c>
      <c r="CE43" s="93">
        <f t="shared" si="175"/>
        <v>195.12246864563303</v>
      </c>
      <c r="CF43" s="67"/>
      <c r="CG43" s="82">
        <f t="shared" si="176"/>
        <v>40.481584253248393</v>
      </c>
      <c r="CH43" s="67">
        <f t="shared" si="176"/>
        <v>66.113767079687705</v>
      </c>
      <c r="CI43" s="67">
        <f t="shared" si="176"/>
        <v>101.16778526729669</v>
      </c>
      <c r="CJ43" s="67">
        <f t="shared" si="176"/>
        <v>108.96174667445592</v>
      </c>
      <c r="CK43" s="93">
        <f t="shared" si="176"/>
        <v>316.72488327468869</v>
      </c>
      <c r="CL43" s="67"/>
      <c r="CM43" s="82">
        <f t="shared" si="177"/>
        <v>61.730509339382685</v>
      </c>
      <c r="CN43" s="67">
        <f t="shared" si="177"/>
        <v>113.44295243733723</v>
      </c>
      <c r="CO43" s="67">
        <f t="shared" si="177"/>
        <v>89.570404416675544</v>
      </c>
      <c r="CP43" s="67">
        <f t="shared" si="177"/>
        <v>106.49029168911734</v>
      </c>
      <c r="CQ43" s="93">
        <f t="shared" si="177"/>
        <v>371.23415788251276</v>
      </c>
      <c r="CR43" s="67"/>
      <c r="CS43" s="82">
        <f t="shared" si="178"/>
        <v>74.751444008535714</v>
      </c>
      <c r="CT43" s="67">
        <f t="shared" si="178"/>
        <v>122.64604760563159</v>
      </c>
      <c r="CU43" s="67">
        <f t="shared" si="178"/>
        <v>71.606451315916274</v>
      </c>
      <c r="CV43" s="67">
        <f t="shared" si="178"/>
        <v>105.38080841693832</v>
      </c>
      <c r="CW43" s="93">
        <f t="shared" si="178"/>
        <v>374.50532759692055</v>
      </c>
      <c r="CX43" s="67"/>
      <c r="CY43" s="82">
        <f t="shared" si="179"/>
        <v>70.933037199033606</v>
      </c>
      <c r="CZ43" s="67">
        <f t="shared" si="179"/>
        <v>88.900350788924129</v>
      </c>
      <c r="DA43" s="67">
        <f t="shared" si="179"/>
        <v>75.071845360170869</v>
      </c>
      <c r="DB43" s="67">
        <f t="shared" si="179"/>
        <v>76.067549111989663</v>
      </c>
      <c r="DC43" s="93">
        <f t="shared" si="179"/>
        <v>306.03035871001691</v>
      </c>
      <c r="DD43" s="67"/>
      <c r="DE43" s="82">
        <f t="shared" si="180"/>
        <v>62.19100000000001</v>
      </c>
      <c r="DF43" s="67">
        <f t="shared" si="180"/>
        <v>58.855200000000011</v>
      </c>
      <c r="DG43" s="67">
        <f t="shared" si="180"/>
        <v>89.661000000000001</v>
      </c>
      <c r="DH43" s="67">
        <f t="shared" si="180"/>
        <v>118.09299999999999</v>
      </c>
      <c r="DI43" s="93">
        <f t="shared" si="180"/>
        <v>323.73720000000003</v>
      </c>
      <c r="DJ43" s="67"/>
      <c r="DK43" s="82">
        <f t="shared" si="181"/>
        <v>160.17949999999999</v>
      </c>
      <c r="DL43" s="67">
        <f t="shared" si="181"/>
        <v>113.15520000000001</v>
      </c>
      <c r="DM43" s="67">
        <f t="shared" si="181"/>
        <v>106.456</v>
      </c>
      <c r="DN43" s="67">
        <f t="shared" si="181"/>
        <v>134.625</v>
      </c>
      <c r="DO43" s="93">
        <f t="shared" si="181"/>
        <v>514.41570000000002</v>
      </c>
      <c r="DP43" s="67"/>
      <c r="DQ43" s="82">
        <f t="shared" si="182"/>
        <v>126.09349999999999</v>
      </c>
      <c r="DR43" s="67">
        <f t="shared" si="182"/>
        <v>126.28800000000001</v>
      </c>
      <c r="DS43" s="67">
        <f t="shared" si="182"/>
        <v>103.58205000000001</v>
      </c>
      <c r="DT43" s="67">
        <f t="shared" si="182"/>
        <v>99.869850000000014</v>
      </c>
      <c r="DU43" s="93">
        <f t="shared" si="182"/>
        <v>455.83339999999998</v>
      </c>
      <c r="DV43" s="67"/>
      <c r="DW43" s="82">
        <f t="shared" si="183"/>
        <v>75.984999999999999</v>
      </c>
      <c r="DX43" s="67">
        <f t="shared" si="183"/>
        <v>127.92240000000001</v>
      </c>
      <c r="DY43" s="67">
        <f t="shared" si="183"/>
        <v>123.97250250000002</v>
      </c>
      <c r="DZ43" s="67">
        <f t="shared" si="183"/>
        <v>138.96524250000002</v>
      </c>
      <c r="EA43" s="93">
        <f t="shared" si="183"/>
        <v>466.84514500000012</v>
      </c>
      <c r="EB43" s="67"/>
      <c r="EC43" s="82">
        <f t="shared" si="184"/>
        <v>155.76925</v>
      </c>
      <c r="ED43" s="67">
        <f t="shared" si="185"/>
        <v>165.71052000000003</v>
      </c>
      <c r="EE43" s="67">
        <f t="shared" si="186"/>
        <v>160.59382762500005</v>
      </c>
      <c r="EF43" s="67">
        <f t="shared" si="187"/>
        <v>180.01540462500003</v>
      </c>
      <c r="EG43" s="93">
        <f t="shared" si="188"/>
        <v>662.08900225000014</v>
      </c>
      <c r="EH43" s="9"/>
    </row>
    <row r="44" spans="1:138" ht="11.25" customHeight="1" x14ac:dyDescent="0.2">
      <c r="A44" s="51" t="s">
        <v>163</v>
      </c>
      <c r="B44" s="14"/>
      <c r="C44" s="14"/>
      <c r="D44" s="14"/>
      <c r="E44" s="93"/>
      <c r="F44" s="67"/>
      <c r="G44" s="93"/>
      <c r="H44" s="67"/>
      <c r="I44" s="93"/>
      <c r="J44" s="67"/>
      <c r="K44" s="93"/>
      <c r="L44" s="67"/>
      <c r="M44" s="82"/>
      <c r="N44" s="67"/>
      <c r="O44" s="67"/>
      <c r="P44" s="67"/>
      <c r="Q44" s="93"/>
      <c r="R44" s="67"/>
      <c r="S44" s="82"/>
      <c r="T44" s="67"/>
      <c r="U44" s="67"/>
      <c r="V44" s="67"/>
      <c r="W44" s="93"/>
      <c r="X44" s="67"/>
      <c r="Y44" s="82">
        <f t="shared" si="166"/>
        <v>0</v>
      </c>
      <c r="Z44" s="67">
        <f t="shared" si="166"/>
        <v>0</v>
      </c>
      <c r="AA44" s="67">
        <f t="shared" si="166"/>
        <v>0</v>
      </c>
      <c r="AB44" s="67">
        <f t="shared" si="166"/>
        <v>0</v>
      </c>
      <c r="AC44" s="93">
        <f t="shared" si="166"/>
        <v>0</v>
      </c>
      <c r="AD44" s="67"/>
      <c r="AE44" s="82">
        <f t="shared" si="167"/>
        <v>0</v>
      </c>
      <c r="AF44" s="67">
        <f t="shared" si="167"/>
        <v>0</v>
      </c>
      <c r="AG44" s="67">
        <f t="shared" si="167"/>
        <v>0</v>
      </c>
      <c r="AH44" s="67">
        <f t="shared" si="167"/>
        <v>0</v>
      </c>
      <c r="AI44" s="93">
        <f t="shared" si="167"/>
        <v>0</v>
      </c>
      <c r="AJ44" s="67"/>
      <c r="AK44" s="82">
        <f t="shared" si="168"/>
        <v>0</v>
      </c>
      <c r="AL44" s="67">
        <f t="shared" si="168"/>
        <v>1.2</v>
      </c>
      <c r="AM44" s="67">
        <f t="shared" si="168"/>
        <v>-1.25</v>
      </c>
      <c r="AN44" s="67">
        <f t="shared" si="168"/>
        <v>3.8000000000000003</v>
      </c>
      <c r="AO44" s="93">
        <f t="shared" si="168"/>
        <v>13.8</v>
      </c>
      <c r="AP44" s="67"/>
      <c r="AQ44" s="82">
        <f t="shared" si="169"/>
        <v>6.356051250000001</v>
      </c>
      <c r="AR44" s="67">
        <f t="shared" si="169"/>
        <v>8.3043790000000008</v>
      </c>
      <c r="AS44" s="67">
        <f t="shared" si="169"/>
        <v>13.826378</v>
      </c>
      <c r="AT44" s="67">
        <f t="shared" si="169"/>
        <v>25.333109925000006</v>
      </c>
      <c r="AU44" s="93">
        <f t="shared" si="169"/>
        <v>71.997303000000002</v>
      </c>
      <c r="AV44" s="67"/>
      <c r="AW44" s="82">
        <f t="shared" si="170"/>
        <v>12.742246249999999</v>
      </c>
      <c r="AX44" s="67">
        <f t="shared" si="170"/>
        <v>19.1172483</v>
      </c>
      <c r="AY44" s="67">
        <f t="shared" si="170"/>
        <v>32.529716600000008</v>
      </c>
      <c r="AZ44" s="67">
        <f t="shared" si="170"/>
        <v>41.867463624999999</v>
      </c>
      <c r="BA44" s="93">
        <f t="shared" si="170"/>
        <v>114.3840596</v>
      </c>
      <c r="BB44" s="67"/>
      <c r="BC44" s="82">
        <f t="shared" si="171"/>
        <v>8.2534718999999974</v>
      </c>
      <c r="BD44" s="67">
        <f t="shared" si="171"/>
        <v>13.965456539999998</v>
      </c>
      <c r="BE44" s="67">
        <f t="shared" si="171"/>
        <v>19.531326772000007</v>
      </c>
      <c r="BF44" s="67">
        <f t="shared" si="171"/>
        <v>22.961919693919999</v>
      </c>
      <c r="BG44" s="93">
        <f t="shared" si="171"/>
        <v>64.712174905920008</v>
      </c>
      <c r="BH44" s="67"/>
      <c r="BI44" s="82">
        <f t="shared" si="172"/>
        <v>-18.259479520000006</v>
      </c>
      <c r="BJ44" s="67">
        <f t="shared" si="172"/>
        <v>-50.542520110399998</v>
      </c>
      <c r="BK44" s="67">
        <f t="shared" si="172"/>
        <v>-57.94213674496001</v>
      </c>
      <c r="BL44" s="67">
        <f t="shared" si="172"/>
        <v>-15.534979129049599</v>
      </c>
      <c r="BM44" s="93">
        <f t="shared" si="172"/>
        <v>-144.0938049591104</v>
      </c>
      <c r="BN44" s="67"/>
      <c r="BO44" s="82">
        <f t="shared" si="173"/>
        <v>-12.594756420000007</v>
      </c>
      <c r="BP44" s="67">
        <f t="shared" si="173"/>
        <v>-44.725107350399995</v>
      </c>
      <c r="BQ44" s="67">
        <f t="shared" si="173"/>
        <v>-35.846124916960008</v>
      </c>
      <c r="BR44" s="67">
        <f t="shared" si="173"/>
        <v>18.512454877030397</v>
      </c>
      <c r="BS44" s="93">
        <f t="shared" si="173"/>
        <v>-78.054223265030402</v>
      </c>
      <c r="BT44" s="67"/>
      <c r="BU44" s="82">
        <f t="shared" si="174"/>
        <v>31.281000000000002</v>
      </c>
      <c r="BV44" s="67">
        <f t="shared" si="174"/>
        <v>35.609500000000004</v>
      </c>
      <c r="BW44" s="67">
        <f t="shared" si="174"/>
        <v>44.108999999999995</v>
      </c>
      <c r="BX44" s="67">
        <f t="shared" si="174"/>
        <v>49.712499999999999</v>
      </c>
      <c r="BY44" s="93">
        <f t="shared" si="174"/>
        <v>156.672</v>
      </c>
      <c r="BZ44" s="67"/>
      <c r="CA44" s="82">
        <f t="shared" si="175"/>
        <v>26.066500000000001</v>
      </c>
      <c r="CB44" s="67">
        <f t="shared" si="175"/>
        <v>53.0745</v>
      </c>
      <c r="CC44" s="67">
        <f t="shared" si="175"/>
        <v>34.713000000000001</v>
      </c>
      <c r="CD44" s="67">
        <f t="shared" si="175"/>
        <v>35.0535</v>
      </c>
      <c r="CE44" s="93">
        <f t="shared" si="175"/>
        <v>152.49900000000002</v>
      </c>
      <c r="CF44" s="67"/>
      <c r="CG44" s="82">
        <f t="shared" si="176"/>
        <v>13.934999999999999</v>
      </c>
      <c r="CH44" s="67">
        <f t="shared" si="176"/>
        <v>37.704999999999998</v>
      </c>
      <c r="CI44" s="67">
        <f t="shared" si="176"/>
        <v>31.889499999999998</v>
      </c>
      <c r="CJ44" s="67">
        <f t="shared" si="176"/>
        <v>39.130999999999993</v>
      </c>
      <c r="CK44" s="93">
        <f t="shared" si="176"/>
        <v>131.07900000000001</v>
      </c>
      <c r="CL44" s="67"/>
      <c r="CM44" s="82">
        <f t="shared" si="177"/>
        <v>40.405500000000004</v>
      </c>
      <c r="CN44" s="67">
        <f t="shared" si="177"/>
        <v>22.764000000000003</v>
      </c>
      <c r="CO44" s="67">
        <f t="shared" si="177"/>
        <v>27.3155</v>
      </c>
      <c r="CP44" s="67">
        <f t="shared" si="177"/>
        <v>31.87</v>
      </c>
      <c r="CQ44" s="93">
        <f t="shared" si="177"/>
        <v>124.72799999999999</v>
      </c>
      <c r="CR44" s="67"/>
      <c r="CS44" s="82">
        <f t="shared" si="178"/>
        <v>16.045500000000001</v>
      </c>
      <c r="CT44" s="67">
        <f t="shared" si="178"/>
        <v>15.575000000000001</v>
      </c>
      <c r="CU44" s="67">
        <f t="shared" si="178"/>
        <v>7.5620000000000012</v>
      </c>
      <c r="CV44" s="67">
        <f t="shared" si="178"/>
        <v>30.427500000000006</v>
      </c>
      <c r="CW44" s="93">
        <f t="shared" si="178"/>
        <v>69.61</v>
      </c>
      <c r="CX44" s="67"/>
      <c r="CY44" s="82">
        <f t="shared" si="179"/>
        <v>-6.1185</v>
      </c>
      <c r="CZ44" s="67">
        <f t="shared" si="179"/>
        <v>32.785000000000004</v>
      </c>
      <c r="DA44" s="67">
        <f t="shared" si="179"/>
        <v>20.184999999999999</v>
      </c>
      <c r="DB44" s="67">
        <f t="shared" si="179"/>
        <v>15.672500000000003</v>
      </c>
      <c r="DC44" s="93">
        <f t="shared" si="179"/>
        <v>62.524000000000008</v>
      </c>
      <c r="DD44" s="67"/>
      <c r="DE44" s="82">
        <f t="shared" si="180"/>
        <v>9.9034999999999993</v>
      </c>
      <c r="DF44" s="67">
        <f t="shared" si="180"/>
        <v>21.787200000000002</v>
      </c>
      <c r="DG44" s="67">
        <f t="shared" si="180"/>
        <v>29.582999999999998</v>
      </c>
      <c r="DH44" s="67">
        <f t="shared" si="180"/>
        <v>-3.6964999999999999</v>
      </c>
      <c r="DI44" s="93">
        <f t="shared" si="180"/>
        <v>57.577200000000005</v>
      </c>
      <c r="DJ44" s="67"/>
      <c r="DK44" s="82">
        <f t="shared" si="181"/>
        <v>-16.3855</v>
      </c>
      <c r="DL44" s="67">
        <f t="shared" si="181"/>
        <v>-5.7168000000000001</v>
      </c>
      <c r="DM44" s="67">
        <f t="shared" si="181"/>
        <v>6.7560000000000002</v>
      </c>
      <c r="DN44" s="67">
        <f t="shared" si="181"/>
        <v>11.4795</v>
      </c>
      <c r="DO44" s="93">
        <f t="shared" si="181"/>
        <v>-3.8667999999999991</v>
      </c>
      <c r="DP44" s="67"/>
      <c r="DQ44" s="82">
        <f t="shared" si="182"/>
        <v>0.51300000000000168</v>
      </c>
      <c r="DR44" s="67">
        <f t="shared" si="182"/>
        <v>21.815729999999995</v>
      </c>
      <c r="DS44" s="67">
        <f t="shared" si="182"/>
        <v>21.028200000000002</v>
      </c>
      <c r="DT44" s="67">
        <f t="shared" si="182"/>
        <v>38.850559999999994</v>
      </c>
      <c r="DU44" s="93">
        <f t="shared" si="182"/>
        <v>82.207489999999993</v>
      </c>
      <c r="DV44" s="67"/>
      <c r="DW44" s="82">
        <f t="shared" si="183"/>
        <v>40.96134</v>
      </c>
      <c r="DX44" s="67">
        <f t="shared" si="183"/>
        <v>44.285931899999994</v>
      </c>
      <c r="DY44" s="67">
        <f t="shared" si="183"/>
        <v>42.687246000000002</v>
      </c>
      <c r="DZ44" s="67">
        <f t="shared" si="183"/>
        <v>48.059356799999989</v>
      </c>
      <c r="EA44" s="93">
        <f t="shared" si="183"/>
        <v>175.99387469999999</v>
      </c>
      <c r="EB44" s="67"/>
      <c r="EC44" s="82">
        <f t="shared" si="184"/>
        <v>42.1901802</v>
      </c>
      <c r="ED44" s="67">
        <f t="shared" si="185"/>
        <v>45.614509857000002</v>
      </c>
      <c r="EE44" s="67">
        <f t="shared" si="186"/>
        <v>43.967863379999997</v>
      </c>
      <c r="EF44" s="67">
        <f t="shared" si="187"/>
        <v>49.501137503999999</v>
      </c>
      <c r="EG44" s="93">
        <f t="shared" si="188"/>
        <v>181.27369094099998</v>
      </c>
      <c r="EH44" s="9"/>
    </row>
    <row r="45" spans="1:138" ht="11.25" customHeight="1" x14ac:dyDescent="0.2">
      <c r="A45" s="51" t="s">
        <v>466</v>
      </c>
      <c r="B45" s="14"/>
      <c r="C45" s="14"/>
      <c r="D45" s="14"/>
      <c r="E45" s="93"/>
      <c r="F45" s="67"/>
      <c r="G45" s="93"/>
      <c r="H45" s="67"/>
      <c r="I45" s="93"/>
      <c r="J45" s="67"/>
      <c r="K45" s="93"/>
      <c r="L45" s="67"/>
      <c r="M45" s="82"/>
      <c r="N45" s="67"/>
      <c r="O45" s="67"/>
      <c r="P45" s="67"/>
      <c r="Q45" s="93"/>
      <c r="R45" s="67"/>
      <c r="S45" s="82"/>
      <c r="T45" s="67"/>
      <c r="U45" s="67"/>
      <c r="V45" s="67"/>
      <c r="W45" s="93"/>
      <c r="X45" s="67"/>
      <c r="Y45" s="82">
        <f t="shared" si="166"/>
        <v>8.1989008006480368</v>
      </c>
      <c r="Z45" s="67">
        <f t="shared" si="166"/>
        <v>10.153773205987157</v>
      </c>
      <c r="AA45" s="67">
        <f t="shared" si="166"/>
        <v>4.8315065269142758</v>
      </c>
      <c r="AB45" s="67">
        <f t="shared" si="166"/>
        <v>2.5923368158773026</v>
      </c>
      <c r="AC45" s="93">
        <f t="shared" si="166"/>
        <v>28.291353907911386</v>
      </c>
      <c r="AD45" s="67"/>
      <c r="AE45" s="82">
        <f t="shared" si="167"/>
        <v>25.609667774264913</v>
      </c>
      <c r="AF45" s="67">
        <f t="shared" si="167"/>
        <v>24.823775785987152</v>
      </c>
      <c r="AG45" s="67">
        <f t="shared" si="167"/>
        <v>23.177856856914275</v>
      </c>
      <c r="AH45" s="67">
        <f t="shared" si="167"/>
        <v>29.015062018377307</v>
      </c>
      <c r="AI45" s="93">
        <f t="shared" si="167"/>
        <v>104.41271752592652</v>
      </c>
      <c r="AJ45" s="67"/>
      <c r="AK45" s="82">
        <f t="shared" si="168"/>
        <v>36.529038522704376</v>
      </c>
      <c r="AL45" s="67">
        <f t="shared" si="168"/>
        <v>42.667270866000003</v>
      </c>
      <c r="AM45" s="67">
        <f t="shared" si="168"/>
        <v>53.126957004000012</v>
      </c>
      <c r="AN45" s="67">
        <f t="shared" si="168"/>
        <v>61.293105646499995</v>
      </c>
      <c r="AO45" s="93">
        <f t="shared" si="168"/>
        <v>192.62448020866861</v>
      </c>
      <c r="AP45" s="67"/>
      <c r="AQ45" s="82">
        <f t="shared" si="169"/>
        <v>50.30997384351609</v>
      </c>
      <c r="AR45" s="67">
        <f t="shared" si="169"/>
        <v>51.075773514869567</v>
      </c>
      <c r="AS45" s="67">
        <f t="shared" si="169"/>
        <v>48.343240179592726</v>
      </c>
      <c r="AT45" s="67">
        <f t="shared" si="169"/>
        <v>31.779411627051459</v>
      </c>
      <c r="AU45" s="93">
        <f t="shared" si="169"/>
        <v>185.96599858986434</v>
      </c>
      <c r="AV45" s="67"/>
      <c r="AW45" s="82">
        <f t="shared" si="170"/>
        <v>42.086397395038091</v>
      </c>
      <c r="AX45" s="67">
        <f t="shared" si="170"/>
        <v>40.253316906087164</v>
      </c>
      <c r="AY45" s="67">
        <f t="shared" si="170"/>
        <v>40.701043227421835</v>
      </c>
      <c r="AZ45" s="67">
        <f t="shared" si="170"/>
        <v>32.505907559415114</v>
      </c>
      <c r="BA45" s="93">
        <f t="shared" si="170"/>
        <v>158.16870033671091</v>
      </c>
      <c r="BB45" s="67"/>
      <c r="BC45" s="82">
        <f t="shared" si="171"/>
        <v>34.240072043108192</v>
      </c>
      <c r="BD45" s="67">
        <f t="shared" si="171"/>
        <v>47.725425865648695</v>
      </c>
      <c r="BE45" s="67">
        <f t="shared" si="171"/>
        <v>37.312636595213874</v>
      </c>
      <c r="BF45" s="67">
        <f t="shared" si="171"/>
        <v>49.487281212881079</v>
      </c>
      <c r="BG45" s="93">
        <f t="shared" si="171"/>
        <v>170.38575719877508</v>
      </c>
      <c r="BH45" s="67"/>
      <c r="BI45" s="82">
        <f t="shared" si="172"/>
        <v>14.601442098571162</v>
      </c>
      <c r="BJ45" s="67">
        <f t="shared" si="172"/>
        <v>-1.3443538797924788</v>
      </c>
      <c r="BK45" s="67">
        <f t="shared" si="172"/>
        <v>-0.45071639963197896</v>
      </c>
      <c r="BL45" s="67">
        <f t="shared" si="172"/>
        <v>4.1236680690676764E-2</v>
      </c>
      <c r="BM45" s="93">
        <f t="shared" si="172"/>
        <v>16.326426073239261</v>
      </c>
      <c r="BN45" s="67"/>
      <c r="BO45" s="82">
        <f t="shared" si="173"/>
        <v>37.281110002903183</v>
      </c>
      <c r="BP45" s="67">
        <f t="shared" si="173"/>
        <v>29.899456495113981</v>
      </c>
      <c r="BQ45" s="67">
        <f t="shared" si="173"/>
        <v>57.281570142587007</v>
      </c>
      <c r="BR45" s="67">
        <f t="shared" si="173"/>
        <v>65.535611772302303</v>
      </c>
      <c r="BS45" s="93">
        <f t="shared" si="173"/>
        <v>187.98610304596374</v>
      </c>
      <c r="BT45" s="67"/>
      <c r="BU45" s="82">
        <f t="shared" si="174"/>
        <v>108.73024145364997</v>
      </c>
      <c r="BV45" s="67">
        <f t="shared" si="174"/>
        <v>119.64530013827334</v>
      </c>
      <c r="BW45" s="67">
        <f t="shared" si="174"/>
        <v>117.61780253167635</v>
      </c>
      <c r="BX45" s="67">
        <f t="shared" si="174"/>
        <v>117.66532926137126</v>
      </c>
      <c r="BY45" s="93">
        <f t="shared" si="174"/>
        <v>465.14740759561812</v>
      </c>
      <c r="BZ45" s="67"/>
      <c r="CA45" s="82">
        <f t="shared" si="175"/>
        <v>76.818348356722126</v>
      </c>
      <c r="CB45" s="67">
        <f t="shared" si="175"/>
        <v>93.583309074935784</v>
      </c>
      <c r="CC45" s="67">
        <f t="shared" si="175"/>
        <v>90.131537516072598</v>
      </c>
      <c r="CD45" s="67">
        <f t="shared" si="175"/>
        <v>76.548030433242161</v>
      </c>
      <c r="CE45" s="93">
        <f t="shared" si="175"/>
        <v>338.14890673250045</v>
      </c>
      <c r="CF45" s="67"/>
      <c r="CG45" s="82">
        <f t="shared" si="176"/>
        <v>48.27818954867589</v>
      </c>
      <c r="CH45" s="67">
        <f t="shared" si="176"/>
        <v>70.853048002826114</v>
      </c>
      <c r="CI45" s="67">
        <f t="shared" si="176"/>
        <v>67.241831273790154</v>
      </c>
      <c r="CJ45" s="67">
        <f t="shared" si="176"/>
        <v>86.937971718749964</v>
      </c>
      <c r="CK45" s="93">
        <f t="shared" si="176"/>
        <v>270.61892144030725</v>
      </c>
      <c r="CL45" s="67"/>
      <c r="CM45" s="82">
        <f t="shared" si="177"/>
        <v>64.840386871375017</v>
      </c>
      <c r="CN45" s="67">
        <f t="shared" si="177"/>
        <v>71.403444312538596</v>
      </c>
      <c r="CO45" s="67">
        <f t="shared" si="177"/>
        <v>73.819253773321407</v>
      </c>
      <c r="CP45" s="67">
        <f t="shared" si="177"/>
        <v>100.93855436452286</v>
      </c>
      <c r="CQ45" s="93">
        <f t="shared" si="177"/>
        <v>310.50171999704395</v>
      </c>
      <c r="CR45" s="67"/>
      <c r="CS45" s="82">
        <f t="shared" si="178"/>
        <v>87.022233532516282</v>
      </c>
      <c r="CT45" s="67">
        <f t="shared" si="178"/>
        <v>84.936488483012809</v>
      </c>
      <c r="CU45" s="67">
        <f t="shared" si="178"/>
        <v>78.615655709765633</v>
      </c>
      <c r="CV45" s="67">
        <f t="shared" si="178"/>
        <v>80.784992963548802</v>
      </c>
      <c r="CW45" s="93">
        <f t="shared" si="178"/>
        <v>331.35937068884351</v>
      </c>
      <c r="CX45" s="67"/>
      <c r="CY45" s="82">
        <f t="shared" si="179"/>
        <v>73.304884459914291</v>
      </c>
      <c r="CZ45" s="67">
        <f t="shared" si="179"/>
        <v>71.038658673300318</v>
      </c>
      <c r="DA45" s="67">
        <f t="shared" si="179"/>
        <v>66.805984810234378</v>
      </c>
      <c r="DB45" s="67">
        <f t="shared" si="179"/>
        <v>60.954929217775927</v>
      </c>
      <c r="DC45" s="93">
        <f t="shared" si="179"/>
        <v>272.1044571612249</v>
      </c>
      <c r="DD45" s="67"/>
      <c r="DE45" s="82">
        <f t="shared" si="180"/>
        <v>60.652999999999992</v>
      </c>
      <c r="DF45" s="67">
        <f t="shared" si="180"/>
        <v>52.509799999999998</v>
      </c>
      <c r="DG45" s="67">
        <f t="shared" si="180"/>
        <v>62.74</v>
      </c>
      <c r="DH45" s="67">
        <f t="shared" si="180"/>
        <v>89.984000000000009</v>
      </c>
      <c r="DI45" s="93">
        <f t="shared" si="180"/>
        <v>265.88679999999999</v>
      </c>
      <c r="DJ45" s="67"/>
      <c r="DK45" s="82">
        <f t="shared" si="181"/>
        <v>84.86099999999999</v>
      </c>
      <c r="DL45" s="67">
        <f t="shared" si="181"/>
        <v>98.948800000000006</v>
      </c>
      <c r="DM45" s="67">
        <f t="shared" si="181"/>
        <v>97.055000000000007</v>
      </c>
      <c r="DN45" s="67">
        <f t="shared" si="181"/>
        <v>100.66200000000001</v>
      </c>
      <c r="DO45" s="93">
        <f t="shared" si="181"/>
        <v>381.52679999999998</v>
      </c>
      <c r="DP45" s="67"/>
      <c r="DQ45" s="82">
        <f t="shared" si="182"/>
        <v>100.22424999999998</v>
      </c>
      <c r="DR45" s="67">
        <f t="shared" si="182"/>
        <v>131.29407</v>
      </c>
      <c r="DS45" s="67">
        <f t="shared" si="182"/>
        <v>131.16209000000001</v>
      </c>
      <c r="DT45" s="67">
        <f t="shared" si="182"/>
        <v>108.81400500000001</v>
      </c>
      <c r="DU45" s="93">
        <f t="shared" si="182"/>
        <v>471.494415</v>
      </c>
      <c r="DV45" s="67"/>
      <c r="DW45" s="82">
        <f t="shared" si="183"/>
        <v>107.93537124999999</v>
      </c>
      <c r="DX45" s="67">
        <f t="shared" si="183"/>
        <v>114.17084315</v>
      </c>
      <c r="DY45" s="67">
        <f t="shared" si="183"/>
        <v>112.68868905000002</v>
      </c>
      <c r="DZ45" s="67">
        <f t="shared" si="183"/>
        <v>120.07024522500002</v>
      </c>
      <c r="EA45" s="93">
        <f t="shared" si="183"/>
        <v>454.865148675</v>
      </c>
      <c r="EB45" s="67"/>
      <c r="EC45" s="82">
        <f t="shared" si="184"/>
        <v>99.953712956249987</v>
      </c>
      <c r="ED45" s="67">
        <f t="shared" si="185"/>
        <v>105.72808109175</v>
      </c>
      <c r="EE45" s="67">
        <f t="shared" si="186"/>
        <v>104.35553005725001</v>
      </c>
      <c r="EF45" s="67">
        <f t="shared" si="187"/>
        <v>111.19123126012502</v>
      </c>
      <c r="EG45" s="93">
        <f t="shared" si="188"/>
        <v>421.22855536537497</v>
      </c>
      <c r="EH45" s="9"/>
    </row>
    <row r="46" spans="1:138" ht="11.25" customHeight="1" x14ac:dyDescent="0.2">
      <c r="A46" s="199" t="s">
        <v>239</v>
      </c>
      <c r="B46" s="14"/>
      <c r="C46" s="14"/>
      <c r="D46" s="14"/>
      <c r="E46" s="196"/>
      <c r="F46" s="67"/>
      <c r="G46" s="196"/>
      <c r="H46" s="67"/>
      <c r="I46" s="196"/>
      <c r="J46" s="67"/>
      <c r="K46" s="196"/>
      <c r="L46" s="67"/>
      <c r="M46" s="197"/>
      <c r="N46" s="87"/>
      <c r="O46" s="87"/>
      <c r="P46" s="87"/>
      <c r="Q46" s="196"/>
      <c r="R46" s="67"/>
      <c r="S46" s="197"/>
      <c r="T46" s="87"/>
      <c r="U46" s="87"/>
      <c r="V46" s="87"/>
      <c r="W46" s="196"/>
      <c r="X46" s="67"/>
      <c r="Y46" s="197">
        <f t="shared" si="166"/>
        <v>8.1989008006480368</v>
      </c>
      <c r="Z46" s="87">
        <f t="shared" si="166"/>
        <v>10.153773205987157</v>
      </c>
      <c r="AA46" s="87">
        <f t="shared" si="166"/>
        <v>4.8315065269142758</v>
      </c>
      <c r="AB46" s="87">
        <f t="shared" si="166"/>
        <v>2.5923368158773026</v>
      </c>
      <c r="AC46" s="196">
        <f t="shared" si="166"/>
        <v>28.291353907911386</v>
      </c>
      <c r="AD46" s="67"/>
      <c r="AE46" s="197">
        <f t="shared" si="167"/>
        <v>25.609667774264913</v>
      </c>
      <c r="AF46" s="87">
        <f t="shared" si="167"/>
        <v>24.823775785987152</v>
      </c>
      <c r="AG46" s="87">
        <f t="shared" si="167"/>
        <v>23.177856856914275</v>
      </c>
      <c r="AH46" s="87">
        <f t="shared" si="167"/>
        <v>29.015062018377307</v>
      </c>
      <c r="AI46" s="196">
        <f t="shared" si="167"/>
        <v>104.41271752592652</v>
      </c>
      <c r="AJ46" s="67"/>
      <c r="AK46" s="197">
        <f t="shared" si="168"/>
        <v>42.82903852270438</v>
      </c>
      <c r="AL46" s="87">
        <f t="shared" si="168"/>
        <v>47.635270865999999</v>
      </c>
      <c r="AM46" s="87">
        <f t="shared" si="168"/>
        <v>47.93020700400001</v>
      </c>
      <c r="AN46" s="87">
        <f t="shared" si="168"/>
        <v>61.293105646499995</v>
      </c>
      <c r="AO46" s="196">
        <f t="shared" si="168"/>
        <v>209.44763020866861</v>
      </c>
      <c r="AP46" s="67"/>
      <c r="AQ46" s="197">
        <f t="shared" si="169"/>
        <v>67.179150093516085</v>
      </c>
      <c r="AR46" s="87">
        <f t="shared" si="169"/>
        <v>68.501690414869557</v>
      </c>
      <c r="AS46" s="87">
        <f t="shared" si="169"/>
        <v>79.61865017959272</v>
      </c>
      <c r="AT46" s="87">
        <f t="shared" si="169"/>
        <v>81.484629277051482</v>
      </c>
      <c r="AU46" s="196">
        <f t="shared" si="169"/>
        <v>303.21953858986438</v>
      </c>
      <c r="AV46" s="67"/>
      <c r="AW46" s="197">
        <f t="shared" si="170"/>
        <v>85.845387645038102</v>
      </c>
      <c r="AX46" s="87">
        <f t="shared" si="170"/>
        <v>88.28415482608716</v>
      </c>
      <c r="AY46" s="87">
        <f t="shared" si="170"/>
        <v>124.04838562742185</v>
      </c>
      <c r="AZ46" s="87">
        <f t="shared" si="170"/>
        <v>148.36158049941514</v>
      </c>
      <c r="BA46" s="196">
        <f t="shared" si="170"/>
        <v>436.19717033671094</v>
      </c>
      <c r="BB46" s="67"/>
      <c r="BC46" s="197">
        <f t="shared" si="171"/>
        <v>87.678056043108199</v>
      </c>
      <c r="BD46" s="87">
        <f t="shared" si="171"/>
        <v>153.0896468856487</v>
      </c>
      <c r="BE46" s="87">
        <f t="shared" si="171"/>
        <v>124.45788399521389</v>
      </c>
      <c r="BF46" s="87">
        <f t="shared" si="171"/>
        <v>111.35298150288109</v>
      </c>
      <c r="BG46" s="196">
        <f t="shared" si="171"/>
        <v>481.27320719877514</v>
      </c>
      <c r="BH46" s="67"/>
      <c r="BI46" s="197">
        <f t="shared" si="172"/>
        <v>23.616400098571162</v>
      </c>
      <c r="BJ46" s="87">
        <f t="shared" si="172"/>
        <v>6.177071120207529</v>
      </c>
      <c r="BK46" s="87">
        <f t="shared" si="172"/>
        <v>-30.330216399631993</v>
      </c>
      <c r="BL46" s="87">
        <f t="shared" si="172"/>
        <v>-20.917742319309319</v>
      </c>
      <c r="BM46" s="196">
        <f t="shared" si="172"/>
        <v>-12.291503926760669</v>
      </c>
      <c r="BN46" s="67"/>
      <c r="BO46" s="197">
        <f t="shared" si="173"/>
        <v>58.110878958548113</v>
      </c>
      <c r="BP46" s="87">
        <f t="shared" si="173"/>
        <v>0.52845930922512707</v>
      </c>
      <c r="BQ46" s="87">
        <f t="shared" si="173"/>
        <v>45.304766112644955</v>
      </c>
      <c r="BR46" s="87">
        <f t="shared" si="173"/>
        <v>126.14256292933935</v>
      </c>
      <c r="BS46" s="196">
        <f t="shared" si="173"/>
        <v>228.26574486271639</v>
      </c>
      <c r="BT46" s="67"/>
      <c r="BU46" s="197">
        <f t="shared" si="174"/>
        <v>199.98259167120125</v>
      </c>
      <c r="BV46" s="87">
        <f t="shared" si="174"/>
        <v>217.15267860531205</v>
      </c>
      <c r="BW46" s="87">
        <f t="shared" si="174"/>
        <v>228.26944352591983</v>
      </c>
      <c r="BX46" s="87">
        <f t="shared" si="174"/>
        <v>247.68499232429315</v>
      </c>
      <c r="BY46" s="196">
        <f t="shared" si="174"/>
        <v>893.08970612672624</v>
      </c>
      <c r="BZ46" s="67"/>
      <c r="CA46" s="197">
        <f t="shared" si="175"/>
        <v>148.99969934199621</v>
      </c>
      <c r="CB46" s="87">
        <f t="shared" si="175"/>
        <v>208.77980987735117</v>
      </c>
      <c r="CC46" s="87">
        <f t="shared" si="175"/>
        <v>190.52532522987462</v>
      </c>
      <c r="CD46" s="87">
        <f t="shared" si="175"/>
        <v>268.86940812949854</v>
      </c>
      <c r="CE46" s="196">
        <f t="shared" si="175"/>
        <v>817.17424257872062</v>
      </c>
      <c r="CF46" s="67"/>
      <c r="CG46" s="197">
        <f t="shared" si="176"/>
        <v>109.32836430607115</v>
      </c>
      <c r="CH46" s="87">
        <f t="shared" si="176"/>
        <v>216.5135351320327</v>
      </c>
      <c r="CI46" s="87">
        <f t="shared" si="176"/>
        <v>221.00814992974693</v>
      </c>
      <c r="CJ46" s="87">
        <f t="shared" si="176"/>
        <v>308.56208894658164</v>
      </c>
      <c r="CK46" s="196">
        <f t="shared" si="176"/>
        <v>855.41213831443247</v>
      </c>
      <c r="CL46" s="67"/>
      <c r="CM46" s="197">
        <f t="shared" si="177"/>
        <v>203.21296965646846</v>
      </c>
      <c r="CN46" s="87">
        <f t="shared" si="177"/>
        <v>250.15810038587949</v>
      </c>
      <c r="CO46" s="87">
        <f t="shared" si="177"/>
        <v>239.30389367927333</v>
      </c>
      <c r="CP46" s="87">
        <f t="shared" si="177"/>
        <v>285.89957901782566</v>
      </c>
      <c r="CQ46" s="196">
        <f t="shared" si="177"/>
        <v>978.574542739447</v>
      </c>
      <c r="CR46" s="67"/>
      <c r="CS46" s="197">
        <f t="shared" si="178"/>
        <v>224.59855121905974</v>
      </c>
      <c r="CT46" s="87">
        <f t="shared" si="178"/>
        <v>263.15347422822089</v>
      </c>
      <c r="CU46" s="87">
        <f t="shared" si="178"/>
        <v>201.44642328060212</v>
      </c>
      <c r="CV46" s="87">
        <f t="shared" si="178"/>
        <v>275.99243108099716</v>
      </c>
      <c r="CW46" s="196">
        <f t="shared" si="178"/>
        <v>965.1908798088798</v>
      </c>
      <c r="CX46" s="67"/>
      <c r="CY46" s="197">
        <f t="shared" si="179"/>
        <v>183.41381239539183</v>
      </c>
      <c r="CZ46" s="87">
        <f t="shared" si="179"/>
        <v>245.37747532488623</v>
      </c>
      <c r="DA46" s="87">
        <f t="shared" si="179"/>
        <v>217.74252344145916</v>
      </c>
      <c r="DB46" s="87">
        <f t="shared" si="179"/>
        <v>250.49457011938171</v>
      </c>
      <c r="DC46" s="196">
        <f t="shared" si="179"/>
        <v>897.02838128111887</v>
      </c>
      <c r="DD46" s="67"/>
      <c r="DE46" s="197">
        <f t="shared" si="180"/>
        <v>197.52800000000002</v>
      </c>
      <c r="DF46" s="87">
        <f t="shared" si="180"/>
        <v>195.51079999999999</v>
      </c>
      <c r="DG46" s="87">
        <f t="shared" si="180"/>
        <v>246.89</v>
      </c>
      <c r="DH46" s="87">
        <f t="shared" si="180"/>
        <v>381.82650000000001</v>
      </c>
      <c r="DI46" s="196">
        <f t="shared" si="180"/>
        <v>1021.7553</v>
      </c>
      <c r="DJ46" s="67"/>
      <c r="DK46" s="197">
        <f t="shared" si="181"/>
        <v>349.03650000000005</v>
      </c>
      <c r="DL46" s="87">
        <f t="shared" si="181"/>
        <v>310.56079999999986</v>
      </c>
      <c r="DM46" s="87">
        <f t="shared" si="181"/>
        <v>321.04400000000038</v>
      </c>
      <c r="DN46" s="87">
        <f t="shared" si="181"/>
        <v>416.02399999999921</v>
      </c>
      <c r="DO46" s="196">
        <f t="shared" si="181"/>
        <v>1396.6652999999997</v>
      </c>
      <c r="DP46" s="67"/>
      <c r="DQ46" s="197">
        <f t="shared" si="182"/>
        <v>369.58975000000032</v>
      </c>
      <c r="DR46" s="87">
        <f t="shared" si="182"/>
        <v>410.49141999999915</v>
      </c>
      <c r="DS46" s="87">
        <f t="shared" si="182"/>
        <v>387.64858000000089</v>
      </c>
      <c r="DT46" s="87">
        <f t="shared" si="182"/>
        <v>376.47213500000009</v>
      </c>
      <c r="DU46" s="196">
        <f t="shared" si="182"/>
        <v>1544.2018850000004</v>
      </c>
      <c r="DV46" s="67"/>
      <c r="DW46" s="197">
        <f t="shared" si="183"/>
        <v>348.52331125000001</v>
      </c>
      <c r="DX46" s="87">
        <f t="shared" si="183"/>
        <v>414.41155985000006</v>
      </c>
      <c r="DY46" s="87">
        <f t="shared" si="183"/>
        <v>406.33076715000061</v>
      </c>
      <c r="DZ46" s="87">
        <f t="shared" si="183"/>
        <v>454.09565332500165</v>
      </c>
      <c r="EA46" s="196">
        <f t="shared" si="183"/>
        <v>1623.3612915750025</v>
      </c>
      <c r="EB46" s="67"/>
      <c r="EC46" s="197">
        <f t="shared" si="184"/>
        <v>429.70040715624975</v>
      </c>
      <c r="ED46" s="87">
        <f t="shared" si="185"/>
        <v>452.00679114075064</v>
      </c>
      <c r="EE46" s="87">
        <f t="shared" si="186"/>
        <v>440.97884384624933</v>
      </c>
      <c r="EF46" s="87">
        <f t="shared" si="187"/>
        <v>493.58861454112497</v>
      </c>
      <c r="EG46" s="196">
        <f t="shared" si="188"/>
        <v>1816.2746566843748</v>
      </c>
      <c r="EH46" s="9"/>
    </row>
    <row r="47" spans="1:138" ht="11.25" customHeight="1" x14ac:dyDescent="0.2">
      <c r="A47" s="2"/>
      <c r="B47" s="14"/>
      <c r="C47" s="14"/>
      <c r="D47" s="14"/>
      <c r="E47" s="67"/>
      <c r="F47" s="67"/>
      <c r="G47" s="67"/>
      <c r="H47" s="67"/>
      <c r="I47" s="67"/>
      <c r="J47" s="67"/>
      <c r="K47" s="67"/>
      <c r="L47" s="67"/>
      <c r="M47" s="67"/>
      <c r="N47" s="67"/>
      <c r="O47" s="67"/>
      <c r="P47" s="67"/>
      <c r="Q47" s="67"/>
      <c r="R47" s="67"/>
      <c r="S47" s="67"/>
      <c r="T47" s="67"/>
      <c r="U47" s="67"/>
      <c r="V47" s="67"/>
      <c r="W47" s="67"/>
      <c r="X47" s="67"/>
      <c r="Y47" s="67"/>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c r="AX47" s="67"/>
      <c r="AY47" s="67"/>
      <c r="AZ47" s="67"/>
      <c r="BA47" s="67"/>
      <c r="BB47" s="67"/>
      <c r="BC47" s="67"/>
      <c r="BD47" s="67"/>
      <c r="BE47" s="67"/>
      <c r="BF47" s="67"/>
      <c r="BG47" s="67"/>
      <c r="BH47" s="67"/>
      <c r="BI47" s="67"/>
      <c r="BJ47" s="67"/>
      <c r="BK47" s="67"/>
      <c r="BL47" s="67"/>
      <c r="BM47" s="67"/>
      <c r="BN47" s="67"/>
      <c r="BO47" s="67"/>
      <c r="BP47" s="67"/>
      <c r="BQ47" s="67"/>
      <c r="BR47" s="67"/>
      <c r="BS47" s="67"/>
      <c r="BT47" s="67"/>
      <c r="BU47" s="67"/>
      <c r="BV47" s="67"/>
      <c r="BW47" s="67"/>
      <c r="BX47" s="67"/>
      <c r="BY47" s="67"/>
      <c r="BZ47" s="67"/>
      <c r="CA47" s="67"/>
      <c r="CB47" s="67"/>
      <c r="CC47" s="67"/>
      <c r="CD47" s="67"/>
      <c r="CE47" s="67"/>
      <c r="CF47" s="67"/>
      <c r="CG47" s="67"/>
      <c r="CH47" s="67"/>
      <c r="CI47" s="67"/>
      <c r="CJ47" s="67"/>
      <c r="CK47" s="67"/>
      <c r="CL47" s="67"/>
      <c r="CM47" s="67"/>
      <c r="CN47" s="67"/>
      <c r="CO47" s="67"/>
      <c r="CP47" s="67"/>
      <c r="CQ47" s="67"/>
      <c r="CR47" s="67"/>
      <c r="CS47" s="67"/>
      <c r="CT47" s="67"/>
      <c r="CU47" s="67"/>
      <c r="CV47" s="67"/>
      <c r="CW47" s="67"/>
      <c r="CX47" s="67"/>
      <c r="CY47" s="67"/>
      <c r="CZ47" s="67"/>
      <c r="DA47" s="67"/>
      <c r="DB47" s="67"/>
      <c r="DC47" s="67"/>
      <c r="DD47" s="67"/>
      <c r="DE47" s="67"/>
      <c r="DF47" s="67"/>
      <c r="DG47" s="67"/>
      <c r="DH47" s="67"/>
      <c r="DI47" s="67"/>
      <c r="DJ47" s="67"/>
      <c r="DK47" s="67"/>
      <c r="DL47" s="67"/>
      <c r="DM47" s="67"/>
      <c r="DN47" s="67"/>
      <c r="DO47" s="67"/>
      <c r="DP47" s="67"/>
      <c r="DQ47" s="67"/>
      <c r="DR47" s="67"/>
      <c r="DS47" s="67"/>
      <c r="DT47" s="67"/>
      <c r="DU47" s="67"/>
      <c r="DV47" s="67"/>
      <c r="DW47" s="67"/>
      <c r="DX47" s="67"/>
      <c r="DY47" s="67"/>
      <c r="DZ47" s="67"/>
      <c r="EA47" s="67"/>
      <c r="EB47" s="67"/>
      <c r="EC47" s="67"/>
      <c r="ED47" s="67"/>
      <c r="EE47" s="67"/>
      <c r="EF47" s="67"/>
      <c r="EG47" s="67"/>
      <c r="EH47" s="9"/>
    </row>
    <row r="48" spans="1:138" ht="11.25" customHeight="1" x14ac:dyDescent="0.2">
      <c r="A48" s="2" t="s">
        <v>163</v>
      </c>
      <c r="B48" s="14"/>
      <c r="C48" s="14"/>
      <c r="D48" s="14"/>
      <c r="E48" s="67"/>
      <c r="F48" s="67"/>
      <c r="G48" s="67"/>
      <c r="H48" s="67"/>
      <c r="I48" s="67"/>
      <c r="J48" s="67"/>
      <c r="K48" s="67"/>
      <c r="L48" s="67"/>
      <c r="M48" s="67"/>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c r="AX48" s="67"/>
      <c r="AY48" s="67"/>
      <c r="AZ48" s="67"/>
      <c r="BA48" s="67"/>
      <c r="BB48" s="67"/>
      <c r="BC48" s="67"/>
      <c r="BD48" s="67"/>
      <c r="BE48" s="67"/>
      <c r="BF48" s="67"/>
      <c r="BG48" s="67"/>
      <c r="BH48" s="67"/>
      <c r="BI48" s="67"/>
      <c r="BJ48" s="67"/>
      <c r="BK48" s="67"/>
      <c r="BL48" s="67"/>
      <c r="BM48" s="67"/>
      <c r="BN48" s="67"/>
      <c r="BO48" s="67"/>
      <c r="BP48" s="67"/>
      <c r="BQ48" s="67"/>
      <c r="BR48" s="67"/>
      <c r="BS48" s="67"/>
      <c r="BT48" s="67"/>
      <c r="BU48" s="67"/>
      <c r="BV48" s="67"/>
      <c r="BW48" s="67"/>
      <c r="BX48" s="67"/>
      <c r="BY48" s="67"/>
      <c r="BZ48" s="67"/>
      <c r="CA48" s="67"/>
      <c r="CB48" s="67"/>
      <c r="CC48" s="67"/>
      <c r="CD48" s="67"/>
      <c r="CE48" s="67"/>
      <c r="CF48" s="67"/>
      <c r="CG48" s="67"/>
      <c r="CH48" s="67"/>
      <c r="CI48" s="67"/>
      <c r="CJ48" s="67"/>
      <c r="CK48" s="67"/>
      <c r="CL48" s="67"/>
      <c r="CM48" s="67"/>
      <c r="CN48" s="67"/>
      <c r="CO48" s="67"/>
      <c r="CP48" s="67"/>
      <c r="CQ48" s="67"/>
      <c r="CR48" s="67"/>
      <c r="CS48" s="67"/>
      <c r="CT48" s="67"/>
      <c r="CU48" s="67"/>
      <c r="CV48" s="67"/>
      <c r="CW48" s="67"/>
      <c r="CX48" s="67"/>
      <c r="CY48" s="67"/>
      <c r="CZ48" s="67"/>
      <c r="DA48" s="67"/>
      <c r="DB48" s="67"/>
      <c r="DC48" s="67"/>
      <c r="DD48" s="67"/>
      <c r="DE48" s="67"/>
      <c r="DF48" s="67"/>
      <c r="DG48" s="67"/>
      <c r="DH48" s="67"/>
      <c r="DI48" s="67"/>
      <c r="DJ48" s="67"/>
      <c r="DK48" s="67"/>
      <c r="DL48" s="67"/>
      <c r="DM48" s="67"/>
      <c r="DN48" s="67"/>
      <c r="DO48" s="67"/>
      <c r="DP48" s="67"/>
      <c r="DQ48" s="67"/>
      <c r="DR48" s="67"/>
      <c r="DS48" s="67"/>
      <c r="DT48" s="67"/>
      <c r="DU48" s="67"/>
      <c r="DV48" s="67"/>
      <c r="DW48" s="67"/>
      <c r="DX48" s="67"/>
      <c r="DY48" s="67"/>
      <c r="DZ48" s="67"/>
      <c r="EA48" s="67"/>
      <c r="EB48" s="67"/>
      <c r="EC48" s="67"/>
      <c r="ED48" s="67"/>
      <c r="EE48" s="67"/>
      <c r="EF48" s="67"/>
      <c r="EG48" s="67"/>
      <c r="EH48" s="9"/>
    </row>
    <row r="49" spans="1:161" ht="11.25" customHeight="1" x14ac:dyDescent="0.2">
      <c r="A49" s="106" t="s">
        <v>707</v>
      </c>
      <c r="B49" s="74"/>
      <c r="C49" s="74"/>
      <c r="D49" s="74"/>
      <c r="E49" s="107"/>
      <c r="F49" s="75"/>
      <c r="G49" s="107"/>
      <c r="H49" s="75"/>
      <c r="I49" s="107"/>
      <c r="J49" s="75"/>
      <c r="K49" s="107"/>
      <c r="L49" s="75"/>
      <c r="M49" s="109"/>
      <c r="N49" s="110"/>
      <c r="O49" s="110"/>
      <c r="P49" s="110"/>
      <c r="Q49" s="107"/>
      <c r="R49" s="75"/>
      <c r="S49" s="109"/>
      <c r="T49" s="110"/>
      <c r="U49" s="110"/>
      <c r="V49" s="110"/>
      <c r="W49" s="107"/>
      <c r="X49" s="75"/>
      <c r="Y49" s="109"/>
      <c r="Z49" s="110"/>
      <c r="AA49" s="110"/>
      <c r="AB49" s="110"/>
      <c r="AC49" s="107"/>
      <c r="AD49" s="75"/>
      <c r="AE49" s="109"/>
      <c r="AF49" s="110"/>
      <c r="AG49" s="110"/>
      <c r="AH49" s="110"/>
      <c r="AI49" s="107"/>
      <c r="AJ49" s="75"/>
      <c r="AK49" s="109"/>
      <c r="AL49" s="110"/>
      <c r="AM49" s="110"/>
      <c r="AN49" s="110"/>
      <c r="AO49" s="107"/>
      <c r="AP49" s="75"/>
      <c r="AQ49" s="109"/>
      <c r="AR49" s="110"/>
      <c r="AS49" s="110"/>
      <c r="AT49" s="110"/>
      <c r="AU49" s="107"/>
      <c r="AV49" s="75"/>
      <c r="AW49" s="109"/>
      <c r="AX49" s="110"/>
      <c r="AY49" s="110"/>
      <c r="AZ49" s="110"/>
      <c r="BA49" s="107"/>
      <c r="BB49" s="75"/>
      <c r="BC49" s="109"/>
      <c r="BD49" s="110"/>
      <c r="BE49" s="110"/>
      <c r="BF49" s="110"/>
      <c r="BG49" s="107"/>
      <c r="BH49" s="75"/>
      <c r="BI49" s="109"/>
      <c r="BJ49" s="110"/>
      <c r="BK49" s="110"/>
      <c r="BL49" s="110"/>
      <c r="BM49" s="107"/>
      <c r="BN49" s="75"/>
      <c r="BO49" s="109"/>
      <c r="BP49" s="110"/>
      <c r="BQ49" s="110"/>
      <c r="BR49" s="110"/>
      <c r="BS49" s="107"/>
      <c r="BT49" s="75"/>
      <c r="BU49" s="109"/>
      <c r="BV49" s="110"/>
      <c r="BW49" s="110"/>
      <c r="BX49" s="110"/>
      <c r="BY49" s="107"/>
      <c r="BZ49" s="75"/>
      <c r="CA49" s="109"/>
      <c r="CB49" s="110"/>
      <c r="CC49" s="110"/>
      <c r="CD49" s="110"/>
      <c r="CE49" s="107"/>
      <c r="CF49" s="75"/>
      <c r="CG49" s="109"/>
      <c r="CH49" s="110"/>
      <c r="CI49" s="110"/>
      <c r="CJ49" s="110"/>
      <c r="CK49" s="107"/>
      <c r="CL49" s="75"/>
      <c r="CM49" s="109"/>
      <c r="CN49" s="110"/>
      <c r="CO49" s="110"/>
      <c r="CP49" s="110"/>
      <c r="CQ49" s="107"/>
      <c r="CR49" s="75"/>
      <c r="CS49" s="109"/>
      <c r="CT49" s="110"/>
      <c r="CU49" s="110"/>
      <c r="CV49" s="110"/>
      <c r="CW49" s="107"/>
      <c r="CX49" s="75"/>
      <c r="CY49" s="109"/>
      <c r="CZ49" s="110"/>
      <c r="DA49" s="110"/>
      <c r="DB49" s="110"/>
      <c r="DC49" s="107"/>
      <c r="DD49" s="75"/>
      <c r="DE49" s="109"/>
      <c r="DF49" s="110"/>
      <c r="DG49" s="110"/>
      <c r="DH49" s="110"/>
      <c r="DI49" s="107"/>
      <c r="DJ49" s="75"/>
      <c r="DK49" s="109"/>
      <c r="DL49" s="110"/>
      <c r="DM49" s="110"/>
      <c r="DN49" s="110"/>
      <c r="DO49" s="107"/>
      <c r="DP49" s="75"/>
      <c r="DQ49" s="109"/>
      <c r="DR49" s="110"/>
      <c r="DS49" s="110"/>
      <c r="DT49" s="110"/>
      <c r="DU49" s="107"/>
      <c r="DV49" s="75"/>
      <c r="DW49" s="109"/>
      <c r="DX49" s="110"/>
      <c r="DY49" s="110"/>
      <c r="DZ49" s="110"/>
      <c r="EA49" s="107"/>
      <c r="EB49" s="75"/>
      <c r="EC49" s="109"/>
      <c r="ED49" s="110"/>
      <c r="EE49" s="110"/>
      <c r="EF49" s="110"/>
      <c r="EG49" s="107"/>
      <c r="EH49" s="9"/>
      <c r="EJ49" s="1067" t="s">
        <v>712</v>
      </c>
      <c r="EK49" s="1068"/>
      <c r="EL49" s="1069" t="s">
        <v>186</v>
      </c>
      <c r="EM49" s="1069" t="s">
        <v>187</v>
      </c>
      <c r="EN49" s="1069" t="s">
        <v>188</v>
      </c>
      <c r="EO49" s="1069" t="s">
        <v>189</v>
      </c>
      <c r="EP49" s="1069" t="s">
        <v>205</v>
      </c>
      <c r="EQ49" s="1069" t="s">
        <v>210</v>
      </c>
      <c r="ER49" s="1069" t="s">
        <v>213</v>
      </c>
      <c r="ES49" s="1069" t="s">
        <v>220</v>
      </c>
      <c r="ET49" s="1069" t="s">
        <v>572</v>
      </c>
      <c r="EU49" s="1069" t="s">
        <v>615</v>
      </c>
      <c r="EV49" s="1069" t="s">
        <v>616</v>
      </c>
      <c r="EW49" s="1069" t="s">
        <v>617</v>
      </c>
      <c r="EX49" s="1069" t="s">
        <v>625</v>
      </c>
      <c r="EY49" s="1069" t="s">
        <v>626</v>
      </c>
      <c r="EZ49" s="1069" t="s">
        <v>627</v>
      </c>
      <c r="FA49" s="1069" t="s">
        <v>628</v>
      </c>
      <c r="FB49" s="1069" t="s">
        <v>722</v>
      </c>
      <c r="FC49" s="1069" t="s">
        <v>723</v>
      </c>
      <c r="FD49" s="1069" t="s">
        <v>724</v>
      </c>
      <c r="FE49" s="1069" t="s">
        <v>725</v>
      </c>
    </row>
    <row r="50" spans="1:161" ht="11.25" customHeight="1" x14ac:dyDescent="0.2">
      <c r="A50" s="128" t="s">
        <v>604</v>
      </c>
      <c r="B50" s="14"/>
      <c r="C50" s="14"/>
      <c r="D50" s="14"/>
      <c r="E50" s="421"/>
      <c r="F50" s="67"/>
      <c r="G50" s="421"/>
      <c r="H50" s="67"/>
      <c r="I50" s="421"/>
      <c r="J50" s="67"/>
      <c r="K50" s="421"/>
      <c r="L50" s="67"/>
      <c r="M50" s="461"/>
      <c r="N50" s="462"/>
      <c r="O50" s="462"/>
      <c r="P50" s="462"/>
      <c r="Q50" s="464"/>
      <c r="R50" s="67"/>
      <c r="S50" s="461">
        <f>+DHR!S109</f>
        <v>0</v>
      </c>
      <c r="T50" s="462">
        <f>+DHR!T109</f>
        <v>0</v>
      </c>
      <c r="U50" s="462">
        <f>+DHR!U109</f>
        <v>0</v>
      </c>
      <c r="V50" s="462">
        <f>+DHR!V109</f>
        <v>0</v>
      </c>
      <c r="W50" s="464">
        <f>+DHR!W109</f>
        <v>0</v>
      </c>
      <c r="X50" s="67"/>
      <c r="Y50" s="461">
        <f>+DHR!Y109</f>
        <v>0</v>
      </c>
      <c r="Z50" s="462">
        <f>+DHR!Z109</f>
        <v>0</v>
      </c>
      <c r="AA50" s="462">
        <f>+DHR!AA109</f>
        <v>0</v>
      </c>
      <c r="AB50" s="462">
        <f>+DHR!AB109</f>
        <v>0</v>
      </c>
      <c r="AC50" s="464">
        <f>+DHR!AC109</f>
        <v>0</v>
      </c>
      <c r="AD50" s="67"/>
      <c r="AE50" s="461">
        <f>+DHR!AE109</f>
        <v>0</v>
      </c>
      <c r="AF50" s="462">
        <f>+DHR!AF109</f>
        <v>0</v>
      </c>
      <c r="AG50" s="462">
        <f>+DHR!AG109</f>
        <v>0</v>
      </c>
      <c r="AH50" s="462">
        <f>+DHR!AH109</f>
        <v>0</v>
      </c>
      <c r="AI50" s="464">
        <f>+DHR!AI109</f>
        <v>0</v>
      </c>
      <c r="AJ50" s="67"/>
      <c r="AK50" s="461">
        <f>+DHR!AK109</f>
        <v>0</v>
      </c>
      <c r="AL50" s="462">
        <f>+DHR!AL109</f>
        <v>0</v>
      </c>
      <c r="AM50" s="462">
        <f>+DHR!AM109</f>
        <v>0</v>
      </c>
      <c r="AN50" s="462">
        <f>+DHR!AN109</f>
        <v>0</v>
      </c>
      <c r="AO50" s="464">
        <f>+DHR!AO109</f>
        <v>0</v>
      </c>
      <c r="AP50" s="67"/>
      <c r="AQ50" s="461">
        <f>+DHR!AQ109</f>
        <v>0</v>
      </c>
      <c r="AR50" s="462">
        <f>+DHR!AR109</f>
        <v>0</v>
      </c>
      <c r="AS50" s="462">
        <f>+DHR!AS109</f>
        <v>0</v>
      </c>
      <c r="AT50" s="462">
        <f>+DHR!AT109</f>
        <v>0</v>
      </c>
      <c r="AU50" s="464">
        <f>+DHR!AU109</f>
        <v>0</v>
      </c>
      <c r="AV50" s="67"/>
      <c r="AW50" s="461">
        <f>+DHR!AW109</f>
        <v>0</v>
      </c>
      <c r="AX50" s="462">
        <f>+DHR!AX109</f>
        <v>0</v>
      </c>
      <c r="AY50" s="462">
        <f>+DHR!AY109</f>
        <v>0</v>
      </c>
      <c r="AZ50" s="462">
        <f>+DHR!AZ109</f>
        <v>0</v>
      </c>
      <c r="BA50" s="464">
        <f>+DHR!BA109</f>
        <v>0</v>
      </c>
      <c r="BB50" s="67"/>
      <c r="BC50" s="461">
        <f>+DHR!BC109</f>
        <v>0</v>
      </c>
      <c r="BD50" s="462">
        <f>+DHR!BD109</f>
        <v>0</v>
      </c>
      <c r="BE50" s="462">
        <f>+DHR!BE109</f>
        <v>0</v>
      </c>
      <c r="BF50" s="462">
        <f>+DHR!BF109</f>
        <v>0</v>
      </c>
      <c r="BG50" s="464">
        <f>+DHR!BG109</f>
        <v>0</v>
      </c>
      <c r="BH50" s="67"/>
      <c r="BI50" s="461">
        <f>+DHR!BI109</f>
        <v>0</v>
      </c>
      <c r="BJ50" s="462">
        <f>+DHR!BJ109</f>
        <v>0</v>
      </c>
      <c r="BK50" s="462">
        <f>+DHR!BK109</f>
        <v>0</v>
      </c>
      <c r="BL50" s="462">
        <f>+DHR!BL109</f>
        <v>0</v>
      </c>
      <c r="BM50" s="464">
        <f>+DHR!BM109</f>
        <v>0</v>
      </c>
      <c r="BN50" s="67"/>
      <c r="BO50" s="461">
        <f>+DHR!BO109</f>
        <v>0</v>
      </c>
      <c r="BP50" s="462">
        <f>+DHR!BP109</f>
        <v>0</v>
      </c>
      <c r="BQ50" s="462">
        <f>+DHR!BQ109</f>
        <v>0</v>
      </c>
      <c r="BR50" s="462">
        <f>+DHR!BR109</f>
        <v>0</v>
      </c>
      <c r="BS50" s="464"/>
      <c r="BT50" s="67"/>
      <c r="BU50" s="461">
        <f>+DHR!BU109</f>
        <v>0</v>
      </c>
      <c r="BV50" s="462">
        <f>+DHR!BV109</f>
        <v>0</v>
      </c>
      <c r="BW50" s="462">
        <f>+DHR!BW109</f>
        <v>0</v>
      </c>
      <c r="BX50" s="462">
        <f>+DHR!BX109</f>
        <v>0</v>
      </c>
      <c r="BY50" s="464"/>
      <c r="BZ50" s="67"/>
      <c r="CA50" s="461"/>
      <c r="CB50" s="462"/>
      <c r="CC50" s="462"/>
      <c r="CD50" s="462"/>
      <c r="CE50" s="464"/>
      <c r="CF50" s="67"/>
      <c r="CG50" s="461">
        <f>+DHR!CG234</f>
        <v>0.05</v>
      </c>
      <c r="CH50" s="462">
        <f>+DHR!CH234</f>
        <v>0.02</v>
      </c>
      <c r="CI50" s="462">
        <f>+DHR!CI234</f>
        <v>0.02</v>
      </c>
      <c r="CJ50" s="462">
        <f>+DHR!CJ234</f>
        <v>0.05</v>
      </c>
      <c r="CK50" s="464">
        <f>+DHR!CK234</f>
        <v>3.5352217114044189E-2</v>
      </c>
      <c r="CL50" s="67"/>
      <c r="CM50" s="461">
        <f>+DHR!CM234</f>
        <v>0.06</v>
      </c>
      <c r="CN50" s="462">
        <f>+DHR!CN234</f>
        <v>0.02</v>
      </c>
      <c r="CO50" s="462">
        <f>+DHR!CO234</f>
        <v>0.04</v>
      </c>
      <c r="CP50" s="462">
        <f>+DHR!CP234</f>
        <v>0.01</v>
      </c>
      <c r="CQ50" s="464">
        <f>+DHR!CQ234</f>
        <v>3.1214855124349607E-2</v>
      </c>
      <c r="CR50" s="67"/>
      <c r="CS50" s="461">
        <f>+DHR!CS234</f>
        <v>-0.02</v>
      </c>
      <c r="CT50" s="462">
        <f>+DHR!CT234</f>
        <v>-0.01</v>
      </c>
      <c r="CU50" s="462">
        <f>+DHR!CU234</f>
        <v>-0.03</v>
      </c>
      <c r="CV50" s="462">
        <f>+DHR!CV234</f>
        <v>0.02</v>
      </c>
      <c r="CW50" s="464">
        <f>+DHR!CW234</f>
        <v>-8.5673247913911794E-3</v>
      </c>
      <c r="CX50" s="67"/>
      <c r="CY50" s="461">
        <f>+DHR!CY234</f>
        <v>-0.03</v>
      </c>
      <c r="CZ50" s="462">
        <f>+DHR!CZ234</f>
        <v>0.05</v>
      </c>
      <c r="DA50" s="462">
        <f>+DHR!DA234</f>
        <v>0.03</v>
      </c>
      <c r="DB50" s="462">
        <f>+DHR!DB234</f>
        <v>-0.01</v>
      </c>
      <c r="DC50" s="464">
        <f>+DHR!DC234</f>
        <v>9.7661502484653589E-3</v>
      </c>
      <c r="DD50" s="67"/>
      <c r="DE50" s="461">
        <f>+DHR!DE234</f>
        <v>0.02</v>
      </c>
      <c r="DF50" s="462">
        <f>+DHR!DF234</f>
        <v>0.03</v>
      </c>
      <c r="DG50" s="462">
        <f>+DHR!DG234</f>
        <v>0.03</v>
      </c>
      <c r="DH50" s="462">
        <f>+DHR!DH234</f>
        <v>-0.08</v>
      </c>
      <c r="DI50" s="464">
        <f>+DHR!DI234</f>
        <v>-1.5509442090902567E-3</v>
      </c>
      <c r="DJ50" s="67"/>
      <c r="DK50" s="461">
        <f>+DHR!DK234</f>
        <v>-0.13</v>
      </c>
      <c r="DL50" s="462">
        <f>+DHR!DL234</f>
        <v>-0.1</v>
      </c>
      <c r="DM50" s="462">
        <f>+DHR!DM234</f>
        <v>-7.0000000000000007E-2</v>
      </c>
      <c r="DN50" s="462">
        <f>+DHR!DN234</f>
        <v>0.05</v>
      </c>
      <c r="DO50" s="464">
        <f>+DHR!DO234</f>
        <v>-5.9096730584510322E-2</v>
      </c>
      <c r="DP50" s="67"/>
      <c r="DQ50" s="461">
        <f>+DHR!DQ234</f>
        <v>0.08</v>
      </c>
      <c r="DR50" s="462">
        <f>+DHR!DR234</f>
        <v>0.08</v>
      </c>
      <c r="DS50" s="462">
        <f>+DHR!DS234</f>
        <v>0.08</v>
      </c>
      <c r="DT50" s="462">
        <f>+DHR!DT234</f>
        <v>-0.03</v>
      </c>
      <c r="DU50" s="464">
        <f>+DHR!DU234</f>
        <v>4.9961856587273611E-2</v>
      </c>
      <c r="DV50" s="67"/>
      <c r="DW50" s="461">
        <f>+DHR!DW234</f>
        <v>0</v>
      </c>
      <c r="DX50" s="462">
        <f>+DHR!DX234</f>
        <v>0</v>
      </c>
      <c r="DY50" s="462">
        <f>+DHR!DY234</f>
        <v>0</v>
      </c>
      <c r="DZ50" s="462">
        <f>+DHR!DZ234</f>
        <v>0</v>
      </c>
      <c r="EA50" s="464">
        <f>+DHR!EA234</f>
        <v>0</v>
      </c>
      <c r="EB50" s="67"/>
      <c r="EC50" s="461">
        <f>+DHR!EC234</f>
        <v>0</v>
      </c>
      <c r="ED50" s="462">
        <f>+DHR!ED234</f>
        <v>0</v>
      </c>
      <c r="EE50" s="462">
        <f>+DHR!EE234</f>
        <v>0</v>
      </c>
      <c r="EF50" s="462">
        <f>+DHR!EF234</f>
        <v>0</v>
      </c>
      <c r="EG50" s="464">
        <f>+DHR!EG234</f>
        <v>0</v>
      </c>
      <c r="EH50" s="9"/>
      <c r="EJ50" s="378" t="s">
        <v>604</v>
      </c>
      <c r="EK50" s="378"/>
      <c r="EL50" s="380">
        <f>+CS50</f>
        <v>-0.02</v>
      </c>
      <c r="EM50" s="380">
        <f t="shared" ref="EM50:EM54" si="189">+CT50</f>
        <v>-0.01</v>
      </c>
      <c r="EN50" s="380">
        <f t="shared" ref="EN50:EN54" si="190">+CU50</f>
        <v>-0.03</v>
      </c>
      <c r="EO50" s="380">
        <f t="shared" ref="EO50:EO54" si="191">+CV50</f>
        <v>0.02</v>
      </c>
      <c r="EP50" s="380">
        <f>+CY50</f>
        <v>-0.03</v>
      </c>
      <c r="EQ50" s="380">
        <f t="shared" ref="EQ50:EQ54" si="192">+CZ50</f>
        <v>0.05</v>
      </c>
      <c r="ER50" s="380">
        <f t="shared" ref="ER50:ER54" si="193">+DA50</f>
        <v>0.03</v>
      </c>
      <c r="ES50" s="380">
        <f t="shared" ref="ES50:ES54" si="194">+DB50</f>
        <v>-0.01</v>
      </c>
      <c r="ET50" s="380">
        <f>+DE50</f>
        <v>0.02</v>
      </c>
      <c r="EU50" s="380">
        <f t="shared" ref="EU50:EU54" si="195">+DF50</f>
        <v>0.03</v>
      </c>
      <c r="EV50" s="380">
        <f t="shared" ref="EV50:EV54" si="196">+DG50</f>
        <v>0.03</v>
      </c>
      <c r="EW50" s="380">
        <f t="shared" ref="EW50:EW53" si="197">+DH50</f>
        <v>-0.08</v>
      </c>
      <c r="EX50" s="380">
        <f t="shared" ref="EX50:EX54" si="198">+DK50</f>
        <v>-0.13</v>
      </c>
      <c r="EY50" s="380">
        <f t="shared" ref="EY50:EY54" si="199">+DL50</f>
        <v>-0.1</v>
      </c>
      <c r="EZ50" s="380">
        <f t="shared" ref="EZ50:EZ54" si="200">+DM50</f>
        <v>-7.0000000000000007E-2</v>
      </c>
      <c r="FA50" s="380">
        <f t="shared" ref="FA50:FA54" si="201">+DN50</f>
        <v>0.05</v>
      </c>
      <c r="FB50" s="380">
        <f t="shared" ref="FB50:FE54" si="202">+DQ50</f>
        <v>0.08</v>
      </c>
      <c r="FC50" s="380">
        <f t="shared" si="202"/>
        <v>0.08</v>
      </c>
      <c r="FD50" s="380">
        <f t="shared" si="202"/>
        <v>0.08</v>
      </c>
      <c r="FE50" s="380">
        <f t="shared" si="202"/>
        <v>-0.03</v>
      </c>
    </row>
    <row r="51" spans="1:161" ht="11.25" customHeight="1" x14ac:dyDescent="0.2">
      <c r="A51" s="51" t="s">
        <v>708</v>
      </c>
      <c r="B51" s="14"/>
      <c r="C51" s="14"/>
      <c r="D51" s="14"/>
      <c r="E51" s="91"/>
      <c r="F51" s="67"/>
      <c r="G51" s="91"/>
      <c r="H51" s="67"/>
      <c r="I51" s="91"/>
      <c r="J51" s="67"/>
      <c r="K51" s="91"/>
      <c r="L51" s="67"/>
      <c r="M51" s="463"/>
      <c r="N51" s="353"/>
      <c r="O51" s="353"/>
      <c r="P51" s="353"/>
      <c r="Q51" s="465"/>
      <c r="R51" s="67"/>
      <c r="S51" s="463">
        <f>+DHR!S185</f>
        <v>0</v>
      </c>
      <c r="T51" s="353">
        <f>+DHR!T185</f>
        <v>0</v>
      </c>
      <c r="U51" s="353">
        <f>+DHR!U185</f>
        <v>0</v>
      </c>
      <c r="V51" s="353">
        <f>+DHR!V185</f>
        <v>0</v>
      </c>
      <c r="W51" s="465">
        <f>+DHR!W185</f>
        <v>0</v>
      </c>
      <c r="X51" s="67"/>
      <c r="Y51" s="463">
        <f>+DHR!Y185</f>
        <v>0</v>
      </c>
      <c r="Z51" s="353">
        <f>+DHR!Z185</f>
        <v>0</v>
      </c>
      <c r="AA51" s="353">
        <f>+DHR!AA185</f>
        <v>0</v>
      </c>
      <c r="AB51" s="353">
        <f>+DHR!AB185</f>
        <v>0</v>
      </c>
      <c r="AC51" s="465">
        <f>+DHR!AC185</f>
        <v>0</v>
      </c>
      <c r="AD51" s="67"/>
      <c r="AE51" s="463">
        <f>+DHR!AE185</f>
        <v>0</v>
      </c>
      <c r="AF51" s="353">
        <f>+DHR!AF185</f>
        <v>0</v>
      </c>
      <c r="AG51" s="353">
        <f>+DHR!AG185</f>
        <v>0</v>
      </c>
      <c r="AH51" s="353">
        <f>+DHR!AH185</f>
        <v>0</v>
      </c>
      <c r="AI51" s="465">
        <f>+DHR!AI185</f>
        <v>0</v>
      </c>
      <c r="AJ51" s="67"/>
      <c r="AK51" s="463">
        <f>+DHR!AK185</f>
        <v>0</v>
      </c>
      <c r="AL51" s="353">
        <f>+DHR!AL185</f>
        <v>0</v>
      </c>
      <c r="AM51" s="353">
        <f>+DHR!AM185</f>
        <v>0</v>
      </c>
      <c r="AN51" s="353">
        <f>+DHR!AN185</f>
        <v>0</v>
      </c>
      <c r="AO51" s="465">
        <f>+DHR!AO185</f>
        <v>0</v>
      </c>
      <c r="AP51" s="67"/>
      <c r="AQ51" s="463">
        <f>+DHR!AQ185</f>
        <v>0</v>
      </c>
      <c r="AR51" s="353">
        <f>+DHR!AR185</f>
        <v>0</v>
      </c>
      <c r="AS51" s="353">
        <f>+DHR!AS185</f>
        <v>0</v>
      </c>
      <c r="AT51" s="353">
        <f>+DHR!AT185</f>
        <v>0</v>
      </c>
      <c r="AU51" s="465">
        <f>+DHR!AU185</f>
        <v>0</v>
      </c>
      <c r="AV51" s="67"/>
      <c r="AW51" s="463">
        <f>+DHR!AW185</f>
        <v>0</v>
      </c>
      <c r="AX51" s="353">
        <f>+DHR!AX185</f>
        <v>0</v>
      </c>
      <c r="AY51" s="353">
        <f>+DHR!AY185</f>
        <v>0</v>
      </c>
      <c r="AZ51" s="353">
        <f>+DHR!AZ185</f>
        <v>0</v>
      </c>
      <c r="BA51" s="465">
        <f>+DHR!BA185</f>
        <v>0</v>
      </c>
      <c r="BB51" s="67"/>
      <c r="BC51" s="463">
        <f>+DHR!BC185</f>
        <v>0</v>
      </c>
      <c r="BD51" s="353">
        <f>+DHR!BD185</f>
        <v>0</v>
      </c>
      <c r="BE51" s="353">
        <f>+DHR!BE185</f>
        <v>0</v>
      </c>
      <c r="BF51" s="353">
        <f>+DHR!BF185</f>
        <v>0</v>
      </c>
      <c r="BG51" s="465">
        <f>+DHR!BG185</f>
        <v>0</v>
      </c>
      <c r="BH51" s="67"/>
      <c r="BI51" s="463">
        <f>+DHR!BI185</f>
        <v>0</v>
      </c>
      <c r="BJ51" s="353">
        <f>+DHR!BJ185</f>
        <v>0</v>
      </c>
      <c r="BK51" s="353">
        <f>+DHR!BK185</f>
        <v>0</v>
      </c>
      <c r="BL51" s="353">
        <f>+DHR!BL185</f>
        <v>0</v>
      </c>
      <c r="BM51" s="465">
        <f>+DHR!BM185</f>
        <v>0</v>
      </c>
      <c r="BN51" s="67"/>
      <c r="BO51" s="463">
        <f>+DHR!BO185</f>
        <v>0</v>
      </c>
      <c r="BP51" s="353">
        <f>+DHR!BP185</f>
        <v>0</v>
      </c>
      <c r="BQ51" s="353">
        <f>+DHR!BQ185</f>
        <v>0</v>
      </c>
      <c r="BR51" s="353">
        <f>+DHR!BR185</f>
        <v>0</v>
      </c>
      <c r="BS51" s="465"/>
      <c r="BT51" s="67"/>
      <c r="BU51" s="463">
        <f>+DHR!BU185</f>
        <v>0</v>
      </c>
      <c r="BV51" s="353">
        <f>+DHR!BV185</f>
        <v>0</v>
      </c>
      <c r="BW51" s="353">
        <f>+DHR!BW185</f>
        <v>0</v>
      </c>
      <c r="BX51" s="353">
        <f>+DHR!BX185</f>
        <v>0</v>
      </c>
      <c r="BY51" s="465"/>
      <c r="BZ51" s="67"/>
      <c r="CA51" s="463"/>
      <c r="CB51" s="353"/>
      <c r="CC51" s="353"/>
      <c r="CD51" s="353"/>
      <c r="CE51" s="465"/>
      <c r="CF51" s="67"/>
      <c r="CG51" s="463">
        <f>+DHR!CG242</f>
        <v>0.03</v>
      </c>
      <c r="CH51" s="353">
        <f>+DHR!CH242</f>
        <v>0.1</v>
      </c>
      <c r="CI51" s="353">
        <f>+DHR!CI242</f>
        <v>0.1</v>
      </c>
      <c r="CJ51" s="353">
        <f>+DHR!CJ242</f>
        <v>0.05</v>
      </c>
      <c r="CK51" s="465">
        <f>+DHR!CK242</f>
        <v>6.981857729002916E-2</v>
      </c>
      <c r="CL51" s="67"/>
      <c r="CM51" s="463">
        <f>+DHR!CM242</f>
        <v>0.06</v>
      </c>
      <c r="CN51" s="353">
        <f>+DHR!CN242</f>
        <v>0.04</v>
      </c>
      <c r="CO51" s="353">
        <f>+DHR!CO242</f>
        <v>0.02</v>
      </c>
      <c r="CP51" s="353">
        <f>+DHR!CP242</f>
        <v>0.05</v>
      </c>
      <c r="CQ51" s="465">
        <f>+DHR!CQ242</f>
        <v>4.2527089598548853E-2</v>
      </c>
      <c r="CR51" s="67"/>
      <c r="CS51" s="463">
        <f>+DHR!CS242</f>
        <v>0.02</v>
      </c>
      <c r="CT51" s="353">
        <f>+DHR!CT242</f>
        <v>0.02</v>
      </c>
      <c r="CU51" s="353">
        <f>+DHR!CU242</f>
        <v>0.02</v>
      </c>
      <c r="CV51" s="353">
        <f>+DHR!CV242</f>
        <v>0.03</v>
      </c>
      <c r="CW51" s="465">
        <f>+DHR!CW242</f>
        <v>2.2858510783821989E-2</v>
      </c>
      <c r="CX51" s="67"/>
      <c r="CY51" s="463">
        <f>+DHR!CY242</f>
        <v>0.04</v>
      </c>
      <c r="CZ51" s="353">
        <f>+DHR!CZ242</f>
        <v>4.4999999999999998E-2</v>
      </c>
      <c r="DA51" s="353">
        <f>+DHR!DA242</f>
        <v>0.05</v>
      </c>
      <c r="DB51" s="353">
        <f>+DHR!DB242</f>
        <v>0.05</v>
      </c>
      <c r="DC51" s="465">
        <f>+DHR!DC242</f>
        <v>4.6323443437591351E-2</v>
      </c>
      <c r="DD51" s="67"/>
      <c r="DE51" s="463">
        <f>+DHR!DE242</f>
        <v>0.04</v>
      </c>
      <c r="DF51" s="353">
        <f>+DHR!DF242</f>
        <v>0.02</v>
      </c>
      <c r="DG51" s="353">
        <f>+DHR!DG242</f>
        <v>0.05</v>
      </c>
      <c r="DH51" s="353">
        <f>+DHR!DH242</f>
        <v>0.05</v>
      </c>
      <c r="DI51" s="465">
        <f>+DHR!DI242</f>
        <v>3.9948660874560213E-2</v>
      </c>
      <c r="DJ51" s="67"/>
      <c r="DK51" s="463">
        <f>+DHR!DK242</f>
        <v>0.03</v>
      </c>
      <c r="DL51" s="353">
        <f>+DHR!DL242</f>
        <v>0.05</v>
      </c>
      <c r="DM51" s="353">
        <f>+DHR!DM242</f>
        <v>0.05</v>
      </c>
      <c r="DN51" s="353">
        <f>+DHR!DN242</f>
        <v>0.05</v>
      </c>
      <c r="DO51" s="465">
        <f>+DHR!DO242</f>
        <v>4.5336013376498639E-2</v>
      </c>
      <c r="DP51" s="67"/>
      <c r="DQ51" s="463">
        <f>+DHR!DQ242</f>
        <v>0.05</v>
      </c>
      <c r="DR51" s="353">
        <f>+DHR!DR242</f>
        <v>0.05</v>
      </c>
      <c r="DS51" s="353">
        <f>+DHR!DS242</f>
        <v>0.05</v>
      </c>
      <c r="DT51" s="353">
        <f>+DHR!DT242</f>
        <v>0.05</v>
      </c>
      <c r="DU51" s="465">
        <f>+DHR!DU242</f>
        <v>0.05</v>
      </c>
      <c r="DV51" s="67"/>
      <c r="DW51" s="463">
        <f>+DHR!DW242</f>
        <v>0</v>
      </c>
      <c r="DX51" s="353">
        <f>+DHR!DX242</f>
        <v>0</v>
      </c>
      <c r="DY51" s="353">
        <f>+DHR!DY242</f>
        <v>0</v>
      </c>
      <c r="DZ51" s="353">
        <f>+DHR!DZ242</f>
        <v>0</v>
      </c>
      <c r="EA51" s="465">
        <f>+DHR!EA242</f>
        <v>0</v>
      </c>
      <c r="EB51" s="67"/>
      <c r="EC51" s="463">
        <f>+DHR!EC242</f>
        <v>0</v>
      </c>
      <c r="ED51" s="353">
        <f>+DHR!ED242</f>
        <v>0</v>
      </c>
      <c r="EE51" s="353">
        <f>+DHR!EE242</f>
        <v>0</v>
      </c>
      <c r="EF51" s="353">
        <f>+DHR!EF242</f>
        <v>0</v>
      </c>
      <c r="EG51" s="465">
        <f>+DHR!EG242</f>
        <v>0</v>
      </c>
      <c r="EH51" s="9"/>
      <c r="EJ51" s="379" t="s">
        <v>708</v>
      </c>
      <c r="EK51" s="379"/>
      <c r="EL51" s="381">
        <f t="shared" ref="EL51:EL54" si="203">+CS51</f>
        <v>0.02</v>
      </c>
      <c r="EM51" s="381">
        <f t="shared" si="189"/>
        <v>0.02</v>
      </c>
      <c r="EN51" s="381">
        <f t="shared" si="190"/>
        <v>0.02</v>
      </c>
      <c r="EO51" s="381">
        <f t="shared" si="191"/>
        <v>0.03</v>
      </c>
      <c r="EP51" s="381">
        <f t="shared" ref="EP51:EP54" si="204">+CY51</f>
        <v>0.04</v>
      </c>
      <c r="EQ51" s="381">
        <f t="shared" si="192"/>
        <v>4.4999999999999998E-2</v>
      </c>
      <c r="ER51" s="381">
        <f t="shared" si="193"/>
        <v>0.05</v>
      </c>
      <c r="ES51" s="381">
        <f t="shared" si="194"/>
        <v>0.05</v>
      </c>
      <c r="ET51" s="381">
        <f t="shared" ref="ET51:ET54" si="205">+DE51</f>
        <v>0.04</v>
      </c>
      <c r="EU51" s="381">
        <f t="shared" si="195"/>
        <v>0.02</v>
      </c>
      <c r="EV51" s="381">
        <f t="shared" si="196"/>
        <v>0.05</v>
      </c>
      <c r="EW51" s="381">
        <f t="shared" si="197"/>
        <v>0.05</v>
      </c>
      <c r="EX51" s="381">
        <f t="shared" si="198"/>
        <v>0.03</v>
      </c>
      <c r="EY51" s="381">
        <f t="shared" si="199"/>
        <v>0.05</v>
      </c>
      <c r="EZ51" s="381">
        <f t="shared" si="200"/>
        <v>0.05</v>
      </c>
      <c r="FA51" s="381">
        <f t="shared" si="201"/>
        <v>0.05</v>
      </c>
      <c r="FB51" s="381">
        <f t="shared" si="202"/>
        <v>0.05</v>
      </c>
      <c r="FC51" s="381">
        <f t="shared" si="202"/>
        <v>0.05</v>
      </c>
      <c r="FD51" s="381">
        <f t="shared" si="202"/>
        <v>0.05</v>
      </c>
      <c r="FE51" s="381">
        <f t="shared" si="202"/>
        <v>0.05</v>
      </c>
    </row>
    <row r="52" spans="1:161" ht="11.25" customHeight="1" x14ac:dyDescent="0.2">
      <c r="A52" s="51" t="s">
        <v>709</v>
      </c>
      <c r="B52" s="14"/>
      <c r="C52" s="14"/>
      <c r="D52" s="14"/>
      <c r="E52" s="91"/>
      <c r="F52" s="67"/>
      <c r="G52" s="91"/>
      <c r="H52" s="67"/>
      <c r="I52" s="91"/>
      <c r="J52" s="67"/>
      <c r="K52" s="91"/>
      <c r="L52" s="67"/>
      <c r="M52" s="463"/>
      <c r="N52" s="353"/>
      <c r="O52" s="353"/>
      <c r="P52" s="353"/>
      <c r="Q52" s="465"/>
      <c r="R52" s="67"/>
      <c r="S52" s="463"/>
      <c r="T52" s="353"/>
      <c r="U52" s="353"/>
      <c r="V52" s="353"/>
      <c r="W52" s="465"/>
      <c r="X52" s="67"/>
      <c r="Y52" s="463"/>
      <c r="Z52" s="353"/>
      <c r="AA52" s="353"/>
      <c r="AB52" s="353"/>
      <c r="AC52" s="465"/>
      <c r="AD52" s="67"/>
      <c r="AE52" s="463"/>
      <c r="AF52" s="353"/>
      <c r="AG52" s="353"/>
      <c r="AH52" s="353"/>
      <c r="AI52" s="465"/>
      <c r="AJ52" s="67"/>
      <c r="AK52" s="463"/>
      <c r="AL52" s="353"/>
      <c r="AM52" s="353"/>
      <c r="AN52" s="353"/>
      <c r="AO52" s="465"/>
      <c r="AP52" s="67"/>
      <c r="AQ52" s="463"/>
      <c r="AR52" s="353"/>
      <c r="AS52" s="353"/>
      <c r="AT52" s="353"/>
      <c r="AU52" s="465"/>
      <c r="AV52" s="67"/>
      <c r="AW52" s="463"/>
      <c r="AX52" s="353"/>
      <c r="AY52" s="353"/>
      <c r="AZ52" s="353"/>
      <c r="BA52" s="465"/>
      <c r="BB52" s="67"/>
      <c r="BC52" s="463"/>
      <c r="BD52" s="353"/>
      <c r="BE52" s="353"/>
      <c r="BF52" s="353"/>
      <c r="BG52" s="465"/>
      <c r="BH52" s="67"/>
      <c r="BI52" s="463"/>
      <c r="BJ52" s="353"/>
      <c r="BK52" s="353"/>
      <c r="BL52" s="353"/>
      <c r="BM52" s="465"/>
      <c r="BN52" s="67"/>
      <c r="BO52" s="463"/>
      <c r="BP52" s="353"/>
      <c r="BQ52" s="353"/>
      <c r="BR52" s="353"/>
      <c r="BS52" s="465"/>
      <c r="BT52" s="67"/>
      <c r="BU52" s="463">
        <f>+DHR!BU186</f>
        <v>0</v>
      </c>
      <c r="BV52" s="353">
        <f>+DHR!BV186</f>
        <v>0</v>
      </c>
      <c r="BW52" s="353">
        <f>+DHR!BW186</f>
        <v>0</v>
      </c>
      <c r="BX52" s="353">
        <f>+DHR!BX186</f>
        <v>0</v>
      </c>
      <c r="BY52" s="465"/>
      <c r="BZ52" s="67"/>
      <c r="CA52" s="463"/>
      <c r="CB52" s="353"/>
      <c r="CC52" s="353"/>
      <c r="CD52" s="353"/>
      <c r="CE52" s="465"/>
      <c r="CF52" s="67"/>
      <c r="CG52" s="463">
        <f>+DHR!CG250</f>
        <v>0.01</v>
      </c>
      <c r="CH52" s="353">
        <f>+DHR!CH250</f>
        <v>0.01</v>
      </c>
      <c r="CI52" s="353">
        <f>+DHR!CI250</f>
        <v>0.01</v>
      </c>
      <c r="CJ52" s="353">
        <f>+DHR!CJ250</f>
        <v>-0.01</v>
      </c>
      <c r="CK52" s="465">
        <f>+DHR!CK250</f>
        <v>4.3595827772010482E-3</v>
      </c>
      <c r="CL52" s="67"/>
      <c r="CM52" s="463">
        <f>+DHR!CM250</f>
        <v>0.06</v>
      </c>
      <c r="CN52" s="353">
        <f>+DHR!CN250</f>
        <v>0</v>
      </c>
      <c r="CO52" s="353">
        <f>+DHR!CO250</f>
        <v>-0.01</v>
      </c>
      <c r="CP52" s="353">
        <f>+DHR!CP250</f>
        <v>-0.02</v>
      </c>
      <c r="CQ52" s="465">
        <f>+DHR!CQ250</f>
        <v>5.6718697789870636E-3</v>
      </c>
      <c r="CR52" s="67"/>
      <c r="CS52" s="463">
        <f>+DHR!CS250</f>
        <v>-0.02</v>
      </c>
      <c r="CT52" s="353">
        <f>+DHR!CT250</f>
        <v>0.01</v>
      </c>
      <c r="CU52" s="353">
        <f>+DHR!CU250</f>
        <v>0</v>
      </c>
      <c r="CV52" s="353">
        <f>+DHR!CV250</f>
        <v>0.01</v>
      </c>
      <c r="CW52" s="465">
        <f>+DHR!CW250</f>
        <v>6.1830285896675974E-4</v>
      </c>
      <c r="CX52" s="67"/>
      <c r="CY52" s="463">
        <f>+DHR!CY250</f>
        <v>0.01</v>
      </c>
      <c r="CZ52" s="353">
        <f>+DHR!CZ250</f>
        <v>0.02</v>
      </c>
      <c r="DA52" s="353">
        <f>+DHR!DA250</f>
        <v>-0.01</v>
      </c>
      <c r="DB52" s="353">
        <f>+DHR!DB250</f>
        <v>-7.0000000000000007E-2</v>
      </c>
      <c r="DC52" s="465">
        <f>+DHR!DC250</f>
        <v>-1.3726980415083313E-2</v>
      </c>
      <c r="DD52" s="67"/>
      <c r="DE52" s="463">
        <f>+DHR!DE250</f>
        <v>-0.08</v>
      </c>
      <c r="DF52" s="353">
        <f>+DHR!DF250</f>
        <v>-0.1</v>
      </c>
      <c r="DG52" s="353">
        <f>+DHR!DG250</f>
        <v>-0.09</v>
      </c>
      <c r="DH52" s="353">
        <f>+DHR!DH250</f>
        <v>-0.04</v>
      </c>
      <c r="DI52" s="465">
        <f>+DHR!DI250</f>
        <v>-7.6939757305952483E-2</v>
      </c>
      <c r="DJ52" s="67"/>
      <c r="DK52" s="463">
        <f>+DHR!DK250</f>
        <v>-0.02</v>
      </c>
      <c r="DL52" s="353">
        <f>+DHR!DL250</f>
        <v>0.01</v>
      </c>
      <c r="DM52" s="353">
        <f>+DHR!DM250</f>
        <v>0.02</v>
      </c>
      <c r="DN52" s="353">
        <f>+DHR!DN250</f>
        <v>0</v>
      </c>
      <c r="DO52" s="465">
        <f>+DHR!DO250</f>
        <v>2.7734889181400984E-3</v>
      </c>
      <c r="DP52" s="67"/>
      <c r="DQ52" s="463">
        <f>+DHR!DQ250</f>
        <v>0.02</v>
      </c>
      <c r="DR52" s="353">
        <f>+DHR!DR250</f>
        <v>0</v>
      </c>
      <c r="DS52" s="353">
        <f>+DHR!DS250</f>
        <v>0</v>
      </c>
      <c r="DT52" s="353">
        <f>+DHR!DT250</f>
        <v>0.02</v>
      </c>
      <c r="DU52" s="465">
        <f>+DHR!DU250</f>
        <v>1.011634035011106E-2</v>
      </c>
      <c r="DV52" s="67"/>
      <c r="DW52" s="463">
        <f>+DHR!DW250</f>
        <v>0</v>
      </c>
      <c r="DX52" s="353">
        <f>+DHR!DX250</f>
        <v>0</v>
      </c>
      <c r="DY52" s="353">
        <f>+DHR!DY250</f>
        <v>0</v>
      </c>
      <c r="DZ52" s="353">
        <f>+DHR!DZ250</f>
        <v>0</v>
      </c>
      <c r="EA52" s="465">
        <f>+DHR!EA250</f>
        <v>0</v>
      </c>
      <c r="EB52" s="67"/>
      <c r="EC52" s="463">
        <f>+DHR!EC250</f>
        <v>0</v>
      </c>
      <c r="ED52" s="353">
        <f>+DHR!ED250</f>
        <v>0</v>
      </c>
      <c r="EE52" s="353">
        <f>+DHR!EE250</f>
        <v>0</v>
      </c>
      <c r="EF52" s="353">
        <f>+DHR!EF250</f>
        <v>0</v>
      </c>
      <c r="EG52" s="465">
        <f>+DHR!EG250</f>
        <v>0</v>
      </c>
      <c r="EH52" s="9"/>
      <c r="EJ52" s="378" t="s">
        <v>709</v>
      </c>
      <c r="EK52" s="378"/>
      <c r="EL52" s="380">
        <f t="shared" si="203"/>
        <v>-0.02</v>
      </c>
      <c r="EM52" s="380">
        <f t="shared" si="189"/>
        <v>0.01</v>
      </c>
      <c r="EN52" s="380">
        <f t="shared" si="190"/>
        <v>0</v>
      </c>
      <c r="EO52" s="380">
        <f t="shared" si="191"/>
        <v>0.01</v>
      </c>
      <c r="EP52" s="380">
        <f t="shared" si="204"/>
        <v>0.01</v>
      </c>
      <c r="EQ52" s="380">
        <f t="shared" si="192"/>
        <v>0.02</v>
      </c>
      <c r="ER52" s="380">
        <f t="shared" si="193"/>
        <v>-0.01</v>
      </c>
      <c r="ES52" s="380">
        <f t="shared" si="194"/>
        <v>-7.0000000000000007E-2</v>
      </c>
      <c r="ET52" s="380">
        <f t="shared" si="205"/>
        <v>-0.08</v>
      </c>
      <c r="EU52" s="380">
        <f t="shared" si="195"/>
        <v>-0.1</v>
      </c>
      <c r="EV52" s="380">
        <f t="shared" si="196"/>
        <v>-0.09</v>
      </c>
      <c r="EW52" s="380">
        <f t="shared" si="197"/>
        <v>-0.04</v>
      </c>
      <c r="EX52" s="380">
        <f t="shared" si="198"/>
        <v>-0.02</v>
      </c>
      <c r="EY52" s="380">
        <f t="shared" si="199"/>
        <v>0.01</v>
      </c>
      <c r="EZ52" s="380">
        <f t="shared" si="200"/>
        <v>0.02</v>
      </c>
      <c r="FA52" s="380">
        <f t="shared" si="201"/>
        <v>0</v>
      </c>
      <c r="FB52" s="380">
        <f t="shared" si="202"/>
        <v>0.02</v>
      </c>
      <c r="FC52" s="380">
        <f t="shared" si="202"/>
        <v>0</v>
      </c>
      <c r="FD52" s="380">
        <f t="shared" si="202"/>
        <v>0</v>
      </c>
      <c r="FE52" s="380">
        <f t="shared" si="202"/>
        <v>0.02</v>
      </c>
    </row>
    <row r="53" spans="1:161" ht="11.25" customHeight="1" x14ac:dyDescent="0.2">
      <c r="A53" s="51" t="s">
        <v>710</v>
      </c>
      <c r="B53" s="14"/>
      <c r="C53" s="14"/>
      <c r="D53" s="14"/>
      <c r="E53" s="91"/>
      <c r="F53" s="67"/>
      <c r="G53" s="91"/>
      <c r="H53" s="67"/>
      <c r="I53" s="91"/>
      <c r="J53" s="67"/>
      <c r="K53" s="91"/>
      <c r="L53" s="67"/>
      <c r="M53" s="463"/>
      <c r="N53" s="353"/>
      <c r="O53" s="353"/>
      <c r="P53" s="353"/>
      <c r="Q53" s="465"/>
      <c r="R53" s="67"/>
      <c r="S53" s="463">
        <f>+DHR!S252</f>
        <v>0</v>
      </c>
      <c r="T53" s="353">
        <f>+DHR!T252</f>
        <v>0</v>
      </c>
      <c r="U53" s="353">
        <f>+DHR!U252</f>
        <v>0</v>
      </c>
      <c r="V53" s="353">
        <f>+DHR!V252</f>
        <v>0</v>
      </c>
      <c r="W53" s="465">
        <f>+DHR!W252</f>
        <v>0</v>
      </c>
      <c r="X53" s="67"/>
      <c r="Y53" s="463">
        <f>+DHR!Y252</f>
        <v>0</v>
      </c>
      <c r="Z53" s="353">
        <f>+DHR!Z252</f>
        <v>0</v>
      </c>
      <c r="AA53" s="353">
        <f>+DHR!AA252</f>
        <v>0</v>
      </c>
      <c r="AB53" s="353">
        <f>+DHR!AB252</f>
        <v>0</v>
      </c>
      <c r="AC53" s="465">
        <f>+DHR!AC252</f>
        <v>0</v>
      </c>
      <c r="AD53" s="67"/>
      <c r="AE53" s="463">
        <f>+DHR!AE252</f>
        <v>0</v>
      </c>
      <c r="AF53" s="353">
        <f>+DHR!AF252</f>
        <v>0</v>
      </c>
      <c r="AG53" s="353">
        <f>+DHR!AG252</f>
        <v>0</v>
      </c>
      <c r="AH53" s="353">
        <f>+DHR!AH252</f>
        <v>0</v>
      </c>
      <c r="AI53" s="465">
        <f>+DHR!AI252</f>
        <v>0</v>
      </c>
      <c r="AJ53" s="67"/>
      <c r="AK53" s="463">
        <f>+DHR!AK252</f>
        <v>0</v>
      </c>
      <c r="AL53" s="353">
        <f>+DHR!AL252</f>
        <v>0</v>
      </c>
      <c r="AM53" s="353">
        <f>+DHR!AM252</f>
        <v>0</v>
      </c>
      <c r="AN53" s="353">
        <f>+DHR!AN252</f>
        <v>0</v>
      </c>
      <c r="AO53" s="465">
        <f>+DHR!AO252</f>
        <v>0</v>
      </c>
      <c r="AP53" s="67"/>
      <c r="AQ53" s="463">
        <f>+DHR!AQ252</f>
        <v>0</v>
      </c>
      <c r="AR53" s="353">
        <f>+DHR!AR252</f>
        <v>0</v>
      </c>
      <c r="AS53" s="353">
        <f>+DHR!AS252</f>
        <v>0</v>
      </c>
      <c r="AT53" s="353">
        <f>+DHR!AT252</f>
        <v>0</v>
      </c>
      <c r="AU53" s="465">
        <f>+DHR!AU252</f>
        <v>0</v>
      </c>
      <c r="AV53" s="67"/>
      <c r="AW53" s="463">
        <f>+DHR!AW252</f>
        <v>0</v>
      </c>
      <c r="AX53" s="353">
        <f>+DHR!AX252</f>
        <v>0</v>
      </c>
      <c r="AY53" s="353">
        <f>+DHR!AY252</f>
        <v>0</v>
      </c>
      <c r="AZ53" s="353">
        <f>+DHR!AZ252</f>
        <v>0</v>
      </c>
      <c r="BA53" s="465">
        <f>+DHR!BA252</f>
        <v>0</v>
      </c>
      <c r="BB53" s="67"/>
      <c r="BC53" s="463">
        <f>+DHR!BC252</f>
        <v>0</v>
      </c>
      <c r="BD53" s="353">
        <f>+DHR!BD252</f>
        <v>0</v>
      </c>
      <c r="BE53" s="353">
        <f>+DHR!BE252</f>
        <v>0</v>
      </c>
      <c r="BF53" s="353">
        <f>+DHR!BF252</f>
        <v>0</v>
      </c>
      <c r="BG53" s="465">
        <f>+DHR!BG252</f>
        <v>0</v>
      </c>
      <c r="BH53" s="67"/>
      <c r="BI53" s="463">
        <f>+DHR!BI252</f>
        <v>0</v>
      </c>
      <c r="BJ53" s="353">
        <f>+DHR!BJ252</f>
        <v>0</v>
      </c>
      <c r="BK53" s="353">
        <f>+DHR!BK252</f>
        <v>0</v>
      </c>
      <c r="BL53" s="353">
        <f>+DHR!BL252</f>
        <v>0</v>
      </c>
      <c r="BM53" s="465">
        <f>+DHR!BM252</f>
        <v>0</v>
      </c>
      <c r="BN53" s="67"/>
      <c r="BO53" s="463">
        <f>+DHR!BO252</f>
        <v>0</v>
      </c>
      <c r="BP53" s="353">
        <f>+DHR!BP252</f>
        <v>0</v>
      </c>
      <c r="BQ53" s="353">
        <f>+DHR!BQ252</f>
        <v>0</v>
      </c>
      <c r="BR53" s="353">
        <f>+DHR!BR252</f>
        <v>0</v>
      </c>
      <c r="BS53" s="465"/>
      <c r="BT53" s="67"/>
      <c r="BU53" s="463">
        <f>+DHR!BU252</f>
        <v>0</v>
      </c>
      <c r="BV53" s="353">
        <f>+DHR!BV252</f>
        <v>0</v>
      </c>
      <c r="BW53" s="353">
        <f>+DHR!BW252</f>
        <v>0</v>
      </c>
      <c r="BX53" s="353">
        <f>+DHR!BX252</f>
        <v>0</v>
      </c>
      <c r="BY53" s="465"/>
      <c r="BZ53" s="67"/>
      <c r="CA53" s="463"/>
      <c r="CB53" s="353"/>
      <c r="CC53" s="353"/>
      <c r="CD53" s="353"/>
      <c r="CE53" s="465"/>
      <c r="CF53" s="67"/>
      <c r="CG53" s="463">
        <f>+DHR!CG258</f>
        <v>0.02</v>
      </c>
      <c r="CH53" s="353">
        <f>+DHR!CH258</f>
        <v>5.5E-2</v>
      </c>
      <c r="CI53" s="353">
        <f>+DHR!CI258</f>
        <v>5.5E-2</v>
      </c>
      <c r="CJ53" s="353">
        <f>+DHR!CJ258</f>
        <v>0.02</v>
      </c>
      <c r="CK53" s="465">
        <f>+DHR!CK258</f>
        <v>3.7089080033615107E-2</v>
      </c>
      <c r="CL53" s="67"/>
      <c r="CM53" s="463">
        <f>+DHR!CM258</f>
        <v>0.06</v>
      </c>
      <c r="CN53" s="353">
        <f>+DHR!CN258</f>
        <v>0.02</v>
      </c>
      <c r="CO53" s="353">
        <f>+DHR!CO258</f>
        <v>5.0000000000000001E-3</v>
      </c>
      <c r="CP53" s="353">
        <f>+DHR!CP258</f>
        <v>2.6666666666666665E-2</v>
      </c>
      <c r="CQ53" s="465">
        <f>+DHR!CQ258</f>
        <v>2.7386350979362581E-2</v>
      </c>
      <c r="CR53" s="67"/>
      <c r="CS53" s="463">
        <f>+DHR!CS258</f>
        <v>6.6666666666666662E-3</v>
      </c>
      <c r="CT53" s="353">
        <f>+DHR!CT258</f>
        <v>1.6666666666666666E-2</v>
      </c>
      <c r="CU53" s="353">
        <f>+DHR!CU258</f>
        <v>1.3333333333333332E-2</v>
      </c>
      <c r="CV53" s="353">
        <f>+DHR!CV258</f>
        <v>2.3333333333333331E-2</v>
      </c>
      <c r="CW53" s="465">
        <f>+DHR!CW258</f>
        <v>1.544510814220358E-2</v>
      </c>
      <c r="CX53" s="67"/>
      <c r="CY53" s="463">
        <f>+DHR!CY258</f>
        <v>0.03</v>
      </c>
      <c r="CZ53" s="353">
        <f>+DHR!CZ258</f>
        <v>3.6666666666666667E-2</v>
      </c>
      <c r="DA53" s="353">
        <f>+DHR!DA258</f>
        <v>0.03</v>
      </c>
      <c r="DB53" s="353">
        <f>+DHR!DB258</f>
        <v>9.9999999999999985E-3</v>
      </c>
      <c r="DC53" s="465">
        <f>+DHR!DC258</f>
        <v>2.6306635486699797E-2</v>
      </c>
      <c r="DD53" s="67"/>
      <c r="DE53" s="463">
        <f>+DHR!DE258</f>
        <v>0</v>
      </c>
      <c r="DF53" s="353">
        <f>+DHR!DF258</f>
        <v>-0.02</v>
      </c>
      <c r="DG53" s="353">
        <f>+DHR!DG258</f>
        <v>3.333333333333334E-3</v>
      </c>
      <c r="DH53" s="353">
        <f>+DHR!DH258</f>
        <v>0.02</v>
      </c>
      <c r="DI53" s="465">
        <f>+DHR!DI258</f>
        <v>9.858548143893153E-4</v>
      </c>
      <c r="DJ53" s="67"/>
      <c r="DK53" s="463">
        <f>+DHR!DK258</f>
        <v>1.3333333333333331E-2</v>
      </c>
      <c r="DL53" s="353">
        <f>+DHR!DL258</f>
        <v>3.6666666666666667E-2</v>
      </c>
      <c r="DM53" s="353">
        <f>+DHR!DM258</f>
        <v>0.04</v>
      </c>
      <c r="DN53" s="353">
        <f>+DHR!DN258</f>
        <v>3.3333333333333333E-2</v>
      </c>
      <c r="DO53" s="465">
        <f>+DHR!DO258</f>
        <v>3.1148505223712458E-2</v>
      </c>
      <c r="DP53" s="67"/>
      <c r="DQ53" s="463">
        <f>+DHR!DQ258</f>
        <v>0.04</v>
      </c>
      <c r="DR53" s="353">
        <f>+DHR!DR258</f>
        <v>3.3333333333333333E-2</v>
      </c>
      <c r="DS53" s="353">
        <f>+DHR!DS258</f>
        <v>3.3333333333333333E-2</v>
      </c>
      <c r="DT53" s="353">
        <f>+DHR!DT258</f>
        <v>0.04</v>
      </c>
      <c r="DU53" s="465">
        <f>+DHR!DU258</f>
        <v>3.670544678337035E-2</v>
      </c>
      <c r="DV53" s="67"/>
      <c r="DW53" s="463">
        <f>+DHR!DW258</f>
        <v>0</v>
      </c>
      <c r="DX53" s="353">
        <f>+DHR!DX258</f>
        <v>0</v>
      </c>
      <c r="DY53" s="353">
        <f>+DHR!DY258</f>
        <v>0</v>
      </c>
      <c r="DZ53" s="353">
        <f>+DHR!DZ258</f>
        <v>0</v>
      </c>
      <c r="EA53" s="465">
        <f>+DHR!EA258</f>
        <v>0</v>
      </c>
      <c r="EB53" s="67"/>
      <c r="EC53" s="463">
        <f>+DHR!EC258</f>
        <v>0</v>
      </c>
      <c r="ED53" s="353">
        <f>+DHR!ED258</f>
        <v>0</v>
      </c>
      <c r="EE53" s="353">
        <f>+DHR!EE258</f>
        <v>0</v>
      </c>
      <c r="EF53" s="353">
        <f>+DHR!EF258</f>
        <v>0</v>
      </c>
      <c r="EG53" s="465">
        <f>+DHR!EG258</f>
        <v>0</v>
      </c>
      <c r="EH53" s="9"/>
      <c r="EJ53" s="379" t="s">
        <v>710</v>
      </c>
      <c r="EK53" s="379"/>
      <c r="EL53" s="381">
        <f t="shared" si="203"/>
        <v>6.6666666666666662E-3</v>
      </c>
      <c r="EM53" s="381">
        <f t="shared" si="189"/>
        <v>1.6666666666666666E-2</v>
      </c>
      <c r="EN53" s="381">
        <f t="shared" si="190"/>
        <v>1.3333333333333332E-2</v>
      </c>
      <c r="EO53" s="381">
        <f t="shared" si="191"/>
        <v>2.3333333333333331E-2</v>
      </c>
      <c r="EP53" s="381">
        <f t="shared" si="204"/>
        <v>0.03</v>
      </c>
      <c r="EQ53" s="381">
        <f t="shared" si="192"/>
        <v>3.6666666666666667E-2</v>
      </c>
      <c r="ER53" s="381">
        <f t="shared" si="193"/>
        <v>0.03</v>
      </c>
      <c r="ES53" s="381">
        <f t="shared" si="194"/>
        <v>9.9999999999999985E-3</v>
      </c>
      <c r="ET53" s="381">
        <f t="shared" si="205"/>
        <v>0</v>
      </c>
      <c r="EU53" s="381">
        <f t="shared" si="195"/>
        <v>-0.02</v>
      </c>
      <c r="EV53" s="381">
        <f t="shared" si="196"/>
        <v>3.333333333333334E-3</v>
      </c>
      <c r="EW53" s="381">
        <f t="shared" si="197"/>
        <v>0.02</v>
      </c>
      <c r="EX53" s="381">
        <f t="shared" si="198"/>
        <v>1.3333333333333331E-2</v>
      </c>
      <c r="EY53" s="381">
        <f t="shared" si="199"/>
        <v>3.6666666666666667E-2</v>
      </c>
      <c r="EZ53" s="381">
        <f t="shared" si="200"/>
        <v>0.04</v>
      </c>
      <c r="FA53" s="381">
        <f t="shared" si="201"/>
        <v>3.3333333333333333E-2</v>
      </c>
      <c r="FB53" s="381">
        <f t="shared" si="202"/>
        <v>0.04</v>
      </c>
      <c r="FC53" s="381">
        <f t="shared" si="202"/>
        <v>3.3333333333333333E-2</v>
      </c>
      <c r="FD53" s="381">
        <f t="shared" si="202"/>
        <v>3.3333333333333333E-2</v>
      </c>
      <c r="FE53" s="381">
        <f t="shared" si="202"/>
        <v>0.04</v>
      </c>
    </row>
    <row r="54" spans="1:161" ht="11.25" customHeight="1" x14ac:dyDescent="0.2">
      <c r="A54" s="409" t="s">
        <v>711</v>
      </c>
      <c r="B54" s="343"/>
      <c r="C54" s="343"/>
      <c r="D54" s="343"/>
      <c r="E54" s="1060"/>
      <c r="F54" s="1061"/>
      <c r="G54" s="1060"/>
      <c r="H54" s="1061"/>
      <c r="I54" s="1060"/>
      <c r="J54" s="1061"/>
      <c r="K54" s="1060"/>
      <c r="L54" s="1061"/>
      <c r="M54" s="1062"/>
      <c r="N54" s="1063"/>
      <c r="O54" s="1063"/>
      <c r="P54" s="1063"/>
      <c r="Q54" s="1060"/>
      <c r="R54" s="1061"/>
      <c r="S54" s="1062"/>
      <c r="T54" s="1063"/>
      <c r="U54" s="1063"/>
      <c r="V54" s="1063"/>
      <c r="W54" s="1060"/>
      <c r="X54" s="1061"/>
      <c r="Y54" s="1062">
        <f>Y47+S47</f>
        <v>0</v>
      </c>
      <c r="Z54" s="1063">
        <f>Z47+T47</f>
        <v>0</v>
      </c>
      <c r="AA54" s="1063">
        <f>AA47+U47</f>
        <v>0</v>
      </c>
      <c r="AB54" s="1063">
        <f>AB47+V47</f>
        <v>0</v>
      </c>
      <c r="AC54" s="1060">
        <f>AC47+W47</f>
        <v>0</v>
      </c>
      <c r="AD54" s="1061"/>
      <c r="AE54" s="1062">
        <f>AE47+Y47</f>
        <v>0</v>
      </c>
      <c r="AF54" s="1063">
        <f>AF47+Z47</f>
        <v>0</v>
      </c>
      <c r="AG54" s="1063">
        <f>AG47+AA47</f>
        <v>0</v>
      </c>
      <c r="AH54" s="1063">
        <f>AH47+AB47</f>
        <v>0</v>
      </c>
      <c r="AI54" s="1060">
        <f>AI47+AC47</f>
        <v>0</v>
      </c>
      <c r="AJ54" s="1061"/>
      <c r="AK54" s="1062">
        <f>AK47+AE47</f>
        <v>0</v>
      </c>
      <c r="AL54" s="1063">
        <f>AL47+AF47</f>
        <v>0</v>
      </c>
      <c r="AM54" s="1063">
        <f>AM47+AG47</f>
        <v>0</v>
      </c>
      <c r="AN54" s="1063">
        <f>AN47+AH47</f>
        <v>0</v>
      </c>
      <c r="AO54" s="1060">
        <f>AO47+AI47</f>
        <v>0</v>
      </c>
      <c r="AP54" s="1061"/>
      <c r="AQ54" s="1062">
        <f>AQ47+AK47</f>
        <v>0</v>
      </c>
      <c r="AR54" s="1063">
        <f>AR47+AL47</f>
        <v>0</v>
      </c>
      <c r="AS54" s="1063">
        <f>AS47+AM47</f>
        <v>0</v>
      </c>
      <c r="AT54" s="1063">
        <f>AT47+AN47</f>
        <v>0</v>
      </c>
      <c r="AU54" s="1060">
        <f>AU47+AO47</f>
        <v>0</v>
      </c>
      <c r="AV54" s="1061"/>
      <c r="AW54" s="1062">
        <f>AW47+AQ47</f>
        <v>0</v>
      </c>
      <c r="AX54" s="1063">
        <f>AX47+AR47</f>
        <v>0</v>
      </c>
      <c r="AY54" s="1063">
        <f>AY47+AS47</f>
        <v>0</v>
      </c>
      <c r="AZ54" s="1063">
        <f>AZ47+AT47</f>
        <v>0</v>
      </c>
      <c r="BA54" s="1060">
        <f>BA47+AU47</f>
        <v>0</v>
      </c>
      <c r="BB54" s="1061"/>
      <c r="BC54" s="1062">
        <f>BC47+AW47</f>
        <v>0</v>
      </c>
      <c r="BD54" s="1063">
        <f>BD47+AX47</f>
        <v>0</v>
      </c>
      <c r="BE54" s="1063">
        <f>BE47+AY47</f>
        <v>0</v>
      </c>
      <c r="BF54" s="1063">
        <f>BF47+AZ47</f>
        <v>0</v>
      </c>
      <c r="BG54" s="1060">
        <f>BG47+BA47</f>
        <v>0</v>
      </c>
      <c r="BH54" s="1061"/>
      <c r="BI54" s="1062">
        <f>BI47+BC47</f>
        <v>0</v>
      </c>
      <c r="BJ54" s="1063">
        <f>BJ47+BD47</f>
        <v>0</v>
      </c>
      <c r="BK54" s="1063">
        <f>BK47+BE47</f>
        <v>0</v>
      </c>
      <c r="BL54" s="1063">
        <f>BL47+BF47</f>
        <v>0</v>
      </c>
      <c r="BM54" s="1060">
        <f>BM47+BG47</f>
        <v>0</v>
      </c>
      <c r="BN54" s="1061"/>
      <c r="BO54" s="1062">
        <f>BO47+BI47</f>
        <v>0</v>
      </c>
      <c r="BP54" s="1063">
        <f>BP47+BJ47</f>
        <v>0</v>
      </c>
      <c r="BQ54" s="1063">
        <f>BQ47+BK47</f>
        <v>0</v>
      </c>
      <c r="BR54" s="1063">
        <f>BR47+BL47</f>
        <v>0</v>
      </c>
      <c r="BS54" s="1060"/>
      <c r="BT54" s="1061"/>
      <c r="BU54" s="1062">
        <f>BU47+BO47</f>
        <v>0</v>
      </c>
      <c r="BV54" s="1063">
        <f>BV47+BP47</f>
        <v>0</v>
      </c>
      <c r="BW54" s="1063">
        <f>BW47+BQ47</f>
        <v>0</v>
      </c>
      <c r="BX54" s="1063">
        <f>BX47+BR47</f>
        <v>0</v>
      </c>
      <c r="BY54" s="1060"/>
      <c r="BZ54" s="1061"/>
      <c r="CA54" s="1062"/>
      <c r="CB54" s="1063"/>
      <c r="CC54" s="1063"/>
      <c r="CD54" s="1063"/>
      <c r="CE54" s="1060"/>
      <c r="CF54" s="1061"/>
      <c r="CG54" s="1062">
        <f>+CG14</f>
        <v>2.5000000000000001E-2</v>
      </c>
      <c r="CH54" s="1063">
        <f t="shared" ref="CH54:CK54" si="206">+CH14</f>
        <v>2.5000000000000001E-2</v>
      </c>
      <c r="CI54" s="1063">
        <f t="shared" si="206"/>
        <v>3.5000000000000003E-2</v>
      </c>
      <c r="CJ54" s="1063">
        <f t="shared" si="206"/>
        <v>0.03</v>
      </c>
      <c r="CK54" s="1060">
        <f t="shared" si="206"/>
        <v>0.03</v>
      </c>
      <c r="CL54" s="1061"/>
      <c r="CM54" s="1062">
        <f t="shared" ref="CM54:EA54" si="207">+CM14</f>
        <v>0.06</v>
      </c>
      <c r="CN54" s="1063">
        <f t="shared" si="207"/>
        <v>0.02</v>
      </c>
      <c r="CO54" s="1063">
        <f t="shared" si="207"/>
        <v>0.02</v>
      </c>
      <c r="CP54" s="1063">
        <f t="shared" si="207"/>
        <v>2.5000000000000001E-2</v>
      </c>
      <c r="CQ54" s="1060">
        <f t="shared" si="207"/>
        <v>3.0569955606472861E-2</v>
      </c>
      <c r="CR54" s="1061"/>
      <c r="CS54" s="1062">
        <f t="shared" ref="CS54" si="208">+CS14</f>
        <v>-2.5000000000000001E-2</v>
      </c>
      <c r="CT54" s="1063">
        <f t="shared" si="207"/>
        <v>0.01</v>
      </c>
      <c r="CU54" s="1063">
        <f t="shared" si="207"/>
        <v>-5.0000000000000001E-3</v>
      </c>
      <c r="CV54" s="1063">
        <f t="shared" si="207"/>
        <v>2.5000000000000001E-2</v>
      </c>
      <c r="CW54" s="1060">
        <f t="shared" si="207"/>
        <v>2.5393278920249895E-3</v>
      </c>
      <c r="CX54" s="1061"/>
      <c r="CY54" s="1062">
        <f t="shared" ref="CY54" si="209">+CY14</f>
        <v>0.01</v>
      </c>
      <c r="CZ54" s="1063">
        <f t="shared" si="207"/>
        <v>0.04</v>
      </c>
      <c r="DA54" s="1063">
        <f t="shared" si="207"/>
        <v>3.4999999999999996E-2</v>
      </c>
      <c r="DB54" s="1063">
        <f t="shared" si="207"/>
        <v>0</v>
      </c>
      <c r="DC54" s="1060">
        <f t="shared" si="207"/>
        <v>2.0810800935399006E-2</v>
      </c>
      <c r="DD54" s="1061"/>
      <c r="DE54" s="1062">
        <f t="shared" ref="DE54" si="210">+DE14</f>
        <v>5.0000000000000001E-3</v>
      </c>
      <c r="DF54" s="1063">
        <f t="shared" si="207"/>
        <v>-8.0000000000000002E-3</v>
      </c>
      <c r="DG54" s="1063">
        <f t="shared" si="207"/>
        <v>0.01</v>
      </c>
      <c r="DH54" s="1063">
        <f t="shared" si="207"/>
        <v>-5.0000000000000001E-3</v>
      </c>
      <c r="DI54" s="1060">
        <f t="shared" si="207"/>
        <v>2.2337904789258273E-4</v>
      </c>
      <c r="DJ54" s="1061"/>
      <c r="DK54" s="1062">
        <f t="shared" ref="DK54" si="211">+DK14</f>
        <v>-0.03</v>
      </c>
      <c r="DL54" s="1063">
        <f t="shared" si="207"/>
        <v>0</v>
      </c>
      <c r="DM54" s="1063">
        <f t="shared" si="207"/>
        <v>0</v>
      </c>
      <c r="DN54" s="1063">
        <f t="shared" si="207"/>
        <v>0.02</v>
      </c>
      <c r="DO54" s="1060">
        <f t="shared" si="207"/>
        <v>-1.596997402967021E-3</v>
      </c>
      <c r="DP54" s="1061"/>
      <c r="DQ54" s="1062">
        <f t="shared" ref="DQ54" si="212">+DQ14</f>
        <v>0.03</v>
      </c>
      <c r="DR54" s="1063">
        <f t="shared" si="207"/>
        <v>0.03</v>
      </c>
      <c r="DS54" s="1063">
        <f t="shared" si="207"/>
        <v>0.03</v>
      </c>
      <c r="DT54" s="1063">
        <f t="shared" si="207"/>
        <v>0.03</v>
      </c>
      <c r="DU54" s="1060">
        <f t="shared" si="207"/>
        <v>3.0000000000000002E-2</v>
      </c>
      <c r="DV54" s="1061"/>
      <c r="DW54" s="1062">
        <f t="shared" ref="DW54" si="213">+DW14</f>
        <v>0.03</v>
      </c>
      <c r="DX54" s="1063">
        <f t="shared" si="207"/>
        <v>0.03</v>
      </c>
      <c r="DY54" s="1063">
        <f t="shared" si="207"/>
        <v>0.03</v>
      </c>
      <c r="DZ54" s="1063">
        <f t="shared" si="207"/>
        <v>0.03</v>
      </c>
      <c r="EA54" s="1060">
        <f t="shared" si="207"/>
        <v>3.0000000000000006E-2</v>
      </c>
      <c r="EB54" s="1061"/>
      <c r="EC54" s="1062">
        <f t="shared" ref="EC54:EG54" si="214">+EC14</f>
        <v>0.03</v>
      </c>
      <c r="ED54" s="1063">
        <f t="shared" si="214"/>
        <v>0.03</v>
      </c>
      <c r="EE54" s="1063">
        <f t="shared" si="214"/>
        <v>0.03</v>
      </c>
      <c r="EF54" s="1063">
        <f t="shared" si="214"/>
        <v>0.03</v>
      </c>
      <c r="EG54" s="1060">
        <f t="shared" si="214"/>
        <v>0.03</v>
      </c>
      <c r="EH54" s="9"/>
      <c r="EJ54" s="378" t="s">
        <v>713</v>
      </c>
      <c r="EK54" s="378"/>
      <c r="EL54" s="380">
        <f t="shared" si="203"/>
        <v>-2.5000000000000001E-2</v>
      </c>
      <c r="EM54" s="380">
        <f t="shared" si="189"/>
        <v>0.01</v>
      </c>
      <c r="EN54" s="380">
        <f t="shared" si="190"/>
        <v>-5.0000000000000001E-3</v>
      </c>
      <c r="EO54" s="380">
        <f t="shared" si="191"/>
        <v>2.5000000000000001E-2</v>
      </c>
      <c r="EP54" s="380">
        <f t="shared" si="204"/>
        <v>0.01</v>
      </c>
      <c r="EQ54" s="380">
        <f t="shared" si="192"/>
        <v>0.04</v>
      </c>
      <c r="ER54" s="380">
        <f t="shared" si="193"/>
        <v>3.4999999999999996E-2</v>
      </c>
      <c r="ES54" s="380">
        <f t="shared" si="194"/>
        <v>0</v>
      </c>
      <c r="ET54" s="380">
        <f t="shared" si="205"/>
        <v>5.0000000000000001E-3</v>
      </c>
      <c r="EU54" s="380">
        <f t="shared" si="195"/>
        <v>-8.0000000000000002E-3</v>
      </c>
      <c r="EV54" s="380">
        <f t="shared" si="196"/>
        <v>0.01</v>
      </c>
      <c r="EW54" s="380">
        <v>0.02</v>
      </c>
      <c r="EX54" s="380">
        <f t="shared" si="198"/>
        <v>-0.03</v>
      </c>
      <c r="EY54" s="380">
        <f t="shared" si="199"/>
        <v>0</v>
      </c>
      <c r="EZ54" s="380">
        <f t="shared" si="200"/>
        <v>0</v>
      </c>
      <c r="FA54" s="380">
        <f t="shared" si="201"/>
        <v>0.02</v>
      </c>
      <c r="FB54" s="380">
        <f t="shared" si="202"/>
        <v>0.03</v>
      </c>
      <c r="FC54" s="380">
        <f t="shared" si="202"/>
        <v>0.03</v>
      </c>
      <c r="FD54" s="380">
        <f t="shared" si="202"/>
        <v>0.03</v>
      </c>
      <c r="FE54" s="380">
        <f t="shared" si="202"/>
        <v>0.03</v>
      </c>
    </row>
    <row r="55" spans="1:161" ht="11.25" customHeight="1" x14ac:dyDescent="0.2">
      <c r="A55" s="2"/>
      <c r="B55" s="14"/>
      <c r="C55" s="14"/>
      <c r="D55" s="14"/>
      <c r="E55" s="69"/>
      <c r="F55" s="67"/>
      <c r="G55" s="69"/>
      <c r="H55" s="67"/>
      <c r="I55" s="69"/>
      <c r="J55" s="67"/>
      <c r="K55" s="69"/>
      <c r="L55" s="67"/>
      <c r="M55" s="353"/>
      <c r="N55" s="353"/>
      <c r="O55" s="353"/>
      <c r="P55" s="353"/>
      <c r="Q55" s="353"/>
      <c r="R55" s="67"/>
      <c r="S55" s="353"/>
      <c r="T55" s="353"/>
      <c r="U55" s="353"/>
      <c r="V55" s="353"/>
      <c r="W55" s="353"/>
      <c r="X55" s="67"/>
      <c r="Y55" s="353"/>
      <c r="Z55" s="353"/>
      <c r="AA55" s="353"/>
      <c r="AB55" s="353"/>
      <c r="AC55" s="353"/>
      <c r="AD55" s="67"/>
      <c r="AE55" s="353"/>
      <c r="AF55" s="353"/>
      <c r="AG55" s="353"/>
      <c r="AH55" s="353"/>
      <c r="AI55" s="353"/>
      <c r="AJ55" s="67"/>
      <c r="AK55" s="353"/>
      <c r="AL55" s="353"/>
      <c r="AM55" s="353"/>
      <c r="AN55" s="353"/>
      <c r="AO55" s="353"/>
      <c r="AP55" s="67"/>
      <c r="AQ55" s="353"/>
      <c r="AR55" s="353"/>
      <c r="AS55" s="353"/>
      <c r="AT55" s="353"/>
      <c r="AU55" s="353"/>
      <c r="AV55" s="67"/>
      <c r="AW55" s="353"/>
      <c r="AX55" s="353"/>
      <c r="AY55" s="353"/>
      <c r="AZ55" s="353"/>
      <c r="BA55" s="353"/>
      <c r="BB55" s="67"/>
      <c r="BC55" s="353"/>
      <c r="BD55" s="353"/>
      <c r="BE55" s="353"/>
      <c r="BF55" s="353"/>
      <c r="BG55" s="353"/>
      <c r="BH55" s="67"/>
      <c r="BI55" s="353"/>
      <c r="BJ55" s="353"/>
      <c r="BK55" s="353"/>
      <c r="BL55" s="353"/>
      <c r="BM55" s="353"/>
      <c r="BN55" s="67"/>
      <c r="BO55" s="353"/>
      <c r="BP55" s="353"/>
      <c r="BQ55" s="353"/>
      <c r="BR55" s="353"/>
      <c r="BS55" s="353"/>
      <c r="BT55" s="67"/>
      <c r="BU55" s="353"/>
      <c r="BV55" s="353"/>
      <c r="BW55" s="353"/>
      <c r="BX55" s="353"/>
      <c r="BY55" s="353"/>
      <c r="BZ55" s="67"/>
      <c r="CA55" s="353"/>
      <c r="CB55" s="353"/>
      <c r="CC55" s="353"/>
      <c r="CD55" s="353"/>
      <c r="CE55" s="353"/>
      <c r="CF55" s="67"/>
      <c r="CG55" s="353"/>
      <c r="CH55" s="353"/>
      <c r="CI55" s="353"/>
      <c r="CJ55" s="353"/>
      <c r="CK55" s="353"/>
      <c r="CL55" s="67"/>
      <c r="CM55" s="353"/>
      <c r="CN55" s="353"/>
      <c r="CO55" s="353"/>
      <c r="CP55" s="353"/>
      <c r="CQ55" s="353"/>
      <c r="CR55" s="67"/>
      <c r="CS55" s="353"/>
      <c r="CT55" s="353"/>
      <c r="CU55" s="353"/>
      <c r="CV55" s="353"/>
      <c r="CW55" s="353"/>
      <c r="CX55" s="67"/>
      <c r="CY55" s="353"/>
      <c r="CZ55" s="353"/>
      <c r="DA55" s="353"/>
      <c r="DB55" s="353"/>
      <c r="DC55" s="353"/>
      <c r="DD55" s="67"/>
      <c r="DE55" s="353"/>
      <c r="DF55" s="353"/>
      <c r="DG55" s="353"/>
      <c r="DH55" s="353"/>
      <c r="DI55" s="353"/>
      <c r="DJ55" s="67"/>
      <c r="DK55" s="353"/>
      <c r="DL55" s="353"/>
      <c r="DM55" s="353"/>
      <c r="DN55" s="353"/>
      <c r="DO55" s="353"/>
      <c r="DP55" s="67"/>
      <c r="DQ55" s="353"/>
      <c r="DR55" s="353"/>
      <c r="DS55" s="353"/>
      <c r="DT55" s="353"/>
      <c r="DU55" s="353"/>
      <c r="DV55" s="67"/>
      <c r="DW55" s="353"/>
      <c r="DX55" s="353"/>
      <c r="DY55" s="353"/>
      <c r="DZ55" s="353"/>
      <c r="EA55" s="353"/>
      <c r="EB55" s="67"/>
      <c r="EC55" s="353"/>
      <c r="ED55" s="353"/>
      <c r="EE55" s="353"/>
      <c r="EF55" s="353"/>
      <c r="EG55" s="353"/>
      <c r="EH55" s="9"/>
      <c r="EJ55" s="378"/>
      <c r="EK55" s="378"/>
      <c r="EL55" s="380"/>
      <c r="EM55" s="380"/>
      <c r="EN55" s="380"/>
      <c r="EO55" s="380"/>
      <c r="EP55" s="380"/>
      <c r="EQ55" s="380"/>
      <c r="ER55" s="380"/>
      <c r="ES55" s="380"/>
      <c r="ET55" s="380"/>
      <c r="EU55" s="380"/>
      <c r="EV55" s="380"/>
      <c r="EW55" s="380"/>
      <c r="EX55" s="380"/>
      <c r="EY55" s="380"/>
      <c r="EZ55" s="380"/>
      <c r="FA55" s="380"/>
      <c r="FB55" s="380"/>
      <c r="FC55" s="380"/>
      <c r="FD55" s="380"/>
      <c r="FE55" s="380"/>
    </row>
    <row r="56" spans="1:161" ht="11.25" customHeight="1" x14ac:dyDescent="0.2">
      <c r="A56" s="106" t="s">
        <v>416</v>
      </c>
      <c r="B56" s="74"/>
      <c r="C56" s="74"/>
      <c r="D56" s="74"/>
      <c r="E56" s="107"/>
      <c r="F56" s="75"/>
      <c r="G56" s="107"/>
      <c r="H56" s="75"/>
      <c r="I56" s="107"/>
      <c r="J56" s="75"/>
      <c r="K56" s="107"/>
      <c r="L56" s="75"/>
      <c r="M56" s="109"/>
      <c r="N56" s="110"/>
      <c r="O56" s="110"/>
      <c r="P56" s="110"/>
      <c r="Q56" s="107"/>
      <c r="R56" s="75"/>
      <c r="S56" s="109"/>
      <c r="T56" s="110"/>
      <c r="U56" s="110"/>
      <c r="V56" s="110"/>
      <c r="W56" s="107"/>
      <c r="X56" s="75"/>
      <c r="Y56" s="109"/>
      <c r="Z56" s="110"/>
      <c r="AA56" s="110"/>
      <c r="AB56" s="110"/>
      <c r="AC56" s="107"/>
      <c r="AD56" s="75"/>
      <c r="AE56" s="109"/>
      <c r="AF56" s="110"/>
      <c r="AG56" s="110"/>
      <c r="AH56" s="110"/>
      <c r="AI56" s="107"/>
      <c r="AJ56" s="75"/>
      <c r="AK56" s="109"/>
      <c r="AL56" s="110"/>
      <c r="AM56" s="110"/>
      <c r="AN56" s="110"/>
      <c r="AO56" s="107"/>
      <c r="AP56" s="75"/>
      <c r="AQ56" s="109"/>
      <c r="AR56" s="110"/>
      <c r="AS56" s="110"/>
      <c r="AT56" s="110"/>
      <c r="AU56" s="107"/>
      <c r="AV56" s="75"/>
      <c r="AW56" s="109"/>
      <c r="AX56" s="110"/>
      <c r="AY56" s="110"/>
      <c r="AZ56" s="110"/>
      <c r="BA56" s="107"/>
      <c r="BB56" s="75"/>
      <c r="BC56" s="109"/>
      <c r="BD56" s="110"/>
      <c r="BE56" s="110"/>
      <c r="BF56" s="110"/>
      <c r="BG56" s="107"/>
      <c r="BH56" s="75"/>
      <c r="BI56" s="109"/>
      <c r="BJ56" s="110"/>
      <c r="BK56" s="110"/>
      <c r="BL56" s="110"/>
      <c r="BM56" s="107"/>
      <c r="BN56" s="75"/>
      <c r="BO56" s="109"/>
      <c r="BP56" s="110"/>
      <c r="BQ56" s="110"/>
      <c r="BR56" s="110"/>
      <c r="BS56" s="107"/>
      <c r="BT56" s="75"/>
      <c r="BU56" s="109"/>
      <c r="BV56" s="110"/>
      <c r="BW56" s="110"/>
      <c r="BX56" s="110"/>
      <c r="BY56" s="107"/>
      <c r="BZ56" s="75"/>
      <c r="CA56" s="109"/>
      <c r="CB56" s="110"/>
      <c r="CC56" s="110"/>
      <c r="CD56" s="110"/>
      <c r="CE56" s="107"/>
      <c r="CF56" s="75"/>
      <c r="CG56" s="109"/>
      <c r="CH56" s="110"/>
      <c r="CI56" s="110"/>
      <c r="CJ56" s="110"/>
      <c r="CK56" s="107"/>
      <c r="CL56" s="75"/>
      <c r="CM56" s="109"/>
      <c r="CN56" s="110"/>
      <c r="CO56" s="110"/>
      <c r="CP56" s="110"/>
      <c r="CQ56" s="107"/>
      <c r="CR56" s="75"/>
      <c r="CS56" s="109"/>
      <c r="CT56" s="110"/>
      <c r="CU56" s="110"/>
      <c r="CV56" s="110"/>
      <c r="CW56" s="107"/>
      <c r="CX56" s="75"/>
      <c r="CY56" s="109"/>
      <c r="CZ56" s="110"/>
      <c r="DA56" s="110"/>
      <c r="DB56" s="110"/>
      <c r="DC56" s="107"/>
      <c r="DD56" s="75"/>
      <c r="DE56" s="109"/>
      <c r="DF56" s="110"/>
      <c r="DG56" s="110"/>
      <c r="DH56" s="110"/>
      <c r="DI56" s="107"/>
      <c r="DJ56" s="75"/>
      <c r="DK56" s="109"/>
      <c r="DL56" s="110"/>
      <c r="DM56" s="110"/>
      <c r="DN56" s="110"/>
      <c r="DO56" s="107"/>
      <c r="DP56" s="75"/>
      <c r="DQ56" s="109"/>
      <c r="DR56" s="110"/>
      <c r="DS56" s="110"/>
      <c r="DT56" s="110"/>
      <c r="DU56" s="107"/>
      <c r="DV56" s="75"/>
      <c r="DW56" s="109"/>
      <c r="DX56" s="110"/>
      <c r="DY56" s="110"/>
      <c r="DZ56" s="110"/>
      <c r="EA56" s="107"/>
      <c r="EB56" s="75"/>
      <c r="EC56" s="109"/>
      <c r="ED56" s="110"/>
      <c r="EE56" s="110"/>
      <c r="EF56" s="110"/>
      <c r="EG56" s="107"/>
      <c r="EH56" s="9"/>
      <c r="EJ56" s="1067" t="s">
        <v>225</v>
      </c>
      <c r="EK56" s="1068"/>
      <c r="EL56" s="1069" t="s">
        <v>186</v>
      </c>
      <c r="EM56" s="1069" t="s">
        <v>187</v>
      </c>
      <c r="EN56" s="1069" t="s">
        <v>188</v>
      </c>
      <c r="EO56" s="1069" t="s">
        <v>189</v>
      </c>
      <c r="EP56" s="1069" t="s">
        <v>205</v>
      </c>
      <c r="EQ56" s="1069" t="s">
        <v>210</v>
      </c>
      <c r="ER56" s="1069" t="s">
        <v>213</v>
      </c>
      <c r="ES56" s="1069" t="s">
        <v>220</v>
      </c>
      <c r="ET56" s="1069" t="s">
        <v>572</v>
      </c>
      <c r="EU56" s="1069" t="s">
        <v>615</v>
      </c>
      <c r="EV56" s="1069" t="s">
        <v>616</v>
      </c>
      <c r="EW56" s="1069" t="str">
        <f>+EW49</f>
        <v>4Q17</v>
      </c>
      <c r="EX56" s="1069" t="str">
        <f t="shared" ref="EX56:FA56" si="215">+EX49</f>
        <v>1Q18E</v>
      </c>
      <c r="EY56" s="1069" t="str">
        <f t="shared" si="215"/>
        <v>2Q18E</v>
      </c>
      <c r="EZ56" s="1069" t="str">
        <f t="shared" si="215"/>
        <v>3Q18E</v>
      </c>
      <c r="FA56" s="1069" t="str">
        <f t="shared" si="215"/>
        <v>4Q18E</v>
      </c>
      <c r="FB56" s="1069" t="str">
        <f t="shared" ref="FB56:FE56" si="216">+FB49</f>
        <v>1Q19E</v>
      </c>
      <c r="FC56" s="1069" t="str">
        <f t="shared" si="216"/>
        <v>2Q19E</v>
      </c>
      <c r="FD56" s="1069" t="str">
        <f t="shared" si="216"/>
        <v>3Q19E</v>
      </c>
      <c r="FE56" s="1069" t="str">
        <f t="shared" si="216"/>
        <v>4Q19E</v>
      </c>
    </row>
    <row r="57" spans="1:161" ht="11.25" customHeight="1" x14ac:dyDescent="0.2">
      <c r="A57" s="128" t="s">
        <v>604</v>
      </c>
      <c r="B57" s="14"/>
      <c r="C57" s="14"/>
      <c r="D57" s="14"/>
      <c r="E57" s="213"/>
      <c r="F57" s="22"/>
      <c r="G57" s="213"/>
      <c r="H57" s="22"/>
      <c r="I57" s="213"/>
      <c r="J57" s="22"/>
      <c r="K57" s="213"/>
      <c r="L57" s="22"/>
      <c r="M57" s="413"/>
      <c r="N57" s="211"/>
      <c r="O57" s="211"/>
      <c r="P57" s="211"/>
      <c r="Q57" s="213"/>
      <c r="R57" s="22"/>
      <c r="S57" s="413"/>
      <c r="T57" s="211"/>
      <c r="U57" s="211"/>
      <c r="V57" s="211"/>
      <c r="W57" s="213"/>
      <c r="X57" s="22"/>
      <c r="Y57" s="413">
        <f t="shared" ref="Y57:Y58" si="217">Y49+S49</f>
        <v>0</v>
      </c>
      <c r="Z57" s="211">
        <f t="shared" ref="Z57:Z58" si="218">Z49+T49</f>
        <v>0</v>
      </c>
      <c r="AA57" s="211">
        <f t="shared" ref="AA57:AA58" si="219">AA49+U49</f>
        <v>0</v>
      </c>
      <c r="AB57" s="211">
        <f t="shared" ref="AB57:AB58" si="220">AB49+V49</f>
        <v>0</v>
      </c>
      <c r="AC57" s="213">
        <f t="shared" ref="AC57:AC58" si="221">AC49+W49</f>
        <v>0</v>
      </c>
      <c r="AD57" s="22"/>
      <c r="AE57" s="413">
        <f t="shared" ref="AE57:AE58" si="222">AE49+Y49</f>
        <v>0</v>
      </c>
      <c r="AF57" s="211">
        <f t="shared" ref="AF57:AF58" si="223">AF49+Z49</f>
        <v>0</v>
      </c>
      <c r="AG57" s="211">
        <f t="shared" ref="AG57:AG58" si="224">AG49+AA49</f>
        <v>0</v>
      </c>
      <c r="AH57" s="211">
        <f t="shared" ref="AH57:AH58" si="225">AH49+AB49</f>
        <v>0</v>
      </c>
      <c r="AI57" s="213">
        <f t="shared" ref="AI57:AI58" si="226">AI49+AC49</f>
        <v>0</v>
      </c>
      <c r="AJ57" s="22"/>
      <c r="AK57" s="413">
        <f t="shared" ref="AK57:AK58" si="227">AK49+AE49</f>
        <v>0</v>
      </c>
      <c r="AL57" s="211">
        <f t="shared" ref="AL57:AL58" si="228">AL49+AF49</f>
        <v>0</v>
      </c>
      <c r="AM57" s="211">
        <f t="shared" ref="AM57:AM58" si="229">AM49+AG49</f>
        <v>0</v>
      </c>
      <c r="AN57" s="211">
        <f t="shared" ref="AN57:AN58" si="230">AN49+AH49</f>
        <v>0</v>
      </c>
      <c r="AO57" s="213">
        <f t="shared" ref="AO57:AO58" si="231">AO49+AI49</f>
        <v>0</v>
      </c>
      <c r="AP57" s="22"/>
      <c r="AQ57" s="413">
        <f t="shared" ref="AQ57:AQ58" si="232">AQ49+AK49</f>
        <v>0</v>
      </c>
      <c r="AR57" s="211">
        <f t="shared" ref="AR57:AR58" si="233">AR49+AL49</f>
        <v>0</v>
      </c>
      <c r="AS57" s="211">
        <f t="shared" ref="AS57:AS58" si="234">AS49+AM49</f>
        <v>0</v>
      </c>
      <c r="AT57" s="211">
        <f t="shared" ref="AT57:AT58" si="235">AT49+AN49</f>
        <v>0</v>
      </c>
      <c r="AU57" s="213">
        <f t="shared" ref="AU57:AU58" si="236">AU49+AO49</f>
        <v>0</v>
      </c>
      <c r="AV57" s="22"/>
      <c r="AW57" s="413">
        <f t="shared" ref="AW57:AW58" si="237">AW49+AQ49</f>
        <v>0</v>
      </c>
      <c r="AX57" s="211">
        <f t="shared" ref="AX57:AX58" si="238">AX49+AR49</f>
        <v>0</v>
      </c>
      <c r="AY57" s="211">
        <f t="shared" ref="AY57:AY58" si="239">AY49+AS49</f>
        <v>0</v>
      </c>
      <c r="AZ57" s="211">
        <f t="shared" ref="AZ57:AZ58" si="240">AZ49+AT49</f>
        <v>0</v>
      </c>
      <c r="BA57" s="213">
        <f t="shared" ref="BA57:BA58" si="241">BA49+AU49</f>
        <v>0</v>
      </c>
      <c r="BB57" s="22"/>
      <c r="BC57" s="413">
        <f t="shared" ref="BC57:BC58" si="242">BC49+AW49</f>
        <v>0</v>
      </c>
      <c r="BD57" s="211">
        <f t="shared" ref="BD57:BD58" si="243">BD49+AX49</f>
        <v>0</v>
      </c>
      <c r="BE57" s="211">
        <f t="shared" ref="BE57:BE58" si="244">BE49+AY49</f>
        <v>0</v>
      </c>
      <c r="BF57" s="211">
        <f t="shared" ref="BF57:BF58" si="245">BF49+AZ49</f>
        <v>0</v>
      </c>
      <c r="BG57" s="213">
        <f t="shared" ref="BG57:BG58" si="246">BG49+BA49</f>
        <v>0</v>
      </c>
      <c r="BH57" s="22"/>
      <c r="BI57" s="413">
        <f t="shared" ref="BI57:BI58" si="247">BI49+BC49</f>
        <v>0</v>
      </c>
      <c r="BJ57" s="211">
        <f t="shared" ref="BJ57:BJ58" si="248">BJ49+BD49</f>
        <v>0</v>
      </c>
      <c r="BK57" s="211">
        <f t="shared" ref="BK57:BK58" si="249">BK49+BE49</f>
        <v>0</v>
      </c>
      <c r="BL57" s="211">
        <f t="shared" ref="BL57:BL58" si="250">BL49+BF49</f>
        <v>0</v>
      </c>
      <c r="BM57" s="213">
        <f t="shared" ref="BM57:BM58" si="251">BM49+BG49</f>
        <v>0</v>
      </c>
      <c r="BN57" s="22"/>
      <c r="BO57" s="413">
        <f t="shared" ref="BO57:BO58" si="252">BO49+BI49</f>
        <v>0</v>
      </c>
      <c r="BP57" s="211">
        <f t="shared" ref="BP57:BP58" si="253">BP49+BJ49</f>
        <v>0</v>
      </c>
      <c r="BQ57" s="211">
        <f t="shared" ref="BQ57:BQ58" si="254">BQ49+BK49</f>
        <v>0</v>
      </c>
      <c r="BR57" s="211">
        <f t="shared" ref="BR57:BR58" si="255">BR49+BL49</f>
        <v>0</v>
      </c>
      <c r="BS57" s="158"/>
      <c r="BT57" s="22"/>
      <c r="BU57" s="149">
        <f>BU50+BO50</f>
        <v>0</v>
      </c>
      <c r="BV57" s="22">
        <f>BV50+BP50</f>
        <v>0</v>
      </c>
      <c r="BW57" s="22">
        <f>BW50+BQ50</f>
        <v>0</v>
      </c>
      <c r="BX57" s="22">
        <f>BX50+BR50</f>
        <v>0</v>
      </c>
      <c r="BY57" s="158"/>
      <c r="BZ57" s="22"/>
      <c r="CA57" s="149"/>
      <c r="CB57" s="22"/>
      <c r="CC57" s="22"/>
      <c r="CD57" s="22"/>
      <c r="CE57" s="158"/>
      <c r="CF57" s="22"/>
      <c r="CG57" s="149">
        <f>CG50+CA50</f>
        <v>0.05</v>
      </c>
      <c r="CH57" s="22">
        <f>CH50+CB50</f>
        <v>0.02</v>
      </c>
      <c r="CI57" s="22">
        <f>CI50+CC50</f>
        <v>0.02</v>
      </c>
      <c r="CJ57" s="22">
        <f>CJ50+CD50</f>
        <v>0.05</v>
      </c>
      <c r="CK57" s="158">
        <f>CK50+CE50</f>
        <v>3.5352217114044189E-2</v>
      </c>
      <c r="CL57" s="22"/>
      <c r="CM57" s="149">
        <f>CM50+CG50</f>
        <v>0.11</v>
      </c>
      <c r="CN57" s="22">
        <f>CN50+CH50</f>
        <v>0.04</v>
      </c>
      <c r="CO57" s="22">
        <f>CO50+CI50</f>
        <v>0.06</v>
      </c>
      <c r="CP57" s="22">
        <f>CP50+CJ50</f>
        <v>6.0000000000000005E-2</v>
      </c>
      <c r="CQ57" s="158">
        <f>CQ50+CK50</f>
        <v>6.6567072238393796E-2</v>
      </c>
      <c r="CR57" s="22"/>
      <c r="CS57" s="149">
        <f>CS50+CM50</f>
        <v>3.9999999999999994E-2</v>
      </c>
      <c r="CT57" s="22">
        <f>CT50+CN50</f>
        <v>0.01</v>
      </c>
      <c r="CU57" s="22">
        <f>CU50+CO50</f>
        <v>1.0000000000000002E-2</v>
      </c>
      <c r="CV57" s="22">
        <f>CV50+CP50</f>
        <v>0.03</v>
      </c>
      <c r="CW57" s="158">
        <f>CW50+CQ50</f>
        <v>2.2647530332958427E-2</v>
      </c>
      <c r="CX57" s="22"/>
      <c r="CY57" s="149">
        <f>CY50+CS50</f>
        <v>-0.05</v>
      </c>
      <c r="CZ57" s="22">
        <f>CZ50+CT50</f>
        <v>0.04</v>
      </c>
      <c r="DA57" s="22">
        <f>DA50+CU50</f>
        <v>0</v>
      </c>
      <c r="DB57" s="22">
        <f>DB50+CV50</f>
        <v>0.01</v>
      </c>
      <c r="DC57" s="158">
        <f>DC50+CW50</f>
        <v>1.1988254570741794E-3</v>
      </c>
      <c r="DD57" s="22"/>
      <c r="DE57" s="149">
        <f>DE50+CY50</f>
        <v>-9.9999999999999985E-3</v>
      </c>
      <c r="DF57" s="22">
        <f>DF50+CZ50</f>
        <v>0.08</v>
      </c>
      <c r="DG57" s="22">
        <f>DG50+DA50</f>
        <v>0.06</v>
      </c>
      <c r="DH57" s="22">
        <f>DH50+DB50</f>
        <v>-0.09</v>
      </c>
      <c r="DI57" s="158">
        <f>DI50+DC50</f>
        <v>8.2152060393751031E-3</v>
      </c>
      <c r="DJ57" s="22"/>
      <c r="DK57" s="149">
        <f>DK50+DE50</f>
        <v>-0.11</v>
      </c>
      <c r="DL57" s="22">
        <f>DL50+DF50</f>
        <v>-7.0000000000000007E-2</v>
      </c>
      <c r="DM57" s="22">
        <f>DM50+DG50</f>
        <v>-4.0000000000000008E-2</v>
      </c>
      <c r="DN57" s="22">
        <f>DN50+DH50</f>
        <v>-0.03</v>
      </c>
      <c r="DO57" s="158">
        <f>DO50+DI50</f>
        <v>-6.064767479360058E-2</v>
      </c>
      <c r="DP57" s="22"/>
      <c r="DQ57" s="149">
        <f>DQ50+DK50</f>
        <v>-0.05</v>
      </c>
      <c r="DR57" s="22">
        <f>DR50+DL50</f>
        <v>-2.0000000000000004E-2</v>
      </c>
      <c r="DS57" s="22">
        <f>DS50+DM50</f>
        <v>9.999999999999995E-3</v>
      </c>
      <c r="DT57" s="22">
        <f>DT50+DN50</f>
        <v>2.0000000000000004E-2</v>
      </c>
      <c r="DU57" s="158">
        <f>DU50+DO50</f>
        <v>-9.1348739972367116E-3</v>
      </c>
      <c r="DV57" s="22"/>
      <c r="DW57" s="149">
        <f>DW50+DQ50</f>
        <v>0.08</v>
      </c>
      <c r="DX57" s="22">
        <f>DX50+DR50</f>
        <v>0.08</v>
      </c>
      <c r="DY57" s="22">
        <f>DY50+DS50</f>
        <v>0.08</v>
      </c>
      <c r="DZ57" s="22">
        <f>DZ50+DT50</f>
        <v>-0.03</v>
      </c>
      <c r="EA57" s="158">
        <f>EA50+DU50</f>
        <v>4.9961856587273611E-2</v>
      </c>
      <c r="EB57" s="22"/>
      <c r="EC57" s="149">
        <f>EC50+DW50</f>
        <v>0</v>
      </c>
      <c r="ED57" s="22">
        <f>ED50+DX50</f>
        <v>0</v>
      </c>
      <c r="EE57" s="22">
        <f>EE50+DY50</f>
        <v>0</v>
      </c>
      <c r="EF57" s="22">
        <f>EF50+DZ50</f>
        <v>0</v>
      </c>
      <c r="EG57" s="158">
        <f>EG50+EA50</f>
        <v>0</v>
      </c>
      <c r="EH57" s="9"/>
      <c r="EJ57" s="378" t="s">
        <v>604</v>
      </c>
      <c r="EK57" s="378"/>
      <c r="EL57" s="380">
        <f>+CS57</f>
        <v>3.9999999999999994E-2</v>
      </c>
      <c r="EM57" s="380">
        <f t="shared" ref="EM57:EM61" si="256">+CT57</f>
        <v>0.01</v>
      </c>
      <c r="EN57" s="380">
        <f t="shared" ref="EN57:EN61" si="257">+CU57</f>
        <v>1.0000000000000002E-2</v>
      </c>
      <c r="EO57" s="380">
        <f t="shared" ref="EO57:EO61" si="258">+CV57</f>
        <v>0.03</v>
      </c>
      <c r="EP57" s="380">
        <f>+CY57</f>
        <v>-0.05</v>
      </c>
      <c r="EQ57" s="380">
        <f t="shared" ref="EQ57:EQ61" si="259">+CZ57</f>
        <v>0.04</v>
      </c>
      <c r="ER57" s="380">
        <f t="shared" ref="ER57:ER61" si="260">+DA57</f>
        <v>0</v>
      </c>
      <c r="ES57" s="380">
        <f t="shared" ref="ES57:ES61" si="261">+DB57</f>
        <v>0.01</v>
      </c>
      <c r="ET57" s="380">
        <f>+DE57</f>
        <v>-9.9999999999999985E-3</v>
      </c>
      <c r="EU57" s="380">
        <f t="shared" ref="EU57:EU61" si="262">+DF57</f>
        <v>0.08</v>
      </c>
      <c r="EV57" s="380">
        <f t="shared" ref="EV57:EV61" si="263">+DG57</f>
        <v>0.06</v>
      </c>
      <c r="EW57" s="380">
        <f t="shared" ref="EW57:EW60" si="264">+DH57</f>
        <v>-0.09</v>
      </c>
      <c r="EX57" s="380">
        <f t="shared" ref="EX57:EX61" si="265">+DK57</f>
        <v>-0.11</v>
      </c>
      <c r="EY57" s="380">
        <f t="shared" ref="EY57:EY61" si="266">+DL57</f>
        <v>-7.0000000000000007E-2</v>
      </c>
      <c r="EZ57" s="380">
        <f t="shared" ref="EZ57:EZ61" si="267">+DM57</f>
        <v>-4.0000000000000008E-2</v>
      </c>
      <c r="FA57" s="380">
        <f t="shared" ref="FA57:FA61" si="268">+DN57</f>
        <v>-0.03</v>
      </c>
      <c r="FB57" s="380">
        <f t="shared" ref="FB57:FE61" si="269">+DQ57</f>
        <v>-0.05</v>
      </c>
      <c r="FC57" s="380">
        <f t="shared" si="269"/>
        <v>-2.0000000000000004E-2</v>
      </c>
      <c r="FD57" s="380">
        <f t="shared" si="269"/>
        <v>9.999999999999995E-3</v>
      </c>
      <c r="FE57" s="380">
        <f t="shared" si="269"/>
        <v>2.0000000000000004E-2</v>
      </c>
    </row>
    <row r="58" spans="1:161" ht="11.25" customHeight="1" x14ac:dyDescent="0.2">
      <c r="A58" s="51" t="s">
        <v>708</v>
      </c>
      <c r="B58" s="14"/>
      <c r="C58" s="14"/>
      <c r="D58" s="14"/>
      <c r="E58" s="158"/>
      <c r="F58" s="22"/>
      <c r="G58" s="158"/>
      <c r="H58" s="22"/>
      <c r="I58" s="158"/>
      <c r="J58" s="22"/>
      <c r="K58" s="158"/>
      <c r="L58" s="22"/>
      <c r="M58" s="149"/>
      <c r="N58" s="22"/>
      <c r="O58" s="22"/>
      <c r="P58" s="22"/>
      <c r="Q58" s="158"/>
      <c r="R58" s="22"/>
      <c r="S58" s="149"/>
      <c r="T58" s="22"/>
      <c r="U58" s="22"/>
      <c r="V58" s="22"/>
      <c r="W58" s="158"/>
      <c r="X58" s="22"/>
      <c r="Y58" s="149">
        <f t="shared" si="217"/>
        <v>0</v>
      </c>
      <c r="Z58" s="22">
        <f t="shared" si="218"/>
        <v>0</v>
      </c>
      <c r="AA58" s="22">
        <f t="shared" si="219"/>
        <v>0</v>
      </c>
      <c r="AB58" s="22">
        <f t="shared" si="220"/>
        <v>0</v>
      </c>
      <c r="AC58" s="158">
        <f t="shared" si="221"/>
        <v>0</v>
      </c>
      <c r="AD58" s="22"/>
      <c r="AE58" s="149">
        <f t="shared" si="222"/>
        <v>0</v>
      </c>
      <c r="AF58" s="22">
        <f t="shared" si="223"/>
        <v>0</v>
      </c>
      <c r="AG58" s="22">
        <f t="shared" si="224"/>
        <v>0</v>
      </c>
      <c r="AH58" s="22">
        <f t="shared" si="225"/>
        <v>0</v>
      </c>
      <c r="AI58" s="158">
        <f t="shared" si="226"/>
        <v>0</v>
      </c>
      <c r="AJ58" s="22"/>
      <c r="AK58" s="149">
        <f t="shared" si="227"/>
        <v>0</v>
      </c>
      <c r="AL58" s="22">
        <f t="shared" si="228"/>
        <v>0</v>
      </c>
      <c r="AM58" s="22">
        <f t="shared" si="229"/>
        <v>0</v>
      </c>
      <c r="AN58" s="22">
        <f t="shared" si="230"/>
        <v>0</v>
      </c>
      <c r="AO58" s="158">
        <f t="shared" si="231"/>
        <v>0</v>
      </c>
      <c r="AP58" s="22"/>
      <c r="AQ58" s="149">
        <f t="shared" si="232"/>
        <v>0</v>
      </c>
      <c r="AR58" s="22">
        <f t="shared" si="233"/>
        <v>0</v>
      </c>
      <c r="AS58" s="22">
        <f t="shared" si="234"/>
        <v>0</v>
      </c>
      <c r="AT58" s="22">
        <f t="shared" si="235"/>
        <v>0</v>
      </c>
      <c r="AU58" s="158">
        <f t="shared" si="236"/>
        <v>0</v>
      </c>
      <c r="AV58" s="22"/>
      <c r="AW58" s="149">
        <f t="shared" si="237"/>
        <v>0</v>
      </c>
      <c r="AX58" s="22">
        <f t="shared" si="238"/>
        <v>0</v>
      </c>
      <c r="AY58" s="22">
        <f t="shared" si="239"/>
        <v>0</v>
      </c>
      <c r="AZ58" s="22">
        <f t="shared" si="240"/>
        <v>0</v>
      </c>
      <c r="BA58" s="158">
        <f t="shared" si="241"/>
        <v>0</v>
      </c>
      <c r="BB58" s="22"/>
      <c r="BC58" s="149">
        <f t="shared" si="242"/>
        <v>0</v>
      </c>
      <c r="BD58" s="22">
        <f t="shared" si="243"/>
        <v>0</v>
      </c>
      <c r="BE58" s="22">
        <f t="shared" si="244"/>
        <v>0</v>
      </c>
      <c r="BF58" s="22">
        <f t="shared" si="245"/>
        <v>0</v>
      </c>
      <c r="BG58" s="158">
        <f t="shared" si="246"/>
        <v>0</v>
      </c>
      <c r="BH58" s="22"/>
      <c r="BI58" s="149">
        <f t="shared" si="247"/>
        <v>0</v>
      </c>
      <c r="BJ58" s="22">
        <f t="shared" si="248"/>
        <v>0</v>
      </c>
      <c r="BK58" s="22">
        <f t="shared" si="249"/>
        <v>0</v>
      </c>
      <c r="BL58" s="22">
        <f t="shared" si="250"/>
        <v>0</v>
      </c>
      <c r="BM58" s="158">
        <f t="shared" si="251"/>
        <v>0</v>
      </c>
      <c r="BN58" s="22"/>
      <c r="BO58" s="149">
        <f t="shared" si="252"/>
        <v>0</v>
      </c>
      <c r="BP58" s="22">
        <f t="shared" si="253"/>
        <v>0</v>
      </c>
      <c r="BQ58" s="22">
        <f t="shared" si="254"/>
        <v>0</v>
      </c>
      <c r="BR58" s="22">
        <f t="shared" si="255"/>
        <v>0</v>
      </c>
      <c r="BS58" s="158"/>
      <c r="BT58" s="22"/>
      <c r="BU58" s="149">
        <f t="shared" ref="BU58:BX58" si="270">BU51+BO51</f>
        <v>0</v>
      </c>
      <c r="BV58" s="22">
        <f t="shared" si="270"/>
        <v>0</v>
      </c>
      <c r="BW58" s="22">
        <f t="shared" si="270"/>
        <v>0</v>
      </c>
      <c r="BX58" s="22">
        <f t="shared" si="270"/>
        <v>0</v>
      </c>
      <c r="BY58" s="158"/>
      <c r="BZ58" s="22"/>
      <c r="CA58" s="149"/>
      <c r="CB58" s="22"/>
      <c r="CC58" s="22"/>
      <c r="CD58" s="22"/>
      <c r="CE58" s="158"/>
      <c r="CF58" s="22"/>
      <c r="CG58" s="149">
        <f t="shared" ref="CG58:CK58" si="271">CG51+CA51</f>
        <v>0.03</v>
      </c>
      <c r="CH58" s="22">
        <f t="shared" si="271"/>
        <v>0.1</v>
      </c>
      <c r="CI58" s="22">
        <f t="shared" si="271"/>
        <v>0.1</v>
      </c>
      <c r="CJ58" s="22">
        <f t="shared" si="271"/>
        <v>0.05</v>
      </c>
      <c r="CK58" s="158">
        <f t="shared" si="271"/>
        <v>6.981857729002916E-2</v>
      </c>
      <c r="CL58" s="22"/>
      <c r="CM58" s="149">
        <f t="shared" ref="CM58:CQ58" si="272">CM51+CG51</f>
        <v>0.09</v>
      </c>
      <c r="CN58" s="22">
        <f t="shared" si="272"/>
        <v>0.14000000000000001</v>
      </c>
      <c r="CO58" s="22">
        <f t="shared" si="272"/>
        <v>0.12000000000000001</v>
      </c>
      <c r="CP58" s="22">
        <f t="shared" si="272"/>
        <v>0.1</v>
      </c>
      <c r="CQ58" s="158">
        <f t="shared" si="272"/>
        <v>0.11234566688857801</v>
      </c>
      <c r="CR58" s="22"/>
      <c r="CS58" s="149">
        <f t="shared" ref="CS58:CW58" si="273">CS51+CM51</f>
        <v>0.08</v>
      </c>
      <c r="CT58" s="22">
        <f t="shared" si="273"/>
        <v>0.06</v>
      </c>
      <c r="CU58" s="22">
        <f t="shared" si="273"/>
        <v>0.04</v>
      </c>
      <c r="CV58" s="22">
        <f t="shared" si="273"/>
        <v>0.08</v>
      </c>
      <c r="CW58" s="158">
        <f t="shared" si="273"/>
        <v>6.5385600382370845E-2</v>
      </c>
      <c r="CX58" s="22"/>
      <c r="CY58" s="149">
        <f t="shared" ref="CY58:DC58" si="274">CY51+CS51</f>
        <v>0.06</v>
      </c>
      <c r="CZ58" s="22">
        <f t="shared" si="274"/>
        <v>6.5000000000000002E-2</v>
      </c>
      <c r="DA58" s="22">
        <f t="shared" si="274"/>
        <v>7.0000000000000007E-2</v>
      </c>
      <c r="DB58" s="22">
        <f t="shared" si="274"/>
        <v>0.08</v>
      </c>
      <c r="DC58" s="158">
        <f t="shared" si="274"/>
        <v>6.9181954221413336E-2</v>
      </c>
      <c r="DD58" s="22"/>
      <c r="DE58" s="149">
        <f t="shared" ref="DE58:DI58" si="275">DE51+CY51</f>
        <v>0.08</v>
      </c>
      <c r="DF58" s="22">
        <f t="shared" si="275"/>
        <v>6.5000000000000002E-2</v>
      </c>
      <c r="DG58" s="22">
        <f t="shared" si="275"/>
        <v>0.1</v>
      </c>
      <c r="DH58" s="22">
        <f t="shared" si="275"/>
        <v>0.1</v>
      </c>
      <c r="DI58" s="158">
        <f t="shared" si="275"/>
        <v>8.6272104312151571E-2</v>
      </c>
      <c r="DJ58" s="22"/>
      <c r="DK58" s="149">
        <f t="shared" ref="DK58:DO58" si="276">DK51+DE51</f>
        <v>7.0000000000000007E-2</v>
      </c>
      <c r="DL58" s="22">
        <f t="shared" si="276"/>
        <v>7.0000000000000007E-2</v>
      </c>
      <c r="DM58" s="22">
        <f t="shared" si="276"/>
        <v>0.1</v>
      </c>
      <c r="DN58" s="22">
        <f t="shared" si="276"/>
        <v>0.1</v>
      </c>
      <c r="DO58" s="158">
        <f t="shared" si="276"/>
        <v>8.5284674251058845E-2</v>
      </c>
      <c r="DP58" s="22"/>
      <c r="DQ58" s="149">
        <f t="shared" ref="DQ58:DU58" si="277">DQ51+DK51</f>
        <v>0.08</v>
      </c>
      <c r="DR58" s="22">
        <f t="shared" si="277"/>
        <v>0.1</v>
      </c>
      <c r="DS58" s="22">
        <f t="shared" si="277"/>
        <v>0.1</v>
      </c>
      <c r="DT58" s="22">
        <f t="shared" si="277"/>
        <v>0.1</v>
      </c>
      <c r="DU58" s="158">
        <f t="shared" si="277"/>
        <v>9.5336013376498635E-2</v>
      </c>
      <c r="DV58" s="22"/>
      <c r="DW58" s="149">
        <f t="shared" ref="DW58:EA58" si="278">DW51+DQ51</f>
        <v>0.05</v>
      </c>
      <c r="DX58" s="22">
        <f t="shared" si="278"/>
        <v>0.05</v>
      </c>
      <c r="DY58" s="22">
        <f t="shared" si="278"/>
        <v>0.05</v>
      </c>
      <c r="DZ58" s="22">
        <f t="shared" si="278"/>
        <v>0.05</v>
      </c>
      <c r="EA58" s="158">
        <f t="shared" si="278"/>
        <v>0.05</v>
      </c>
      <c r="EB58" s="22"/>
      <c r="EC58" s="149">
        <f t="shared" ref="EC58:EC60" si="279">EC51+DW51</f>
        <v>0</v>
      </c>
      <c r="ED58" s="22">
        <f t="shared" ref="ED58:ED60" si="280">ED51+DX51</f>
        <v>0</v>
      </c>
      <c r="EE58" s="22">
        <f t="shared" ref="EE58:EE60" si="281">EE51+DY51</f>
        <v>0</v>
      </c>
      <c r="EF58" s="22">
        <f t="shared" ref="EF58:EF60" si="282">EF51+DZ51</f>
        <v>0</v>
      </c>
      <c r="EG58" s="158">
        <f t="shared" ref="EG58:EG60" si="283">EG51+EA51</f>
        <v>0</v>
      </c>
      <c r="EH58" s="9"/>
      <c r="EJ58" s="379" t="s">
        <v>708</v>
      </c>
      <c r="EK58" s="379"/>
      <c r="EL58" s="381">
        <f t="shared" ref="EL58:EL61" si="284">+CS58</f>
        <v>0.08</v>
      </c>
      <c r="EM58" s="381">
        <f t="shared" si="256"/>
        <v>0.06</v>
      </c>
      <c r="EN58" s="381">
        <f t="shared" si="257"/>
        <v>0.04</v>
      </c>
      <c r="EO58" s="381">
        <f t="shared" si="258"/>
        <v>0.08</v>
      </c>
      <c r="EP58" s="381">
        <f t="shared" ref="EP58:EP61" si="285">+CY58</f>
        <v>0.06</v>
      </c>
      <c r="EQ58" s="381">
        <f t="shared" si="259"/>
        <v>6.5000000000000002E-2</v>
      </c>
      <c r="ER58" s="381">
        <f t="shared" si="260"/>
        <v>7.0000000000000007E-2</v>
      </c>
      <c r="ES58" s="381">
        <f t="shared" si="261"/>
        <v>0.08</v>
      </c>
      <c r="ET58" s="381">
        <f t="shared" ref="ET58:ET61" si="286">+DE58</f>
        <v>0.08</v>
      </c>
      <c r="EU58" s="381">
        <f t="shared" si="262"/>
        <v>6.5000000000000002E-2</v>
      </c>
      <c r="EV58" s="381">
        <f t="shared" si="263"/>
        <v>0.1</v>
      </c>
      <c r="EW58" s="381">
        <f t="shared" si="264"/>
        <v>0.1</v>
      </c>
      <c r="EX58" s="381">
        <f t="shared" si="265"/>
        <v>7.0000000000000007E-2</v>
      </c>
      <c r="EY58" s="381">
        <f t="shared" si="266"/>
        <v>7.0000000000000007E-2</v>
      </c>
      <c r="EZ58" s="381">
        <f t="shared" si="267"/>
        <v>0.1</v>
      </c>
      <c r="FA58" s="381">
        <f t="shared" si="268"/>
        <v>0.1</v>
      </c>
      <c r="FB58" s="381">
        <f t="shared" si="269"/>
        <v>0.08</v>
      </c>
      <c r="FC58" s="381">
        <f t="shared" si="269"/>
        <v>0.1</v>
      </c>
      <c r="FD58" s="381">
        <f t="shared" si="269"/>
        <v>0.1</v>
      </c>
      <c r="FE58" s="381">
        <f t="shared" si="269"/>
        <v>0.1</v>
      </c>
    </row>
    <row r="59" spans="1:161" ht="11.25" customHeight="1" x14ac:dyDescent="0.2">
      <c r="A59" s="51" t="s">
        <v>709</v>
      </c>
      <c r="B59" s="14"/>
      <c r="C59" s="14"/>
      <c r="D59" s="14"/>
      <c r="E59" s="158"/>
      <c r="F59" s="22"/>
      <c r="G59" s="158"/>
      <c r="H59" s="22"/>
      <c r="I59" s="158"/>
      <c r="J59" s="22"/>
      <c r="K59" s="158"/>
      <c r="L59" s="22"/>
      <c r="M59" s="149"/>
      <c r="N59" s="22"/>
      <c r="O59" s="22"/>
      <c r="P59" s="22"/>
      <c r="Q59" s="158"/>
      <c r="R59" s="22"/>
      <c r="S59" s="149"/>
      <c r="T59" s="22"/>
      <c r="U59" s="22"/>
      <c r="V59" s="22"/>
      <c r="W59" s="158"/>
      <c r="X59" s="22"/>
      <c r="Y59" s="149"/>
      <c r="Z59" s="22"/>
      <c r="AA59" s="22"/>
      <c r="AB59" s="22"/>
      <c r="AC59" s="158"/>
      <c r="AD59" s="22"/>
      <c r="AE59" s="149"/>
      <c r="AF59" s="22"/>
      <c r="AG59" s="22"/>
      <c r="AH59" s="22"/>
      <c r="AI59" s="158"/>
      <c r="AJ59" s="22"/>
      <c r="AK59" s="149"/>
      <c r="AL59" s="22"/>
      <c r="AM59" s="22"/>
      <c r="AN59" s="22"/>
      <c r="AO59" s="158"/>
      <c r="AP59" s="22"/>
      <c r="AQ59" s="149"/>
      <c r="AR59" s="22"/>
      <c r="AS59" s="22"/>
      <c r="AT59" s="22"/>
      <c r="AU59" s="158"/>
      <c r="AV59" s="22"/>
      <c r="AW59" s="149"/>
      <c r="AX59" s="22"/>
      <c r="AY59" s="22"/>
      <c r="AZ59" s="22"/>
      <c r="BA59" s="158"/>
      <c r="BB59" s="22"/>
      <c r="BC59" s="149"/>
      <c r="BD59" s="22"/>
      <c r="BE59" s="22"/>
      <c r="BF59" s="22"/>
      <c r="BG59" s="158"/>
      <c r="BH59" s="22"/>
      <c r="BI59" s="149"/>
      <c r="BJ59" s="22"/>
      <c r="BK59" s="22"/>
      <c r="BL59" s="22"/>
      <c r="BM59" s="158"/>
      <c r="BN59" s="22"/>
      <c r="BO59" s="149"/>
      <c r="BP59" s="22"/>
      <c r="BQ59" s="22"/>
      <c r="BR59" s="22"/>
      <c r="BS59" s="158"/>
      <c r="BT59" s="22"/>
      <c r="BU59" s="149">
        <f t="shared" ref="BU59:BX59" si="287">BU52+BO52</f>
        <v>0</v>
      </c>
      <c r="BV59" s="22">
        <f t="shared" si="287"/>
        <v>0</v>
      </c>
      <c r="BW59" s="22">
        <f t="shared" si="287"/>
        <v>0</v>
      </c>
      <c r="BX59" s="22">
        <f t="shared" si="287"/>
        <v>0</v>
      </c>
      <c r="BY59" s="158"/>
      <c r="BZ59" s="22"/>
      <c r="CA59" s="149"/>
      <c r="CB59" s="22"/>
      <c r="CC59" s="22"/>
      <c r="CD59" s="22"/>
      <c r="CE59" s="158"/>
      <c r="CF59" s="22"/>
      <c r="CG59" s="149">
        <f t="shared" ref="CG59:CK59" si="288">CG52+CA52</f>
        <v>0.01</v>
      </c>
      <c r="CH59" s="22">
        <f t="shared" si="288"/>
        <v>0.01</v>
      </c>
      <c r="CI59" s="22">
        <f t="shared" si="288"/>
        <v>0.01</v>
      </c>
      <c r="CJ59" s="22">
        <f t="shared" si="288"/>
        <v>-0.01</v>
      </c>
      <c r="CK59" s="158">
        <f t="shared" si="288"/>
        <v>4.3595827772010482E-3</v>
      </c>
      <c r="CL59" s="22"/>
      <c r="CM59" s="149">
        <f t="shared" ref="CM59:CQ59" si="289">CM52+CG52</f>
        <v>6.9999999999999993E-2</v>
      </c>
      <c r="CN59" s="22">
        <f t="shared" si="289"/>
        <v>0.01</v>
      </c>
      <c r="CO59" s="22">
        <f t="shared" si="289"/>
        <v>0</v>
      </c>
      <c r="CP59" s="22">
        <f t="shared" si="289"/>
        <v>-0.03</v>
      </c>
      <c r="CQ59" s="158">
        <f t="shared" si="289"/>
        <v>1.0031452556188113E-2</v>
      </c>
      <c r="CR59" s="22"/>
      <c r="CS59" s="149">
        <f t="shared" ref="CS59:CW59" si="290">CS52+CM52</f>
        <v>3.9999999999999994E-2</v>
      </c>
      <c r="CT59" s="22">
        <f t="shared" si="290"/>
        <v>0.01</v>
      </c>
      <c r="CU59" s="22">
        <f t="shared" si="290"/>
        <v>-0.01</v>
      </c>
      <c r="CV59" s="22">
        <f t="shared" si="290"/>
        <v>-0.01</v>
      </c>
      <c r="CW59" s="158">
        <f t="shared" si="290"/>
        <v>6.2901726379538236E-3</v>
      </c>
      <c r="CX59" s="22"/>
      <c r="CY59" s="149">
        <f t="shared" ref="CY59:DC59" si="291">CY52+CS52</f>
        <v>-0.01</v>
      </c>
      <c r="CZ59" s="22">
        <f t="shared" si="291"/>
        <v>0.03</v>
      </c>
      <c r="DA59" s="22">
        <f t="shared" si="291"/>
        <v>-0.01</v>
      </c>
      <c r="DB59" s="22">
        <f t="shared" si="291"/>
        <v>-6.0000000000000005E-2</v>
      </c>
      <c r="DC59" s="158">
        <f t="shared" si="291"/>
        <v>-1.3108677556116553E-2</v>
      </c>
      <c r="DD59" s="22"/>
      <c r="DE59" s="149">
        <f t="shared" ref="DE59:DI59" si="292">DE52+CY52</f>
        <v>-7.0000000000000007E-2</v>
      </c>
      <c r="DF59" s="22">
        <f t="shared" si="292"/>
        <v>-0.08</v>
      </c>
      <c r="DG59" s="22">
        <f t="shared" si="292"/>
        <v>-9.9999999999999992E-2</v>
      </c>
      <c r="DH59" s="22">
        <f t="shared" si="292"/>
        <v>-0.11000000000000001</v>
      </c>
      <c r="DI59" s="158">
        <f t="shared" si="292"/>
        <v>-9.0666737721035798E-2</v>
      </c>
      <c r="DJ59" s="22"/>
      <c r="DK59" s="149">
        <f t="shared" ref="DK59:DO59" si="293">DK52+DE52</f>
        <v>-0.1</v>
      </c>
      <c r="DL59" s="22">
        <f t="shared" si="293"/>
        <v>-9.0000000000000011E-2</v>
      </c>
      <c r="DM59" s="22">
        <f t="shared" si="293"/>
        <v>-6.9999999999999993E-2</v>
      </c>
      <c r="DN59" s="22">
        <f t="shared" si="293"/>
        <v>-0.04</v>
      </c>
      <c r="DO59" s="158">
        <f t="shared" si="293"/>
        <v>-7.4166268387812387E-2</v>
      </c>
      <c r="DP59" s="22"/>
      <c r="DQ59" s="149">
        <f t="shared" ref="DQ59:DU59" si="294">DQ52+DK52</f>
        <v>0</v>
      </c>
      <c r="DR59" s="22">
        <f t="shared" si="294"/>
        <v>0.01</v>
      </c>
      <c r="DS59" s="22">
        <f t="shared" si="294"/>
        <v>0.02</v>
      </c>
      <c r="DT59" s="22">
        <f t="shared" si="294"/>
        <v>0.02</v>
      </c>
      <c r="DU59" s="158">
        <f t="shared" si="294"/>
        <v>1.2889829268251158E-2</v>
      </c>
      <c r="DV59" s="22"/>
      <c r="DW59" s="149">
        <f t="shared" ref="DW59:EA59" si="295">DW52+DQ52</f>
        <v>0.02</v>
      </c>
      <c r="DX59" s="22">
        <f t="shared" si="295"/>
        <v>0</v>
      </c>
      <c r="DY59" s="22">
        <f t="shared" si="295"/>
        <v>0</v>
      </c>
      <c r="DZ59" s="22">
        <f t="shared" si="295"/>
        <v>0.02</v>
      </c>
      <c r="EA59" s="158">
        <f t="shared" si="295"/>
        <v>1.011634035011106E-2</v>
      </c>
      <c r="EB59" s="22"/>
      <c r="EC59" s="149">
        <f t="shared" si="279"/>
        <v>0</v>
      </c>
      <c r="ED59" s="22">
        <f t="shared" si="280"/>
        <v>0</v>
      </c>
      <c r="EE59" s="22">
        <f t="shared" si="281"/>
        <v>0</v>
      </c>
      <c r="EF59" s="22">
        <f t="shared" si="282"/>
        <v>0</v>
      </c>
      <c r="EG59" s="158">
        <f t="shared" si="283"/>
        <v>0</v>
      </c>
      <c r="EH59" s="9"/>
      <c r="EJ59" s="378" t="s">
        <v>709</v>
      </c>
      <c r="EK59" s="378"/>
      <c r="EL59" s="380">
        <f t="shared" si="284"/>
        <v>3.9999999999999994E-2</v>
      </c>
      <c r="EM59" s="380">
        <f t="shared" si="256"/>
        <v>0.01</v>
      </c>
      <c r="EN59" s="380">
        <f t="shared" si="257"/>
        <v>-0.01</v>
      </c>
      <c r="EO59" s="380">
        <f t="shared" si="258"/>
        <v>-0.01</v>
      </c>
      <c r="EP59" s="380">
        <f t="shared" si="285"/>
        <v>-0.01</v>
      </c>
      <c r="EQ59" s="380">
        <f t="shared" si="259"/>
        <v>0.03</v>
      </c>
      <c r="ER59" s="380">
        <f t="shared" si="260"/>
        <v>-0.01</v>
      </c>
      <c r="ES59" s="380">
        <f t="shared" si="261"/>
        <v>-6.0000000000000005E-2</v>
      </c>
      <c r="ET59" s="380">
        <f t="shared" si="286"/>
        <v>-7.0000000000000007E-2</v>
      </c>
      <c r="EU59" s="380">
        <f t="shared" si="262"/>
        <v>-0.08</v>
      </c>
      <c r="EV59" s="380">
        <f t="shared" si="263"/>
        <v>-9.9999999999999992E-2</v>
      </c>
      <c r="EW59" s="380">
        <f t="shared" si="264"/>
        <v>-0.11000000000000001</v>
      </c>
      <c r="EX59" s="380">
        <f t="shared" si="265"/>
        <v>-0.1</v>
      </c>
      <c r="EY59" s="380">
        <f t="shared" si="266"/>
        <v>-9.0000000000000011E-2</v>
      </c>
      <c r="EZ59" s="380">
        <f t="shared" si="267"/>
        <v>-6.9999999999999993E-2</v>
      </c>
      <c r="FA59" s="380">
        <f t="shared" si="268"/>
        <v>-0.04</v>
      </c>
      <c r="FB59" s="380">
        <f t="shared" si="269"/>
        <v>0</v>
      </c>
      <c r="FC59" s="380">
        <f t="shared" si="269"/>
        <v>0.01</v>
      </c>
      <c r="FD59" s="380">
        <f t="shared" si="269"/>
        <v>0.02</v>
      </c>
      <c r="FE59" s="380">
        <f t="shared" si="269"/>
        <v>0.02</v>
      </c>
    </row>
    <row r="60" spans="1:161" ht="11.25" customHeight="1" x14ac:dyDescent="0.2">
      <c r="A60" s="51" t="s">
        <v>710</v>
      </c>
      <c r="B60" s="14"/>
      <c r="C60" s="14"/>
      <c r="D60" s="14"/>
      <c r="E60" s="158"/>
      <c r="F60" s="22"/>
      <c r="G60" s="158"/>
      <c r="H60" s="22"/>
      <c r="I60" s="158"/>
      <c r="J60" s="22"/>
      <c r="K60" s="158"/>
      <c r="L60" s="22"/>
      <c r="M60" s="149"/>
      <c r="N60" s="22"/>
      <c r="O60" s="22"/>
      <c r="P60" s="22"/>
      <c r="Q60" s="158"/>
      <c r="R60" s="22"/>
      <c r="S60" s="149"/>
      <c r="T60" s="22"/>
      <c r="U60" s="22"/>
      <c r="V60" s="22"/>
      <c r="W60" s="158"/>
      <c r="X60" s="22"/>
      <c r="Y60" s="149">
        <f t="shared" ref="Y60" si="296">Y52+S52</f>
        <v>0</v>
      </c>
      <c r="Z60" s="22">
        <f t="shared" ref="Z60" si="297">Z52+T52</f>
        <v>0</v>
      </c>
      <c r="AA60" s="22">
        <f t="shared" ref="AA60" si="298">AA52+U52</f>
        <v>0</v>
      </c>
      <c r="AB60" s="22">
        <f t="shared" ref="AB60" si="299">AB52+V52</f>
        <v>0</v>
      </c>
      <c r="AC60" s="158">
        <f t="shared" ref="AC60" si="300">AC52+W52</f>
        <v>0</v>
      </c>
      <c r="AD60" s="22"/>
      <c r="AE60" s="149">
        <f t="shared" ref="AE60" si="301">AE52+Y52</f>
        <v>0</v>
      </c>
      <c r="AF60" s="22">
        <f t="shared" ref="AF60" si="302">AF52+Z52</f>
        <v>0</v>
      </c>
      <c r="AG60" s="22">
        <f t="shared" ref="AG60" si="303">AG52+AA52</f>
        <v>0</v>
      </c>
      <c r="AH60" s="22">
        <f t="shared" ref="AH60" si="304">AH52+AB52</f>
        <v>0</v>
      </c>
      <c r="AI60" s="158">
        <f t="shared" ref="AI60" si="305">AI52+AC52</f>
        <v>0</v>
      </c>
      <c r="AJ60" s="22"/>
      <c r="AK60" s="149">
        <f t="shared" ref="AK60" si="306">AK52+AE52</f>
        <v>0</v>
      </c>
      <c r="AL60" s="22">
        <f t="shared" ref="AL60" si="307">AL52+AF52</f>
        <v>0</v>
      </c>
      <c r="AM60" s="22">
        <f t="shared" ref="AM60" si="308">AM52+AG52</f>
        <v>0</v>
      </c>
      <c r="AN60" s="22">
        <f t="shared" ref="AN60" si="309">AN52+AH52</f>
        <v>0</v>
      </c>
      <c r="AO60" s="158">
        <f t="shared" ref="AO60" si="310">AO52+AI52</f>
        <v>0</v>
      </c>
      <c r="AP60" s="22"/>
      <c r="AQ60" s="149">
        <f t="shared" ref="AQ60" si="311">AQ52+AK52</f>
        <v>0</v>
      </c>
      <c r="AR60" s="22">
        <f t="shared" ref="AR60" si="312">AR52+AL52</f>
        <v>0</v>
      </c>
      <c r="AS60" s="22">
        <f t="shared" ref="AS60" si="313">AS52+AM52</f>
        <v>0</v>
      </c>
      <c r="AT60" s="22">
        <f t="shared" ref="AT60" si="314">AT52+AN52</f>
        <v>0</v>
      </c>
      <c r="AU60" s="158">
        <f t="shared" ref="AU60" si="315">AU52+AO52</f>
        <v>0</v>
      </c>
      <c r="AV60" s="22"/>
      <c r="AW60" s="149">
        <f t="shared" ref="AW60" si="316">AW52+AQ52</f>
        <v>0</v>
      </c>
      <c r="AX60" s="22">
        <f t="shared" ref="AX60" si="317">AX52+AR52</f>
        <v>0</v>
      </c>
      <c r="AY60" s="22">
        <f t="shared" ref="AY60" si="318">AY52+AS52</f>
        <v>0</v>
      </c>
      <c r="AZ60" s="22">
        <f t="shared" ref="AZ60" si="319">AZ52+AT52</f>
        <v>0</v>
      </c>
      <c r="BA60" s="158">
        <f t="shared" ref="BA60" si="320">BA52+AU52</f>
        <v>0</v>
      </c>
      <c r="BB60" s="22"/>
      <c r="BC60" s="149">
        <f t="shared" ref="BC60" si="321">BC52+AW52</f>
        <v>0</v>
      </c>
      <c r="BD60" s="22">
        <f t="shared" ref="BD60" si="322">BD52+AX52</f>
        <v>0</v>
      </c>
      <c r="BE60" s="22">
        <f t="shared" ref="BE60" si="323">BE52+AY52</f>
        <v>0</v>
      </c>
      <c r="BF60" s="22">
        <f t="shared" ref="BF60" si="324">BF52+AZ52</f>
        <v>0</v>
      </c>
      <c r="BG60" s="158">
        <f t="shared" ref="BG60" si="325">BG52+BA52</f>
        <v>0</v>
      </c>
      <c r="BH60" s="22"/>
      <c r="BI60" s="149">
        <f t="shared" ref="BI60" si="326">BI52+BC52</f>
        <v>0</v>
      </c>
      <c r="BJ60" s="22">
        <f t="shared" ref="BJ60" si="327">BJ52+BD52</f>
        <v>0</v>
      </c>
      <c r="BK60" s="22">
        <f t="shared" ref="BK60" si="328">BK52+BE52</f>
        <v>0</v>
      </c>
      <c r="BL60" s="22">
        <f t="shared" ref="BL60" si="329">BL52+BF52</f>
        <v>0</v>
      </c>
      <c r="BM60" s="158">
        <f t="shared" ref="BM60" si="330">BM52+BG52</f>
        <v>0</v>
      </c>
      <c r="BN60" s="22"/>
      <c r="BO60" s="149">
        <f t="shared" ref="BO60" si="331">BO52+BI52</f>
        <v>0</v>
      </c>
      <c r="BP60" s="22">
        <f t="shared" ref="BP60" si="332">BP52+BJ52</f>
        <v>0</v>
      </c>
      <c r="BQ60" s="22">
        <f t="shared" ref="BQ60" si="333">BQ52+BK52</f>
        <v>0</v>
      </c>
      <c r="BR60" s="22">
        <f t="shared" ref="BR60" si="334">BR52+BL52</f>
        <v>0</v>
      </c>
      <c r="BS60" s="158"/>
      <c r="BT60" s="22"/>
      <c r="BU60" s="149">
        <f t="shared" ref="BU60:BX60" si="335">BU53+BO53</f>
        <v>0</v>
      </c>
      <c r="BV60" s="22">
        <f t="shared" si="335"/>
        <v>0</v>
      </c>
      <c r="BW60" s="22">
        <f t="shared" si="335"/>
        <v>0</v>
      </c>
      <c r="BX60" s="22">
        <f t="shared" si="335"/>
        <v>0</v>
      </c>
      <c r="BY60" s="158"/>
      <c r="BZ60" s="22"/>
      <c r="CA60" s="149"/>
      <c r="CB60" s="22"/>
      <c r="CC60" s="22"/>
      <c r="CD60" s="22"/>
      <c r="CE60" s="158"/>
      <c r="CF60" s="22"/>
      <c r="CG60" s="149">
        <f t="shared" ref="CG60:CK60" si="336">CG53+CA53</f>
        <v>0.02</v>
      </c>
      <c r="CH60" s="22">
        <f t="shared" si="336"/>
        <v>5.5E-2</v>
      </c>
      <c r="CI60" s="22">
        <f t="shared" si="336"/>
        <v>5.5E-2</v>
      </c>
      <c r="CJ60" s="22">
        <f t="shared" si="336"/>
        <v>0.02</v>
      </c>
      <c r="CK60" s="158">
        <f t="shared" si="336"/>
        <v>3.7089080033615107E-2</v>
      </c>
      <c r="CL60" s="22"/>
      <c r="CM60" s="149">
        <f t="shared" ref="CM60:CQ60" si="337">CM53+CG53</f>
        <v>0.08</v>
      </c>
      <c r="CN60" s="22">
        <f t="shared" si="337"/>
        <v>7.4999999999999997E-2</v>
      </c>
      <c r="CO60" s="22">
        <f t="shared" si="337"/>
        <v>0.06</v>
      </c>
      <c r="CP60" s="22">
        <f t="shared" si="337"/>
        <v>4.6666666666666662E-2</v>
      </c>
      <c r="CQ60" s="158">
        <f t="shared" si="337"/>
        <v>6.4475431012977688E-2</v>
      </c>
      <c r="CR60" s="22"/>
      <c r="CS60" s="149">
        <f t="shared" ref="CS60:CW60" si="338">CS53+CM53</f>
        <v>6.6666666666666666E-2</v>
      </c>
      <c r="CT60" s="22">
        <f t="shared" si="338"/>
        <v>3.6666666666666667E-2</v>
      </c>
      <c r="CU60" s="22">
        <f t="shared" si="338"/>
        <v>1.8333333333333333E-2</v>
      </c>
      <c r="CV60" s="22">
        <f t="shared" si="338"/>
        <v>4.9999999999999996E-2</v>
      </c>
      <c r="CW60" s="158">
        <f t="shared" si="338"/>
        <v>4.2831459121566162E-2</v>
      </c>
      <c r="CX60" s="22"/>
      <c r="CY60" s="149">
        <f t="shared" ref="CY60:DC60" si="339">CY53+CS53</f>
        <v>3.6666666666666667E-2</v>
      </c>
      <c r="CZ60" s="22">
        <f t="shared" si="339"/>
        <v>5.333333333333333E-2</v>
      </c>
      <c r="DA60" s="22">
        <f t="shared" si="339"/>
        <v>4.3333333333333335E-2</v>
      </c>
      <c r="DB60" s="22">
        <f t="shared" si="339"/>
        <v>3.3333333333333326E-2</v>
      </c>
      <c r="DC60" s="158">
        <f t="shared" si="339"/>
        <v>4.1751743628903375E-2</v>
      </c>
      <c r="DD60" s="22"/>
      <c r="DE60" s="149">
        <f t="shared" ref="DE60:DI60" si="340">DE53+CY53</f>
        <v>0.03</v>
      </c>
      <c r="DF60" s="22">
        <f t="shared" si="340"/>
        <v>1.6666666666666666E-2</v>
      </c>
      <c r="DG60" s="22">
        <f t="shared" si="340"/>
        <v>3.3333333333333333E-2</v>
      </c>
      <c r="DH60" s="22">
        <f t="shared" si="340"/>
        <v>0.03</v>
      </c>
      <c r="DI60" s="158">
        <f t="shared" si="340"/>
        <v>2.7292490301089111E-2</v>
      </c>
      <c r="DJ60" s="22"/>
      <c r="DK60" s="149">
        <f t="shared" ref="DK60:DO60" si="341">DK53+DE53</f>
        <v>1.3333333333333331E-2</v>
      </c>
      <c r="DL60" s="22">
        <f t="shared" si="341"/>
        <v>1.6666666666666666E-2</v>
      </c>
      <c r="DM60" s="22">
        <f t="shared" si="341"/>
        <v>4.3333333333333335E-2</v>
      </c>
      <c r="DN60" s="22">
        <f t="shared" si="341"/>
        <v>5.333333333333333E-2</v>
      </c>
      <c r="DO60" s="158">
        <f t="shared" si="341"/>
        <v>3.2134360038101772E-2</v>
      </c>
      <c r="DP60" s="22"/>
      <c r="DQ60" s="149">
        <f t="shared" ref="DQ60:DU60" si="342">DQ53+DK53</f>
        <v>5.333333333333333E-2</v>
      </c>
      <c r="DR60" s="22">
        <f t="shared" si="342"/>
        <v>7.0000000000000007E-2</v>
      </c>
      <c r="DS60" s="22">
        <f t="shared" si="342"/>
        <v>7.3333333333333334E-2</v>
      </c>
      <c r="DT60" s="22">
        <f t="shared" si="342"/>
        <v>7.3333333333333334E-2</v>
      </c>
      <c r="DU60" s="158">
        <f t="shared" si="342"/>
        <v>6.7853952007082802E-2</v>
      </c>
      <c r="DV60" s="22"/>
      <c r="DW60" s="149">
        <f t="shared" ref="DW60:EA60" si="343">DW53+DQ53</f>
        <v>0.04</v>
      </c>
      <c r="DX60" s="22">
        <f t="shared" si="343"/>
        <v>3.3333333333333333E-2</v>
      </c>
      <c r="DY60" s="22">
        <f t="shared" si="343"/>
        <v>3.3333333333333333E-2</v>
      </c>
      <c r="DZ60" s="22">
        <f t="shared" si="343"/>
        <v>0.04</v>
      </c>
      <c r="EA60" s="158">
        <f t="shared" si="343"/>
        <v>3.670544678337035E-2</v>
      </c>
      <c r="EB60" s="22"/>
      <c r="EC60" s="149">
        <f t="shared" si="279"/>
        <v>0</v>
      </c>
      <c r="ED60" s="22">
        <f t="shared" si="280"/>
        <v>0</v>
      </c>
      <c r="EE60" s="22">
        <f t="shared" si="281"/>
        <v>0</v>
      </c>
      <c r="EF60" s="22">
        <f t="shared" si="282"/>
        <v>0</v>
      </c>
      <c r="EG60" s="158">
        <f t="shared" si="283"/>
        <v>0</v>
      </c>
      <c r="EH60" s="9"/>
      <c r="EJ60" s="379" t="s">
        <v>710</v>
      </c>
      <c r="EK60" s="379"/>
      <c r="EL60" s="381">
        <f t="shared" si="284"/>
        <v>6.6666666666666666E-2</v>
      </c>
      <c r="EM60" s="381">
        <f t="shared" si="256"/>
        <v>3.6666666666666667E-2</v>
      </c>
      <c r="EN60" s="381">
        <f t="shared" si="257"/>
        <v>1.8333333333333333E-2</v>
      </c>
      <c r="EO60" s="381">
        <f t="shared" si="258"/>
        <v>4.9999999999999996E-2</v>
      </c>
      <c r="EP60" s="381">
        <f t="shared" si="285"/>
        <v>3.6666666666666667E-2</v>
      </c>
      <c r="EQ60" s="381">
        <f t="shared" si="259"/>
        <v>5.333333333333333E-2</v>
      </c>
      <c r="ER60" s="381">
        <f t="shared" si="260"/>
        <v>4.3333333333333335E-2</v>
      </c>
      <c r="ES60" s="381">
        <f t="shared" si="261"/>
        <v>3.3333333333333326E-2</v>
      </c>
      <c r="ET60" s="381">
        <f t="shared" si="286"/>
        <v>0.03</v>
      </c>
      <c r="EU60" s="381">
        <f t="shared" si="262"/>
        <v>1.6666666666666666E-2</v>
      </c>
      <c r="EV60" s="381">
        <f t="shared" si="263"/>
        <v>3.3333333333333333E-2</v>
      </c>
      <c r="EW60" s="381">
        <f t="shared" si="264"/>
        <v>0.03</v>
      </c>
      <c r="EX60" s="381">
        <f t="shared" si="265"/>
        <v>1.3333333333333331E-2</v>
      </c>
      <c r="EY60" s="381">
        <f t="shared" si="266"/>
        <v>1.6666666666666666E-2</v>
      </c>
      <c r="EZ60" s="381">
        <f t="shared" si="267"/>
        <v>4.3333333333333335E-2</v>
      </c>
      <c r="FA60" s="381">
        <f t="shared" si="268"/>
        <v>5.333333333333333E-2</v>
      </c>
      <c r="FB60" s="381">
        <f t="shared" si="269"/>
        <v>5.333333333333333E-2</v>
      </c>
      <c r="FC60" s="381">
        <f t="shared" si="269"/>
        <v>7.0000000000000007E-2</v>
      </c>
      <c r="FD60" s="381">
        <f t="shared" si="269"/>
        <v>7.3333333333333334E-2</v>
      </c>
      <c r="FE60" s="381">
        <f t="shared" si="269"/>
        <v>7.3333333333333334E-2</v>
      </c>
    </row>
    <row r="61" spans="1:161" ht="11.25" customHeight="1" x14ac:dyDescent="0.2">
      <c r="A61" s="409" t="s">
        <v>239</v>
      </c>
      <c r="B61" s="343"/>
      <c r="C61" s="343"/>
      <c r="D61" s="343"/>
      <c r="E61" s="1060"/>
      <c r="F61" s="1061"/>
      <c r="G61" s="1060"/>
      <c r="H61" s="1061"/>
      <c r="I61" s="1060"/>
      <c r="J61" s="1061"/>
      <c r="K61" s="1060"/>
      <c r="L61" s="1061"/>
      <c r="M61" s="1062"/>
      <c r="N61" s="1063"/>
      <c r="O61" s="1063"/>
      <c r="P61" s="1063"/>
      <c r="Q61" s="1060"/>
      <c r="R61" s="1061"/>
      <c r="S61" s="1062"/>
      <c r="T61" s="1063"/>
      <c r="U61" s="1063"/>
      <c r="V61" s="1063"/>
      <c r="W61" s="1060"/>
      <c r="X61" s="1061"/>
      <c r="Y61" s="1062">
        <f>Y54+S54</f>
        <v>0</v>
      </c>
      <c r="Z61" s="1063">
        <f>Z54+T54</f>
        <v>0</v>
      </c>
      <c r="AA61" s="1063">
        <f>AA54+U54</f>
        <v>0</v>
      </c>
      <c r="AB61" s="1063">
        <f>AB54+V54</f>
        <v>0</v>
      </c>
      <c r="AC61" s="1060">
        <f>AC54+W54</f>
        <v>0</v>
      </c>
      <c r="AD61" s="1061"/>
      <c r="AE61" s="1062">
        <f>AE54+Y54</f>
        <v>0</v>
      </c>
      <c r="AF61" s="1063">
        <f>AF54+Z54</f>
        <v>0</v>
      </c>
      <c r="AG61" s="1063">
        <f>AG54+AA54</f>
        <v>0</v>
      </c>
      <c r="AH61" s="1063">
        <f>AH54+AB54</f>
        <v>0</v>
      </c>
      <c r="AI61" s="1060">
        <f>AI54+AC54</f>
        <v>0</v>
      </c>
      <c r="AJ61" s="1061"/>
      <c r="AK61" s="1062">
        <f>AK54+AE54</f>
        <v>0</v>
      </c>
      <c r="AL61" s="1063">
        <f>AL54+AF54</f>
        <v>0</v>
      </c>
      <c r="AM61" s="1063">
        <f>AM54+AG54</f>
        <v>0</v>
      </c>
      <c r="AN61" s="1063">
        <f>AN54+AH54</f>
        <v>0</v>
      </c>
      <c r="AO61" s="1060">
        <f>AO54+AI54</f>
        <v>0</v>
      </c>
      <c r="AP61" s="1061"/>
      <c r="AQ61" s="1062">
        <f>AQ54+AK54</f>
        <v>0</v>
      </c>
      <c r="AR61" s="1063">
        <f>AR54+AL54</f>
        <v>0</v>
      </c>
      <c r="AS61" s="1063">
        <f>AS54+AM54</f>
        <v>0</v>
      </c>
      <c r="AT61" s="1063">
        <f>AT54+AN54</f>
        <v>0</v>
      </c>
      <c r="AU61" s="1060">
        <f>AU54+AO54</f>
        <v>0</v>
      </c>
      <c r="AV61" s="1061"/>
      <c r="AW61" s="1062">
        <f>AW54+AQ54</f>
        <v>0</v>
      </c>
      <c r="AX61" s="1063">
        <f>AX54+AR54</f>
        <v>0</v>
      </c>
      <c r="AY61" s="1063">
        <f>AY54+AS54</f>
        <v>0</v>
      </c>
      <c r="AZ61" s="1063">
        <f>AZ54+AT54</f>
        <v>0</v>
      </c>
      <c r="BA61" s="1060">
        <f>BA54+AU54</f>
        <v>0</v>
      </c>
      <c r="BB61" s="1061"/>
      <c r="BC61" s="1062">
        <f>BC54+AW54</f>
        <v>0</v>
      </c>
      <c r="BD61" s="1063">
        <f>BD54+AX54</f>
        <v>0</v>
      </c>
      <c r="BE61" s="1063">
        <f>BE54+AY54</f>
        <v>0</v>
      </c>
      <c r="BF61" s="1063">
        <f>BF54+AZ54</f>
        <v>0</v>
      </c>
      <c r="BG61" s="1060">
        <f>BG54+BA54</f>
        <v>0</v>
      </c>
      <c r="BH61" s="1061"/>
      <c r="BI61" s="1062">
        <f>BI54+BC54</f>
        <v>0</v>
      </c>
      <c r="BJ61" s="1063">
        <f>BJ54+BD54</f>
        <v>0</v>
      </c>
      <c r="BK61" s="1063">
        <f>BK54+BE54</f>
        <v>0</v>
      </c>
      <c r="BL61" s="1063">
        <f>BL54+BF54</f>
        <v>0</v>
      </c>
      <c r="BM61" s="1060">
        <f>BM54+BG54</f>
        <v>0</v>
      </c>
      <c r="BN61" s="1061"/>
      <c r="BO61" s="1062">
        <f>BO54+BI54</f>
        <v>0</v>
      </c>
      <c r="BP61" s="1063">
        <f>BP54+BJ54</f>
        <v>0</v>
      </c>
      <c r="BQ61" s="1063">
        <f>BQ54+BK54</f>
        <v>0</v>
      </c>
      <c r="BR61" s="1063">
        <f>BR54+BL54</f>
        <v>0</v>
      </c>
      <c r="BS61" s="1060"/>
      <c r="BT61" s="1061"/>
      <c r="BU61" s="1062">
        <f>BU54+BO54</f>
        <v>0</v>
      </c>
      <c r="BV61" s="1063">
        <f>BV54+BP54</f>
        <v>0</v>
      </c>
      <c r="BW61" s="1063">
        <f>BW54+BQ54</f>
        <v>0</v>
      </c>
      <c r="BX61" s="1063">
        <f>BX54+BR54</f>
        <v>0</v>
      </c>
      <c r="BY61" s="1060"/>
      <c r="BZ61" s="1061"/>
      <c r="CA61" s="1062"/>
      <c r="CB61" s="1063"/>
      <c r="CC61" s="1063"/>
      <c r="CD61" s="1063"/>
      <c r="CE61" s="1060"/>
      <c r="CF61" s="1061"/>
      <c r="CG61" s="1062">
        <f>CG54+CA54</f>
        <v>2.5000000000000001E-2</v>
      </c>
      <c r="CH61" s="1063">
        <f>CH54+CB54</f>
        <v>2.5000000000000001E-2</v>
      </c>
      <c r="CI61" s="1063">
        <f>CI54+CC54</f>
        <v>3.5000000000000003E-2</v>
      </c>
      <c r="CJ61" s="1063">
        <f>CJ54+CD54</f>
        <v>0.03</v>
      </c>
      <c r="CK61" s="1060">
        <f>CK54+CE54</f>
        <v>0.03</v>
      </c>
      <c r="CL61" s="1061"/>
      <c r="CM61" s="1062">
        <f>CM54+CG54</f>
        <v>8.4999999999999992E-2</v>
      </c>
      <c r="CN61" s="1063">
        <f>CN54+CH54</f>
        <v>4.4999999999999998E-2</v>
      </c>
      <c r="CO61" s="1063">
        <f>CO54+CI54</f>
        <v>5.5000000000000007E-2</v>
      </c>
      <c r="CP61" s="1063">
        <f>CP54+CJ54</f>
        <v>5.5E-2</v>
      </c>
      <c r="CQ61" s="1060">
        <f>CQ54+CK54</f>
        <v>6.056995560647286E-2</v>
      </c>
      <c r="CR61" s="1061"/>
      <c r="CS61" s="1062">
        <f>CS54+CM54</f>
        <v>3.4999999999999996E-2</v>
      </c>
      <c r="CT61" s="1063">
        <f>CT54+CN54</f>
        <v>0.03</v>
      </c>
      <c r="CU61" s="1063">
        <f>CU54+CO54</f>
        <v>1.4999999999999999E-2</v>
      </c>
      <c r="CV61" s="1063">
        <f>CV54+CP54</f>
        <v>0.05</v>
      </c>
      <c r="CW61" s="1060">
        <f>CW54+CQ54</f>
        <v>3.310928349849785E-2</v>
      </c>
      <c r="CX61" s="1061"/>
      <c r="CY61" s="1062">
        <f>CY54+CS54</f>
        <v>-1.5000000000000001E-2</v>
      </c>
      <c r="CZ61" s="1063">
        <f>CZ54+CT54</f>
        <v>0.05</v>
      </c>
      <c r="DA61" s="1063">
        <f>DA54+CU54</f>
        <v>2.9999999999999995E-2</v>
      </c>
      <c r="DB61" s="1063">
        <f>DB54+CV54</f>
        <v>2.5000000000000001E-2</v>
      </c>
      <c r="DC61" s="1060">
        <f>DC54+CW54</f>
        <v>2.3350128827423995E-2</v>
      </c>
      <c r="DD61" s="1061"/>
      <c r="DE61" s="1062">
        <f>DE54+CY54</f>
        <v>1.4999999999999999E-2</v>
      </c>
      <c r="DF61" s="1063">
        <f>DF54+CZ54</f>
        <v>3.2000000000000001E-2</v>
      </c>
      <c r="DG61" s="1063">
        <f>DG54+DA54</f>
        <v>4.4999999999999998E-2</v>
      </c>
      <c r="DH61" s="1063">
        <f>DH54+DB54</f>
        <v>-5.0000000000000001E-3</v>
      </c>
      <c r="DI61" s="1060">
        <f>DI54+DC54</f>
        <v>2.1034179983291587E-2</v>
      </c>
      <c r="DJ61" s="1061"/>
      <c r="DK61" s="1062">
        <f>DK54+DE54</f>
        <v>-2.4999999999999998E-2</v>
      </c>
      <c r="DL61" s="1063">
        <f>DL54+DF54</f>
        <v>-8.0000000000000002E-3</v>
      </c>
      <c r="DM61" s="1063">
        <f>DM54+DG54</f>
        <v>0.01</v>
      </c>
      <c r="DN61" s="1063">
        <f>DN54+DH54</f>
        <v>1.4999999999999999E-2</v>
      </c>
      <c r="DO61" s="1060">
        <f>DO54+DI54</f>
        <v>-1.3736183550744382E-3</v>
      </c>
      <c r="DP61" s="1061"/>
      <c r="DQ61" s="1062">
        <f>DQ54+DK54</f>
        <v>0</v>
      </c>
      <c r="DR61" s="1063">
        <f>DR54+DL54</f>
        <v>0.03</v>
      </c>
      <c r="DS61" s="1063">
        <f>DS54+DM54</f>
        <v>0.03</v>
      </c>
      <c r="DT61" s="1063">
        <f>DT54+DN54</f>
        <v>0.05</v>
      </c>
      <c r="DU61" s="1060">
        <f>DU54+DO54</f>
        <v>2.8403002597032982E-2</v>
      </c>
      <c r="DV61" s="1061"/>
      <c r="DW61" s="1062">
        <f>DW54+DQ54</f>
        <v>0.06</v>
      </c>
      <c r="DX61" s="1063">
        <f>DX54+DR54</f>
        <v>0.06</v>
      </c>
      <c r="DY61" s="1063">
        <f>DY54+DS54</f>
        <v>0.06</v>
      </c>
      <c r="DZ61" s="1063">
        <f>DZ54+DT54</f>
        <v>0.06</v>
      </c>
      <c r="EA61" s="1060">
        <f>EA54+DU54</f>
        <v>6.0000000000000012E-2</v>
      </c>
      <c r="EB61" s="1061"/>
      <c r="EC61" s="1062">
        <f>EC54+DW54</f>
        <v>0.06</v>
      </c>
      <c r="ED61" s="1063">
        <f>ED54+DX54</f>
        <v>0.06</v>
      </c>
      <c r="EE61" s="1063">
        <f>EE54+DY54</f>
        <v>0.06</v>
      </c>
      <c r="EF61" s="1063">
        <f>EF54+DZ54</f>
        <v>0.06</v>
      </c>
      <c r="EG61" s="1060">
        <f>EG54+EA54</f>
        <v>6.0000000000000005E-2</v>
      </c>
      <c r="EH61" s="9"/>
      <c r="EJ61" s="378" t="s">
        <v>713</v>
      </c>
      <c r="EK61" s="378"/>
      <c r="EL61" s="380">
        <f t="shared" si="284"/>
        <v>3.4999999999999996E-2</v>
      </c>
      <c r="EM61" s="380">
        <f t="shared" si="256"/>
        <v>0.03</v>
      </c>
      <c r="EN61" s="380">
        <f t="shared" si="257"/>
        <v>1.4999999999999999E-2</v>
      </c>
      <c r="EO61" s="380">
        <f t="shared" si="258"/>
        <v>0.05</v>
      </c>
      <c r="EP61" s="380">
        <f t="shared" si="285"/>
        <v>-1.5000000000000001E-2</v>
      </c>
      <c r="EQ61" s="380">
        <f t="shared" si="259"/>
        <v>0.05</v>
      </c>
      <c r="ER61" s="380">
        <f t="shared" si="260"/>
        <v>2.9999999999999995E-2</v>
      </c>
      <c r="ES61" s="380">
        <f t="shared" si="261"/>
        <v>2.5000000000000001E-2</v>
      </c>
      <c r="ET61" s="380">
        <f t="shared" si="286"/>
        <v>1.4999999999999999E-2</v>
      </c>
      <c r="EU61" s="380">
        <f t="shared" si="262"/>
        <v>3.2000000000000001E-2</v>
      </c>
      <c r="EV61" s="380">
        <f t="shared" si="263"/>
        <v>4.4999999999999998E-2</v>
      </c>
      <c r="EW61" s="380">
        <f>+EW54+ES54</f>
        <v>0.02</v>
      </c>
      <c r="EX61" s="380">
        <f t="shared" si="265"/>
        <v>-2.4999999999999998E-2</v>
      </c>
      <c r="EY61" s="380">
        <f t="shared" si="266"/>
        <v>-8.0000000000000002E-3</v>
      </c>
      <c r="EZ61" s="380">
        <f t="shared" si="267"/>
        <v>0.01</v>
      </c>
      <c r="FA61" s="380">
        <f t="shared" si="268"/>
        <v>1.4999999999999999E-2</v>
      </c>
      <c r="FB61" s="380">
        <f t="shared" si="269"/>
        <v>0</v>
      </c>
      <c r="FC61" s="380">
        <f t="shared" si="269"/>
        <v>0.03</v>
      </c>
      <c r="FD61" s="380">
        <f t="shared" si="269"/>
        <v>0.03</v>
      </c>
      <c r="FE61" s="380">
        <f t="shared" si="269"/>
        <v>0.05</v>
      </c>
    </row>
    <row r="62" spans="1:161" ht="11.25" customHeight="1" x14ac:dyDescent="0.2">
      <c r="A62" s="2"/>
      <c r="B62" s="14"/>
      <c r="C62" s="14"/>
      <c r="D62" s="14"/>
      <c r="E62" s="69"/>
      <c r="F62" s="67"/>
      <c r="G62" s="69"/>
      <c r="H62" s="67"/>
      <c r="I62" s="69"/>
      <c r="J62" s="67"/>
      <c r="K62" s="69"/>
      <c r="L62" s="67"/>
      <c r="M62" s="353"/>
      <c r="N62" s="353"/>
      <c r="O62" s="353"/>
      <c r="P62" s="353"/>
      <c r="Q62" s="353"/>
      <c r="R62" s="67"/>
      <c r="S62" s="353"/>
      <c r="T62" s="353"/>
      <c r="U62" s="353"/>
      <c r="V62" s="353"/>
      <c r="W62" s="353"/>
      <c r="X62" s="67"/>
      <c r="Y62" s="353"/>
      <c r="Z62" s="353"/>
      <c r="AA62" s="353"/>
      <c r="AB62" s="353"/>
      <c r="AC62" s="353"/>
      <c r="AD62" s="67"/>
      <c r="AE62" s="353"/>
      <c r="AF62" s="353"/>
      <c r="AG62" s="353"/>
      <c r="AH62" s="353"/>
      <c r="AI62" s="353"/>
      <c r="AJ62" s="67"/>
      <c r="AK62" s="353"/>
      <c r="AL62" s="353"/>
      <c r="AM62" s="353"/>
      <c r="AN62" s="353"/>
      <c r="AO62" s="353"/>
      <c r="AP62" s="67"/>
      <c r="AQ62" s="353"/>
      <c r="AR62" s="353"/>
      <c r="AS62" s="353"/>
      <c r="AT62" s="353"/>
      <c r="AU62" s="353"/>
      <c r="AV62" s="67"/>
      <c r="AW62" s="353"/>
      <c r="AX62" s="353"/>
      <c r="AY62" s="353"/>
      <c r="AZ62" s="353"/>
      <c r="BA62" s="353"/>
      <c r="BB62" s="67"/>
      <c r="BC62" s="353"/>
      <c r="BD62" s="353"/>
      <c r="BE62" s="353"/>
      <c r="BF62" s="353"/>
      <c r="BG62" s="353"/>
      <c r="BH62" s="67"/>
      <c r="BI62" s="353"/>
      <c r="BJ62" s="353"/>
      <c r="BK62" s="353"/>
      <c r="BL62" s="353"/>
      <c r="BM62" s="353"/>
      <c r="BN62" s="67"/>
      <c r="BO62" s="353"/>
      <c r="BP62" s="353"/>
      <c r="BQ62" s="353"/>
      <c r="BR62" s="353"/>
      <c r="BS62" s="353"/>
      <c r="BT62" s="67"/>
      <c r="BU62" s="353"/>
      <c r="BV62" s="353"/>
      <c r="BW62" s="353"/>
      <c r="BX62" s="353"/>
      <c r="BY62" s="353"/>
      <c r="BZ62" s="67"/>
      <c r="CA62" s="353"/>
      <c r="CB62" s="353"/>
      <c r="CC62" s="353"/>
      <c r="CD62" s="353"/>
      <c r="CE62" s="353"/>
      <c r="CF62" s="67"/>
      <c r="CG62" s="353"/>
      <c r="CH62" s="353"/>
      <c r="CI62" s="353"/>
      <c r="CJ62" s="353"/>
      <c r="CK62" s="353"/>
      <c r="CL62" s="67"/>
      <c r="CM62" s="353"/>
      <c r="CN62" s="353"/>
      <c r="CO62" s="353"/>
      <c r="CP62" s="353"/>
      <c r="CQ62" s="353"/>
      <c r="CR62" s="67"/>
      <c r="CS62" s="353"/>
      <c r="CT62" s="353"/>
      <c r="CU62" s="353"/>
      <c r="CV62" s="353"/>
      <c r="CW62" s="353"/>
      <c r="CX62" s="67"/>
      <c r="CY62" s="353"/>
      <c r="CZ62" s="353"/>
      <c r="DA62" s="353"/>
      <c r="DB62" s="353"/>
      <c r="DC62" s="353"/>
      <c r="DD62" s="67"/>
      <c r="DE62" s="353"/>
      <c r="DF62" s="353"/>
      <c r="DG62" s="353"/>
      <c r="DH62" s="353"/>
      <c r="DI62" s="353"/>
      <c r="DJ62" s="67"/>
      <c r="DK62" s="353"/>
      <c r="DL62" s="353"/>
      <c r="DM62" s="353"/>
      <c r="DN62" s="353"/>
      <c r="DO62" s="353"/>
      <c r="DP62" s="67"/>
      <c r="DQ62" s="353"/>
      <c r="DR62" s="353"/>
      <c r="DS62" s="353"/>
      <c r="DT62" s="353"/>
      <c r="DU62" s="353"/>
      <c r="DV62" s="67"/>
      <c r="DW62" s="353"/>
      <c r="DX62" s="353"/>
      <c r="DY62" s="353"/>
      <c r="DZ62" s="353"/>
      <c r="EA62" s="353"/>
      <c r="EB62" s="67"/>
      <c r="EC62" s="353"/>
      <c r="ED62" s="353"/>
      <c r="EE62" s="353"/>
      <c r="EF62" s="353"/>
      <c r="EG62" s="353"/>
      <c r="EH62" s="9"/>
      <c r="EJ62" s="378"/>
      <c r="EK62" s="378"/>
      <c r="EL62" s="380"/>
      <c r="EM62" s="380"/>
      <c r="EN62" s="380"/>
      <c r="EO62" s="380"/>
      <c r="EP62" s="380"/>
      <c r="EQ62" s="380"/>
      <c r="ER62" s="380"/>
      <c r="ES62" s="380"/>
      <c r="ET62" s="380"/>
      <c r="EU62" s="380"/>
      <c r="EV62" s="380"/>
      <c r="EW62" s="380"/>
      <c r="EX62" s="380"/>
      <c r="EY62" s="380"/>
      <c r="EZ62" s="380"/>
      <c r="FA62" s="380"/>
    </row>
    <row r="63" spans="1:161" ht="11.25" customHeight="1" x14ac:dyDescent="0.2">
      <c r="A63" s="3" t="s">
        <v>727</v>
      </c>
      <c r="B63" s="14"/>
      <c r="C63" s="14"/>
      <c r="D63" s="14"/>
      <c r="E63" s="69"/>
      <c r="F63" s="67"/>
      <c r="G63" s="69"/>
      <c r="H63" s="67"/>
      <c r="I63" s="69"/>
      <c r="J63" s="67"/>
      <c r="K63" s="69"/>
      <c r="L63" s="67"/>
      <c r="M63" s="353"/>
      <c r="N63" s="353"/>
      <c r="O63" s="353"/>
      <c r="P63" s="353"/>
      <c r="Q63" s="353"/>
      <c r="R63" s="67"/>
      <c r="S63" s="353"/>
      <c r="T63" s="353"/>
      <c r="U63" s="353"/>
      <c r="V63" s="353"/>
      <c r="W63" s="353"/>
      <c r="X63" s="67"/>
      <c r="Y63" s="353"/>
      <c r="Z63" s="353"/>
      <c r="AA63" s="353"/>
      <c r="AB63" s="353"/>
      <c r="AC63" s="353"/>
      <c r="AD63" s="67"/>
      <c r="AE63" s="353"/>
      <c r="AF63" s="353"/>
      <c r="AG63" s="353"/>
      <c r="AH63" s="353"/>
      <c r="AI63" s="353"/>
      <c r="AJ63" s="67"/>
      <c r="AK63" s="353"/>
      <c r="AL63" s="353"/>
      <c r="AM63" s="353"/>
      <c r="AN63" s="353"/>
      <c r="AO63" s="353"/>
      <c r="AP63" s="67"/>
      <c r="AQ63" s="353"/>
      <c r="AR63" s="353"/>
      <c r="AS63" s="353"/>
      <c r="AT63" s="353"/>
      <c r="AU63" s="353"/>
      <c r="AV63" s="67"/>
      <c r="AW63" s="353"/>
      <c r="AX63" s="353"/>
      <c r="AY63" s="353"/>
      <c r="AZ63" s="353"/>
      <c r="BA63" s="353"/>
      <c r="BB63" s="67"/>
      <c r="BC63" s="353"/>
      <c r="BD63" s="353"/>
      <c r="BE63" s="353"/>
      <c r="BF63" s="353"/>
      <c r="BG63" s="353"/>
      <c r="BH63" s="67"/>
      <c r="BI63" s="353"/>
      <c r="BJ63" s="353"/>
      <c r="BK63" s="353"/>
      <c r="BL63" s="353"/>
      <c r="BM63" s="353"/>
      <c r="BN63" s="67"/>
      <c r="BO63" s="353"/>
      <c r="BP63" s="353"/>
      <c r="BQ63" s="353"/>
      <c r="BR63" s="353"/>
      <c r="BS63" s="353"/>
      <c r="BT63" s="67"/>
      <c r="BU63" s="353"/>
      <c r="BV63" s="353"/>
      <c r="BW63" s="353"/>
      <c r="BX63" s="353"/>
      <c r="BY63" s="353"/>
      <c r="BZ63" s="67"/>
      <c r="CA63" s="353"/>
      <c r="CB63" s="353"/>
      <c r="CC63" s="353"/>
      <c r="CD63" s="353"/>
      <c r="CE63" s="353"/>
      <c r="CF63" s="67"/>
      <c r="CG63" s="353"/>
      <c r="CH63" s="353"/>
      <c r="CI63" s="353"/>
      <c r="CJ63" s="353"/>
      <c r="CK63" s="353"/>
      <c r="CL63" s="67"/>
      <c r="CM63" s="353"/>
      <c r="CN63" s="353"/>
      <c r="CO63" s="353"/>
      <c r="CP63" s="353"/>
      <c r="CQ63" s="353"/>
      <c r="CR63" s="67"/>
      <c r="CS63" s="353"/>
      <c r="CT63" s="353"/>
      <c r="CU63" s="353"/>
      <c r="CV63" s="353"/>
      <c r="CW63" s="353"/>
      <c r="CX63" s="67"/>
      <c r="CY63" s="353"/>
      <c r="CZ63" s="353"/>
      <c r="DA63" s="353"/>
      <c r="DB63" s="353"/>
      <c r="DC63" s="353"/>
      <c r="DD63" s="67"/>
      <c r="DE63" s="353"/>
      <c r="DF63" s="353"/>
      <c r="DG63" s="353"/>
      <c r="DH63" s="353"/>
      <c r="DI63" s="353"/>
      <c r="DJ63" s="67"/>
      <c r="DK63" s="353"/>
      <c r="DL63" s="353"/>
      <c r="DM63" s="353"/>
      <c r="DN63" s="353"/>
      <c r="DO63" s="353"/>
      <c r="DP63" s="67"/>
      <c r="DQ63" s="353"/>
      <c r="DR63" s="353"/>
      <c r="DS63" s="353"/>
      <c r="DT63" s="353"/>
      <c r="DU63" s="353"/>
      <c r="DV63" s="67"/>
      <c r="DW63" s="353"/>
      <c r="DX63" s="353"/>
      <c r="DY63" s="353"/>
      <c r="DZ63" s="353"/>
      <c r="EA63" s="353"/>
      <c r="EB63" s="67"/>
      <c r="EC63" s="353"/>
      <c r="ED63" s="353"/>
      <c r="EE63" s="353"/>
      <c r="EF63" s="353"/>
      <c r="EG63" s="353"/>
      <c r="EH63" s="9"/>
      <c r="EJ63" s="378"/>
      <c r="EK63" s="378"/>
      <c r="EL63" s="380"/>
      <c r="EM63" s="380"/>
      <c r="EN63" s="380"/>
      <c r="EO63" s="380"/>
      <c r="EP63" s="380"/>
      <c r="EQ63" s="380"/>
      <c r="ER63" s="380"/>
      <c r="ES63" s="380"/>
      <c r="ET63" s="380"/>
      <c r="EU63" s="380"/>
      <c r="EV63" s="380"/>
      <c r="EW63" s="380"/>
      <c r="EX63" s="380"/>
      <c r="EY63" s="380"/>
      <c r="EZ63" s="380"/>
      <c r="FA63" s="380"/>
    </row>
    <row r="64" spans="1:161" ht="11.25" customHeight="1" x14ac:dyDescent="0.2">
      <c r="A64" s="106" t="s">
        <v>418</v>
      </c>
      <c r="B64" s="74"/>
      <c r="C64" s="74"/>
      <c r="D64" s="74"/>
      <c r="E64" s="466"/>
      <c r="F64" s="75"/>
      <c r="G64" s="107"/>
      <c r="H64" s="75"/>
      <c r="I64" s="107"/>
      <c r="J64" s="75"/>
      <c r="K64" s="107"/>
      <c r="L64" s="75"/>
      <c r="M64" s="109"/>
      <c r="N64" s="110"/>
      <c r="O64" s="110"/>
      <c r="P64" s="110"/>
      <c r="Q64" s="107"/>
      <c r="R64" s="75"/>
      <c r="S64" s="109"/>
      <c r="T64" s="110"/>
      <c r="U64" s="110"/>
      <c r="V64" s="110"/>
      <c r="W64" s="107"/>
      <c r="X64" s="75"/>
      <c r="Y64" s="109"/>
      <c r="Z64" s="110"/>
      <c r="AA64" s="110"/>
      <c r="AB64" s="110"/>
      <c r="AC64" s="107"/>
      <c r="AD64" s="75"/>
      <c r="AE64" s="109"/>
      <c r="AF64" s="110"/>
      <c r="AG64" s="110"/>
      <c r="AH64" s="110"/>
      <c r="AI64" s="107"/>
      <c r="AJ64" s="75"/>
      <c r="AK64" s="109"/>
      <c r="AL64" s="110"/>
      <c r="AM64" s="110"/>
      <c r="AN64" s="110"/>
      <c r="AO64" s="107"/>
      <c r="AP64" s="75"/>
      <c r="AQ64" s="109"/>
      <c r="AR64" s="110"/>
      <c r="AS64" s="110"/>
      <c r="AT64" s="110"/>
      <c r="AU64" s="107"/>
      <c r="AV64" s="75"/>
      <c r="AW64" s="109"/>
      <c r="AX64" s="110"/>
      <c r="AY64" s="110"/>
      <c r="AZ64" s="110"/>
      <c r="BA64" s="107"/>
      <c r="BB64" s="75"/>
      <c r="BC64" s="109"/>
      <c r="BD64" s="110"/>
      <c r="BE64" s="110"/>
      <c r="BF64" s="110"/>
      <c r="BG64" s="107"/>
      <c r="BH64" s="75"/>
      <c r="BI64" s="109"/>
      <c r="BJ64" s="110"/>
      <c r="BK64" s="110"/>
      <c r="BL64" s="110"/>
      <c r="BM64" s="107"/>
      <c r="BN64" s="75"/>
      <c r="BO64" s="109"/>
      <c r="BP64" s="110"/>
      <c r="BQ64" s="110"/>
      <c r="BR64" s="110"/>
      <c r="BS64" s="107"/>
      <c r="BT64" s="75"/>
      <c r="BU64" s="109"/>
      <c r="BV64" s="110"/>
      <c r="BW64" s="110"/>
      <c r="BX64" s="110"/>
      <c r="BY64" s="107"/>
      <c r="BZ64" s="75"/>
      <c r="CA64" s="109"/>
      <c r="CB64" s="110"/>
      <c r="CC64" s="110"/>
      <c r="CD64" s="110"/>
      <c r="CE64" s="107"/>
      <c r="CF64" s="75"/>
      <c r="CG64" s="109"/>
      <c r="CH64" s="110"/>
      <c r="CI64" s="110"/>
      <c r="CJ64" s="110"/>
      <c r="CK64" s="107"/>
      <c r="CL64" s="75"/>
      <c r="CM64" s="109"/>
      <c r="CN64" s="110"/>
      <c r="CO64" s="110"/>
      <c r="CP64" s="110"/>
      <c r="CQ64" s="107"/>
      <c r="CR64" s="75"/>
      <c r="CS64" s="109"/>
      <c r="CT64" s="110"/>
      <c r="CU64" s="110"/>
      <c r="CV64" s="110"/>
      <c r="CW64" s="107"/>
      <c r="CX64" s="75"/>
      <c r="CY64" s="109"/>
      <c r="CZ64" s="110"/>
      <c r="DA64" s="110"/>
      <c r="DB64" s="110"/>
      <c r="DC64" s="107"/>
      <c r="DD64" s="75"/>
      <c r="DE64" s="109"/>
      <c r="DF64" s="110"/>
      <c r="DG64" s="110"/>
      <c r="DH64" s="110"/>
      <c r="DI64" s="107"/>
      <c r="DJ64" s="75"/>
      <c r="DK64" s="109"/>
      <c r="DL64" s="110"/>
      <c r="DM64" s="110"/>
      <c r="DN64" s="110"/>
      <c r="DO64" s="107"/>
      <c r="DP64" s="75"/>
      <c r="DQ64" s="109"/>
      <c r="DR64" s="110"/>
      <c r="DS64" s="110"/>
      <c r="DT64" s="110"/>
      <c r="DU64" s="107"/>
      <c r="DV64" s="75"/>
      <c r="DW64" s="109"/>
      <c r="DX64" s="110"/>
      <c r="DY64" s="110"/>
      <c r="DZ64" s="110"/>
      <c r="EA64" s="107"/>
      <c r="EB64" s="75"/>
      <c r="EC64" s="109"/>
      <c r="ED64" s="110"/>
      <c r="EE64" s="110"/>
      <c r="EF64" s="110"/>
      <c r="EG64" s="107"/>
      <c r="EH64" s="9"/>
      <c r="EJ64" s="378"/>
      <c r="EK64" s="378"/>
      <c r="EL64" s="380"/>
      <c r="EM64" s="380"/>
      <c r="EN64" s="380"/>
      <c r="EO64" s="380"/>
      <c r="EP64" s="380"/>
      <c r="EQ64" s="380"/>
      <c r="ER64" s="380"/>
      <c r="ES64" s="380"/>
      <c r="ET64" s="380"/>
      <c r="EU64" s="380"/>
      <c r="EV64" s="380"/>
      <c r="EW64" s="380"/>
      <c r="EX64" s="380"/>
      <c r="EY64" s="380"/>
      <c r="EZ64" s="380"/>
      <c r="FA64" s="380"/>
    </row>
    <row r="65" spans="1:157" ht="11.25" customHeight="1" x14ac:dyDescent="0.2">
      <c r="A65" s="128" t="s">
        <v>377</v>
      </c>
      <c r="B65" s="14"/>
      <c r="C65" s="14"/>
      <c r="D65" s="14"/>
      <c r="E65" s="141"/>
      <c r="F65" s="67"/>
      <c r="G65" s="141"/>
      <c r="H65" s="67"/>
      <c r="I65" s="141"/>
      <c r="J65" s="67"/>
      <c r="K65" s="141"/>
      <c r="L65" s="67"/>
      <c r="M65" s="418"/>
      <c r="N65" s="138"/>
      <c r="O65" s="138"/>
      <c r="P65" s="138"/>
      <c r="Q65" s="141"/>
      <c r="R65" s="67"/>
      <c r="S65" s="418"/>
      <c r="T65" s="138"/>
      <c r="U65" s="138"/>
      <c r="V65" s="138"/>
      <c r="W65" s="141"/>
      <c r="X65" s="67"/>
      <c r="Y65" s="467"/>
      <c r="Z65" s="369"/>
      <c r="AA65" s="369"/>
      <c r="AB65" s="369"/>
      <c r="AC65" s="370"/>
      <c r="AD65" s="67"/>
      <c r="AE65" s="467"/>
      <c r="AF65" s="369"/>
      <c r="AG65" s="369"/>
      <c r="AH65" s="369"/>
      <c r="AI65" s="370"/>
      <c r="AJ65" s="67"/>
      <c r="AK65" s="467"/>
      <c r="AL65" s="369"/>
      <c r="AM65" s="369"/>
      <c r="AN65" s="369"/>
      <c r="AO65" s="370"/>
      <c r="AP65" s="67"/>
      <c r="AQ65" s="467"/>
      <c r="AR65" s="369"/>
      <c r="AS65" s="369"/>
      <c r="AT65" s="369"/>
      <c r="AU65" s="370"/>
      <c r="AV65" s="67"/>
      <c r="AW65" s="467"/>
      <c r="AX65" s="369"/>
      <c r="AY65" s="369"/>
      <c r="AZ65" s="369"/>
      <c r="BA65" s="370"/>
      <c r="BB65" s="67"/>
      <c r="BC65" s="467"/>
      <c r="BD65" s="369"/>
      <c r="BE65" s="369"/>
      <c r="BF65" s="369"/>
      <c r="BG65" s="370"/>
      <c r="BH65" s="67"/>
      <c r="BI65" s="467"/>
      <c r="BJ65" s="369"/>
      <c r="BK65" s="369"/>
      <c r="BL65" s="369"/>
      <c r="BM65" s="370"/>
      <c r="BN65" s="67"/>
      <c r="BO65" s="467"/>
      <c r="BP65" s="369"/>
      <c r="BQ65" s="369"/>
      <c r="BR65" s="369"/>
      <c r="BS65" s="370"/>
      <c r="BT65" s="67"/>
      <c r="BU65" s="467"/>
      <c r="BV65" s="369"/>
      <c r="BW65" s="369"/>
      <c r="BX65" s="369"/>
      <c r="BY65" s="370"/>
      <c r="BZ65" s="67"/>
      <c r="CA65" s="467"/>
      <c r="CB65" s="369"/>
      <c r="CC65" s="369"/>
      <c r="CD65" s="369"/>
      <c r="CE65" s="370"/>
      <c r="CF65" s="67"/>
      <c r="CG65" s="467"/>
      <c r="CH65" s="369"/>
      <c r="CI65" s="369"/>
      <c r="CJ65" s="369"/>
      <c r="CK65" s="370"/>
      <c r="CL65" s="67"/>
      <c r="CM65" s="467"/>
      <c r="CN65" s="369"/>
      <c r="CO65" s="369"/>
      <c r="CP65" s="369"/>
      <c r="CQ65" s="370"/>
      <c r="CR65" s="67"/>
      <c r="CS65" s="467"/>
      <c r="CT65" s="369"/>
      <c r="CU65" s="369"/>
      <c r="CV65" s="369"/>
      <c r="CW65" s="370"/>
      <c r="CX65" s="67"/>
      <c r="CY65" s="467"/>
      <c r="CZ65" s="369"/>
      <c r="DA65" s="369"/>
      <c r="DB65" s="369"/>
      <c r="DC65" s="370"/>
      <c r="DD65" s="355"/>
      <c r="DE65" s="467"/>
      <c r="DF65" s="369"/>
      <c r="DG65" s="369"/>
      <c r="DH65" s="369"/>
      <c r="DI65" s="370"/>
      <c r="DJ65" s="355"/>
      <c r="DK65" s="467"/>
      <c r="DL65" s="369"/>
      <c r="DM65" s="369"/>
      <c r="DN65" s="369"/>
      <c r="DO65" s="370"/>
      <c r="DP65" s="355"/>
      <c r="DQ65" s="467"/>
      <c r="DR65" s="369"/>
      <c r="DS65" s="369"/>
      <c r="DT65" s="369"/>
      <c r="DU65" s="370"/>
      <c r="DV65" s="355"/>
      <c r="DW65" s="467"/>
      <c r="DX65" s="369"/>
      <c r="DY65" s="369"/>
      <c r="DZ65" s="369"/>
      <c r="EA65" s="370"/>
      <c r="EB65" s="355"/>
      <c r="EC65" s="467"/>
      <c r="ED65" s="369"/>
      <c r="EE65" s="369"/>
      <c r="EF65" s="369"/>
      <c r="EG65" s="370"/>
      <c r="EH65" s="9"/>
      <c r="EJ65" s="378"/>
      <c r="EK65" s="378"/>
      <c r="EL65" s="380"/>
      <c r="EM65" s="380"/>
      <c r="EN65" s="380"/>
      <c r="EO65" s="380"/>
      <c r="EP65" s="380"/>
      <c r="EQ65" s="380"/>
      <c r="ER65" s="380"/>
      <c r="ES65" s="380"/>
      <c r="ET65" s="380"/>
      <c r="EU65" s="380"/>
      <c r="EV65" s="380"/>
      <c r="EW65" s="380"/>
      <c r="EX65" s="380"/>
      <c r="EY65" s="380"/>
      <c r="EZ65" s="380"/>
      <c r="FA65" s="380"/>
    </row>
    <row r="66" spans="1:157" ht="11.25" customHeight="1" x14ac:dyDescent="0.2">
      <c r="A66" s="51" t="s">
        <v>115</v>
      </c>
      <c r="B66" s="14"/>
      <c r="C66" s="14"/>
      <c r="D66" s="14"/>
      <c r="E66" s="93"/>
      <c r="F66" s="67"/>
      <c r="G66" s="93"/>
      <c r="H66" s="67"/>
      <c r="I66" s="93"/>
      <c r="J66" s="67"/>
      <c r="K66" s="93"/>
      <c r="L66" s="67"/>
      <c r="M66" s="82"/>
      <c r="N66" s="67"/>
      <c r="O66" s="67"/>
      <c r="P66" s="67"/>
      <c r="Q66" s="93"/>
      <c r="R66" s="67"/>
      <c r="S66" s="82"/>
      <c r="T66" s="67"/>
      <c r="U66" s="67"/>
      <c r="V66" s="67"/>
      <c r="W66" s="93"/>
      <c r="X66" s="67"/>
      <c r="Y66" s="354"/>
      <c r="Z66" s="355"/>
      <c r="AA66" s="355"/>
      <c r="AB66" s="355"/>
      <c r="AC66" s="371"/>
      <c r="AD66" s="67"/>
      <c r="AE66" s="354"/>
      <c r="AF66" s="355"/>
      <c r="AG66" s="355"/>
      <c r="AH66" s="355"/>
      <c r="AI66" s="371"/>
      <c r="AJ66" s="67"/>
      <c r="AK66" s="354"/>
      <c r="AL66" s="355"/>
      <c r="AM66" s="355"/>
      <c r="AN66" s="355"/>
      <c r="AO66" s="371"/>
      <c r="AP66" s="67"/>
      <c r="AQ66" s="354"/>
      <c r="AR66" s="355"/>
      <c r="AS66" s="355"/>
      <c r="AT66" s="355"/>
      <c r="AU66" s="371"/>
      <c r="AV66" s="67"/>
      <c r="AW66" s="354"/>
      <c r="AX66" s="355"/>
      <c r="AY66" s="355"/>
      <c r="AZ66" s="355"/>
      <c r="BA66" s="371"/>
      <c r="BB66" s="67"/>
      <c r="BC66" s="354"/>
      <c r="BD66" s="355"/>
      <c r="BE66" s="355"/>
      <c r="BF66" s="355"/>
      <c r="BG66" s="371"/>
      <c r="BH66" s="67"/>
      <c r="BI66" s="354"/>
      <c r="BJ66" s="355"/>
      <c r="BK66" s="355"/>
      <c r="BL66" s="355"/>
      <c r="BM66" s="371"/>
      <c r="BN66" s="67"/>
      <c r="BO66" s="354"/>
      <c r="BP66" s="355"/>
      <c r="BQ66" s="355"/>
      <c r="BR66" s="355"/>
      <c r="BS66" s="371"/>
      <c r="BT66" s="67"/>
      <c r="BU66" s="354"/>
      <c r="BV66" s="355"/>
      <c r="BW66" s="355"/>
      <c r="BX66" s="355"/>
      <c r="BY66" s="371"/>
      <c r="BZ66" s="67"/>
      <c r="CA66" s="354"/>
      <c r="CB66" s="355"/>
      <c r="CC66" s="355"/>
      <c r="CD66" s="355"/>
      <c r="CE66" s="371"/>
      <c r="CF66" s="67"/>
      <c r="CG66" s="354"/>
      <c r="CH66" s="355"/>
      <c r="CI66" s="355"/>
      <c r="CJ66" s="355"/>
      <c r="CK66" s="371"/>
      <c r="CL66" s="67"/>
      <c r="CM66" s="354"/>
      <c r="CN66" s="355"/>
      <c r="CO66" s="355"/>
      <c r="CP66" s="355"/>
      <c r="CQ66" s="371"/>
      <c r="CR66" s="67"/>
      <c r="CS66" s="354"/>
      <c r="CT66" s="355"/>
      <c r="CU66" s="355"/>
      <c r="CV66" s="355"/>
      <c r="CW66" s="371"/>
      <c r="CX66" s="67"/>
      <c r="CY66" s="354"/>
      <c r="CZ66" s="355"/>
      <c r="DA66" s="355"/>
      <c r="DB66" s="355"/>
      <c r="DC66" s="371"/>
      <c r="DD66" s="355"/>
      <c r="DE66" s="354"/>
      <c r="DF66" s="355"/>
      <c r="DG66" s="355"/>
      <c r="DH66" s="355"/>
      <c r="DI66" s="371"/>
      <c r="DJ66" s="355"/>
      <c r="DK66" s="354"/>
      <c r="DL66" s="355"/>
      <c r="DM66" s="355"/>
      <c r="DN66" s="355"/>
      <c r="DO66" s="371"/>
      <c r="DP66" s="355"/>
      <c r="DQ66" s="354"/>
      <c r="DR66" s="355"/>
      <c r="DS66" s="355"/>
      <c r="DT66" s="355"/>
      <c r="DU66" s="371"/>
      <c r="DV66" s="355"/>
      <c r="DW66" s="354"/>
      <c r="DX66" s="355"/>
      <c r="DY66" s="355"/>
      <c r="DZ66" s="355"/>
      <c r="EA66" s="371"/>
      <c r="EB66" s="355"/>
      <c r="EC66" s="354"/>
      <c r="ED66" s="355"/>
      <c r="EE66" s="355"/>
      <c r="EF66" s="355"/>
      <c r="EG66" s="371"/>
      <c r="EH66" s="9"/>
      <c r="EJ66" s="378"/>
      <c r="EK66" s="378"/>
      <c r="EL66" s="380"/>
      <c r="EM66" s="380"/>
      <c r="EN66" s="380"/>
      <c r="EO66" s="380"/>
      <c r="EP66" s="380"/>
      <c r="EQ66" s="380"/>
      <c r="ER66" s="380"/>
      <c r="ES66" s="380"/>
      <c r="ET66" s="380"/>
      <c r="EU66" s="380"/>
      <c r="EV66" s="380"/>
      <c r="EW66" s="380"/>
      <c r="EX66" s="380"/>
      <c r="EY66" s="380"/>
      <c r="EZ66" s="380"/>
      <c r="FA66" s="380"/>
    </row>
    <row r="67" spans="1:157" ht="11.25" customHeight="1" x14ac:dyDescent="0.2">
      <c r="A67" s="51" t="s">
        <v>163</v>
      </c>
      <c r="B67" s="14"/>
      <c r="C67" s="14"/>
      <c r="D67" s="14"/>
      <c r="E67" s="93"/>
      <c r="F67" s="67"/>
      <c r="G67" s="93"/>
      <c r="H67" s="67"/>
      <c r="I67" s="93"/>
      <c r="J67" s="67"/>
      <c r="K67" s="93"/>
      <c r="L67" s="67"/>
      <c r="M67" s="82"/>
      <c r="N67" s="67"/>
      <c r="O67" s="67"/>
      <c r="P67" s="67"/>
      <c r="Q67" s="93"/>
      <c r="R67" s="67"/>
      <c r="S67" s="82"/>
      <c r="T67" s="67"/>
      <c r="U67" s="67"/>
      <c r="V67" s="67"/>
      <c r="W67" s="93"/>
      <c r="X67" s="67"/>
      <c r="Y67" s="354"/>
      <c r="Z67" s="355"/>
      <c r="AA67" s="355"/>
      <c r="AB67" s="355"/>
      <c r="AC67" s="371"/>
      <c r="AD67" s="67"/>
      <c r="AE67" s="354"/>
      <c r="AF67" s="355"/>
      <c r="AG67" s="355"/>
      <c r="AH67" s="355"/>
      <c r="AI67" s="371"/>
      <c r="AJ67" s="67"/>
      <c r="AK67" s="354"/>
      <c r="AL67" s="355"/>
      <c r="AM67" s="355"/>
      <c r="AN67" s="355"/>
      <c r="AO67" s="371"/>
      <c r="AP67" s="67"/>
      <c r="AQ67" s="354"/>
      <c r="AR67" s="355"/>
      <c r="AS67" s="355"/>
      <c r="AT67" s="355"/>
      <c r="AU67" s="371"/>
      <c r="AV67" s="67"/>
      <c r="AW67" s="354"/>
      <c r="AX67" s="355"/>
      <c r="AY67" s="355"/>
      <c r="AZ67" s="355"/>
      <c r="BA67" s="371"/>
      <c r="BB67" s="67"/>
      <c r="BC67" s="354"/>
      <c r="BD67" s="355"/>
      <c r="BE67" s="355"/>
      <c r="BF67" s="355"/>
      <c r="BG67" s="371"/>
      <c r="BH67" s="67"/>
      <c r="BI67" s="354"/>
      <c r="BJ67" s="355"/>
      <c r="BK67" s="355"/>
      <c r="BL67" s="355"/>
      <c r="BM67" s="371"/>
      <c r="BN67" s="67"/>
      <c r="BO67" s="354"/>
      <c r="BP67" s="355"/>
      <c r="BQ67" s="355"/>
      <c r="BR67" s="355"/>
      <c r="BS67" s="371"/>
      <c r="BT67" s="67"/>
      <c r="BU67" s="354"/>
      <c r="BV67" s="355"/>
      <c r="BW67" s="355"/>
      <c r="BX67" s="355"/>
      <c r="BY67" s="371"/>
      <c r="BZ67" s="67"/>
      <c r="CA67" s="354"/>
      <c r="CB67" s="355"/>
      <c r="CC67" s="355"/>
      <c r="CD67" s="355"/>
      <c r="CE67" s="371"/>
      <c r="CF67" s="67"/>
      <c r="CG67" s="354"/>
      <c r="CH67" s="355"/>
      <c r="CI67" s="355"/>
      <c r="CJ67" s="355"/>
      <c r="CK67" s="371"/>
      <c r="CL67" s="67"/>
      <c r="CM67" s="354"/>
      <c r="CN67" s="355"/>
      <c r="CO67" s="355"/>
      <c r="CP67" s="355"/>
      <c r="CQ67" s="371"/>
      <c r="CR67" s="67"/>
      <c r="CS67" s="354"/>
      <c r="CT67" s="355"/>
      <c r="CU67" s="355"/>
      <c r="CV67" s="355"/>
      <c r="CW67" s="371"/>
      <c r="CX67" s="67"/>
      <c r="CY67" s="354"/>
      <c r="CZ67" s="355"/>
      <c r="DA67" s="355"/>
      <c r="DB67" s="355"/>
      <c r="DC67" s="371"/>
      <c r="DD67" s="355"/>
      <c r="DE67" s="354"/>
      <c r="DF67" s="355"/>
      <c r="DG67" s="355"/>
      <c r="DH67" s="355"/>
      <c r="DI67" s="371"/>
      <c r="DJ67" s="355"/>
      <c r="DK67" s="354"/>
      <c r="DL67" s="355"/>
      <c r="DM67" s="355"/>
      <c r="DN67" s="355"/>
      <c r="DO67" s="371"/>
      <c r="DP67" s="355"/>
      <c r="DQ67" s="354"/>
      <c r="DR67" s="355"/>
      <c r="DS67" s="355"/>
      <c r="DT67" s="355"/>
      <c r="DU67" s="371"/>
      <c r="DV67" s="355"/>
      <c r="DW67" s="354"/>
      <c r="DX67" s="355"/>
      <c r="DY67" s="355"/>
      <c r="DZ67" s="355"/>
      <c r="EA67" s="371"/>
      <c r="EB67" s="355"/>
      <c r="EC67" s="354"/>
      <c r="ED67" s="355"/>
      <c r="EE67" s="355"/>
      <c r="EF67" s="355"/>
      <c r="EG67" s="371"/>
      <c r="EH67" s="9"/>
      <c r="EJ67" s="378"/>
      <c r="EK67" s="378"/>
      <c r="EL67" s="380"/>
      <c r="EM67" s="380"/>
      <c r="EN67" s="380"/>
      <c r="EO67" s="380"/>
      <c r="EP67" s="380"/>
      <c r="EQ67" s="380"/>
      <c r="ER67" s="380"/>
      <c r="ES67" s="380"/>
      <c r="ET67" s="380"/>
      <c r="EU67" s="380"/>
      <c r="EV67" s="380"/>
      <c r="EW67" s="380"/>
      <c r="EX67" s="380"/>
      <c r="EY67" s="380"/>
      <c r="EZ67" s="380"/>
      <c r="FA67" s="380"/>
    </row>
    <row r="68" spans="1:157" ht="11.25" customHeight="1" x14ac:dyDescent="0.2">
      <c r="A68" s="51" t="s">
        <v>466</v>
      </c>
      <c r="B68" s="14"/>
      <c r="C68" s="14"/>
      <c r="D68" s="14"/>
      <c r="E68" s="93"/>
      <c r="F68" s="67"/>
      <c r="G68" s="93"/>
      <c r="H68" s="67"/>
      <c r="I68" s="93"/>
      <c r="J68" s="67"/>
      <c r="K68" s="93"/>
      <c r="L68" s="67"/>
      <c r="M68" s="82"/>
      <c r="N68" s="67"/>
      <c r="O68" s="67"/>
      <c r="P68" s="67"/>
      <c r="Q68" s="93"/>
      <c r="R68" s="67"/>
      <c r="S68" s="82"/>
      <c r="T68" s="67"/>
      <c r="U68" s="67"/>
      <c r="V68" s="67"/>
      <c r="W68" s="93"/>
      <c r="X68" s="67"/>
      <c r="Y68" s="354"/>
      <c r="Z68" s="355"/>
      <c r="AA68" s="355"/>
      <c r="AB68" s="355"/>
      <c r="AC68" s="371"/>
      <c r="AD68" s="67"/>
      <c r="AE68" s="354"/>
      <c r="AF68" s="355"/>
      <c r="AG68" s="355"/>
      <c r="AH68" s="355"/>
      <c r="AI68" s="371"/>
      <c r="AJ68" s="67"/>
      <c r="AK68" s="354"/>
      <c r="AL68" s="355"/>
      <c r="AM68" s="355"/>
      <c r="AN68" s="355"/>
      <c r="AO68" s="371"/>
      <c r="AP68" s="67"/>
      <c r="AQ68" s="354"/>
      <c r="AR68" s="355"/>
      <c r="AS68" s="355"/>
      <c r="AT68" s="355"/>
      <c r="AU68" s="371"/>
      <c r="AV68" s="67"/>
      <c r="AW68" s="354"/>
      <c r="AX68" s="355"/>
      <c r="AY68" s="355"/>
      <c r="AZ68" s="355"/>
      <c r="BA68" s="371"/>
      <c r="BB68" s="67"/>
      <c r="BC68" s="354"/>
      <c r="BD68" s="355"/>
      <c r="BE68" s="355"/>
      <c r="BF68" s="355"/>
      <c r="BG68" s="371"/>
      <c r="BH68" s="67"/>
      <c r="BI68" s="354"/>
      <c r="BJ68" s="355"/>
      <c r="BK68" s="355"/>
      <c r="BL68" s="355"/>
      <c r="BM68" s="371"/>
      <c r="BN68" s="67"/>
      <c r="BO68" s="354"/>
      <c r="BP68" s="355"/>
      <c r="BQ68" s="355"/>
      <c r="BR68" s="355"/>
      <c r="BS68" s="371"/>
      <c r="BT68" s="67"/>
      <c r="BU68" s="354"/>
      <c r="BV68" s="355"/>
      <c r="BW68" s="355"/>
      <c r="BX68" s="355"/>
      <c r="BY68" s="371"/>
      <c r="BZ68" s="67"/>
      <c r="CA68" s="354"/>
      <c r="CB68" s="355"/>
      <c r="CC68" s="355"/>
      <c r="CD68" s="355"/>
      <c r="CE68" s="371"/>
      <c r="CF68" s="67"/>
      <c r="CG68" s="354"/>
      <c r="CH68" s="355"/>
      <c r="CI68" s="355"/>
      <c r="CJ68" s="355"/>
      <c r="CK68" s="371"/>
      <c r="CL68" s="67"/>
      <c r="CM68" s="354"/>
      <c r="CN68" s="355"/>
      <c r="CO68" s="355"/>
      <c r="CP68" s="355"/>
      <c r="CQ68" s="371"/>
      <c r="CR68" s="67"/>
      <c r="CS68" s="354"/>
      <c r="CT68" s="355"/>
      <c r="CU68" s="355"/>
      <c r="CV68" s="355"/>
      <c r="CW68" s="371"/>
      <c r="CX68" s="67"/>
      <c r="CY68" s="354"/>
      <c r="CZ68" s="355"/>
      <c r="DA68" s="355"/>
      <c r="DB68" s="355"/>
      <c r="DC68" s="371"/>
      <c r="DD68" s="355"/>
      <c r="DE68" s="354"/>
      <c r="DF68" s="355"/>
      <c r="DG68" s="355"/>
      <c r="DH68" s="355"/>
      <c r="DI68" s="371"/>
      <c r="DJ68" s="355"/>
      <c r="DK68" s="354"/>
      <c r="DL68" s="355"/>
      <c r="DM68" s="355"/>
      <c r="DN68" s="355"/>
      <c r="DO68" s="371"/>
      <c r="DP68" s="355"/>
      <c r="DQ68" s="354"/>
      <c r="DR68" s="355"/>
      <c r="DS68" s="355"/>
      <c r="DT68" s="355"/>
      <c r="DU68" s="371"/>
      <c r="DV68" s="355"/>
      <c r="DW68" s="354"/>
      <c r="DX68" s="355"/>
      <c r="DY68" s="355"/>
      <c r="DZ68" s="355"/>
      <c r="EA68" s="371"/>
      <c r="EB68" s="355"/>
      <c r="EC68" s="354"/>
      <c r="ED68" s="355"/>
      <c r="EE68" s="355"/>
      <c r="EF68" s="355"/>
      <c r="EG68" s="371"/>
      <c r="EH68" s="9"/>
      <c r="EJ68" s="378"/>
      <c r="EK68" s="378"/>
      <c r="EL68" s="380"/>
      <c r="EM68" s="380"/>
      <c r="EN68" s="380"/>
      <c r="EO68" s="380"/>
      <c r="EP68" s="380"/>
      <c r="EQ68" s="380"/>
      <c r="ER68" s="380"/>
      <c r="ES68" s="380"/>
      <c r="ET68" s="380"/>
      <c r="EU68" s="380"/>
      <c r="EV68" s="380"/>
      <c r="EW68" s="380"/>
      <c r="EX68" s="380"/>
      <c r="EY68" s="380"/>
      <c r="EZ68" s="380"/>
      <c r="FA68" s="380"/>
    </row>
    <row r="69" spans="1:157" ht="11.25" customHeight="1" x14ac:dyDescent="0.2">
      <c r="A69" s="199" t="s">
        <v>239</v>
      </c>
      <c r="B69" s="14"/>
      <c r="C69" s="14"/>
      <c r="D69" s="14"/>
      <c r="E69" s="196"/>
      <c r="F69" s="67"/>
      <c r="G69" s="196"/>
      <c r="H69" s="67"/>
      <c r="I69" s="196"/>
      <c r="J69" s="67"/>
      <c r="K69" s="196"/>
      <c r="L69" s="67"/>
      <c r="M69" s="197"/>
      <c r="N69" s="87"/>
      <c r="O69" s="87"/>
      <c r="P69" s="87"/>
      <c r="Q69" s="196"/>
      <c r="R69" s="67"/>
      <c r="S69" s="197"/>
      <c r="T69" s="87"/>
      <c r="U69" s="87"/>
      <c r="V69" s="87"/>
      <c r="W69" s="196"/>
      <c r="X69" s="67"/>
      <c r="Y69" s="468"/>
      <c r="Z69" s="469"/>
      <c r="AA69" s="469"/>
      <c r="AB69" s="469"/>
      <c r="AC69" s="470"/>
      <c r="AD69" s="67"/>
      <c r="AE69" s="468"/>
      <c r="AF69" s="469"/>
      <c r="AG69" s="469"/>
      <c r="AH69" s="469"/>
      <c r="AI69" s="470"/>
      <c r="AJ69" s="67"/>
      <c r="AK69" s="468"/>
      <c r="AL69" s="469"/>
      <c r="AM69" s="469"/>
      <c r="AN69" s="469"/>
      <c r="AO69" s="470"/>
      <c r="AP69" s="67"/>
      <c r="AQ69" s="468"/>
      <c r="AR69" s="469"/>
      <c r="AS69" s="469"/>
      <c r="AT69" s="469"/>
      <c r="AU69" s="470"/>
      <c r="AV69" s="67"/>
      <c r="AW69" s="468"/>
      <c r="AX69" s="469"/>
      <c r="AY69" s="469"/>
      <c r="AZ69" s="469"/>
      <c r="BA69" s="470"/>
      <c r="BB69" s="67"/>
      <c r="BC69" s="468"/>
      <c r="BD69" s="469"/>
      <c r="BE69" s="469"/>
      <c r="BF69" s="469"/>
      <c r="BG69" s="470"/>
      <c r="BH69" s="67"/>
      <c r="BI69" s="468"/>
      <c r="BJ69" s="469"/>
      <c r="BK69" s="469"/>
      <c r="BL69" s="469"/>
      <c r="BM69" s="470"/>
      <c r="BN69" s="67"/>
      <c r="BO69" s="468"/>
      <c r="BP69" s="469"/>
      <c r="BQ69" s="469"/>
      <c r="BR69" s="469"/>
      <c r="BS69" s="470"/>
      <c r="BT69" s="67"/>
      <c r="BU69" s="468"/>
      <c r="BV69" s="469"/>
      <c r="BW69" s="469"/>
      <c r="BX69" s="469"/>
      <c r="BY69" s="470"/>
      <c r="BZ69" s="67"/>
      <c r="CA69" s="468"/>
      <c r="CB69" s="469"/>
      <c r="CC69" s="469"/>
      <c r="CD69" s="469"/>
      <c r="CE69" s="470"/>
      <c r="CF69" s="67"/>
      <c r="CG69" s="468"/>
      <c r="CH69" s="469"/>
      <c r="CI69" s="469"/>
      <c r="CJ69" s="469"/>
      <c r="CK69" s="470"/>
      <c r="CL69" s="67"/>
      <c r="CM69" s="468"/>
      <c r="CN69" s="469"/>
      <c r="CO69" s="469"/>
      <c r="CP69" s="469"/>
      <c r="CQ69" s="470"/>
      <c r="CR69" s="67"/>
      <c r="CS69" s="468"/>
      <c r="CT69" s="469"/>
      <c r="CU69" s="469"/>
      <c r="CV69" s="469"/>
      <c r="CW69" s="470"/>
      <c r="CX69" s="67"/>
      <c r="CY69" s="468"/>
      <c r="CZ69" s="469"/>
      <c r="DA69" s="469"/>
      <c r="DB69" s="469"/>
      <c r="DC69" s="470"/>
      <c r="DD69" s="355"/>
      <c r="DE69" s="468"/>
      <c r="DF69" s="469"/>
      <c r="DG69" s="469"/>
      <c r="DH69" s="469"/>
      <c r="DI69" s="470"/>
      <c r="DJ69" s="355"/>
      <c r="DK69" s="468"/>
      <c r="DL69" s="469"/>
      <c r="DM69" s="469"/>
      <c r="DN69" s="469"/>
      <c r="DO69" s="470"/>
      <c r="DP69" s="355"/>
      <c r="DQ69" s="468"/>
      <c r="DR69" s="469"/>
      <c r="DS69" s="469"/>
      <c r="DT69" s="469"/>
      <c r="DU69" s="470"/>
      <c r="DV69" s="355"/>
      <c r="DW69" s="468"/>
      <c r="DX69" s="469"/>
      <c r="DY69" s="469"/>
      <c r="DZ69" s="469"/>
      <c r="EA69" s="470"/>
      <c r="EB69" s="355"/>
      <c r="EC69" s="468"/>
      <c r="ED69" s="469"/>
      <c r="EE69" s="469"/>
      <c r="EF69" s="469"/>
      <c r="EG69" s="470"/>
      <c r="EH69" s="9"/>
      <c r="EJ69" s="378"/>
      <c r="EK69" s="378"/>
      <c r="EL69" s="380"/>
      <c r="EM69" s="380"/>
      <c r="EN69" s="380"/>
      <c r="EO69" s="380"/>
      <c r="EP69" s="380"/>
      <c r="EQ69" s="380"/>
      <c r="ER69" s="380"/>
      <c r="ES69" s="380"/>
      <c r="ET69" s="380"/>
      <c r="EU69" s="380"/>
      <c r="EV69" s="380"/>
      <c r="EW69" s="380"/>
      <c r="EX69" s="380"/>
      <c r="EY69" s="380"/>
      <c r="EZ69" s="380"/>
      <c r="FA69" s="380"/>
    </row>
    <row r="70" spans="1:157" ht="11.25" customHeight="1" x14ac:dyDescent="0.2">
      <c r="A70" s="173"/>
      <c r="B70" s="376"/>
      <c r="C70" s="376"/>
      <c r="D70" s="376"/>
      <c r="E70" s="377"/>
      <c r="F70" s="377"/>
      <c r="G70" s="377"/>
      <c r="H70" s="377"/>
      <c r="I70" s="377"/>
      <c r="J70" s="377"/>
      <c r="K70" s="377"/>
      <c r="L70" s="377"/>
      <c r="M70" s="377"/>
      <c r="N70" s="377"/>
      <c r="O70" s="377"/>
      <c r="P70" s="377"/>
      <c r="Q70" s="377"/>
      <c r="R70" s="377"/>
      <c r="S70" s="377"/>
      <c r="T70" s="377"/>
      <c r="U70" s="377"/>
      <c r="V70" s="377"/>
      <c r="W70" s="377"/>
      <c r="X70" s="377"/>
      <c r="Y70" s="377"/>
      <c r="Z70" s="377"/>
      <c r="AA70" s="377"/>
      <c r="AB70" s="377"/>
      <c r="AC70" s="377"/>
      <c r="AD70" s="377"/>
      <c r="AE70" s="377"/>
      <c r="AF70" s="377"/>
      <c r="AG70" s="377"/>
      <c r="AH70" s="377"/>
      <c r="AI70" s="377"/>
      <c r="AJ70" s="377"/>
      <c r="AK70" s="377"/>
      <c r="AL70" s="377"/>
      <c r="AM70" s="377"/>
      <c r="AN70" s="377"/>
      <c r="AO70" s="377"/>
      <c r="AP70" s="377"/>
      <c r="AQ70" s="377"/>
      <c r="AR70" s="377"/>
      <c r="AS70" s="377"/>
      <c r="AT70" s="377"/>
      <c r="AU70" s="377"/>
      <c r="AV70" s="377"/>
      <c r="AW70" s="377"/>
      <c r="AX70" s="377"/>
      <c r="AY70" s="377"/>
      <c r="AZ70" s="377"/>
      <c r="BA70" s="377"/>
      <c r="BB70" s="377"/>
      <c r="BC70" s="377"/>
      <c r="BD70" s="377"/>
      <c r="BE70" s="377"/>
      <c r="BF70" s="377"/>
      <c r="BG70" s="377"/>
      <c r="BH70" s="377"/>
      <c r="BI70" s="377"/>
      <c r="BJ70" s="377"/>
      <c r="BK70" s="377"/>
      <c r="BL70" s="377"/>
      <c r="BM70" s="377"/>
      <c r="BN70" s="377"/>
      <c r="BO70" s="377"/>
      <c r="BP70" s="377"/>
      <c r="BQ70" s="377"/>
      <c r="BR70" s="377"/>
      <c r="BS70" s="377"/>
      <c r="BT70" s="377"/>
      <c r="BU70" s="377"/>
      <c r="BV70" s="377"/>
      <c r="BW70" s="377"/>
      <c r="BX70" s="377"/>
      <c r="BY70" s="377"/>
      <c r="BZ70" s="377"/>
      <c r="CA70" s="377"/>
      <c r="CB70" s="377"/>
      <c r="CC70" s="377"/>
      <c r="CD70" s="377"/>
      <c r="CE70" s="377"/>
      <c r="CF70" s="377"/>
      <c r="CG70" s="377"/>
      <c r="CH70" s="377"/>
      <c r="CI70" s="377"/>
      <c r="CJ70" s="377"/>
      <c r="CK70" s="377"/>
      <c r="CL70" s="377"/>
      <c r="CM70" s="377"/>
      <c r="CN70" s="377"/>
      <c r="CO70" s="377"/>
      <c r="CP70" s="377"/>
      <c r="CQ70" s="377"/>
      <c r="CR70" s="377"/>
      <c r="CS70" s="338"/>
      <c r="CT70" s="338"/>
      <c r="CU70" s="338"/>
      <c r="CV70" s="338"/>
      <c r="CW70" s="338"/>
      <c r="CX70" s="377"/>
      <c r="CY70" s="338"/>
      <c r="CZ70" s="338"/>
      <c r="DA70" s="338"/>
      <c r="DB70" s="338"/>
      <c r="DC70" s="338"/>
      <c r="DD70" s="377"/>
      <c r="DE70" s="338"/>
      <c r="DF70" s="338"/>
      <c r="DG70" s="338"/>
      <c r="DH70" s="338"/>
      <c r="DI70" s="338"/>
      <c r="DJ70" s="377"/>
      <c r="DK70" s="338"/>
      <c r="DL70" s="338"/>
      <c r="DM70" s="338"/>
      <c r="DN70" s="338"/>
      <c r="DO70" s="338"/>
      <c r="DP70" s="377"/>
      <c r="DQ70" s="338"/>
      <c r="DR70" s="338"/>
      <c r="DS70" s="338"/>
      <c r="DT70" s="338"/>
      <c r="DU70" s="338"/>
      <c r="DV70" s="377"/>
      <c r="DW70" s="338"/>
      <c r="DX70" s="338"/>
      <c r="DY70" s="338"/>
      <c r="DZ70" s="338"/>
      <c r="EA70" s="338"/>
      <c r="EB70" s="377"/>
      <c r="EC70" s="338"/>
      <c r="ED70" s="338"/>
      <c r="EE70" s="338"/>
      <c r="EF70" s="338"/>
      <c r="EG70" s="338"/>
      <c r="EH70" s="9"/>
      <c r="EJ70" s="378"/>
      <c r="EK70" s="378"/>
      <c r="EL70" s="380"/>
      <c r="EM70" s="380"/>
      <c r="EN70" s="380"/>
      <c r="EO70" s="380"/>
      <c r="EP70" s="380"/>
      <c r="EQ70" s="380"/>
      <c r="ER70" s="380"/>
      <c r="ES70" s="380"/>
      <c r="ET70" s="380"/>
      <c r="EU70" s="380"/>
      <c r="EV70" s="380"/>
      <c r="EW70" s="380"/>
      <c r="EX70" s="380"/>
      <c r="EY70" s="380"/>
      <c r="EZ70" s="380"/>
      <c r="FA70" s="380"/>
    </row>
    <row r="71" spans="1:157" ht="11.25" customHeight="1" x14ac:dyDescent="0.2">
      <c r="A71" s="106" t="s">
        <v>419</v>
      </c>
      <c r="B71" s="74"/>
      <c r="C71" s="74"/>
      <c r="D71" s="74"/>
      <c r="E71" s="107"/>
      <c r="F71" s="75"/>
      <c r="G71" s="107"/>
      <c r="H71" s="75"/>
      <c r="I71" s="107"/>
      <c r="J71" s="75"/>
      <c r="K71" s="107"/>
      <c r="L71" s="75"/>
      <c r="M71" s="109"/>
      <c r="N71" s="110"/>
      <c r="O71" s="110"/>
      <c r="P71" s="110"/>
      <c r="Q71" s="107"/>
      <c r="R71" s="75"/>
      <c r="S71" s="109"/>
      <c r="T71" s="110"/>
      <c r="U71" s="110"/>
      <c r="V71" s="110"/>
      <c r="W71" s="107"/>
      <c r="X71" s="75"/>
      <c r="Y71" s="109"/>
      <c r="Z71" s="110"/>
      <c r="AA71" s="110"/>
      <c r="AB71" s="110"/>
      <c r="AC71" s="107"/>
      <c r="AD71" s="75"/>
      <c r="AE71" s="109"/>
      <c r="AF71" s="110"/>
      <c r="AG71" s="110"/>
      <c r="AH71" s="110"/>
      <c r="AI71" s="107"/>
      <c r="AJ71" s="75"/>
      <c r="AK71" s="109"/>
      <c r="AL71" s="110"/>
      <c r="AM71" s="110"/>
      <c r="AN71" s="110"/>
      <c r="AO71" s="107"/>
      <c r="AP71" s="75"/>
      <c r="AQ71" s="109"/>
      <c r="AR71" s="110"/>
      <c r="AS71" s="110"/>
      <c r="AT71" s="110"/>
      <c r="AU71" s="107"/>
      <c r="AV71" s="75"/>
      <c r="AW71" s="109"/>
      <c r="AX71" s="110"/>
      <c r="AY71" s="110"/>
      <c r="AZ71" s="110"/>
      <c r="BA71" s="107"/>
      <c r="BB71" s="75"/>
      <c r="BC71" s="109"/>
      <c r="BD71" s="110"/>
      <c r="BE71" s="110"/>
      <c r="BF71" s="110"/>
      <c r="BG71" s="107"/>
      <c r="BH71" s="75"/>
      <c r="BI71" s="109"/>
      <c r="BJ71" s="110"/>
      <c r="BK71" s="110"/>
      <c r="BL71" s="110"/>
      <c r="BM71" s="107"/>
      <c r="BN71" s="75"/>
      <c r="BO71" s="109"/>
      <c r="BP71" s="110"/>
      <c r="BQ71" s="110"/>
      <c r="BR71" s="110"/>
      <c r="BS71" s="107"/>
      <c r="BT71" s="75"/>
      <c r="BU71" s="109"/>
      <c r="BV71" s="110"/>
      <c r="BW71" s="110"/>
      <c r="BX71" s="110"/>
      <c r="BY71" s="107"/>
      <c r="BZ71" s="75"/>
      <c r="CA71" s="109"/>
      <c r="CB71" s="110"/>
      <c r="CC71" s="110"/>
      <c r="CD71" s="110"/>
      <c r="CE71" s="107"/>
      <c r="CF71" s="75"/>
      <c r="CG71" s="109"/>
      <c r="CH71" s="110"/>
      <c r="CI71" s="110"/>
      <c r="CJ71" s="110"/>
      <c r="CK71" s="107"/>
      <c r="CL71" s="75"/>
      <c r="CM71" s="109"/>
      <c r="CN71" s="110"/>
      <c r="CO71" s="110"/>
      <c r="CP71" s="110"/>
      <c r="CQ71" s="107"/>
      <c r="CR71" s="75"/>
      <c r="CS71" s="109"/>
      <c r="CT71" s="110"/>
      <c r="CU71" s="110"/>
      <c r="CV71" s="110"/>
      <c r="CW71" s="107"/>
      <c r="CX71" s="75"/>
      <c r="CY71" s="109"/>
      <c r="CZ71" s="110"/>
      <c r="DA71" s="110"/>
      <c r="DB71" s="110"/>
      <c r="DC71" s="107"/>
      <c r="DD71" s="75"/>
      <c r="DE71" s="109"/>
      <c r="DF71" s="110"/>
      <c r="DG71" s="110"/>
      <c r="DH71" s="110"/>
      <c r="DI71" s="107"/>
      <c r="DJ71" s="75"/>
      <c r="DK71" s="109"/>
      <c r="DL71" s="110"/>
      <c r="DM71" s="110"/>
      <c r="DN71" s="110"/>
      <c r="DO71" s="107"/>
      <c r="DP71" s="75"/>
      <c r="DQ71" s="109"/>
      <c r="DR71" s="110"/>
      <c r="DS71" s="110"/>
      <c r="DT71" s="110"/>
      <c r="DU71" s="107"/>
      <c r="DV71" s="75"/>
      <c r="DW71" s="109"/>
      <c r="DX71" s="110"/>
      <c r="DY71" s="110"/>
      <c r="DZ71" s="110"/>
      <c r="EA71" s="107"/>
      <c r="EB71" s="75"/>
      <c r="EC71" s="109"/>
      <c r="ED71" s="110"/>
      <c r="EE71" s="110"/>
      <c r="EF71" s="110"/>
      <c r="EG71" s="107"/>
      <c r="EH71" s="9"/>
      <c r="EJ71" s="378"/>
      <c r="EK71" s="378"/>
      <c r="EL71" s="380"/>
      <c r="EM71" s="380"/>
      <c r="EN71" s="380"/>
      <c r="EO71" s="380"/>
      <c r="EP71" s="380"/>
      <c r="EQ71" s="380"/>
      <c r="ER71" s="380"/>
      <c r="ES71" s="380"/>
      <c r="ET71" s="380"/>
      <c r="EU71" s="380"/>
      <c r="EV71" s="380"/>
      <c r="EW71" s="380"/>
      <c r="EX71" s="380"/>
      <c r="EY71" s="380"/>
      <c r="EZ71" s="380"/>
      <c r="FA71" s="380"/>
    </row>
    <row r="72" spans="1:157" ht="11.25" customHeight="1" x14ac:dyDescent="0.2">
      <c r="A72" s="128" t="s">
        <v>377</v>
      </c>
      <c r="B72" s="14"/>
      <c r="C72" s="14"/>
      <c r="D72" s="14"/>
      <c r="E72" s="141"/>
      <c r="F72" s="67"/>
      <c r="G72" s="141"/>
      <c r="H72" s="67"/>
      <c r="I72" s="141"/>
      <c r="J72" s="67"/>
      <c r="K72" s="141"/>
      <c r="L72" s="67"/>
      <c r="M72" s="418"/>
      <c r="N72" s="138"/>
      <c r="O72" s="138"/>
      <c r="P72" s="138"/>
      <c r="Q72" s="141"/>
      <c r="R72" s="67"/>
      <c r="S72" s="418"/>
      <c r="T72" s="138"/>
      <c r="U72" s="138"/>
      <c r="V72" s="138"/>
      <c r="W72" s="141"/>
      <c r="X72" s="67"/>
      <c r="Y72" s="418"/>
      <c r="Z72" s="138"/>
      <c r="AA72" s="138"/>
      <c r="AB72" s="138"/>
      <c r="AC72" s="141"/>
      <c r="AD72" s="67"/>
      <c r="AE72" s="418"/>
      <c r="AF72" s="138"/>
      <c r="AG72" s="138"/>
      <c r="AH72" s="138"/>
      <c r="AI72" s="141"/>
      <c r="AJ72" s="67"/>
      <c r="AK72" s="418"/>
      <c r="AL72" s="138"/>
      <c r="AM72" s="138"/>
      <c r="AN72" s="138"/>
      <c r="AO72" s="141"/>
      <c r="AP72" s="67"/>
      <c r="AQ72" s="418"/>
      <c r="AR72" s="138"/>
      <c r="AS72" s="138"/>
      <c r="AT72" s="138"/>
      <c r="AU72" s="141"/>
      <c r="AV72" s="67"/>
      <c r="AW72" s="418"/>
      <c r="AX72" s="138"/>
      <c r="AY72" s="138"/>
      <c r="AZ72" s="138"/>
      <c r="BA72" s="141"/>
      <c r="BB72" s="67"/>
      <c r="BC72" s="418"/>
      <c r="BD72" s="138"/>
      <c r="BE72" s="138"/>
      <c r="BF72" s="138"/>
      <c r="BG72" s="141"/>
      <c r="BH72" s="67"/>
      <c r="BI72" s="418"/>
      <c r="BJ72" s="138"/>
      <c r="BK72" s="138"/>
      <c r="BL72" s="138"/>
      <c r="BM72" s="141"/>
      <c r="BN72" s="67"/>
      <c r="BO72" s="418"/>
      <c r="BP72" s="138"/>
      <c r="BQ72" s="138"/>
      <c r="BR72" s="138"/>
      <c r="BS72" s="141"/>
      <c r="BT72" s="67"/>
      <c r="BU72" s="418"/>
      <c r="BV72" s="138"/>
      <c r="BW72" s="138"/>
      <c r="BX72" s="138"/>
      <c r="BY72" s="141"/>
      <c r="BZ72" s="67"/>
      <c r="CA72" s="418"/>
      <c r="CB72" s="138"/>
      <c r="CC72" s="138"/>
      <c r="CD72" s="138"/>
      <c r="CE72" s="141"/>
      <c r="CF72" s="67"/>
      <c r="CG72" s="418"/>
      <c r="CH72" s="138"/>
      <c r="CI72" s="138"/>
      <c r="CJ72" s="138"/>
      <c r="CK72" s="141"/>
      <c r="CL72" s="67"/>
      <c r="CM72" s="418"/>
      <c r="CN72" s="138"/>
      <c r="CO72" s="138"/>
      <c r="CP72" s="138"/>
      <c r="CQ72" s="141"/>
      <c r="CR72" s="67"/>
      <c r="CS72" s="418"/>
      <c r="CT72" s="138"/>
      <c r="CU72" s="138"/>
      <c r="CV72" s="138"/>
      <c r="CW72" s="141"/>
      <c r="CX72" s="67"/>
      <c r="CY72" s="418"/>
      <c r="CZ72" s="138"/>
      <c r="DA72" s="138"/>
      <c r="DB72" s="138"/>
      <c r="DC72" s="141"/>
      <c r="DD72" s="67"/>
      <c r="DE72" s="418"/>
      <c r="DF72" s="138"/>
      <c r="DG72" s="138"/>
      <c r="DH72" s="138"/>
      <c r="DI72" s="141"/>
      <c r="DJ72" s="67"/>
      <c r="DK72" s="418"/>
      <c r="DL72" s="138"/>
      <c r="DM72" s="138"/>
      <c r="DN72" s="138"/>
      <c r="DO72" s="141"/>
      <c r="DP72" s="67"/>
      <c r="DQ72" s="418"/>
      <c r="DR72" s="138"/>
      <c r="DS72" s="138"/>
      <c r="DT72" s="138"/>
      <c r="DU72" s="141"/>
      <c r="DV72" s="67"/>
      <c r="DW72" s="418"/>
      <c r="DX72" s="138"/>
      <c r="DY72" s="138"/>
      <c r="DZ72" s="138"/>
      <c r="EA72" s="141"/>
      <c r="EB72" s="67"/>
      <c r="EC72" s="418"/>
      <c r="ED72" s="138"/>
      <c r="EE72" s="138"/>
      <c r="EF72" s="138"/>
      <c r="EG72" s="141"/>
      <c r="EH72" s="9"/>
      <c r="EJ72" s="378"/>
      <c r="EK72" s="378"/>
      <c r="EL72" s="380"/>
      <c r="EM72" s="380"/>
      <c r="EN72" s="380"/>
      <c r="EO72" s="380"/>
      <c r="EP72" s="380"/>
      <c r="EQ72" s="380"/>
      <c r="ER72" s="380"/>
      <c r="ES72" s="380"/>
      <c r="ET72" s="380"/>
      <c r="EU72" s="380"/>
      <c r="EV72" s="380"/>
      <c r="EW72" s="380"/>
      <c r="EX72" s="380"/>
      <c r="EY72" s="380"/>
      <c r="EZ72" s="380"/>
      <c r="FA72" s="380"/>
    </row>
    <row r="73" spans="1:157" ht="11.25" customHeight="1" x14ac:dyDescent="0.2">
      <c r="A73" s="51" t="s">
        <v>115</v>
      </c>
      <c r="B73" s="14"/>
      <c r="C73" s="14"/>
      <c r="D73" s="14"/>
      <c r="E73" s="93"/>
      <c r="F73" s="67"/>
      <c r="G73" s="93"/>
      <c r="H73" s="67"/>
      <c r="I73" s="93"/>
      <c r="J73" s="67"/>
      <c r="K73" s="93"/>
      <c r="L73" s="67"/>
      <c r="M73" s="82"/>
      <c r="N73" s="67"/>
      <c r="O73" s="67"/>
      <c r="P73" s="67"/>
      <c r="Q73" s="93"/>
      <c r="R73" s="67"/>
      <c r="S73" s="82"/>
      <c r="T73" s="67"/>
      <c r="U73" s="67"/>
      <c r="V73" s="67"/>
      <c r="W73" s="93"/>
      <c r="X73" s="67"/>
      <c r="Y73" s="82"/>
      <c r="Z73" s="67"/>
      <c r="AA73" s="67"/>
      <c r="AB73" s="67"/>
      <c r="AC73" s="93"/>
      <c r="AD73" s="67"/>
      <c r="AE73" s="82"/>
      <c r="AF73" s="67"/>
      <c r="AG73" s="67"/>
      <c r="AH73" s="67"/>
      <c r="AI73" s="93"/>
      <c r="AJ73" s="67"/>
      <c r="AK73" s="82"/>
      <c r="AL73" s="67"/>
      <c r="AM73" s="67"/>
      <c r="AN73" s="67"/>
      <c r="AO73" s="93"/>
      <c r="AP73" s="67"/>
      <c r="AQ73" s="82"/>
      <c r="AR73" s="67"/>
      <c r="AS73" s="67"/>
      <c r="AT73" s="67"/>
      <c r="AU73" s="93"/>
      <c r="AV73" s="67"/>
      <c r="AW73" s="82"/>
      <c r="AX73" s="67"/>
      <c r="AY73" s="67"/>
      <c r="AZ73" s="67"/>
      <c r="BA73" s="93"/>
      <c r="BB73" s="67"/>
      <c r="BC73" s="82"/>
      <c r="BD73" s="67"/>
      <c r="BE73" s="67"/>
      <c r="BF73" s="67"/>
      <c r="BG73" s="93"/>
      <c r="BH73" s="67"/>
      <c r="BI73" s="82"/>
      <c r="BJ73" s="67"/>
      <c r="BK73" s="67"/>
      <c r="BL73" s="67"/>
      <c r="BM73" s="93"/>
      <c r="BN73" s="67"/>
      <c r="BO73" s="82"/>
      <c r="BP73" s="67"/>
      <c r="BQ73" s="67"/>
      <c r="BR73" s="67"/>
      <c r="BS73" s="93"/>
      <c r="BT73" s="67"/>
      <c r="BU73" s="82"/>
      <c r="BV73" s="67"/>
      <c r="BW73" s="67"/>
      <c r="BX73" s="67"/>
      <c r="BY73" s="93"/>
      <c r="BZ73" s="67"/>
      <c r="CA73" s="82"/>
      <c r="CB73" s="67"/>
      <c r="CC73" s="67"/>
      <c r="CD73" s="67"/>
      <c r="CE73" s="93"/>
      <c r="CF73" s="67"/>
      <c r="CG73" s="82"/>
      <c r="CH73" s="67"/>
      <c r="CI73" s="67"/>
      <c r="CJ73" s="67"/>
      <c r="CK73" s="93"/>
      <c r="CL73" s="67"/>
      <c r="CM73" s="82"/>
      <c r="CN73" s="67"/>
      <c r="CO73" s="67"/>
      <c r="CP73" s="67"/>
      <c r="CQ73" s="93"/>
      <c r="CR73" s="67"/>
      <c r="CS73" s="82"/>
      <c r="CT73" s="67"/>
      <c r="CU73" s="67"/>
      <c r="CV73" s="67"/>
      <c r="CW73" s="93"/>
      <c r="CX73" s="67"/>
      <c r="CY73" s="82"/>
      <c r="CZ73" s="67"/>
      <c r="DA73" s="67"/>
      <c r="DB73" s="67"/>
      <c r="DC73" s="93"/>
      <c r="DD73" s="67"/>
      <c r="DE73" s="82"/>
      <c r="DF73" s="67"/>
      <c r="DG73" s="67"/>
      <c r="DH73" s="67"/>
      <c r="DI73" s="93"/>
      <c r="DJ73" s="67"/>
      <c r="DK73" s="82"/>
      <c r="DL73" s="67"/>
      <c r="DM73" s="67"/>
      <c r="DN73" s="67"/>
      <c r="DO73" s="93"/>
      <c r="DP73" s="67"/>
      <c r="DQ73" s="82"/>
      <c r="DR73" s="67"/>
      <c r="DS73" s="67"/>
      <c r="DT73" s="67"/>
      <c r="DU73" s="93"/>
      <c r="DV73" s="67"/>
      <c r="DW73" s="82"/>
      <c r="DX73" s="67"/>
      <c r="DY73" s="67"/>
      <c r="DZ73" s="67"/>
      <c r="EA73" s="93"/>
      <c r="EB73" s="67"/>
      <c r="EC73" s="82"/>
      <c r="ED73" s="67"/>
      <c r="EE73" s="67"/>
      <c r="EF73" s="67"/>
      <c r="EG73" s="93"/>
      <c r="EH73" s="9"/>
      <c r="EJ73" s="378"/>
      <c r="EK73" s="378"/>
      <c r="EL73" s="380"/>
      <c r="EM73" s="380"/>
      <c r="EN73" s="380"/>
      <c r="EO73" s="380"/>
      <c r="EP73" s="380"/>
      <c r="EQ73" s="380"/>
      <c r="ER73" s="380"/>
      <c r="ES73" s="380"/>
      <c r="ET73" s="380"/>
      <c r="EU73" s="380"/>
      <c r="EV73" s="380"/>
      <c r="EW73" s="380"/>
      <c r="EX73" s="380"/>
      <c r="EY73" s="380"/>
      <c r="EZ73" s="380"/>
      <c r="FA73" s="380"/>
    </row>
    <row r="74" spans="1:157" ht="11.25" customHeight="1" x14ac:dyDescent="0.2">
      <c r="A74" s="51" t="s">
        <v>163</v>
      </c>
      <c r="B74" s="14"/>
      <c r="C74" s="14"/>
      <c r="D74" s="14"/>
      <c r="E74" s="93"/>
      <c r="F74" s="67"/>
      <c r="G74" s="93"/>
      <c r="H74" s="67"/>
      <c r="I74" s="93"/>
      <c r="J74" s="67"/>
      <c r="K74" s="93"/>
      <c r="L74" s="67"/>
      <c r="M74" s="82"/>
      <c r="N74" s="67"/>
      <c r="O74" s="67"/>
      <c r="P74" s="67"/>
      <c r="Q74" s="93"/>
      <c r="R74" s="67"/>
      <c r="S74" s="82"/>
      <c r="T74" s="67"/>
      <c r="U74" s="67"/>
      <c r="V74" s="67"/>
      <c r="W74" s="93"/>
      <c r="X74" s="67"/>
      <c r="Y74" s="82"/>
      <c r="Z74" s="67"/>
      <c r="AA74" s="67"/>
      <c r="AB74" s="67"/>
      <c r="AC74" s="93"/>
      <c r="AD74" s="67"/>
      <c r="AE74" s="82"/>
      <c r="AF74" s="67"/>
      <c r="AG74" s="67"/>
      <c r="AH74" s="67"/>
      <c r="AI74" s="93"/>
      <c r="AJ74" s="67"/>
      <c r="AK74" s="82"/>
      <c r="AL74" s="67"/>
      <c r="AM74" s="67"/>
      <c r="AN74" s="67"/>
      <c r="AO74" s="93"/>
      <c r="AP74" s="67"/>
      <c r="AQ74" s="82"/>
      <c r="AR74" s="67"/>
      <c r="AS74" s="67"/>
      <c r="AT74" s="67"/>
      <c r="AU74" s="93"/>
      <c r="AV74" s="67"/>
      <c r="AW74" s="82"/>
      <c r="AX74" s="67"/>
      <c r="AY74" s="67"/>
      <c r="AZ74" s="67"/>
      <c r="BA74" s="93"/>
      <c r="BB74" s="67"/>
      <c r="BC74" s="82"/>
      <c r="BD74" s="67"/>
      <c r="BE74" s="67"/>
      <c r="BF74" s="67"/>
      <c r="BG74" s="93"/>
      <c r="BH74" s="67"/>
      <c r="BI74" s="82"/>
      <c r="BJ74" s="67"/>
      <c r="BK74" s="67"/>
      <c r="BL74" s="67"/>
      <c r="BM74" s="93"/>
      <c r="BN74" s="67"/>
      <c r="BO74" s="82"/>
      <c r="BP74" s="67"/>
      <c r="BQ74" s="67"/>
      <c r="BR74" s="67"/>
      <c r="BS74" s="93"/>
      <c r="BT74" s="67"/>
      <c r="BU74" s="82"/>
      <c r="BV74" s="67"/>
      <c r="BW74" s="67"/>
      <c r="BX74" s="67"/>
      <c r="BY74" s="93"/>
      <c r="BZ74" s="67"/>
      <c r="CA74" s="82"/>
      <c r="CB74" s="67"/>
      <c r="CC74" s="67"/>
      <c r="CD74" s="67"/>
      <c r="CE74" s="93"/>
      <c r="CF74" s="67"/>
      <c r="CG74" s="82"/>
      <c r="CH74" s="67"/>
      <c r="CI74" s="67"/>
      <c r="CJ74" s="67"/>
      <c r="CK74" s="93"/>
      <c r="CL74" s="67"/>
      <c r="CM74" s="82"/>
      <c r="CN74" s="67"/>
      <c r="CO74" s="67"/>
      <c r="CP74" s="67"/>
      <c r="CQ74" s="93"/>
      <c r="CR74" s="67"/>
      <c r="CS74" s="82"/>
      <c r="CT74" s="67"/>
      <c r="CU74" s="67"/>
      <c r="CV74" s="67"/>
      <c r="CW74" s="93"/>
      <c r="CX74" s="67"/>
      <c r="CY74" s="82"/>
      <c r="CZ74" s="67"/>
      <c r="DA74" s="67"/>
      <c r="DB74" s="67"/>
      <c r="DC74" s="93"/>
      <c r="DD74" s="67"/>
      <c r="DE74" s="82"/>
      <c r="DF74" s="67"/>
      <c r="DG74" s="67"/>
      <c r="DH74" s="67"/>
      <c r="DI74" s="93"/>
      <c r="DJ74" s="67"/>
      <c r="DK74" s="82"/>
      <c r="DL74" s="67"/>
      <c r="DM74" s="67"/>
      <c r="DN74" s="67"/>
      <c r="DO74" s="93"/>
      <c r="DP74" s="67"/>
      <c r="DQ74" s="82"/>
      <c r="DR74" s="67"/>
      <c r="DS74" s="67"/>
      <c r="DT74" s="67"/>
      <c r="DU74" s="93"/>
      <c r="DV74" s="67"/>
      <c r="DW74" s="82"/>
      <c r="DX74" s="67"/>
      <c r="DY74" s="67"/>
      <c r="DZ74" s="67"/>
      <c r="EA74" s="93"/>
      <c r="EB74" s="67"/>
      <c r="EC74" s="82"/>
      <c r="ED74" s="67"/>
      <c r="EE74" s="67"/>
      <c r="EF74" s="67"/>
      <c r="EG74" s="93"/>
      <c r="EH74" s="9"/>
      <c r="EJ74" s="378"/>
      <c r="EK74" s="378"/>
      <c r="EL74" s="380"/>
      <c r="EM74" s="380"/>
      <c r="EN74" s="380"/>
      <c r="EO74" s="380"/>
      <c r="EP74" s="380"/>
      <c r="EQ74" s="380"/>
      <c r="ER74" s="380"/>
      <c r="ES74" s="380"/>
      <c r="ET74" s="380"/>
      <c r="EU74" s="380"/>
      <c r="EV74" s="380"/>
      <c r="EW74" s="380"/>
      <c r="EX74" s="380"/>
      <c r="EY74" s="380"/>
      <c r="EZ74" s="380"/>
      <c r="FA74" s="380"/>
    </row>
    <row r="75" spans="1:157" ht="11.25" customHeight="1" x14ac:dyDescent="0.2">
      <c r="A75" s="51" t="s">
        <v>466</v>
      </c>
      <c r="B75" s="14"/>
      <c r="C75" s="14"/>
      <c r="D75" s="14"/>
      <c r="E75" s="93"/>
      <c r="F75" s="67"/>
      <c r="G75" s="93"/>
      <c r="H75" s="67"/>
      <c r="I75" s="93"/>
      <c r="J75" s="67"/>
      <c r="K75" s="93"/>
      <c r="L75" s="67"/>
      <c r="M75" s="82"/>
      <c r="N75" s="67"/>
      <c r="O75" s="67"/>
      <c r="P75" s="67"/>
      <c r="Q75" s="93"/>
      <c r="R75" s="67"/>
      <c r="S75" s="82"/>
      <c r="T75" s="67"/>
      <c r="U75" s="67"/>
      <c r="V75" s="67"/>
      <c r="W75" s="93"/>
      <c r="X75" s="67"/>
      <c r="Y75" s="82"/>
      <c r="Z75" s="67"/>
      <c r="AA75" s="67"/>
      <c r="AB75" s="67"/>
      <c r="AC75" s="93"/>
      <c r="AD75" s="67"/>
      <c r="AE75" s="82"/>
      <c r="AF75" s="67"/>
      <c r="AG75" s="67"/>
      <c r="AH75" s="67"/>
      <c r="AI75" s="93"/>
      <c r="AJ75" s="67"/>
      <c r="AK75" s="82"/>
      <c r="AL75" s="67"/>
      <c r="AM75" s="67"/>
      <c r="AN75" s="67"/>
      <c r="AO75" s="93"/>
      <c r="AP75" s="67"/>
      <c r="AQ75" s="82"/>
      <c r="AR75" s="67"/>
      <c r="AS75" s="67"/>
      <c r="AT75" s="67"/>
      <c r="AU75" s="93"/>
      <c r="AV75" s="67"/>
      <c r="AW75" s="82"/>
      <c r="AX75" s="67"/>
      <c r="AY75" s="67"/>
      <c r="AZ75" s="67"/>
      <c r="BA75" s="93"/>
      <c r="BB75" s="67"/>
      <c r="BC75" s="82"/>
      <c r="BD75" s="67"/>
      <c r="BE75" s="67"/>
      <c r="BF75" s="67"/>
      <c r="BG75" s="93"/>
      <c r="BH75" s="67"/>
      <c r="BI75" s="82"/>
      <c r="BJ75" s="67"/>
      <c r="BK75" s="67"/>
      <c r="BL75" s="67"/>
      <c r="BM75" s="93"/>
      <c r="BN75" s="67"/>
      <c r="BO75" s="82"/>
      <c r="BP75" s="67"/>
      <c r="BQ75" s="67"/>
      <c r="BR75" s="67"/>
      <c r="BS75" s="93"/>
      <c r="BT75" s="67"/>
      <c r="BU75" s="82"/>
      <c r="BV75" s="67"/>
      <c r="BW75" s="67"/>
      <c r="BX75" s="67"/>
      <c r="BY75" s="93"/>
      <c r="BZ75" s="67"/>
      <c r="CA75" s="82"/>
      <c r="CB75" s="67"/>
      <c r="CC75" s="67"/>
      <c r="CD75" s="67"/>
      <c r="CE75" s="93"/>
      <c r="CF75" s="67"/>
      <c r="CG75" s="82"/>
      <c r="CH75" s="67"/>
      <c r="CI75" s="67"/>
      <c r="CJ75" s="67"/>
      <c r="CK75" s="93"/>
      <c r="CL75" s="67"/>
      <c r="CM75" s="82"/>
      <c r="CN75" s="67"/>
      <c r="CO75" s="67"/>
      <c r="CP75" s="67"/>
      <c r="CQ75" s="93"/>
      <c r="CR75" s="67"/>
      <c r="CS75" s="82"/>
      <c r="CT75" s="67"/>
      <c r="CU75" s="67"/>
      <c r="CV75" s="67"/>
      <c r="CW75" s="93"/>
      <c r="CX75" s="67"/>
      <c r="CY75" s="82"/>
      <c r="CZ75" s="67"/>
      <c r="DA75" s="67"/>
      <c r="DB75" s="67"/>
      <c r="DC75" s="93"/>
      <c r="DD75" s="67"/>
      <c r="DE75" s="82"/>
      <c r="DF75" s="67"/>
      <c r="DG75" s="67"/>
      <c r="DH75" s="67"/>
      <c r="DI75" s="93"/>
      <c r="DJ75" s="67"/>
      <c r="DK75" s="82"/>
      <c r="DL75" s="67"/>
      <c r="DM75" s="67"/>
      <c r="DN75" s="67"/>
      <c r="DO75" s="93"/>
      <c r="DP75" s="67"/>
      <c r="DQ75" s="82"/>
      <c r="DR75" s="67"/>
      <c r="DS75" s="67"/>
      <c r="DT75" s="67"/>
      <c r="DU75" s="93"/>
      <c r="DV75" s="67"/>
      <c r="DW75" s="82"/>
      <c r="DX75" s="67"/>
      <c r="DY75" s="67"/>
      <c r="DZ75" s="67"/>
      <c r="EA75" s="93"/>
      <c r="EB75" s="67"/>
      <c r="EC75" s="82"/>
      <c r="ED75" s="67"/>
      <c r="EE75" s="67"/>
      <c r="EF75" s="67"/>
      <c r="EG75" s="93"/>
      <c r="EH75" s="9"/>
      <c r="EJ75" s="378"/>
      <c r="EK75" s="378"/>
      <c r="EL75" s="380"/>
      <c r="EM75" s="380"/>
      <c r="EN75" s="380"/>
      <c r="EO75" s="380"/>
      <c r="EP75" s="380"/>
      <c r="EQ75" s="380"/>
      <c r="ER75" s="380"/>
      <c r="ES75" s="380"/>
      <c r="ET75" s="380"/>
      <c r="EU75" s="380"/>
      <c r="EV75" s="380"/>
      <c r="EW75" s="380"/>
      <c r="EX75" s="380"/>
      <c r="EY75" s="380"/>
      <c r="EZ75" s="380"/>
      <c r="FA75" s="380"/>
    </row>
    <row r="76" spans="1:157" ht="11.25" customHeight="1" x14ac:dyDescent="0.2">
      <c r="A76" s="199" t="s">
        <v>239</v>
      </c>
      <c r="B76" s="14"/>
      <c r="C76" s="14"/>
      <c r="D76" s="14"/>
      <c r="E76" s="196"/>
      <c r="F76" s="67"/>
      <c r="G76" s="196"/>
      <c r="H76" s="67"/>
      <c r="I76" s="196"/>
      <c r="J76" s="67"/>
      <c r="K76" s="196"/>
      <c r="L76" s="67"/>
      <c r="M76" s="197"/>
      <c r="N76" s="87"/>
      <c r="O76" s="87"/>
      <c r="P76" s="87"/>
      <c r="Q76" s="196"/>
      <c r="R76" s="67"/>
      <c r="S76" s="197"/>
      <c r="T76" s="87"/>
      <c r="U76" s="87"/>
      <c r="V76" s="87"/>
      <c r="W76" s="196"/>
      <c r="X76" s="67"/>
      <c r="Y76" s="197"/>
      <c r="Z76" s="87"/>
      <c r="AA76" s="87"/>
      <c r="AB76" s="87"/>
      <c r="AC76" s="196"/>
      <c r="AD76" s="67"/>
      <c r="AE76" s="197"/>
      <c r="AF76" s="87"/>
      <c r="AG76" s="87"/>
      <c r="AH76" s="87"/>
      <c r="AI76" s="196"/>
      <c r="AJ76" s="67"/>
      <c r="AK76" s="197"/>
      <c r="AL76" s="87"/>
      <c r="AM76" s="87"/>
      <c r="AN76" s="87"/>
      <c r="AO76" s="196"/>
      <c r="AP76" s="67"/>
      <c r="AQ76" s="197"/>
      <c r="AR76" s="87"/>
      <c r="AS76" s="87"/>
      <c r="AT76" s="87"/>
      <c r="AU76" s="196"/>
      <c r="AV76" s="67"/>
      <c r="AW76" s="197"/>
      <c r="AX76" s="87"/>
      <c r="AY76" s="87"/>
      <c r="AZ76" s="87"/>
      <c r="BA76" s="196"/>
      <c r="BB76" s="67"/>
      <c r="BC76" s="197"/>
      <c r="BD76" s="87"/>
      <c r="BE76" s="87"/>
      <c r="BF76" s="87"/>
      <c r="BG76" s="196"/>
      <c r="BH76" s="67"/>
      <c r="BI76" s="197"/>
      <c r="BJ76" s="87"/>
      <c r="BK76" s="87"/>
      <c r="BL76" s="87"/>
      <c r="BM76" s="196"/>
      <c r="BN76" s="67"/>
      <c r="BO76" s="197"/>
      <c r="BP76" s="87"/>
      <c r="BQ76" s="87"/>
      <c r="BR76" s="87"/>
      <c r="BS76" s="196"/>
      <c r="BT76" s="67"/>
      <c r="BU76" s="197"/>
      <c r="BV76" s="87"/>
      <c r="BW76" s="87"/>
      <c r="BX76" s="87"/>
      <c r="BY76" s="196"/>
      <c r="BZ76" s="67"/>
      <c r="CA76" s="197"/>
      <c r="CB76" s="87"/>
      <c r="CC76" s="87"/>
      <c r="CD76" s="87"/>
      <c r="CE76" s="196"/>
      <c r="CF76" s="67"/>
      <c r="CG76" s="197"/>
      <c r="CH76" s="87"/>
      <c r="CI76" s="87"/>
      <c r="CJ76" s="87"/>
      <c r="CK76" s="196"/>
      <c r="CL76" s="67"/>
      <c r="CM76" s="197"/>
      <c r="CN76" s="87"/>
      <c r="CO76" s="87"/>
      <c r="CP76" s="87"/>
      <c r="CQ76" s="196"/>
      <c r="CR76" s="67"/>
      <c r="CS76" s="197"/>
      <c r="CT76" s="87"/>
      <c r="CU76" s="87"/>
      <c r="CV76" s="87"/>
      <c r="CW76" s="196"/>
      <c r="CX76" s="67"/>
      <c r="CY76" s="197"/>
      <c r="CZ76" s="87"/>
      <c r="DA76" s="87"/>
      <c r="DB76" s="87"/>
      <c r="DC76" s="196"/>
      <c r="DD76" s="67"/>
      <c r="DE76" s="197"/>
      <c r="DF76" s="87"/>
      <c r="DG76" s="87"/>
      <c r="DH76" s="87"/>
      <c r="DI76" s="196"/>
      <c r="DJ76" s="67"/>
      <c r="DK76" s="197"/>
      <c r="DL76" s="87"/>
      <c r="DM76" s="87"/>
      <c r="DN76" s="87"/>
      <c r="DO76" s="196"/>
      <c r="DP76" s="67"/>
      <c r="DQ76" s="197"/>
      <c r="DR76" s="87"/>
      <c r="DS76" s="87"/>
      <c r="DT76" s="87"/>
      <c r="DU76" s="196"/>
      <c r="DV76" s="67"/>
      <c r="DW76" s="197"/>
      <c r="DX76" s="87"/>
      <c r="DY76" s="87"/>
      <c r="DZ76" s="87"/>
      <c r="EA76" s="196"/>
      <c r="EB76" s="67"/>
      <c r="EC76" s="197"/>
      <c r="ED76" s="87"/>
      <c r="EE76" s="87"/>
      <c r="EF76" s="87"/>
      <c r="EG76" s="196"/>
      <c r="EH76" s="9"/>
      <c r="EJ76" s="378"/>
      <c r="EK76" s="378"/>
      <c r="EL76" s="380"/>
      <c r="EM76" s="380"/>
      <c r="EN76" s="380"/>
      <c r="EO76" s="380"/>
      <c r="EP76" s="380"/>
      <c r="EQ76" s="380"/>
      <c r="ER76" s="380"/>
      <c r="ES76" s="380"/>
      <c r="ET76" s="380"/>
      <c r="EU76" s="380"/>
      <c r="EV76" s="380"/>
      <c r="EW76" s="380"/>
      <c r="EX76" s="380"/>
      <c r="EY76" s="380"/>
      <c r="EZ76" s="380"/>
      <c r="FA76" s="380"/>
    </row>
    <row r="77" spans="1:157" ht="11.25" customHeight="1" x14ac:dyDescent="0.2">
      <c r="A77" s="2"/>
      <c r="B77" s="14"/>
      <c r="C77" s="14"/>
      <c r="D77" s="14"/>
      <c r="E77" s="69"/>
      <c r="F77" s="67"/>
      <c r="G77" s="69"/>
      <c r="H77" s="67"/>
      <c r="I77" s="69"/>
      <c r="J77" s="67"/>
      <c r="K77" s="69"/>
      <c r="L77" s="67"/>
      <c r="M77" s="353"/>
      <c r="N77" s="353"/>
      <c r="O77" s="353"/>
      <c r="P77" s="353"/>
      <c r="Q77" s="353"/>
      <c r="R77" s="67"/>
      <c r="S77" s="353"/>
      <c r="T77" s="353"/>
      <c r="U77" s="353"/>
      <c r="V77" s="353"/>
      <c r="W77" s="353"/>
      <c r="X77" s="67"/>
      <c r="Y77" s="353"/>
      <c r="Z77" s="353"/>
      <c r="AA77" s="353"/>
      <c r="AB77" s="353"/>
      <c r="AC77" s="353"/>
      <c r="AD77" s="67"/>
      <c r="AE77" s="353"/>
      <c r="AF77" s="353"/>
      <c r="AG77" s="353"/>
      <c r="AH77" s="353"/>
      <c r="AI77" s="353"/>
      <c r="AJ77" s="67"/>
      <c r="AK77" s="353"/>
      <c r="AL77" s="353"/>
      <c r="AM77" s="353"/>
      <c r="AN77" s="353"/>
      <c r="AO77" s="353"/>
      <c r="AP77" s="67"/>
      <c r="AQ77" s="353"/>
      <c r="AR77" s="353"/>
      <c r="AS77" s="353"/>
      <c r="AT77" s="353"/>
      <c r="AU77" s="353"/>
      <c r="AV77" s="67"/>
      <c r="AW77" s="353"/>
      <c r="AX77" s="353"/>
      <c r="AY77" s="353"/>
      <c r="AZ77" s="353"/>
      <c r="BA77" s="353"/>
      <c r="BB77" s="67"/>
      <c r="BC77" s="353"/>
      <c r="BD77" s="353"/>
      <c r="BE77" s="353"/>
      <c r="BF77" s="353"/>
      <c r="BG77" s="353"/>
      <c r="BH77" s="67"/>
      <c r="BI77" s="353"/>
      <c r="BJ77" s="353"/>
      <c r="BK77" s="353"/>
      <c r="BL77" s="353"/>
      <c r="BM77" s="353"/>
      <c r="BN77" s="67"/>
      <c r="BO77" s="353"/>
      <c r="BP77" s="353"/>
      <c r="BQ77" s="353"/>
      <c r="BR77" s="353"/>
      <c r="BS77" s="353"/>
      <c r="BT77" s="67"/>
      <c r="BU77" s="353"/>
      <c r="BV77" s="353"/>
      <c r="BW77" s="353"/>
      <c r="BX77" s="353"/>
      <c r="BY77" s="353"/>
      <c r="BZ77" s="67"/>
      <c r="CA77" s="353"/>
      <c r="CB77" s="353"/>
      <c r="CC77" s="353"/>
      <c r="CD77" s="353"/>
      <c r="CE77" s="353"/>
      <c r="CF77" s="67"/>
      <c r="CG77" s="353"/>
      <c r="CH77" s="353"/>
      <c r="CI77" s="353"/>
      <c r="CJ77" s="353"/>
      <c r="CK77" s="353"/>
      <c r="CL77" s="67"/>
      <c r="CM77" s="353"/>
      <c r="CN77" s="353"/>
      <c r="CO77" s="353"/>
      <c r="CP77" s="353"/>
      <c r="CQ77" s="353"/>
      <c r="CR77" s="67"/>
      <c r="CS77" s="353"/>
      <c r="CT77" s="353"/>
      <c r="CU77" s="353"/>
      <c r="CV77" s="353"/>
      <c r="CW77" s="353"/>
      <c r="CX77" s="67"/>
      <c r="CY77" s="353"/>
      <c r="CZ77" s="353"/>
      <c r="DA77" s="353"/>
      <c r="DB77" s="353"/>
      <c r="DC77" s="353"/>
      <c r="DD77" s="67"/>
      <c r="DE77" s="353"/>
      <c r="DF77" s="353"/>
      <c r="DG77" s="353"/>
      <c r="DH77" s="353"/>
      <c r="DI77" s="353"/>
      <c r="DJ77" s="67"/>
      <c r="DK77" s="353"/>
      <c r="DL77" s="353"/>
      <c r="DM77" s="353"/>
      <c r="DN77" s="353"/>
      <c r="DO77" s="353"/>
      <c r="DP77" s="67"/>
      <c r="DQ77" s="353"/>
      <c r="DR77" s="353"/>
      <c r="DS77" s="353"/>
      <c r="DT77" s="353"/>
      <c r="DU77" s="353"/>
      <c r="DV77" s="67"/>
      <c r="DW77" s="353"/>
      <c r="DX77" s="353"/>
      <c r="DY77" s="353"/>
      <c r="DZ77" s="353"/>
      <c r="EA77" s="353"/>
      <c r="EB77" s="67"/>
      <c r="EC77" s="353"/>
      <c r="ED77" s="353"/>
      <c r="EE77" s="353"/>
      <c r="EF77" s="353"/>
      <c r="EG77" s="353"/>
      <c r="EH77" s="9"/>
      <c r="EJ77" s="378"/>
      <c r="EK77" s="378"/>
      <c r="EL77" s="380"/>
      <c r="EM77" s="380"/>
      <c r="EN77" s="380"/>
      <c r="EO77" s="380"/>
      <c r="EP77" s="380"/>
      <c r="EQ77" s="380"/>
      <c r="ER77" s="380"/>
      <c r="ES77" s="380"/>
      <c r="ET77" s="380"/>
      <c r="EU77" s="380"/>
      <c r="EV77" s="380"/>
      <c r="EW77" s="380"/>
      <c r="EX77" s="380"/>
      <c r="EY77" s="380"/>
      <c r="EZ77" s="380"/>
      <c r="FA77" s="380"/>
    </row>
    <row r="78" spans="1:157" ht="11.25" customHeight="1" x14ac:dyDescent="0.2">
      <c r="A78" s="2"/>
      <c r="B78" s="14"/>
      <c r="C78" s="14"/>
      <c r="D78" s="14"/>
      <c r="E78" s="69"/>
      <c r="F78" s="67"/>
      <c r="G78" s="69"/>
      <c r="H78" s="67"/>
      <c r="I78" s="69"/>
      <c r="J78" s="67"/>
      <c r="K78" s="69"/>
      <c r="L78" s="67"/>
      <c r="M78" s="353"/>
      <c r="N78" s="353"/>
      <c r="O78" s="353"/>
      <c r="P78" s="353"/>
      <c r="Q78" s="353"/>
      <c r="R78" s="67"/>
      <c r="S78" s="353"/>
      <c r="T78" s="353"/>
      <c r="U78" s="353"/>
      <c r="V78" s="353"/>
      <c r="W78" s="353"/>
      <c r="X78" s="67"/>
      <c r="Y78" s="353"/>
      <c r="Z78" s="353"/>
      <c r="AA78" s="353"/>
      <c r="AB78" s="353"/>
      <c r="AC78" s="353"/>
      <c r="AD78" s="67"/>
      <c r="AE78" s="353"/>
      <c r="AF78" s="353"/>
      <c r="AG78" s="353"/>
      <c r="AH78" s="353"/>
      <c r="AI78" s="353"/>
      <c r="AJ78" s="67"/>
      <c r="AK78" s="353"/>
      <c r="AL78" s="353"/>
      <c r="AM78" s="353"/>
      <c r="AN78" s="353"/>
      <c r="AO78" s="353"/>
      <c r="AP78" s="67"/>
      <c r="AQ78" s="353"/>
      <c r="AR78" s="353"/>
      <c r="AS78" s="353"/>
      <c r="AT78" s="353"/>
      <c r="AU78" s="353"/>
      <c r="AV78" s="67"/>
      <c r="AW78" s="353"/>
      <c r="AX78" s="353"/>
      <c r="AY78" s="353"/>
      <c r="AZ78" s="353"/>
      <c r="BA78" s="353"/>
      <c r="BB78" s="67"/>
      <c r="BC78" s="353"/>
      <c r="BD78" s="353"/>
      <c r="BE78" s="353"/>
      <c r="BF78" s="353"/>
      <c r="BG78" s="353"/>
      <c r="BH78" s="67"/>
      <c r="BI78" s="353"/>
      <c r="BJ78" s="353"/>
      <c r="BK78" s="353"/>
      <c r="BL78" s="353"/>
      <c r="BM78" s="353"/>
      <c r="BN78" s="67"/>
      <c r="BO78" s="353"/>
      <c r="BP78" s="353"/>
      <c r="BQ78" s="353"/>
      <c r="BR78" s="353"/>
      <c r="BS78" s="353"/>
      <c r="BT78" s="67"/>
      <c r="BU78" s="353"/>
      <c r="BV78" s="353"/>
      <c r="BW78" s="353"/>
      <c r="BX78" s="353"/>
      <c r="BY78" s="353"/>
      <c r="BZ78" s="67"/>
      <c r="CA78" s="353"/>
      <c r="CB78" s="353"/>
      <c r="CC78" s="353"/>
      <c r="CD78" s="353"/>
      <c r="CE78" s="353"/>
      <c r="CF78" s="67"/>
      <c r="CG78" s="353"/>
      <c r="CH78" s="353"/>
      <c r="CI78" s="353"/>
      <c r="CJ78" s="353"/>
      <c r="CK78" s="353"/>
      <c r="CL78" s="67"/>
      <c r="CM78" s="353"/>
      <c r="CN78" s="353"/>
      <c r="CO78" s="353"/>
      <c r="CP78" s="353"/>
      <c r="CQ78" s="353"/>
      <c r="CR78" s="67"/>
      <c r="CS78" s="353"/>
      <c r="CT78" s="353"/>
      <c r="CU78" s="353"/>
      <c r="CV78" s="353"/>
      <c r="CW78" s="353"/>
      <c r="CX78" s="67"/>
      <c r="CY78" s="353"/>
      <c r="CZ78" s="353"/>
      <c r="DA78" s="353"/>
      <c r="DB78" s="353"/>
      <c r="DC78" s="353"/>
      <c r="DD78" s="67"/>
      <c r="DE78" s="353"/>
      <c r="DF78" s="353"/>
      <c r="DG78" s="353"/>
      <c r="DH78" s="353"/>
      <c r="DI78" s="353"/>
      <c r="DJ78" s="67"/>
      <c r="DK78" s="353"/>
      <c r="DL78" s="353"/>
      <c r="DM78" s="353"/>
      <c r="DN78" s="353"/>
      <c r="DO78" s="353"/>
      <c r="DP78" s="67"/>
      <c r="DQ78" s="353"/>
      <c r="DR78" s="353"/>
      <c r="DS78" s="353"/>
      <c r="DT78" s="353"/>
      <c r="DU78" s="353"/>
      <c r="DV78" s="67"/>
      <c r="DW78" s="353"/>
      <c r="DX78" s="353"/>
      <c r="DY78" s="353"/>
      <c r="DZ78" s="353"/>
      <c r="EA78" s="353"/>
      <c r="EB78" s="67"/>
      <c r="EC78" s="353"/>
      <c r="ED78" s="353"/>
      <c r="EE78" s="353"/>
      <c r="EF78" s="353"/>
      <c r="EG78" s="353"/>
      <c r="EH78" s="9"/>
      <c r="EJ78" s="378"/>
      <c r="EK78" s="378"/>
      <c r="EL78" s="380"/>
      <c r="EM78" s="380"/>
      <c r="EN78" s="380"/>
      <c r="EO78" s="380"/>
      <c r="EP78" s="380"/>
      <c r="EQ78" s="380"/>
      <c r="ER78" s="380"/>
      <c r="ES78" s="380"/>
      <c r="ET78" s="380"/>
      <c r="EU78" s="380"/>
      <c r="EV78" s="380"/>
      <c r="EW78" s="380"/>
      <c r="EX78" s="380"/>
      <c r="EY78" s="380"/>
      <c r="EZ78" s="380"/>
      <c r="FA78" s="380"/>
    </row>
    <row r="79" spans="1:157" ht="11.25" customHeight="1" x14ac:dyDescent="0.2">
      <c r="A79" s="2"/>
      <c r="B79" s="14"/>
      <c r="C79" s="14"/>
      <c r="D79" s="14"/>
      <c r="E79" s="69"/>
      <c r="F79" s="67"/>
      <c r="G79" s="69"/>
      <c r="H79" s="67"/>
      <c r="I79" s="69"/>
      <c r="J79" s="67"/>
      <c r="K79" s="69"/>
      <c r="L79" s="67"/>
      <c r="M79" s="69"/>
      <c r="N79" s="69"/>
      <c r="O79" s="69"/>
      <c r="P79" s="69"/>
      <c r="Q79" s="67"/>
      <c r="R79" s="67"/>
      <c r="S79" s="69"/>
      <c r="T79" s="69"/>
      <c r="U79" s="69"/>
      <c r="V79" s="69"/>
      <c r="W79" s="67"/>
      <c r="X79" s="67"/>
      <c r="Y79" s="69"/>
      <c r="Z79" s="69"/>
      <c r="AA79" s="69"/>
      <c r="AB79" s="69"/>
      <c r="AC79" s="67"/>
      <c r="AD79" s="67"/>
      <c r="AE79" s="69"/>
      <c r="AF79" s="69"/>
      <c r="AG79" s="69"/>
      <c r="AH79" s="69"/>
      <c r="AI79" s="67"/>
      <c r="AJ79" s="67"/>
      <c r="AK79" s="69"/>
      <c r="AL79" s="69"/>
      <c r="AM79" s="69"/>
      <c r="AN79" s="69"/>
      <c r="AO79" s="67"/>
      <c r="AP79" s="67"/>
      <c r="AQ79" s="69"/>
      <c r="AR79" s="69"/>
      <c r="AS79" s="69"/>
      <c r="AT79" s="69"/>
      <c r="AU79" s="67"/>
      <c r="AV79" s="67"/>
      <c r="AW79" s="69"/>
      <c r="AX79" s="69"/>
      <c r="AY79" s="69"/>
      <c r="AZ79" s="69"/>
      <c r="BA79" s="67"/>
      <c r="BB79" s="67"/>
      <c r="BC79" s="69"/>
      <c r="BD79" s="69"/>
      <c r="BE79" s="69"/>
      <c r="BF79" s="69"/>
      <c r="BG79" s="67"/>
      <c r="BH79" s="67"/>
      <c r="BI79" s="69"/>
      <c r="BJ79" s="69"/>
      <c r="BK79" s="69"/>
      <c r="BL79" s="69"/>
      <c r="BM79" s="67"/>
      <c r="BN79" s="67"/>
      <c r="BO79" s="69"/>
      <c r="BP79" s="69"/>
      <c r="BQ79" s="69"/>
      <c r="BR79" s="69"/>
      <c r="BS79" s="67"/>
      <c r="BT79" s="67"/>
      <c r="BU79" s="69"/>
      <c r="BV79" s="69"/>
      <c r="BW79" s="69"/>
      <c r="BX79" s="69"/>
      <c r="BY79" s="67"/>
      <c r="BZ79" s="67"/>
      <c r="CA79" s="69"/>
      <c r="CB79" s="69"/>
      <c r="CC79" s="69"/>
      <c r="CD79" s="69"/>
      <c r="CE79" s="67"/>
      <c r="CF79" s="67"/>
      <c r="CG79" s="69"/>
      <c r="CH79" s="69"/>
      <c r="CI79" s="69"/>
      <c r="CJ79" s="69"/>
      <c r="CK79" s="67"/>
      <c r="CL79" s="67"/>
      <c r="CM79" s="69"/>
      <c r="CN79" s="69"/>
      <c r="CO79" s="69"/>
      <c r="CP79" s="69"/>
      <c r="CQ79" s="67"/>
      <c r="CR79" s="67"/>
      <c r="CS79" s="71"/>
      <c r="CT79" s="71"/>
      <c r="CU79" s="71"/>
      <c r="CV79" s="71"/>
      <c r="CW79" s="67"/>
      <c r="CX79" s="67"/>
      <c r="CY79" s="71"/>
      <c r="CZ79" s="71"/>
      <c r="DA79" s="71"/>
      <c r="DB79" s="71"/>
      <c r="DC79" s="67"/>
      <c r="DD79" s="67"/>
      <c r="DE79" s="355"/>
      <c r="DF79" s="355"/>
      <c r="DG79" s="355"/>
      <c r="DH79" s="355"/>
      <c r="DI79" s="67"/>
      <c r="DJ79" s="67"/>
      <c r="DK79" s="355"/>
      <c r="DL79" s="355"/>
      <c r="DM79" s="355"/>
      <c r="DN79" s="355"/>
      <c r="DO79" s="67"/>
      <c r="DP79" s="67"/>
      <c r="DQ79" s="355"/>
      <c r="DR79" s="355"/>
      <c r="DS79" s="355"/>
      <c r="DT79" s="355"/>
      <c r="DU79" s="67"/>
      <c r="DV79" s="67"/>
      <c r="DW79" s="355"/>
      <c r="DX79" s="355"/>
      <c r="DY79" s="355"/>
      <c r="DZ79" s="355"/>
      <c r="EA79" s="67"/>
      <c r="EB79" s="67"/>
      <c r="EC79" s="355"/>
      <c r="ED79" s="355"/>
      <c r="EE79" s="355"/>
      <c r="EF79" s="355"/>
      <c r="EG79" s="67"/>
      <c r="EH79" s="9"/>
    </row>
    <row r="80" spans="1:157" ht="11.25" customHeight="1" x14ac:dyDescent="0.2">
      <c r="A80" s="106" t="s">
        <v>624</v>
      </c>
      <c r="B80" s="74"/>
      <c r="C80" s="74"/>
      <c r="D80" s="74"/>
      <c r="E80" s="107"/>
      <c r="F80" s="75"/>
      <c r="G80" s="107"/>
      <c r="H80" s="75"/>
      <c r="I80" s="107"/>
      <c r="J80" s="75"/>
      <c r="K80" s="107"/>
      <c r="L80" s="75"/>
      <c r="M80" s="109"/>
      <c r="N80" s="110"/>
      <c r="O80" s="110"/>
      <c r="P80" s="110"/>
      <c r="Q80" s="107"/>
      <c r="R80" s="75"/>
      <c r="S80" s="109"/>
      <c r="T80" s="110"/>
      <c r="U80" s="110"/>
      <c r="V80" s="110"/>
      <c r="W80" s="107"/>
      <c r="X80" s="75"/>
      <c r="Y80" s="109"/>
      <c r="Z80" s="110"/>
      <c r="AA80" s="110"/>
      <c r="AB80" s="110"/>
      <c r="AC80" s="107"/>
      <c r="AD80" s="75"/>
      <c r="AE80" s="109"/>
      <c r="AF80" s="110"/>
      <c r="AG80" s="110"/>
      <c r="AH80" s="110"/>
      <c r="AI80" s="791">
        <v>540</v>
      </c>
      <c r="AJ80" s="75"/>
      <c r="AK80" s="109"/>
      <c r="AL80" s="110"/>
      <c r="AM80" s="110"/>
      <c r="AN80" s="110"/>
      <c r="AO80" s="107"/>
      <c r="AP80" s="75"/>
      <c r="AQ80" s="109"/>
      <c r="AR80" s="110"/>
      <c r="AS80" s="110"/>
      <c r="AT80" s="110"/>
      <c r="AU80" s="107"/>
      <c r="AV80" s="75"/>
      <c r="AW80" s="109"/>
      <c r="AX80" s="110"/>
      <c r="AY80" s="110"/>
      <c r="AZ80" s="110"/>
      <c r="BA80" s="107"/>
      <c r="BB80" s="75"/>
      <c r="BC80" s="109"/>
      <c r="BD80" s="110"/>
      <c r="BE80" s="110"/>
      <c r="BF80" s="110"/>
      <c r="BG80" s="107"/>
      <c r="BH80" s="75"/>
      <c r="BI80" s="109"/>
      <c r="BJ80" s="110"/>
      <c r="BK80" s="110"/>
      <c r="BL80" s="110"/>
      <c r="BM80" s="107"/>
      <c r="BN80" s="75"/>
      <c r="BO80" s="109"/>
      <c r="BP80" s="110"/>
      <c r="BQ80" s="110"/>
      <c r="BR80" s="110"/>
      <c r="BS80" s="107"/>
      <c r="BT80" s="75"/>
      <c r="BU80" s="109"/>
      <c r="BV80" s="110"/>
      <c r="BW80" s="110"/>
      <c r="BX80" s="110"/>
      <c r="BY80" s="107"/>
      <c r="BZ80" s="75"/>
      <c r="CA80" s="109"/>
      <c r="CB80" s="110"/>
      <c r="CC80" s="110"/>
      <c r="CD80" s="110"/>
      <c r="CE80" s="107"/>
      <c r="CF80" s="75"/>
      <c r="CG80" s="109"/>
      <c r="CH80" s="110"/>
      <c r="CI80" s="110"/>
      <c r="CJ80" s="110"/>
      <c r="CK80" s="107"/>
      <c r="CL80" s="75"/>
      <c r="CM80" s="109"/>
      <c r="CN80" s="110"/>
      <c r="CO80" s="110"/>
      <c r="CP80" s="110"/>
      <c r="CQ80" s="107"/>
      <c r="CR80" s="75"/>
      <c r="CS80" s="109"/>
      <c r="CT80" s="110"/>
      <c r="CU80" s="110"/>
      <c r="CV80" s="110"/>
      <c r="CW80" s="107"/>
      <c r="CX80" s="75"/>
      <c r="CY80" s="109"/>
      <c r="CZ80" s="110"/>
      <c r="DA80" s="110"/>
      <c r="DB80" s="110"/>
      <c r="DC80" s="107"/>
      <c r="DD80" s="75"/>
      <c r="DE80" s="109"/>
      <c r="DF80" s="110"/>
      <c r="DG80" s="110"/>
      <c r="DH80" s="110"/>
      <c r="DI80" s="107"/>
      <c r="DJ80" s="75"/>
      <c r="DK80" s="109"/>
      <c r="DL80" s="110"/>
      <c r="DM80" s="110"/>
      <c r="DN80" s="110"/>
      <c r="DO80" s="107"/>
      <c r="DP80" s="75"/>
      <c r="DQ80" s="109"/>
      <c r="DR80" s="110"/>
      <c r="DS80" s="110"/>
      <c r="DT80" s="110"/>
      <c r="DU80" s="107"/>
      <c r="DV80" s="75"/>
      <c r="DW80" s="109"/>
      <c r="DX80" s="110"/>
      <c r="DY80" s="110"/>
      <c r="DZ80" s="110"/>
      <c r="EA80" s="107"/>
      <c r="EB80" s="75"/>
      <c r="EC80" s="109"/>
      <c r="ED80" s="110"/>
      <c r="EE80" s="110"/>
      <c r="EF80" s="110"/>
      <c r="EG80" s="107"/>
      <c r="EH80" s="9"/>
    </row>
    <row r="81" spans="1:138" ht="11.25" hidden="1" customHeight="1" outlineLevel="1" x14ac:dyDescent="0.2">
      <c r="A81" s="129" t="s">
        <v>150</v>
      </c>
      <c r="B81" s="14"/>
      <c r="C81" s="14"/>
      <c r="D81" s="14"/>
      <c r="E81" s="141"/>
      <c r="F81" s="67"/>
      <c r="G81" s="141"/>
      <c r="H81" s="67"/>
      <c r="I81" s="141"/>
      <c r="J81" s="67"/>
      <c r="K81" s="141"/>
      <c r="L81" s="67"/>
      <c r="M81" s="418"/>
      <c r="N81" s="138"/>
      <c r="O81" s="138"/>
      <c r="P81" s="138"/>
      <c r="Q81" s="141"/>
      <c r="R81" s="67"/>
      <c r="S81" s="418"/>
      <c r="T81" s="138"/>
      <c r="U81" s="138"/>
      <c r="V81" s="138"/>
      <c r="W81" s="141"/>
      <c r="X81" s="67"/>
      <c r="Y81" s="418"/>
      <c r="Z81" s="138"/>
      <c r="AA81" s="138"/>
      <c r="AB81" s="138"/>
      <c r="AC81" s="141"/>
      <c r="AD81" s="67"/>
      <c r="AE81" s="418"/>
      <c r="AF81" s="138"/>
      <c r="AG81" s="138"/>
      <c r="AH81" s="138"/>
      <c r="AI81" s="654"/>
      <c r="AJ81" s="67"/>
      <c r="AK81" s="418"/>
      <c r="AL81" s="138"/>
      <c r="AM81" s="138"/>
      <c r="AN81" s="138"/>
      <c r="AO81" s="654"/>
      <c r="AP81" s="67"/>
      <c r="AQ81" s="418"/>
      <c r="AR81" s="138"/>
      <c r="AS81" s="138"/>
      <c r="AT81" s="138"/>
      <c r="AU81" s="141"/>
      <c r="AV81" s="67"/>
      <c r="AW81" s="418"/>
      <c r="AX81" s="138"/>
      <c r="AY81" s="138"/>
      <c r="AZ81" s="138"/>
      <c r="BA81" s="141"/>
      <c r="BB81" s="67"/>
      <c r="BC81" s="418"/>
      <c r="BD81" s="138"/>
      <c r="BE81" s="138"/>
      <c r="BF81" s="138"/>
      <c r="BG81" s="141"/>
      <c r="BH81" s="67"/>
      <c r="BI81" s="418"/>
      <c r="BJ81" s="138"/>
      <c r="BK81" s="138"/>
      <c r="BL81" s="138"/>
      <c r="BM81" s="141"/>
      <c r="BN81" s="67"/>
      <c r="BO81" s="418"/>
      <c r="BP81" s="138"/>
      <c r="BQ81" s="138"/>
      <c r="BR81" s="138"/>
      <c r="BS81" s="141"/>
      <c r="BT81" s="67"/>
      <c r="BU81" s="418"/>
      <c r="BV81" s="138"/>
      <c r="BW81" s="138"/>
      <c r="BX81" s="138"/>
      <c r="BY81" s="141"/>
      <c r="BZ81" s="67"/>
      <c r="CA81" s="418"/>
      <c r="CB81" s="138"/>
      <c r="CC81" s="138"/>
      <c r="CD81" s="138"/>
      <c r="CE81" s="141"/>
      <c r="CF81" s="67"/>
      <c r="CG81" s="418"/>
      <c r="CH81" s="138"/>
      <c r="CI81" s="138"/>
      <c r="CJ81" s="138"/>
      <c r="CK81" s="141"/>
      <c r="CL81" s="67"/>
      <c r="CM81" s="418"/>
      <c r="CN81" s="138"/>
      <c r="CO81" s="138"/>
      <c r="CP81" s="138"/>
      <c r="CQ81" s="141"/>
      <c r="CR81" s="67"/>
      <c r="CS81" s="418"/>
      <c r="CT81" s="138"/>
      <c r="CU81" s="138"/>
      <c r="CV81" s="138"/>
      <c r="CW81" s="141"/>
      <c r="CX81" s="67"/>
      <c r="CY81" s="418"/>
      <c r="CZ81" s="138"/>
      <c r="DA81" s="138"/>
      <c r="DB81" s="138"/>
      <c r="DC81" s="141"/>
      <c r="DD81" s="67"/>
      <c r="DE81" s="418"/>
      <c r="DF81" s="138"/>
      <c r="DG81" s="138"/>
      <c r="DH81" s="138"/>
      <c r="DI81" s="141"/>
      <c r="DJ81" s="67"/>
      <c r="DK81" s="418"/>
      <c r="DL81" s="138"/>
      <c r="DM81" s="138"/>
      <c r="DN81" s="138"/>
      <c r="DO81" s="141"/>
      <c r="DP81" s="67"/>
      <c r="DQ81" s="418"/>
      <c r="DR81" s="138"/>
      <c r="DS81" s="138"/>
      <c r="DT81" s="138"/>
      <c r="DU81" s="141"/>
      <c r="DV81" s="67"/>
      <c r="DW81" s="418"/>
      <c r="DX81" s="138"/>
      <c r="DY81" s="138"/>
      <c r="DZ81" s="138"/>
      <c r="EA81" s="141"/>
      <c r="EB81" s="67"/>
      <c r="EC81" s="418"/>
      <c r="ED81" s="138"/>
      <c r="EE81" s="138"/>
      <c r="EF81" s="138"/>
      <c r="EG81" s="141"/>
      <c r="EH81" s="9"/>
    </row>
    <row r="82" spans="1:138" ht="11.25" hidden="1" customHeight="1" outlineLevel="1" x14ac:dyDescent="0.2">
      <c r="A82" s="51" t="s">
        <v>490</v>
      </c>
      <c r="B82" s="14"/>
      <c r="C82" s="14"/>
      <c r="D82" s="14"/>
      <c r="E82" s="93"/>
      <c r="F82" s="67"/>
      <c r="G82" s="93"/>
      <c r="H82" s="67"/>
      <c r="I82" s="93"/>
      <c r="J82" s="67"/>
      <c r="K82" s="93"/>
      <c r="L82" s="67"/>
      <c r="M82" s="82"/>
      <c r="N82" s="67"/>
      <c r="O82" s="67"/>
      <c r="P82" s="67"/>
      <c r="Q82" s="93"/>
      <c r="R82" s="67"/>
      <c r="S82" s="82"/>
      <c r="T82" s="67"/>
      <c r="U82" s="67"/>
      <c r="V82" s="67"/>
      <c r="W82" s="93"/>
      <c r="X82" s="67"/>
      <c r="Y82" s="82"/>
      <c r="Z82" s="67"/>
      <c r="AA82" s="67"/>
      <c r="AB82" s="67"/>
      <c r="AC82" s="93"/>
      <c r="AD82" s="67"/>
      <c r="AE82" s="627"/>
      <c r="AF82" s="41"/>
      <c r="AG82" s="41"/>
      <c r="AH82" s="41"/>
      <c r="AI82" s="656"/>
      <c r="AJ82" s="565"/>
      <c r="AK82" s="632">
        <f>828.955</f>
        <v>828.95500000000004</v>
      </c>
      <c r="AL82" s="567">
        <v>871.18299999999999</v>
      </c>
      <c r="AM82" s="567">
        <v>911.80399999999997</v>
      </c>
      <c r="AN82" s="568">
        <f>+AO82-AM82-AL82-AK82</f>
        <v>1170.1669999999999</v>
      </c>
      <c r="AO82" s="657">
        <v>3782.1089999999999</v>
      </c>
      <c r="AP82" s="565"/>
      <c r="AQ82" s="632">
        <v>1055.32</v>
      </c>
      <c r="AR82" s="566">
        <v>1227.499</v>
      </c>
      <c r="AS82" s="566">
        <v>1346.9880000000001</v>
      </c>
      <c r="AT82" s="41"/>
      <c r="AU82" s="656"/>
      <c r="AV82" s="41"/>
      <c r="AW82" s="627"/>
      <c r="AX82" s="41"/>
      <c r="AY82" s="41"/>
      <c r="AZ82" s="41"/>
      <c r="BA82" s="656"/>
      <c r="BB82" s="41"/>
      <c r="BC82" s="627"/>
      <c r="BD82" s="41"/>
      <c r="BE82" s="41"/>
      <c r="BF82" s="41"/>
      <c r="BG82" s="656"/>
      <c r="BH82" s="41"/>
      <c r="BI82" s="627"/>
      <c r="BJ82" s="41"/>
      <c r="BK82" s="41"/>
      <c r="BL82" s="41"/>
      <c r="BM82" s="656"/>
      <c r="BN82" s="39"/>
      <c r="BO82" s="441"/>
      <c r="BP82" s="39"/>
      <c r="BQ82" s="569"/>
      <c r="BR82" s="39"/>
      <c r="BS82" s="446"/>
      <c r="BT82" s="39"/>
      <c r="BU82" s="441"/>
      <c r="BV82" s="39"/>
      <c r="BW82" s="569"/>
      <c r="BX82" s="39"/>
      <c r="BY82" s="446"/>
      <c r="BZ82" s="39"/>
      <c r="CA82" s="441"/>
      <c r="CB82" s="39"/>
      <c r="CC82" s="569"/>
      <c r="CD82" s="39"/>
      <c r="CE82" s="446"/>
      <c r="CF82" s="39"/>
      <c r="CG82" s="441"/>
      <c r="CH82" s="39"/>
      <c r="CI82" s="39"/>
      <c r="CJ82" s="39"/>
      <c r="CK82" s="446"/>
      <c r="CL82" s="39"/>
      <c r="CM82" s="441"/>
      <c r="CN82" s="39"/>
      <c r="CO82" s="39"/>
      <c r="CP82" s="39"/>
      <c r="CQ82" s="446"/>
      <c r="CR82" s="39"/>
      <c r="CS82" s="441"/>
      <c r="CT82" s="39"/>
      <c r="CU82" s="39"/>
      <c r="CV82" s="39"/>
      <c r="CW82" s="446"/>
      <c r="CX82" s="643"/>
      <c r="CY82" s="441"/>
      <c r="CZ82" s="39"/>
      <c r="DA82" s="39"/>
      <c r="DB82" s="39"/>
      <c r="DC82" s="446"/>
      <c r="DD82" s="67"/>
      <c r="DE82" s="82"/>
      <c r="DF82" s="67"/>
      <c r="DG82" s="67"/>
      <c r="DH82" s="67"/>
      <c r="DI82" s="93"/>
      <c r="DJ82" s="67"/>
      <c r="DK82" s="82"/>
      <c r="DL82" s="67"/>
      <c r="DM82" s="67"/>
      <c r="DN82" s="67"/>
      <c r="DO82" s="93"/>
      <c r="DP82" s="67"/>
      <c r="DQ82" s="82"/>
      <c r="DR82" s="67"/>
      <c r="DS82" s="67"/>
      <c r="DT82" s="67"/>
      <c r="DU82" s="93"/>
      <c r="DV82" s="67"/>
      <c r="DW82" s="82"/>
      <c r="DX82" s="67"/>
      <c r="DY82" s="67"/>
      <c r="DZ82" s="67"/>
      <c r="EA82" s="93"/>
      <c r="EB82" s="67"/>
      <c r="EC82" s="82"/>
      <c r="ED82" s="67"/>
      <c r="EE82" s="67"/>
      <c r="EF82" s="67"/>
      <c r="EG82" s="93"/>
      <c r="EH82" s="9"/>
    </row>
    <row r="83" spans="1:138" ht="11.25" hidden="1" customHeight="1" outlineLevel="1" x14ac:dyDescent="0.2">
      <c r="A83" s="538" t="s">
        <v>491</v>
      </c>
      <c r="B83" s="14"/>
      <c r="C83" s="14"/>
      <c r="D83" s="14"/>
      <c r="E83" s="93"/>
      <c r="F83" s="67"/>
      <c r="G83" s="93"/>
      <c r="H83" s="67"/>
      <c r="I83" s="93"/>
      <c r="J83" s="67"/>
      <c r="K83" s="93"/>
      <c r="L83" s="67"/>
      <c r="M83" s="82"/>
      <c r="N83" s="67"/>
      <c r="O83" s="67"/>
      <c r="P83" s="67"/>
      <c r="Q83" s="93"/>
      <c r="R83" s="67"/>
      <c r="S83" s="82"/>
      <c r="T83" s="67"/>
      <c r="U83" s="67"/>
      <c r="V83" s="67"/>
      <c r="W83" s="93"/>
      <c r="X83" s="67"/>
      <c r="Y83" s="82"/>
      <c r="Z83" s="67"/>
      <c r="AA83" s="67"/>
      <c r="AB83" s="67"/>
      <c r="AC83" s="93"/>
      <c r="AD83" s="67"/>
      <c r="AE83" s="557"/>
      <c r="AF83" s="551"/>
      <c r="AG83" s="551"/>
      <c r="AH83" s="551"/>
      <c r="AI83" s="558"/>
      <c r="AJ83" s="552"/>
      <c r="AK83" s="719">
        <v>0.255</v>
      </c>
      <c r="AL83" s="570">
        <v>0.26</v>
      </c>
      <c r="AM83" s="561">
        <v>0.32</v>
      </c>
      <c r="AN83" s="561"/>
      <c r="AO83" s="672">
        <v>0.31</v>
      </c>
      <c r="AP83" s="561"/>
      <c r="AQ83" s="719">
        <v>0.37</v>
      </c>
      <c r="AR83" s="561">
        <v>0.41399999999999998</v>
      </c>
      <c r="AS83" s="561">
        <v>0.46400000000000002</v>
      </c>
      <c r="AT83" s="561"/>
      <c r="AU83" s="672"/>
      <c r="AV83" s="561"/>
      <c r="AW83" s="719"/>
      <c r="AX83" s="561"/>
      <c r="AY83" s="561"/>
      <c r="AZ83" s="561"/>
      <c r="BA83" s="672"/>
      <c r="BB83" s="561"/>
      <c r="BC83" s="719"/>
      <c r="BD83" s="561"/>
      <c r="BE83" s="561"/>
      <c r="BF83" s="561"/>
      <c r="BG83" s="672"/>
      <c r="BH83" s="561"/>
      <c r="BI83" s="719"/>
      <c r="BJ83" s="561"/>
      <c r="BK83" s="561"/>
      <c r="BL83" s="561"/>
      <c r="BM83" s="672"/>
      <c r="BN83" s="561"/>
      <c r="BO83" s="719"/>
      <c r="BP83" s="561"/>
      <c r="BQ83" s="561"/>
      <c r="BR83" s="561"/>
      <c r="BS83" s="687"/>
      <c r="BT83" s="570"/>
      <c r="BU83" s="700"/>
      <c r="BV83" s="570"/>
      <c r="BW83" s="570"/>
      <c r="BX83" s="570"/>
      <c r="BY83" s="687"/>
      <c r="BZ83" s="570"/>
      <c r="CA83" s="700"/>
      <c r="CB83" s="571"/>
      <c r="CC83" s="571"/>
      <c r="CD83" s="570"/>
      <c r="CE83" s="687"/>
      <c r="CF83" s="570"/>
      <c r="CG83" s="502"/>
      <c r="CH83" s="571"/>
      <c r="CI83" s="571"/>
      <c r="CJ83" s="571"/>
      <c r="CK83" s="687"/>
      <c r="CL83" s="570"/>
      <c r="CM83" s="700"/>
      <c r="CN83" s="571"/>
      <c r="CO83" s="571"/>
      <c r="CP83" s="571"/>
      <c r="CQ83" s="687"/>
      <c r="CR83" s="570"/>
      <c r="CS83" s="700"/>
      <c r="CT83" s="571"/>
      <c r="CU83" s="571"/>
      <c r="CV83" s="571"/>
      <c r="CW83" s="687"/>
      <c r="CX83" s="570"/>
      <c r="CY83" s="700"/>
      <c r="CZ83" s="571"/>
      <c r="DA83" s="571"/>
      <c r="DB83" s="571"/>
      <c r="DC83" s="687"/>
      <c r="DD83" s="67"/>
      <c r="DE83" s="82"/>
      <c r="DF83" s="67"/>
      <c r="DG83" s="67"/>
      <c r="DH83" s="67"/>
      <c r="DI83" s="93"/>
      <c r="DJ83" s="67"/>
      <c r="DK83" s="82"/>
      <c r="DL83" s="67"/>
      <c r="DM83" s="67"/>
      <c r="DN83" s="67"/>
      <c r="DO83" s="93"/>
      <c r="DP83" s="67"/>
      <c r="DQ83" s="82"/>
      <c r="DR83" s="67"/>
      <c r="DS83" s="67"/>
      <c r="DT83" s="67"/>
      <c r="DU83" s="93"/>
      <c r="DV83" s="67"/>
      <c r="DW83" s="82"/>
      <c r="DX83" s="67"/>
      <c r="DY83" s="67"/>
      <c r="DZ83" s="67"/>
      <c r="EA83" s="93"/>
      <c r="EB83" s="67"/>
      <c r="EC83" s="82"/>
      <c r="ED83" s="67"/>
      <c r="EE83" s="67"/>
      <c r="EF83" s="67"/>
      <c r="EG83" s="93"/>
      <c r="EH83" s="9"/>
    </row>
    <row r="84" spans="1:138" ht="11.25" hidden="1" customHeight="1" outlineLevel="1" x14ac:dyDescent="0.2">
      <c r="A84" s="51" t="s">
        <v>86</v>
      </c>
      <c r="B84" s="14"/>
      <c r="C84" s="14"/>
      <c r="D84" s="14"/>
      <c r="E84" s="93"/>
      <c r="F84" s="67"/>
      <c r="G84" s="93"/>
      <c r="H84" s="67"/>
      <c r="I84" s="93"/>
      <c r="J84" s="67"/>
      <c r="K84" s="93"/>
      <c r="L84" s="67"/>
      <c r="M84" s="82"/>
      <c r="N84" s="67"/>
      <c r="O84" s="67"/>
      <c r="P84" s="67"/>
      <c r="Q84" s="93"/>
      <c r="R84" s="67"/>
      <c r="S84" s="82"/>
      <c r="T84" s="67"/>
      <c r="U84" s="67"/>
      <c r="V84" s="67"/>
      <c r="W84" s="93"/>
      <c r="X84" s="67"/>
      <c r="Y84" s="82"/>
      <c r="Z84" s="67"/>
      <c r="AA84" s="67"/>
      <c r="AB84" s="67"/>
      <c r="AC84" s="93"/>
      <c r="AD84" s="67"/>
      <c r="AE84" s="722">
        <f>25%*300*(1.05)</f>
        <v>78.75</v>
      </c>
      <c r="AF84" s="573">
        <f>24.8%*300+(20%*(450/2.5))</f>
        <v>110.4</v>
      </c>
      <c r="AG84" s="573">
        <f>26%*(300*1.06)+(26%*450)*1.07</f>
        <v>207.87</v>
      </c>
      <c r="AH84" s="573">
        <f>+AI84-AG84-AF84-AE84</f>
        <v>275.90600000000006</v>
      </c>
      <c r="AI84" s="657">
        <v>672.92600000000004</v>
      </c>
      <c r="AJ84" s="574"/>
      <c r="AK84" s="635">
        <f>+AK83*AK82</f>
        <v>211.38352500000002</v>
      </c>
      <c r="AL84" s="568">
        <f>+AL83*AL82</f>
        <v>226.50758000000002</v>
      </c>
      <c r="AM84" s="568">
        <f>+AM83*AM82</f>
        <v>291.77728000000002</v>
      </c>
      <c r="AN84" s="568">
        <f>+AO84-AM84-AL84-AK84</f>
        <v>451.8656150000001</v>
      </c>
      <c r="AO84" s="657">
        <v>1181.5340000000001</v>
      </c>
      <c r="AP84" s="566"/>
      <c r="AQ84" s="635">
        <f>+AQ83*AQ82</f>
        <v>390.46839999999997</v>
      </c>
      <c r="AR84" s="568">
        <f>+AR83*AR82</f>
        <v>508.18458599999997</v>
      </c>
      <c r="AS84" s="568">
        <f>+AS83*AS82</f>
        <v>625.00243200000011</v>
      </c>
      <c r="AT84" s="568">
        <f>+AU84-AS84-AR84-AQ84</f>
        <v>696.32058200000006</v>
      </c>
      <c r="AU84" s="657">
        <v>2219.9760000000001</v>
      </c>
      <c r="AV84" s="568"/>
      <c r="AW84" s="632">
        <f>683.579-AW90</f>
        <v>674.93899999999996</v>
      </c>
      <c r="AX84" s="566">
        <f>706.913-AX90</f>
        <v>697.91300000000001</v>
      </c>
      <c r="AY84" s="566">
        <f>741.183-AY90</f>
        <v>732.18299999999999</v>
      </c>
      <c r="AZ84" s="568">
        <f>866.311-AZ90</f>
        <v>856.95100000000002</v>
      </c>
      <c r="BA84" s="662">
        <f>SUM(AW84:AZ84)</f>
        <v>2961.9859999999999</v>
      </c>
      <c r="BB84" s="566"/>
      <c r="BC84" s="632">
        <f>758.212-BC90</f>
        <v>748.88080000000002</v>
      </c>
      <c r="BD84" s="566">
        <f>839.985-BD90</f>
        <v>830.26499999999999</v>
      </c>
      <c r="BE84" s="566">
        <f>835.009-BE90</f>
        <v>825.28899999999999</v>
      </c>
      <c r="BF84" s="566">
        <f>843.82-BF90</f>
        <v>833.71120000000008</v>
      </c>
      <c r="BG84" s="662">
        <f>SUM(BC84:BF84)</f>
        <v>3238.1460000000002</v>
      </c>
      <c r="BH84" s="568"/>
      <c r="BI84" s="632">
        <f>717.059-BI90</f>
        <v>708.00773600000002</v>
      </c>
      <c r="BJ84" s="566">
        <f>737.54-BJ90</f>
        <v>728.11159999999995</v>
      </c>
      <c r="BK84" s="566">
        <f>766.267-BK90</f>
        <v>756.83860000000004</v>
      </c>
      <c r="BL84" s="566">
        <f>921.05-BL90</f>
        <v>911.24446399999999</v>
      </c>
      <c r="BM84" s="685">
        <f>SUM(BI84:BL84)</f>
        <v>3104.2023999999997</v>
      </c>
      <c r="BN84" s="572"/>
      <c r="BO84" s="628"/>
      <c r="BP84" s="572"/>
      <c r="BQ84" s="572"/>
      <c r="BR84" s="572"/>
      <c r="BS84" s="688"/>
      <c r="BT84" s="575"/>
      <c r="BU84" s="701"/>
      <c r="BV84" s="575"/>
      <c r="BW84" s="575"/>
      <c r="BX84" s="575"/>
      <c r="BY84" s="688"/>
      <c r="BZ84" s="575"/>
      <c r="CA84" s="701"/>
      <c r="CB84" s="576"/>
      <c r="CC84" s="576"/>
      <c r="CD84" s="575"/>
      <c r="CE84" s="692"/>
      <c r="CF84" s="577"/>
      <c r="CG84" s="502"/>
      <c r="CH84" s="386"/>
      <c r="CI84" s="386"/>
      <c r="CJ84" s="386"/>
      <c r="CK84" s="694"/>
      <c r="CL84" s="578"/>
      <c r="CM84" s="502"/>
      <c r="CN84" s="386"/>
      <c r="CO84" s="386"/>
      <c r="CP84" s="386"/>
      <c r="CQ84" s="694"/>
      <c r="CR84" s="578"/>
      <c r="CS84" s="502"/>
      <c r="CT84" s="386"/>
      <c r="CU84" s="386"/>
      <c r="CV84" s="386"/>
      <c r="CW84" s="694"/>
      <c r="CX84" s="578"/>
      <c r="CY84" s="502"/>
      <c r="CZ84" s="386"/>
      <c r="DA84" s="386"/>
      <c r="DB84" s="386"/>
      <c r="DC84" s="694"/>
      <c r="DD84" s="67"/>
      <c r="DE84" s="82"/>
      <c r="DF84" s="67"/>
      <c r="DG84" s="67"/>
      <c r="DH84" s="67"/>
      <c r="DI84" s="93"/>
      <c r="DJ84" s="67"/>
      <c r="DK84" s="82"/>
      <c r="DL84" s="67"/>
      <c r="DM84" s="67"/>
      <c r="DN84" s="67"/>
      <c r="DO84" s="93"/>
      <c r="DP84" s="67"/>
      <c r="DQ84" s="82"/>
      <c r="DR84" s="67"/>
      <c r="DS84" s="67"/>
      <c r="DT84" s="67"/>
      <c r="DU84" s="93"/>
      <c r="DV84" s="67"/>
      <c r="DW84" s="82"/>
      <c r="DX84" s="67"/>
      <c r="DY84" s="67"/>
      <c r="DZ84" s="67"/>
      <c r="EA84" s="93"/>
      <c r="EB84" s="67"/>
      <c r="EC84" s="82"/>
      <c r="ED84" s="67"/>
      <c r="EE84" s="67"/>
      <c r="EF84" s="67"/>
      <c r="EG84" s="93"/>
      <c r="EH84" s="9"/>
    </row>
    <row r="85" spans="1:138" ht="11.25" hidden="1" customHeight="1" outlineLevel="1" x14ac:dyDescent="0.2">
      <c r="A85" s="51" t="s">
        <v>623</v>
      </c>
      <c r="B85" s="14"/>
      <c r="C85" s="14"/>
      <c r="D85" s="14"/>
      <c r="E85" s="93"/>
      <c r="F85" s="67"/>
      <c r="G85" s="93"/>
      <c r="H85" s="67"/>
      <c r="I85" s="93"/>
      <c r="J85" s="67"/>
      <c r="K85" s="93"/>
      <c r="L85" s="67"/>
      <c r="M85" s="82"/>
      <c r="N85" s="67"/>
      <c r="O85" s="67"/>
      <c r="P85" s="67"/>
      <c r="Q85" s="93"/>
      <c r="R85" s="67"/>
      <c r="S85" s="82"/>
      <c r="T85" s="67"/>
      <c r="U85" s="67"/>
      <c r="V85" s="67"/>
      <c r="W85" s="93"/>
      <c r="X85" s="67"/>
      <c r="Y85" s="82"/>
      <c r="Z85" s="67"/>
      <c r="AA85" s="67"/>
      <c r="AB85" s="67"/>
      <c r="AC85" s="93"/>
      <c r="AD85" s="67"/>
      <c r="AE85" s="629" t="s">
        <v>501</v>
      </c>
      <c r="AF85" s="579" t="s">
        <v>501</v>
      </c>
      <c r="AG85" s="579" t="s">
        <v>501</v>
      </c>
      <c r="AH85" s="579" t="s">
        <v>501</v>
      </c>
      <c r="AI85" s="658" t="str">
        <f>+AH85</f>
        <v>--</v>
      </c>
      <c r="AJ85" s="574"/>
      <c r="AK85" s="706">
        <v>0.08</v>
      </c>
      <c r="AL85" s="580">
        <v>4.4999999999999998E-2</v>
      </c>
      <c r="AM85" s="580">
        <v>-2.5000000000000001E-2</v>
      </c>
      <c r="AN85" s="581">
        <f>+(AO85*4)-AM85-AL85-AK85</f>
        <v>0</v>
      </c>
      <c r="AO85" s="673">
        <v>2.5000000000000001E-2</v>
      </c>
      <c r="AP85" s="582"/>
      <c r="AQ85" s="706">
        <v>0.05</v>
      </c>
      <c r="AR85" s="580">
        <v>5.5E-2</v>
      </c>
      <c r="AS85" s="580">
        <v>0.125</v>
      </c>
      <c r="AT85" s="581">
        <f>+(AU85*4)-AS85-AR85-AQ85</f>
        <v>0.11000000000000003</v>
      </c>
      <c r="AU85" s="673">
        <v>8.5000000000000006E-2</v>
      </c>
      <c r="AV85" s="583"/>
      <c r="AW85" s="633">
        <v>8.5000000000000006E-2</v>
      </c>
      <c r="AX85" s="583">
        <v>7.0000000000000007E-2</v>
      </c>
      <c r="AY85" s="583">
        <v>7.4999999999999997E-2</v>
      </c>
      <c r="AZ85" s="583">
        <v>9.5000000000000001E-2</v>
      </c>
      <c r="BA85" s="663">
        <v>0.08</v>
      </c>
      <c r="BB85" s="583"/>
      <c r="BC85" s="633">
        <v>0.03</v>
      </c>
      <c r="BD85" s="583">
        <v>0.1</v>
      </c>
      <c r="BE85" s="583">
        <v>5.5E-2</v>
      </c>
      <c r="BF85" s="583">
        <v>-5.0000000000000001E-3</v>
      </c>
      <c r="BG85" s="663">
        <v>4.4999999999999998E-2</v>
      </c>
      <c r="BH85" s="583"/>
      <c r="BI85" s="633">
        <v>-1.4999999999999999E-2</v>
      </c>
      <c r="BJ85" s="583">
        <v>-7.4999999999999997E-2</v>
      </c>
      <c r="BK85" s="583">
        <v>-8.5000000000000006E-2</v>
      </c>
      <c r="BL85" s="583">
        <v>-0.02</v>
      </c>
      <c r="BM85" s="663">
        <v>-0.05</v>
      </c>
      <c r="BN85" s="574"/>
      <c r="BO85" s="720"/>
      <c r="BP85" s="574"/>
      <c r="BQ85" s="574"/>
      <c r="BR85" s="574"/>
      <c r="BS85" s="689"/>
      <c r="BT85" s="584"/>
      <c r="BU85" s="702"/>
      <c r="BV85" s="585"/>
      <c r="BW85" s="585"/>
      <c r="BX85" s="585"/>
      <c r="BY85" s="691"/>
      <c r="BZ85" s="584"/>
      <c r="CA85" s="702"/>
      <c r="CB85" s="585"/>
      <c r="CC85" s="585"/>
      <c r="CD85" s="585"/>
      <c r="CE85" s="691"/>
      <c r="CF85" s="584"/>
      <c r="CG85" s="714"/>
      <c r="CH85" s="586"/>
      <c r="CI85" s="586"/>
      <c r="CJ85" s="586"/>
      <c r="CK85" s="695"/>
      <c r="CL85" s="584"/>
      <c r="CM85" s="714"/>
      <c r="CN85" s="586"/>
      <c r="CO85" s="586"/>
      <c r="CP85" s="586"/>
      <c r="CQ85" s="695"/>
      <c r="CR85" s="584"/>
      <c r="CS85" s="714"/>
      <c r="CT85" s="586"/>
      <c r="CU85" s="586"/>
      <c r="CV85" s="586"/>
      <c r="CW85" s="695"/>
      <c r="CX85" s="584"/>
      <c r="CY85" s="714"/>
      <c r="CZ85" s="586"/>
      <c r="DA85" s="586"/>
      <c r="DB85" s="586"/>
      <c r="DC85" s="695"/>
      <c r="DD85" s="67"/>
      <c r="DE85" s="82"/>
      <c r="DF85" s="67"/>
      <c r="DG85" s="67"/>
      <c r="DH85" s="67"/>
      <c r="DI85" s="93"/>
      <c r="DJ85" s="67"/>
      <c r="DK85" s="82"/>
      <c r="DL85" s="67"/>
      <c r="DM85" s="67"/>
      <c r="DN85" s="67"/>
      <c r="DO85" s="93"/>
      <c r="DP85" s="67"/>
      <c r="DQ85" s="82"/>
      <c r="DR85" s="67"/>
      <c r="DS85" s="67"/>
      <c r="DT85" s="67"/>
      <c r="DU85" s="93"/>
      <c r="DV85" s="67"/>
      <c r="DW85" s="82"/>
      <c r="DX85" s="67"/>
      <c r="DY85" s="67"/>
      <c r="DZ85" s="67"/>
      <c r="EA85" s="93"/>
      <c r="EB85" s="67"/>
      <c r="EC85" s="82"/>
      <c r="ED85" s="67"/>
      <c r="EE85" s="67"/>
      <c r="EF85" s="67"/>
      <c r="EG85" s="93"/>
      <c r="EH85" s="9"/>
    </row>
    <row r="86" spans="1:138" ht="11.25" hidden="1" customHeight="1" outlineLevel="1" x14ac:dyDescent="0.2">
      <c r="A86" s="538" t="s">
        <v>84</v>
      </c>
      <c r="B86" s="14"/>
      <c r="C86" s="14"/>
      <c r="D86" s="14"/>
      <c r="E86" s="93"/>
      <c r="F86" s="67"/>
      <c r="G86" s="93"/>
      <c r="H86" s="67"/>
      <c r="I86" s="93"/>
      <c r="J86" s="67"/>
      <c r="K86" s="93"/>
      <c r="L86" s="67"/>
      <c r="M86" s="82"/>
      <c r="N86" s="67"/>
      <c r="O86" s="67"/>
      <c r="P86" s="67"/>
      <c r="Q86" s="93"/>
      <c r="R86" s="67"/>
      <c r="S86" s="82"/>
      <c r="T86" s="67"/>
      <c r="U86" s="67"/>
      <c r="V86" s="67"/>
      <c r="W86" s="93"/>
      <c r="X86" s="67"/>
      <c r="Y86" s="82"/>
      <c r="Z86" s="67"/>
      <c r="AA86" s="67"/>
      <c r="AB86" s="67"/>
      <c r="AC86" s="93"/>
      <c r="AD86" s="67"/>
      <c r="AE86" s="431"/>
      <c r="AF86" s="587"/>
      <c r="AG86" s="587"/>
      <c r="AH86" s="587"/>
      <c r="AI86" s="659"/>
      <c r="AJ86" s="552"/>
      <c r="AK86" s="707">
        <f>+AK88-AK85-AK87</f>
        <v>1.5842352380952383</v>
      </c>
      <c r="AL86" s="588">
        <v>1.095</v>
      </c>
      <c r="AM86" s="588">
        <v>0.43</v>
      </c>
      <c r="AN86" s="590">
        <f>+(AO86*4)-AM86-AL86-AK86</f>
        <v>-0.10923523809523839</v>
      </c>
      <c r="AO86" s="674">
        <v>0.75</v>
      </c>
      <c r="AP86" s="552"/>
      <c r="AQ86" s="707">
        <f>+AQ88-AQ85-AQ87</f>
        <v>0.84720356044776879</v>
      </c>
      <c r="AR86" s="588">
        <v>1.2450000000000001</v>
      </c>
      <c r="AS86" s="588">
        <v>1.0049999999999999</v>
      </c>
      <c r="AT86" s="590">
        <f>+(AU86*4)-AS86-AR86-AQ86</f>
        <v>2.2796439552231318E-2</v>
      </c>
      <c r="AU86" s="678">
        <v>0.78</v>
      </c>
      <c r="AV86" s="589"/>
      <c r="AW86" s="634">
        <v>0.61499999999999999</v>
      </c>
      <c r="AX86" s="588">
        <v>0.27500000000000002</v>
      </c>
      <c r="AY86" s="588">
        <v>0.08</v>
      </c>
      <c r="AZ86" s="588">
        <v>7.4999999999999997E-2</v>
      </c>
      <c r="BA86" s="664">
        <v>0.22</v>
      </c>
      <c r="BB86" s="588"/>
      <c r="BC86" s="634">
        <v>5.0000000000000001E-3</v>
      </c>
      <c r="BD86" s="588">
        <v>5.0000000000000001E-3</v>
      </c>
      <c r="BE86" s="588">
        <v>0.03</v>
      </c>
      <c r="BF86" s="588">
        <v>2.5999999999999999E-2</v>
      </c>
      <c r="BG86" s="664">
        <v>0.02</v>
      </c>
      <c r="BH86" s="588"/>
      <c r="BI86" s="634">
        <v>4.4999999999999998E-2</v>
      </c>
      <c r="BJ86" s="588">
        <v>0.03</v>
      </c>
      <c r="BK86" s="588">
        <v>2.5000000000000001E-2</v>
      </c>
      <c r="BL86" s="588">
        <v>0.04</v>
      </c>
      <c r="BM86" s="664">
        <v>3.5000000000000003E-2</v>
      </c>
      <c r="BN86" s="588"/>
      <c r="BO86" s="721"/>
      <c r="BP86" s="588"/>
      <c r="BQ86" s="588"/>
      <c r="BR86" s="588"/>
      <c r="BS86" s="681"/>
      <c r="BT86" s="588"/>
      <c r="BU86" s="634"/>
      <c r="BV86" s="588"/>
      <c r="BW86" s="588"/>
      <c r="BX86" s="590"/>
      <c r="BY86" s="681"/>
      <c r="BZ86" s="587"/>
      <c r="CA86" s="504"/>
      <c r="CB86" s="388"/>
      <c r="CC86" s="388"/>
      <c r="CD86" s="590"/>
      <c r="CE86" s="693"/>
      <c r="CF86" s="587"/>
      <c r="CG86" s="504"/>
      <c r="CH86" s="388"/>
      <c r="CI86" s="388"/>
      <c r="CJ86" s="388"/>
      <c r="CK86" s="693"/>
      <c r="CL86" s="591"/>
      <c r="CM86" s="504"/>
      <c r="CN86" s="388"/>
      <c r="CO86" s="388"/>
      <c r="CP86" s="388"/>
      <c r="CQ86" s="693"/>
      <c r="CR86" s="591"/>
      <c r="CS86" s="504"/>
      <c r="CT86" s="388"/>
      <c r="CU86" s="388"/>
      <c r="CV86" s="388"/>
      <c r="CW86" s="693"/>
      <c r="CX86" s="592"/>
      <c r="CY86" s="504"/>
      <c r="CZ86" s="388"/>
      <c r="DA86" s="388"/>
      <c r="DB86" s="388"/>
      <c r="DC86" s="693"/>
      <c r="DD86" s="67"/>
      <c r="DE86" s="82"/>
      <c r="DF86" s="67"/>
      <c r="DG86" s="67"/>
      <c r="DH86" s="67"/>
      <c r="DI86" s="93"/>
      <c r="DJ86" s="67"/>
      <c r="DK86" s="82"/>
      <c r="DL86" s="67"/>
      <c r="DM86" s="67"/>
      <c r="DN86" s="67"/>
      <c r="DO86" s="93"/>
      <c r="DP86" s="67"/>
      <c r="DQ86" s="82"/>
      <c r="DR86" s="67"/>
      <c r="DS86" s="67"/>
      <c r="DT86" s="67"/>
      <c r="DU86" s="93"/>
      <c r="DV86" s="67"/>
      <c r="DW86" s="82"/>
      <c r="DX86" s="67"/>
      <c r="DY86" s="67"/>
      <c r="DZ86" s="67"/>
      <c r="EA86" s="93"/>
      <c r="EB86" s="67"/>
      <c r="EC86" s="82"/>
      <c r="ED86" s="67"/>
      <c r="EE86" s="67"/>
      <c r="EF86" s="67"/>
      <c r="EG86" s="93"/>
      <c r="EH86" s="9"/>
    </row>
    <row r="87" spans="1:138" ht="11.25" hidden="1" customHeight="1" outlineLevel="1" x14ac:dyDescent="0.2">
      <c r="A87" s="538" t="s">
        <v>85</v>
      </c>
      <c r="B87" s="14"/>
      <c r="C87" s="14"/>
      <c r="D87" s="14"/>
      <c r="E87" s="93"/>
      <c r="F87" s="67"/>
      <c r="G87" s="93"/>
      <c r="H87" s="67"/>
      <c r="I87" s="93"/>
      <c r="J87" s="67"/>
      <c r="K87" s="93"/>
      <c r="L87" s="67"/>
      <c r="M87" s="82"/>
      <c r="N87" s="67"/>
      <c r="O87" s="67"/>
      <c r="P87" s="67"/>
      <c r="Q87" s="93"/>
      <c r="R87" s="67"/>
      <c r="S87" s="82"/>
      <c r="T87" s="67"/>
      <c r="U87" s="67"/>
      <c r="V87" s="67"/>
      <c r="W87" s="93"/>
      <c r="X87" s="67"/>
      <c r="Y87" s="82"/>
      <c r="Z87" s="67"/>
      <c r="AA87" s="67"/>
      <c r="AB87" s="67"/>
      <c r="AC87" s="93"/>
      <c r="AD87" s="67"/>
      <c r="AE87" s="431"/>
      <c r="AF87" s="587"/>
      <c r="AG87" s="587"/>
      <c r="AH87" s="587"/>
      <c r="AI87" s="660"/>
      <c r="AJ87" s="644"/>
      <c r="AK87" s="634">
        <v>0.02</v>
      </c>
      <c r="AL87" s="588">
        <v>0.03</v>
      </c>
      <c r="AM87" s="588">
        <v>0</v>
      </c>
      <c r="AN87" s="590">
        <f>+(AO87*4)-AM87-AL87-AK87</f>
        <v>-0.13</v>
      </c>
      <c r="AO87" s="660">
        <v>-0.02</v>
      </c>
      <c r="AP87" s="644"/>
      <c r="AQ87" s="634">
        <v>-0.05</v>
      </c>
      <c r="AR87" s="588">
        <v>0</v>
      </c>
      <c r="AS87" s="588">
        <v>2.5000000000000001E-2</v>
      </c>
      <c r="AT87" s="590">
        <f>+(AU87*4)-AS87-AR87-AQ87</f>
        <v>8.4999999999999992E-2</v>
      </c>
      <c r="AU87" s="660">
        <v>1.4999999999999999E-2</v>
      </c>
      <c r="AV87" s="593"/>
      <c r="AW87" s="631">
        <v>0.05</v>
      </c>
      <c r="AX87" s="593">
        <v>3.5000000000000003E-2</v>
      </c>
      <c r="AY87" s="593">
        <v>0.04</v>
      </c>
      <c r="AZ87" s="590">
        <v>7.0000000000000007E-2</v>
      </c>
      <c r="BA87" s="660">
        <v>0.05</v>
      </c>
      <c r="BB87" s="593"/>
      <c r="BC87" s="631">
        <v>7.4999999999999997E-2</v>
      </c>
      <c r="BD87" s="593">
        <v>0.08</v>
      </c>
      <c r="BE87" s="593">
        <v>0.04</v>
      </c>
      <c r="BF87" s="593">
        <f>-2*BE87</f>
        <v>-0.08</v>
      </c>
      <c r="BG87" s="660">
        <v>0.03</v>
      </c>
      <c r="BH87" s="593"/>
      <c r="BI87" s="631">
        <v>-8.5000000000000006E-2</v>
      </c>
      <c r="BJ87" s="593">
        <v>-7.4999999999999997E-2</v>
      </c>
      <c r="BK87" s="593">
        <v>-0.02</v>
      </c>
      <c r="BL87" s="593">
        <v>7.0000000000000007E-2</v>
      </c>
      <c r="BM87" s="660">
        <v>-2.5000000000000001E-2</v>
      </c>
      <c r="BN87" s="593"/>
      <c r="BO87" s="631"/>
      <c r="BP87" s="593"/>
      <c r="BQ87" s="593"/>
      <c r="BR87" s="593"/>
      <c r="BS87" s="690"/>
      <c r="BT87" s="594"/>
      <c r="BU87" s="703"/>
      <c r="BV87" s="594"/>
      <c r="BW87" s="594"/>
      <c r="BX87" s="590"/>
      <c r="BY87" s="690"/>
      <c r="BZ87" s="594"/>
      <c r="CA87" s="703"/>
      <c r="CB87" s="595"/>
      <c r="CC87" s="595"/>
      <c r="CD87" s="590"/>
      <c r="CE87" s="690"/>
      <c r="CF87" s="594"/>
      <c r="CG87" s="703"/>
      <c r="CH87" s="595"/>
      <c r="CI87" s="595"/>
      <c r="CJ87" s="595"/>
      <c r="CK87" s="690"/>
      <c r="CL87" s="594"/>
      <c r="CM87" s="703"/>
      <c r="CN87" s="595"/>
      <c r="CO87" s="595"/>
      <c r="CP87" s="595"/>
      <c r="CQ87" s="690"/>
      <c r="CR87" s="594"/>
      <c r="CS87" s="703"/>
      <c r="CT87" s="595"/>
      <c r="CU87" s="595"/>
      <c r="CV87" s="595"/>
      <c r="CW87" s="690"/>
      <c r="CX87" s="594"/>
      <c r="CY87" s="703"/>
      <c r="CZ87" s="595"/>
      <c r="DA87" s="595"/>
      <c r="DB87" s="595"/>
      <c r="DC87" s="690"/>
      <c r="DD87" s="67"/>
      <c r="DE87" s="82"/>
      <c r="DF87" s="67"/>
      <c r="DG87" s="67"/>
      <c r="DH87" s="67"/>
      <c r="DI87" s="93"/>
      <c r="DJ87" s="67"/>
      <c r="DK87" s="82"/>
      <c r="DL87" s="67"/>
      <c r="DM87" s="67"/>
      <c r="DN87" s="67"/>
      <c r="DO87" s="93"/>
      <c r="DP87" s="67"/>
      <c r="DQ87" s="82"/>
      <c r="DR87" s="67"/>
      <c r="DS87" s="67"/>
      <c r="DT87" s="67"/>
      <c r="DU87" s="93"/>
      <c r="DV87" s="67"/>
      <c r="DW87" s="82"/>
      <c r="DX87" s="67"/>
      <c r="DY87" s="67"/>
      <c r="DZ87" s="67"/>
      <c r="EA87" s="93"/>
      <c r="EB87" s="67"/>
      <c r="EC87" s="82"/>
      <c r="ED87" s="67"/>
      <c r="EE87" s="67"/>
      <c r="EF87" s="67"/>
      <c r="EG87" s="93"/>
      <c r="EH87" s="9"/>
    </row>
    <row r="88" spans="1:138" ht="11.25" hidden="1" customHeight="1" outlineLevel="1" x14ac:dyDescent="0.2">
      <c r="A88" s="538" t="s">
        <v>45</v>
      </c>
      <c r="B88" s="14"/>
      <c r="C88" s="14"/>
      <c r="D88" s="14"/>
      <c r="E88" s="93"/>
      <c r="F88" s="67"/>
      <c r="G88" s="93"/>
      <c r="H88" s="67"/>
      <c r="I88" s="93"/>
      <c r="J88" s="67"/>
      <c r="K88" s="93"/>
      <c r="L88" s="67"/>
      <c r="M88" s="82"/>
      <c r="N88" s="67"/>
      <c r="O88" s="67"/>
      <c r="P88" s="67"/>
      <c r="Q88" s="93"/>
      <c r="R88" s="67"/>
      <c r="S88" s="82"/>
      <c r="T88" s="67"/>
      <c r="U88" s="67"/>
      <c r="V88" s="67"/>
      <c r="W88" s="93"/>
      <c r="X88" s="67"/>
      <c r="Y88" s="82"/>
      <c r="Z88" s="67"/>
      <c r="AA88" s="67"/>
      <c r="AB88" s="67"/>
      <c r="AC88" s="93"/>
      <c r="AD88" s="67"/>
      <c r="AE88" s="630" t="s">
        <v>501</v>
      </c>
      <c r="AF88" s="596" t="s">
        <v>501</v>
      </c>
      <c r="AG88" s="596" t="s">
        <v>501</v>
      </c>
      <c r="AH88" s="596" t="s">
        <v>501</v>
      </c>
      <c r="AI88" s="659"/>
      <c r="AJ88" s="588"/>
      <c r="AK88" s="707">
        <f>+AK84/AE84-1</f>
        <v>1.6842352380952383</v>
      </c>
      <c r="AL88" s="604">
        <f>+AL84/AF84-1</f>
        <v>1.0516990942028985</v>
      </c>
      <c r="AM88" s="604">
        <f>+AM84/AG84-1</f>
        <v>0.40365266753259244</v>
      </c>
      <c r="AN88" s="604">
        <f>+AN84/AH84-1</f>
        <v>0.6377520423622538</v>
      </c>
      <c r="AO88" s="665">
        <f>+AO84/AI84-1</f>
        <v>0.75581564689133729</v>
      </c>
      <c r="AP88" s="588"/>
      <c r="AQ88" s="707">
        <f>+AQ84/AK84-1</f>
        <v>0.84720356044776879</v>
      </c>
      <c r="AR88" s="604">
        <f>+AR84/AL84-1</f>
        <v>1.2435654736146136</v>
      </c>
      <c r="AS88" s="604">
        <f>+AS84/AM84-1</f>
        <v>1.1420531166785848</v>
      </c>
      <c r="AT88" s="604">
        <f>+AT84/AN84-1</f>
        <v>0.54099041592266306</v>
      </c>
      <c r="AU88" s="665">
        <f>+AU84/AO84-1</f>
        <v>0.87889303227837701</v>
      </c>
      <c r="AV88" s="593"/>
      <c r="AW88" s="707">
        <f>+AW84/AQ84-1</f>
        <v>0.72853680349037209</v>
      </c>
      <c r="AX88" s="645">
        <f>+AX84/AR84-1</f>
        <v>0.37334547175738231</v>
      </c>
      <c r="AY88" s="645">
        <f>+AY84/AS84-1</f>
        <v>0.17148824150495434</v>
      </c>
      <c r="AZ88" s="604">
        <f>+AZ84/AT84-1</f>
        <v>0.23068457568585843</v>
      </c>
      <c r="BA88" s="665">
        <f>+BA84/AU84-1</f>
        <v>0.33424235216957299</v>
      </c>
      <c r="BB88" s="593"/>
      <c r="BC88" s="655">
        <f t="shared" ref="BC88:BF88" si="344">+BC84/AW84-1</f>
        <v>0.10955330778040695</v>
      </c>
      <c r="BD88" s="597">
        <f t="shared" si="344"/>
        <v>0.18963968288310995</v>
      </c>
      <c r="BE88" s="597">
        <f t="shared" si="344"/>
        <v>0.12716219852140798</v>
      </c>
      <c r="BF88" s="597">
        <f t="shared" si="344"/>
        <v>-2.7119170174257246E-2</v>
      </c>
      <c r="BG88" s="665">
        <f>+BG84/BA84-1</f>
        <v>9.3234741825248379E-2</v>
      </c>
      <c r="BH88" s="593"/>
      <c r="BI88" s="655">
        <f t="shared" ref="BI88:BL88" si="345">+BI84/BC84-1</f>
        <v>-5.457886488744268E-2</v>
      </c>
      <c r="BJ88" s="597">
        <f t="shared" si="345"/>
        <v>-0.12303710261181677</v>
      </c>
      <c r="BK88" s="597">
        <f t="shared" si="345"/>
        <v>-8.2941127289955285E-2</v>
      </c>
      <c r="BL88" s="597">
        <f t="shared" si="345"/>
        <v>9.2997747901191641E-2</v>
      </c>
      <c r="BM88" s="665">
        <f>+BM84/BG84-1</f>
        <v>-4.136428684809168E-2</v>
      </c>
      <c r="BN88" s="593"/>
      <c r="BO88" s="631"/>
      <c r="BP88" s="593"/>
      <c r="BQ88" s="593"/>
      <c r="BR88" s="593"/>
      <c r="BS88" s="690"/>
      <c r="BT88" s="594"/>
      <c r="BU88" s="703"/>
      <c r="BV88" s="594"/>
      <c r="BW88" s="594"/>
      <c r="BX88" s="590"/>
      <c r="BY88" s="690"/>
      <c r="BZ88" s="594"/>
      <c r="CA88" s="703"/>
      <c r="CB88" s="595"/>
      <c r="CC88" s="595"/>
      <c r="CD88" s="590"/>
      <c r="CE88" s="690"/>
      <c r="CF88" s="594"/>
      <c r="CG88" s="703"/>
      <c r="CH88" s="595"/>
      <c r="CI88" s="595"/>
      <c r="CJ88" s="595"/>
      <c r="CK88" s="690"/>
      <c r="CL88" s="594"/>
      <c r="CM88" s="703"/>
      <c r="CN88" s="595"/>
      <c r="CO88" s="595"/>
      <c r="CP88" s="595"/>
      <c r="CQ88" s="690"/>
      <c r="CR88" s="594"/>
      <c r="CS88" s="703"/>
      <c r="CT88" s="595"/>
      <c r="CU88" s="595"/>
      <c r="CV88" s="595"/>
      <c r="CW88" s="690"/>
      <c r="CX88" s="594"/>
      <c r="CY88" s="703"/>
      <c r="CZ88" s="595"/>
      <c r="DA88" s="595"/>
      <c r="DB88" s="595"/>
      <c r="DC88" s="690"/>
      <c r="DD88" s="67"/>
      <c r="DE88" s="82"/>
      <c r="DF88" s="67"/>
      <c r="DG88" s="67"/>
      <c r="DH88" s="67"/>
      <c r="DI88" s="93"/>
      <c r="DJ88" s="67"/>
      <c r="DK88" s="82"/>
      <c r="DL88" s="67"/>
      <c r="DM88" s="67"/>
      <c r="DN88" s="67"/>
      <c r="DO88" s="93"/>
      <c r="DP88" s="67"/>
      <c r="DQ88" s="82"/>
      <c r="DR88" s="67"/>
      <c r="DS88" s="67"/>
      <c r="DT88" s="67"/>
      <c r="DU88" s="93"/>
      <c r="DV88" s="67"/>
      <c r="DW88" s="82"/>
      <c r="DX88" s="67"/>
      <c r="DY88" s="67"/>
      <c r="DZ88" s="67"/>
      <c r="EA88" s="93"/>
      <c r="EB88" s="67"/>
      <c r="EC88" s="82"/>
      <c r="ED88" s="67"/>
      <c r="EE88" s="67"/>
      <c r="EF88" s="67"/>
      <c r="EG88" s="93"/>
      <c r="EH88" s="9"/>
    </row>
    <row r="89" spans="1:138" ht="11.25" hidden="1" customHeight="1" outlineLevel="1" x14ac:dyDescent="0.2">
      <c r="A89" s="51"/>
      <c r="B89" s="14"/>
      <c r="C89" s="14"/>
      <c r="D89" s="14"/>
      <c r="E89" s="93"/>
      <c r="F89" s="67"/>
      <c r="G89" s="93"/>
      <c r="H89" s="67"/>
      <c r="I89" s="93"/>
      <c r="J89" s="67"/>
      <c r="K89" s="93"/>
      <c r="L89" s="67"/>
      <c r="M89" s="82"/>
      <c r="N89" s="67"/>
      <c r="O89" s="67"/>
      <c r="P89" s="67"/>
      <c r="Q89" s="93"/>
      <c r="R89" s="67"/>
      <c r="S89" s="82"/>
      <c r="T89" s="67"/>
      <c r="U89" s="67"/>
      <c r="V89" s="67"/>
      <c r="W89" s="93"/>
      <c r="X89" s="67"/>
      <c r="Y89" s="82"/>
      <c r="Z89" s="67"/>
      <c r="AA89" s="67"/>
      <c r="AB89" s="67"/>
      <c r="AC89" s="93"/>
      <c r="AD89" s="67"/>
      <c r="AE89" s="631"/>
      <c r="AF89" s="593"/>
      <c r="AG89" s="593"/>
      <c r="AH89" s="593"/>
      <c r="AI89" s="659"/>
      <c r="AJ89" s="588"/>
      <c r="AK89" s="721"/>
      <c r="AL89" s="589"/>
      <c r="AM89" s="589"/>
      <c r="AN89" s="646"/>
      <c r="AO89" s="660"/>
      <c r="AP89" s="588"/>
      <c r="AQ89" s="721"/>
      <c r="AR89" s="589"/>
      <c r="AS89" s="647"/>
      <c r="AT89" s="593"/>
      <c r="AU89" s="660"/>
      <c r="AV89" s="593"/>
      <c r="AW89" s="631"/>
      <c r="AX89" s="593"/>
      <c r="AY89" s="593"/>
      <c r="AZ89" s="590"/>
      <c r="BA89" s="660"/>
      <c r="BB89" s="593"/>
      <c r="BC89" s="631"/>
      <c r="BD89" s="593"/>
      <c r="BE89" s="593"/>
      <c r="BF89" s="593"/>
      <c r="BG89" s="660"/>
      <c r="BH89" s="593"/>
      <c r="BI89" s="631"/>
      <c r="BJ89" s="593"/>
      <c r="BK89" s="593"/>
      <c r="BL89" s="593"/>
      <c r="BM89" s="660"/>
      <c r="BN89" s="593"/>
      <c r="BO89" s="631"/>
      <c r="BP89" s="593"/>
      <c r="BQ89" s="593"/>
      <c r="BR89" s="593"/>
      <c r="BS89" s="690"/>
      <c r="BT89" s="594"/>
      <c r="BU89" s="703"/>
      <c r="BV89" s="594"/>
      <c r="BW89" s="594"/>
      <c r="BX89" s="590"/>
      <c r="BY89" s="690"/>
      <c r="BZ89" s="594"/>
      <c r="CA89" s="703"/>
      <c r="CB89" s="595"/>
      <c r="CC89" s="595"/>
      <c r="CD89" s="590"/>
      <c r="CE89" s="690"/>
      <c r="CF89" s="594"/>
      <c r="CG89" s="703"/>
      <c r="CH89" s="595"/>
      <c r="CI89" s="595"/>
      <c r="CJ89" s="595"/>
      <c r="CK89" s="690"/>
      <c r="CL89" s="594"/>
      <c r="CM89" s="715"/>
      <c r="CN89" s="598"/>
      <c r="CO89" s="598"/>
      <c r="CP89" s="598"/>
      <c r="CQ89" s="662"/>
      <c r="CR89" s="594"/>
      <c r="CS89" s="715"/>
      <c r="CT89" s="598"/>
      <c r="CU89" s="598"/>
      <c r="CV89" s="598"/>
      <c r="CW89" s="662"/>
      <c r="CX89" s="594"/>
      <c r="CY89" s="715"/>
      <c r="CZ89" s="598"/>
      <c r="DA89" s="598"/>
      <c r="DB89" s="598"/>
      <c r="DC89" s="662"/>
      <c r="DD89" s="67"/>
      <c r="DE89" s="82"/>
      <c r="DF89" s="67"/>
      <c r="DG89" s="67"/>
      <c r="DH89" s="67"/>
      <c r="DI89" s="93"/>
      <c r="DJ89" s="67"/>
      <c r="DK89" s="82"/>
      <c r="DL89" s="67"/>
      <c r="DM89" s="67"/>
      <c r="DN89" s="67"/>
      <c r="DO89" s="93"/>
      <c r="DP89" s="67"/>
      <c r="DQ89" s="82"/>
      <c r="DR89" s="67"/>
      <c r="DS89" s="67"/>
      <c r="DT89" s="67"/>
      <c r="DU89" s="93"/>
      <c r="DV89" s="67"/>
      <c r="DW89" s="82"/>
      <c r="DX89" s="67"/>
      <c r="DY89" s="67"/>
      <c r="DZ89" s="67"/>
      <c r="EA89" s="93"/>
      <c r="EB89" s="67"/>
      <c r="EC89" s="82"/>
      <c r="ED89" s="67"/>
      <c r="EE89" s="67"/>
      <c r="EF89" s="67"/>
      <c r="EG89" s="93"/>
      <c r="EH89" s="9"/>
    </row>
    <row r="90" spans="1:138" ht="11.25" hidden="1" customHeight="1" outlineLevel="1" x14ac:dyDescent="0.2">
      <c r="A90" s="51" t="s">
        <v>492</v>
      </c>
      <c r="B90" s="14"/>
      <c r="C90" s="14"/>
      <c r="D90" s="14"/>
      <c r="E90" s="93"/>
      <c r="F90" s="67"/>
      <c r="G90" s="93"/>
      <c r="H90" s="67"/>
      <c r="I90" s="93"/>
      <c r="J90" s="67"/>
      <c r="K90" s="93"/>
      <c r="L90" s="67"/>
      <c r="M90" s="82"/>
      <c r="N90" s="67"/>
      <c r="O90" s="67"/>
      <c r="P90" s="67"/>
      <c r="Q90" s="93"/>
      <c r="R90" s="67"/>
      <c r="S90" s="82"/>
      <c r="T90" s="67"/>
      <c r="U90" s="67"/>
      <c r="V90" s="67"/>
      <c r="W90" s="93"/>
      <c r="X90" s="67"/>
      <c r="Y90" s="82"/>
      <c r="Z90" s="67"/>
      <c r="AA90" s="67"/>
      <c r="AB90" s="67"/>
      <c r="AC90" s="93"/>
      <c r="AD90" s="67"/>
      <c r="AE90" s="631"/>
      <c r="AF90" s="593"/>
      <c r="AG90" s="593"/>
      <c r="AH90" s="593"/>
      <c r="AI90" s="659"/>
      <c r="AJ90" s="588"/>
      <c r="AK90" s="721"/>
      <c r="AL90" s="589"/>
      <c r="AM90" s="589"/>
      <c r="AN90" s="646"/>
      <c r="AO90" s="660"/>
      <c r="AP90" s="588"/>
      <c r="AQ90" s="721"/>
      <c r="AR90" s="589"/>
      <c r="AS90" s="648"/>
      <c r="AT90" s="593"/>
      <c r="AU90" s="679">
        <f>86-56</f>
        <v>30</v>
      </c>
      <c r="AV90" s="593"/>
      <c r="AW90" s="704">
        <f>24%*BA90</f>
        <v>8.64</v>
      </c>
      <c r="AX90" s="599">
        <f>25%*BA90</f>
        <v>9</v>
      </c>
      <c r="AY90" s="599">
        <f>25%*BA90</f>
        <v>9</v>
      </c>
      <c r="AZ90" s="600">
        <f>+BA90-AY90-AX90-AW90</f>
        <v>9.36</v>
      </c>
      <c r="BA90" s="680">
        <f>+AU90*(1+BA91)</f>
        <v>36</v>
      </c>
      <c r="BB90" s="593"/>
      <c r="BC90" s="704">
        <f>24%*BG90</f>
        <v>9.3312000000000008</v>
      </c>
      <c r="BD90" s="599">
        <f>25%*BG90</f>
        <v>9.7200000000000006</v>
      </c>
      <c r="BE90" s="599">
        <f>25%*BG90</f>
        <v>9.7200000000000006</v>
      </c>
      <c r="BF90" s="600">
        <f>+BG90-BE90-BD90-BC90</f>
        <v>10.108800000000004</v>
      </c>
      <c r="BG90" s="680">
        <f>+BA90*(1+BG91)</f>
        <v>38.880000000000003</v>
      </c>
      <c r="BH90" s="593"/>
      <c r="BI90" s="704">
        <f>24%*BM90</f>
        <v>9.0512639999999998</v>
      </c>
      <c r="BJ90" s="599">
        <f>25%*BM90</f>
        <v>9.4283999999999999</v>
      </c>
      <c r="BK90" s="599">
        <f>25%*BM90</f>
        <v>9.4283999999999999</v>
      </c>
      <c r="BL90" s="600">
        <f>+BM90-BK90-BJ90-BI90</f>
        <v>9.805536</v>
      </c>
      <c r="BM90" s="680">
        <f>+BG90*(1+BM91)</f>
        <v>37.7136</v>
      </c>
      <c r="BN90" s="593"/>
      <c r="BO90" s="704">
        <f>23%*BS90</f>
        <v>9.3680582399999999</v>
      </c>
      <c r="BP90" s="599">
        <f>25%*BS90</f>
        <v>10.182672</v>
      </c>
      <c r="BQ90" s="599">
        <f>25%*BS90</f>
        <v>10.182672</v>
      </c>
      <c r="BR90" s="600">
        <f>+BS90-BQ90-BP90-BO90</f>
        <v>10.99728576</v>
      </c>
      <c r="BS90" s="680">
        <f>+BM90*(1+BS91)</f>
        <v>40.730688000000001</v>
      </c>
      <c r="BT90" s="594"/>
      <c r="BU90" s="704">
        <f>24%*BY90</f>
        <v>10.166379724800001</v>
      </c>
      <c r="BV90" s="599">
        <f>25%*BY90</f>
        <v>10.58997888</v>
      </c>
      <c r="BW90" s="599">
        <f>25%*BY90</f>
        <v>10.58997888</v>
      </c>
      <c r="BX90" s="600">
        <f>+BY90-BW90-BV90-BU90</f>
        <v>11.0135780352</v>
      </c>
      <c r="BY90" s="680">
        <f>+BS90*(1+BY91)</f>
        <v>42.359915520000001</v>
      </c>
      <c r="BZ90" s="594"/>
      <c r="CA90" s="704">
        <f>24%*CE90</f>
        <v>10.369707319296001</v>
      </c>
      <c r="CB90" s="599">
        <f>25%*CE90</f>
        <v>10.801778457600001</v>
      </c>
      <c r="CC90" s="599">
        <f>25%*CE90</f>
        <v>10.801778457600001</v>
      </c>
      <c r="CD90" s="600">
        <f>+CE90-CC90-CB90-CA90</f>
        <v>11.233849595904001</v>
      </c>
      <c r="CE90" s="680">
        <f>+BY90*(1+CE91)</f>
        <v>43.207113830400004</v>
      </c>
      <c r="CF90" s="594"/>
      <c r="CG90" s="704">
        <f>24%*CK90</f>
        <v>10.78449561206784</v>
      </c>
      <c r="CH90" s="599">
        <f>25%*CK90</f>
        <v>11.233849595904001</v>
      </c>
      <c r="CI90" s="599">
        <f>25%*CK90</f>
        <v>11.233849595904001</v>
      </c>
      <c r="CJ90" s="600">
        <f>+CK90-CI90-CH90-CG90</f>
        <v>11.683203579740159</v>
      </c>
      <c r="CK90" s="680">
        <f>+CE90*(1+CK91)</f>
        <v>44.935398383616004</v>
      </c>
      <c r="CL90" s="594"/>
      <c r="CM90" s="715">
        <v>13.9849</v>
      </c>
      <c r="CN90" s="598">
        <v>20.898900000000001</v>
      </c>
      <c r="CO90" s="598">
        <v>12.4818</v>
      </c>
      <c r="CP90" s="598">
        <v>8.0343999999999998</v>
      </c>
      <c r="CQ90" s="662">
        <f>SUM(CM90:CP90)</f>
        <v>55.4</v>
      </c>
      <c r="CR90" s="594"/>
      <c r="CS90" s="715">
        <v>13.8</v>
      </c>
      <c r="CT90" s="598">
        <v>17</v>
      </c>
      <c r="CU90" s="598">
        <v>17.3</v>
      </c>
      <c r="CV90" s="598">
        <v>17.899999999999999</v>
      </c>
      <c r="CW90" s="662">
        <f>SUM(CS90:CV90)</f>
        <v>66</v>
      </c>
      <c r="CX90" s="594"/>
      <c r="CY90" s="1096">
        <v>17.600000000000001</v>
      </c>
      <c r="CZ90" s="1097">
        <v>17</v>
      </c>
      <c r="DA90" s="1097">
        <v>0</v>
      </c>
      <c r="DB90" s="1097">
        <v>0</v>
      </c>
      <c r="DC90" s="662">
        <f>SUM(CY90:DB90)</f>
        <v>34.6</v>
      </c>
      <c r="DD90" s="67"/>
      <c r="DE90" s="82"/>
      <c r="DF90" s="67"/>
      <c r="DG90" s="67"/>
      <c r="DH90" s="67"/>
      <c r="DI90" s="93"/>
      <c r="DJ90" s="67"/>
      <c r="DK90" s="82"/>
      <c r="DL90" s="67"/>
      <c r="DM90" s="67"/>
      <c r="DN90" s="67"/>
      <c r="DO90" s="93"/>
      <c r="DP90" s="67"/>
      <c r="DQ90" s="82"/>
      <c r="DR90" s="67"/>
      <c r="DS90" s="67"/>
      <c r="DT90" s="67"/>
      <c r="DU90" s="93"/>
      <c r="DV90" s="67"/>
      <c r="DW90" s="82"/>
      <c r="DX90" s="67"/>
      <c r="DY90" s="67"/>
      <c r="DZ90" s="67"/>
      <c r="EA90" s="93"/>
      <c r="EB90" s="67"/>
      <c r="EC90" s="82"/>
      <c r="ED90" s="67"/>
      <c r="EE90" s="67"/>
      <c r="EF90" s="67"/>
      <c r="EG90" s="93"/>
      <c r="EH90" s="9"/>
    </row>
    <row r="91" spans="1:138" ht="11.25" hidden="1" customHeight="1" outlineLevel="1" x14ac:dyDescent="0.2">
      <c r="A91" s="51" t="s">
        <v>493</v>
      </c>
      <c r="B91" s="14"/>
      <c r="C91" s="14"/>
      <c r="D91" s="14"/>
      <c r="E91" s="93"/>
      <c r="F91" s="67"/>
      <c r="G91" s="93"/>
      <c r="H91" s="67"/>
      <c r="I91" s="93"/>
      <c r="J91" s="67"/>
      <c r="K91" s="93"/>
      <c r="L91" s="67"/>
      <c r="M91" s="82"/>
      <c r="N91" s="67"/>
      <c r="O91" s="67"/>
      <c r="P91" s="67"/>
      <c r="Q91" s="93"/>
      <c r="R91" s="67"/>
      <c r="S91" s="82"/>
      <c r="T91" s="67"/>
      <c r="U91" s="67"/>
      <c r="V91" s="67"/>
      <c r="W91" s="93"/>
      <c r="X91" s="67"/>
      <c r="Y91" s="82"/>
      <c r="Z91" s="67"/>
      <c r="AA91" s="67"/>
      <c r="AB91" s="67"/>
      <c r="AC91" s="93"/>
      <c r="AD91" s="67"/>
      <c r="AE91" s="631"/>
      <c r="AF91" s="593"/>
      <c r="AG91" s="593"/>
      <c r="AH91" s="593"/>
      <c r="AI91" s="659"/>
      <c r="AJ91" s="588"/>
      <c r="AK91" s="721"/>
      <c r="AL91" s="589"/>
      <c r="AM91" s="589"/>
      <c r="AN91" s="646"/>
      <c r="AO91" s="660"/>
      <c r="AP91" s="588"/>
      <c r="AQ91" s="721"/>
      <c r="AR91" s="589"/>
      <c r="AS91" s="648"/>
      <c r="AT91" s="593"/>
      <c r="AU91" s="679"/>
      <c r="AV91" s="593"/>
      <c r="AW91" s="704"/>
      <c r="AX91" s="599"/>
      <c r="AY91" s="599"/>
      <c r="AZ91" s="600"/>
      <c r="BA91" s="660">
        <v>0.2</v>
      </c>
      <c r="BB91" s="593"/>
      <c r="BC91" s="704"/>
      <c r="BD91" s="599"/>
      <c r="BE91" s="599"/>
      <c r="BF91" s="600"/>
      <c r="BG91" s="682">
        <v>0.08</v>
      </c>
      <c r="BH91" s="593"/>
      <c r="BI91" s="631"/>
      <c r="BJ91" s="593"/>
      <c r="BK91" s="593"/>
      <c r="BL91" s="593"/>
      <c r="BM91" s="682">
        <v>-0.03</v>
      </c>
      <c r="BN91" s="593"/>
      <c r="BO91" s="631"/>
      <c r="BP91" s="593"/>
      <c r="BQ91" s="593"/>
      <c r="BR91" s="593"/>
      <c r="BS91" s="682">
        <v>0.08</v>
      </c>
      <c r="BT91" s="594"/>
      <c r="BU91" s="703"/>
      <c r="BV91" s="594"/>
      <c r="BW91" s="594"/>
      <c r="BX91" s="590"/>
      <c r="BY91" s="682">
        <v>0.04</v>
      </c>
      <c r="BZ91" s="594"/>
      <c r="CA91" s="703"/>
      <c r="CB91" s="595"/>
      <c r="CC91" s="595"/>
      <c r="CD91" s="590"/>
      <c r="CE91" s="682">
        <v>0.02</v>
      </c>
      <c r="CF91" s="594"/>
      <c r="CG91" s="703"/>
      <c r="CH91" s="595"/>
      <c r="CI91" s="595"/>
      <c r="CJ91" s="595"/>
      <c r="CK91" s="682">
        <v>0.04</v>
      </c>
      <c r="CL91" s="594"/>
      <c r="CM91" s="715"/>
      <c r="CN91" s="598"/>
      <c r="CO91" s="598"/>
      <c r="CP91" s="598"/>
      <c r="CQ91" s="696">
        <f>+CQ90/CK90-1</f>
        <v>0.23288102459996263</v>
      </c>
      <c r="CR91" s="594"/>
      <c r="CS91" s="715"/>
      <c r="CT91" s="598"/>
      <c r="CU91" s="598"/>
      <c r="CV91" s="598"/>
      <c r="CW91" s="696">
        <f>+CW90/CQ90-1</f>
        <v>0.19133574007220222</v>
      </c>
      <c r="CX91" s="594"/>
      <c r="CY91" s="715"/>
      <c r="CZ91" s="598"/>
      <c r="DA91" s="598"/>
      <c r="DB91" s="598"/>
      <c r="DC91" s="696"/>
      <c r="DD91" s="67"/>
      <c r="DE91" s="82"/>
      <c r="DF91" s="67"/>
      <c r="DG91" s="67"/>
      <c r="DH91" s="67"/>
      <c r="DI91" s="93"/>
      <c r="DJ91" s="67"/>
      <c r="DK91" s="82"/>
      <c r="DL91" s="67"/>
      <c r="DM91" s="67"/>
      <c r="DN91" s="67"/>
      <c r="DO91" s="93"/>
      <c r="DP91" s="67"/>
      <c r="DQ91" s="82"/>
      <c r="DR91" s="67"/>
      <c r="DS91" s="67"/>
      <c r="DT91" s="67"/>
      <c r="DU91" s="93"/>
      <c r="DV91" s="67"/>
      <c r="DW91" s="82"/>
      <c r="DX91" s="67"/>
      <c r="DY91" s="67"/>
      <c r="DZ91" s="67"/>
      <c r="EA91" s="93"/>
      <c r="EB91" s="67"/>
      <c r="EC91" s="82"/>
      <c r="ED91" s="67"/>
      <c r="EE91" s="67"/>
      <c r="EF91" s="67"/>
      <c r="EG91" s="93"/>
      <c r="EH91" s="9"/>
    </row>
    <row r="92" spans="1:138" ht="11.25" hidden="1" customHeight="1" outlineLevel="1" x14ac:dyDescent="0.2">
      <c r="A92" s="51" t="s">
        <v>494</v>
      </c>
      <c r="B92" s="14"/>
      <c r="C92" s="14"/>
      <c r="D92" s="14"/>
      <c r="E92" s="93"/>
      <c r="F92" s="67"/>
      <c r="G92" s="93"/>
      <c r="H92" s="67"/>
      <c r="I92" s="93"/>
      <c r="J92" s="67"/>
      <c r="K92" s="93"/>
      <c r="L92" s="67"/>
      <c r="M92" s="82"/>
      <c r="N92" s="67"/>
      <c r="O92" s="67"/>
      <c r="P92" s="67"/>
      <c r="Q92" s="93"/>
      <c r="R92" s="67"/>
      <c r="S92" s="82"/>
      <c r="T92" s="67"/>
      <c r="U92" s="67"/>
      <c r="V92" s="67"/>
      <c r="W92" s="93"/>
      <c r="X92" s="67"/>
      <c r="Y92" s="82"/>
      <c r="Z92" s="67"/>
      <c r="AA92" s="67"/>
      <c r="AB92" s="67"/>
      <c r="AC92" s="93"/>
      <c r="AD92" s="67"/>
      <c r="AE92" s="631"/>
      <c r="AF92" s="593"/>
      <c r="AG92" s="593"/>
      <c r="AH92" s="593"/>
      <c r="AI92" s="659"/>
      <c r="AJ92" s="588"/>
      <c r="AK92" s="721"/>
      <c r="AL92" s="589"/>
      <c r="AM92" s="589"/>
      <c r="AN92" s="646"/>
      <c r="AO92" s="660"/>
      <c r="AP92" s="588"/>
      <c r="AQ92" s="721"/>
      <c r="AR92" s="589"/>
      <c r="AS92" s="589"/>
      <c r="AT92" s="593"/>
      <c r="AU92" s="660">
        <v>0.12</v>
      </c>
      <c r="AV92" s="593"/>
      <c r="AW92" s="631">
        <v>0.13</v>
      </c>
      <c r="AX92" s="593">
        <v>0.13</v>
      </c>
      <c r="AY92" s="593">
        <v>0.13</v>
      </c>
      <c r="AZ92" s="593">
        <v>0.13</v>
      </c>
      <c r="BA92" s="660">
        <v>0.13</v>
      </c>
      <c r="BB92" s="593"/>
      <c r="BC92" s="655">
        <f>+BG92</f>
        <v>0.13200000000000001</v>
      </c>
      <c r="BD92" s="597">
        <f>+BG92</f>
        <v>0.13200000000000001</v>
      </c>
      <c r="BE92" s="597">
        <f>+BG92</f>
        <v>0.13200000000000001</v>
      </c>
      <c r="BF92" s="597">
        <f>+BG92</f>
        <v>0.13200000000000001</v>
      </c>
      <c r="BG92" s="660">
        <f>BA92+0.2%</f>
        <v>0.13200000000000001</v>
      </c>
      <c r="BH92" s="593"/>
      <c r="BI92" s="655">
        <f>+BM92</f>
        <v>0.13400000000000001</v>
      </c>
      <c r="BJ92" s="597">
        <f>+BM92</f>
        <v>0.13400000000000001</v>
      </c>
      <c r="BK92" s="597">
        <f>+BM92</f>
        <v>0.13400000000000001</v>
      </c>
      <c r="BL92" s="597">
        <f>+BM92</f>
        <v>0.13400000000000001</v>
      </c>
      <c r="BM92" s="660">
        <f>BG92+0.2%</f>
        <v>0.13400000000000001</v>
      </c>
      <c r="BN92" s="593"/>
      <c r="BO92" s="655">
        <f>+BS92</f>
        <v>0.13500000000000001</v>
      </c>
      <c r="BP92" s="597">
        <f>+BS92</f>
        <v>0.13500000000000001</v>
      </c>
      <c r="BQ92" s="597">
        <f>+BS92</f>
        <v>0.13500000000000001</v>
      </c>
      <c r="BR92" s="597">
        <f>+BS92</f>
        <v>0.13500000000000001</v>
      </c>
      <c r="BS92" s="660">
        <v>0.13500000000000001</v>
      </c>
      <c r="BT92" s="594"/>
      <c r="BU92" s="655">
        <f>+BY92</f>
        <v>0.13500000000000001</v>
      </c>
      <c r="BV92" s="597">
        <f>+BY92</f>
        <v>0.13500000000000001</v>
      </c>
      <c r="BW92" s="597">
        <f>+BY92</f>
        <v>0.13500000000000001</v>
      </c>
      <c r="BX92" s="597">
        <f>+BY92</f>
        <v>0.13500000000000001</v>
      </c>
      <c r="BY92" s="660">
        <v>0.13500000000000001</v>
      </c>
      <c r="BZ92" s="594"/>
      <c r="CA92" s="655">
        <f>+CE92</f>
        <v>0.13500000000000001</v>
      </c>
      <c r="CB92" s="597">
        <f>+CE92</f>
        <v>0.13500000000000001</v>
      </c>
      <c r="CC92" s="597">
        <f>+CE92</f>
        <v>0.13500000000000001</v>
      </c>
      <c r="CD92" s="597">
        <f>+CE92</f>
        <v>0.13500000000000001</v>
      </c>
      <c r="CE92" s="660">
        <v>0.13500000000000001</v>
      </c>
      <c r="CF92" s="594"/>
      <c r="CG92" s="655">
        <f>+CK92</f>
        <v>0.13500000000000001</v>
      </c>
      <c r="CH92" s="597">
        <f>+CK92</f>
        <v>0.13500000000000001</v>
      </c>
      <c r="CI92" s="597">
        <f>+CK92</f>
        <v>0.13500000000000001</v>
      </c>
      <c r="CJ92" s="597">
        <f>+CK92</f>
        <v>0.13500000000000001</v>
      </c>
      <c r="CK92" s="660">
        <v>0.13500000000000001</v>
      </c>
      <c r="CL92" s="594"/>
      <c r="CM92" s="655">
        <f>+CQ92</f>
        <v>0.13500000000000001</v>
      </c>
      <c r="CN92" s="597">
        <f>+CQ92</f>
        <v>0.13500000000000001</v>
      </c>
      <c r="CO92" s="597">
        <f>+CQ92</f>
        <v>0.13500000000000001</v>
      </c>
      <c r="CP92" s="597">
        <f>+CQ92</f>
        <v>0.13500000000000001</v>
      </c>
      <c r="CQ92" s="660">
        <v>0.13500000000000001</v>
      </c>
      <c r="CR92" s="594"/>
      <c r="CS92" s="655">
        <f>+CW92</f>
        <v>0.13</v>
      </c>
      <c r="CT92" s="597">
        <f>+CW92</f>
        <v>0.13</v>
      </c>
      <c r="CU92" s="597">
        <f>+CW92</f>
        <v>0.13</v>
      </c>
      <c r="CV92" s="597">
        <f>+CW92</f>
        <v>0.13</v>
      </c>
      <c r="CW92" s="660">
        <v>0.13</v>
      </c>
      <c r="CX92" s="594"/>
      <c r="CY92" s="655">
        <f>+DC92</f>
        <v>0.13500000000000001</v>
      </c>
      <c r="CZ92" s="597">
        <f>+DC92</f>
        <v>0.13500000000000001</v>
      </c>
      <c r="DA92" s="597">
        <f>+DC92</f>
        <v>0.13500000000000001</v>
      </c>
      <c r="DB92" s="597">
        <f>+DC92</f>
        <v>0.13500000000000001</v>
      </c>
      <c r="DC92" s="660">
        <v>0.13500000000000001</v>
      </c>
      <c r="DD92" s="67"/>
      <c r="DE92" s="82"/>
      <c r="DF92" s="67"/>
      <c r="DG92" s="67"/>
      <c r="DH92" s="67"/>
      <c r="DI92" s="93"/>
      <c r="DJ92" s="67"/>
      <c r="DK92" s="82"/>
      <c r="DL92" s="67"/>
      <c r="DM92" s="67"/>
      <c r="DN92" s="67"/>
      <c r="DO92" s="93"/>
      <c r="DP92" s="67"/>
      <c r="DQ92" s="82"/>
      <c r="DR92" s="67"/>
      <c r="DS92" s="67"/>
      <c r="DT92" s="67"/>
      <c r="DU92" s="93"/>
      <c r="DV92" s="67"/>
      <c r="DW92" s="82"/>
      <c r="DX92" s="67"/>
      <c r="DY92" s="67"/>
      <c r="DZ92" s="67"/>
      <c r="EA92" s="93"/>
      <c r="EB92" s="67"/>
      <c r="EC92" s="82"/>
      <c r="ED92" s="67"/>
      <c r="EE92" s="67"/>
      <c r="EF92" s="67"/>
      <c r="EG92" s="93"/>
      <c r="EH92" s="9"/>
    </row>
    <row r="93" spans="1:138" ht="11.25" hidden="1" customHeight="1" outlineLevel="1" x14ac:dyDescent="0.2">
      <c r="A93" s="51" t="s">
        <v>495</v>
      </c>
      <c r="B93" s="14"/>
      <c r="C93" s="14"/>
      <c r="D93" s="14"/>
      <c r="E93" s="93"/>
      <c r="F93" s="67"/>
      <c r="G93" s="93"/>
      <c r="H93" s="67"/>
      <c r="I93" s="93"/>
      <c r="J93" s="67"/>
      <c r="K93" s="93"/>
      <c r="L93" s="67"/>
      <c r="M93" s="82"/>
      <c r="N93" s="67"/>
      <c r="O93" s="67"/>
      <c r="P93" s="67"/>
      <c r="Q93" s="93"/>
      <c r="R93" s="67"/>
      <c r="S93" s="82"/>
      <c r="T93" s="67"/>
      <c r="U93" s="67"/>
      <c r="V93" s="67"/>
      <c r="W93" s="93"/>
      <c r="X93" s="67"/>
      <c r="Y93" s="82"/>
      <c r="Z93" s="67"/>
      <c r="AA93" s="67"/>
      <c r="AB93" s="67"/>
      <c r="AC93" s="93"/>
      <c r="AD93" s="67"/>
      <c r="AE93" s="631"/>
      <c r="AF93" s="593"/>
      <c r="AG93" s="593"/>
      <c r="AH93" s="593"/>
      <c r="AI93" s="659"/>
      <c r="AJ93" s="588"/>
      <c r="AK93" s="721"/>
      <c r="AL93" s="589"/>
      <c r="AM93" s="589"/>
      <c r="AN93" s="646"/>
      <c r="AO93" s="660"/>
      <c r="AP93" s="588"/>
      <c r="AQ93" s="721"/>
      <c r="AR93" s="589"/>
      <c r="AS93" s="589"/>
      <c r="AT93" s="593"/>
      <c r="AU93" s="680">
        <f>+AU92*AU90</f>
        <v>3.5999999999999996</v>
      </c>
      <c r="AV93" s="593"/>
      <c r="AW93" s="705">
        <f>+AW92*AW90</f>
        <v>1.1232000000000002</v>
      </c>
      <c r="AX93" s="601">
        <f>+AX92*AX90</f>
        <v>1.17</v>
      </c>
      <c r="AY93" s="601">
        <f>+AY92*AY90</f>
        <v>1.17</v>
      </c>
      <c r="AZ93" s="601">
        <f>+AZ92*AZ90</f>
        <v>1.2167999999999999</v>
      </c>
      <c r="BA93" s="680">
        <f>+BA92*BA90</f>
        <v>4.68</v>
      </c>
      <c r="BB93" s="593"/>
      <c r="BC93" s="705">
        <f>+BC92*BC90</f>
        <v>1.2317184000000001</v>
      </c>
      <c r="BD93" s="601">
        <f>+BD92*BD90</f>
        <v>1.2830400000000002</v>
      </c>
      <c r="BE93" s="601">
        <f>+BE92*BE90</f>
        <v>1.2830400000000002</v>
      </c>
      <c r="BF93" s="601">
        <f>+BF92*BF90</f>
        <v>1.3343616000000005</v>
      </c>
      <c r="BG93" s="680">
        <f>+BG92*BG90</f>
        <v>5.1321600000000007</v>
      </c>
      <c r="BH93" s="593"/>
      <c r="BI93" s="705">
        <f>+BI92*BI90</f>
        <v>1.212869376</v>
      </c>
      <c r="BJ93" s="601">
        <f>+BJ92*BJ90</f>
        <v>1.2634056</v>
      </c>
      <c r="BK93" s="601">
        <f>+BK92*BK90</f>
        <v>1.2634056</v>
      </c>
      <c r="BL93" s="601">
        <f>+BL92*BL90</f>
        <v>1.313941824</v>
      </c>
      <c r="BM93" s="680">
        <f>+BM92*BM90</f>
        <v>5.0536224000000001</v>
      </c>
      <c r="BN93" s="593"/>
      <c r="BO93" s="705">
        <f>+BO92*BO90</f>
        <v>1.2646878624</v>
      </c>
      <c r="BP93" s="601">
        <f>+BP92*BP90</f>
        <v>1.3746607200000001</v>
      </c>
      <c r="BQ93" s="601">
        <f>+BQ92*BQ90</f>
        <v>1.3746607200000001</v>
      </c>
      <c r="BR93" s="601">
        <f>+BR92*BR90</f>
        <v>1.4846335776000001</v>
      </c>
      <c r="BS93" s="680">
        <f>+BS92*BS90</f>
        <v>5.4986428800000002</v>
      </c>
      <c r="BT93" s="594"/>
      <c r="BU93" s="705">
        <f>+BU92*BU90</f>
        <v>1.3724612628480002</v>
      </c>
      <c r="BV93" s="601">
        <f>+BV92*BV90</f>
        <v>1.4296471488000002</v>
      </c>
      <c r="BW93" s="601">
        <f>+BW92*BW90</f>
        <v>1.4296471488000002</v>
      </c>
      <c r="BX93" s="601">
        <f>+BX92*BX90</f>
        <v>1.486833034752</v>
      </c>
      <c r="BY93" s="680">
        <f>+BY92*BY90</f>
        <v>5.7185885952000008</v>
      </c>
      <c r="BZ93" s="594"/>
      <c r="CA93" s="705">
        <f>+CA92*CA90</f>
        <v>1.3999104881049602</v>
      </c>
      <c r="CB93" s="601">
        <f>+CB92*CB90</f>
        <v>1.4582400917760003</v>
      </c>
      <c r="CC93" s="601">
        <f>+CC92*CC90</f>
        <v>1.4582400917760003</v>
      </c>
      <c r="CD93" s="601">
        <f>+CD92*CD90</f>
        <v>1.5165696954470402</v>
      </c>
      <c r="CE93" s="680">
        <f>+CE92*CE90</f>
        <v>5.8329603671040013</v>
      </c>
      <c r="CF93" s="594"/>
      <c r="CG93" s="705">
        <f>+CG92*CG90</f>
        <v>1.4559069076291584</v>
      </c>
      <c r="CH93" s="601">
        <f>+CH92*CH90</f>
        <v>1.5165696954470402</v>
      </c>
      <c r="CI93" s="601">
        <f>+CI92*CI90</f>
        <v>1.5165696954470402</v>
      </c>
      <c r="CJ93" s="601">
        <f>+CJ92*CJ90</f>
        <v>1.5772324832649216</v>
      </c>
      <c r="CK93" s="680">
        <f>+CK92*CK90</f>
        <v>6.0662787817881609</v>
      </c>
      <c r="CL93" s="594"/>
      <c r="CM93" s="705">
        <f>+CM92*CM90</f>
        <v>1.8879615000000001</v>
      </c>
      <c r="CN93" s="601">
        <f>+CN92*CN90</f>
        <v>2.8213515000000005</v>
      </c>
      <c r="CO93" s="601">
        <f>+CO92*CO90</f>
        <v>1.6850430000000001</v>
      </c>
      <c r="CP93" s="601">
        <f>+CP92*CP90</f>
        <v>1.0846439999999999</v>
      </c>
      <c r="CQ93" s="680">
        <f>+CQ92*CQ90</f>
        <v>7.4790000000000001</v>
      </c>
      <c r="CR93" s="594"/>
      <c r="CS93" s="705">
        <f>+CS92*CS90</f>
        <v>1.7940000000000003</v>
      </c>
      <c r="CT93" s="601">
        <f>+CT92*CT90</f>
        <v>2.21</v>
      </c>
      <c r="CU93" s="601">
        <f>+CU92*CU90</f>
        <v>2.2490000000000001</v>
      </c>
      <c r="CV93" s="601">
        <f>+CV92*CV90</f>
        <v>2.327</v>
      </c>
      <c r="CW93" s="680">
        <f>+CW92*CW90</f>
        <v>8.58</v>
      </c>
      <c r="CX93" s="594"/>
      <c r="CY93" s="705">
        <f>+CY92*CY90</f>
        <v>2.3760000000000003</v>
      </c>
      <c r="CZ93" s="601">
        <f>+CZ92*CZ90</f>
        <v>2.2949999999999999</v>
      </c>
      <c r="DA93" s="601">
        <f>+DA92*DA90</f>
        <v>0</v>
      </c>
      <c r="DB93" s="601">
        <f>+DB92*DB90</f>
        <v>0</v>
      </c>
      <c r="DC93" s="680">
        <f>+DC92*DC90</f>
        <v>4.6710000000000003</v>
      </c>
      <c r="DD93" s="67"/>
      <c r="DE93" s="82"/>
      <c r="DF93" s="67"/>
      <c r="DG93" s="67"/>
      <c r="DH93" s="67"/>
      <c r="DI93" s="93"/>
      <c r="DJ93" s="67"/>
      <c r="DK93" s="82"/>
      <c r="DL93" s="67"/>
      <c r="DM93" s="67"/>
      <c r="DN93" s="67"/>
      <c r="DO93" s="93"/>
      <c r="DP93" s="67"/>
      <c r="DQ93" s="82"/>
      <c r="DR93" s="67"/>
      <c r="DS93" s="67"/>
      <c r="DT93" s="67"/>
      <c r="DU93" s="93"/>
      <c r="DV93" s="67"/>
      <c r="DW93" s="82"/>
      <c r="DX93" s="67"/>
      <c r="DY93" s="67"/>
      <c r="DZ93" s="67"/>
      <c r="EA93" s="93"/>
      <c r="EB93" s="67"/>
      <c r="EC93" s="82"/>
      <c r="ED93" s="67"/>
      <c r="EE93" s="67"/>
      <c r="EF93" s="67"/>
      <c r="EG93" s="93"/>
      <c r="EH93" s="9"/>
    </row>
    <row r="94" spans="1:138" ht="11.25" hidden="1" customHeight="1" outlineLevel="1" x14ac:dyDescent="0.2">
      <c r="A94" s="51"/>
      <c r="B94" s="14"/>
      <c r="C94" s="14"/>
      <c r="D94" s="14"/>
      <c r="E94" s="93"/>
      <c r="F94" s="67"/>
      <c r="G94" s="93"/>
      <c r="H94" s="67"/>
      <c r="I94" s="93"/>
      <c r="J94" s="67"/>
      <c r="K94" s="93"/>
      <c r="L94" s="67"/>
      <c r="M94" s="82"/>
      <c r="N94" s="67"/>
      <c r="O94" s="67"/>
      <c r="P94" s="67"/>
      <c r="Q94" s="93"/>
      <c r="R94" s="67"/>
      <c r="S94" s="82"/>
      <c r="T94" s="67"/>
      <c r="U94" s="67"/>
      <c r="V94" s="67"/>
      <c r="W94" s="93"/>
      <c r="X94" s="67"/>
      <c r="Y94" s="82"/>
      <c r="Z94" s="67"/>
      <c r="AA94" s="67"/>
      <c r="AB94" s="67"/>
      <c r="AC94" s="93"/>
      <c r="AD94" s="67"/>
      <c r="AE94" s="631"/>
      <c r="AF94" s="593"/>
      <c r="AG94" s="593"/>
      <c r="AH94" s="593"/>
      <c r="AI94" s="659"/>
      <c r="AJ94" s="588"/>
      <c r="AK94" s="721"/>
      <c r="AL94" s="589"/>
      <c r="AM94" s="589"/>
      <c r="AN94" s="646"/>
      <c r="AO94" s="660"/>
      <c r="AP94" s="588"/>
      <c r="AQ94" s="721"/>
      <c r="AR94" s="589"/>
      <c r="AS94" s="589"/>
      <c r="AT94" s="593"/>
      <c r="AU94" s="680"/>
      <c r="AV94" s="593"/>
      <c r="AW94" s="631"/>
      <c r="AX94" s="593"/>
      <c r="AY94" s="593"/>
      <c r="AZ94" s="590"/>
      <c r="BA94" s="680"/>
      <c r="BB94" s="593"/>
      <c r="BC94" s="631"/>
      <c r="BD94" s="593"/>
      <c r="BE94" s="593"/>
      <c r="BF94" s="590"/>
      <c r="BG94" s="678"/>
      <c r="BH94" s="593"/>
      <c r="BI94" s="631"/>
      <c r="BJ94" s="593"/>
      <c r="BK94" s="593"/>
      <c r="BL94" s="593"/>
      <c r="BM94" s="680"/>
      <c r="BN94" s="593"/>
      <c r="BO94" s="631"/>
      <c r="BP94" s="593"/>
      <c r="BQ94" s="593"/>
      <c r="BR94" s="593"/>
      <c r="BS94" s="680"/>
      <c r="BT94" s="594"/>
      <c r="BU94" s="703"/>
      <c r="BV94" s="594"/>
      <c r="BW94" s="594"/>
      <c r="BX94" s="590"/>
      <c r="BY94" s="690"/>
      <c r="BZ94" s="594"/>
      <c r="CA94" s="703"/>
      <c r="CB94" s="595"/>
      <c r="CC94" s="595"/>
      <c r="CD94" s="590"/>
      <c r="CE94" s="690"/>
      <c r="CF94" s="594"/>
      <c r="CG94" s="703"/>
      <c r="CH94" s="595"/>
      <c r="CI94" s="595"/>
      <c r="CJ94" s="595"/>
      <c r="CK94" s="690"/>
      <c r="CL94" s="594"/>
      <c r="CM94" s="715"/>
      <c r="CN94" s="598"/>
      <c r="CO94" s="598"/>
      <c r="CP94" s="598"/>
      <c r="CQ94" s="662"/>
      <c r="CR94" s="594"/>
      <c r="CS94" s="715"/>
      <c r="CT94" s="598"/>
      <c r="CU94" s="598"/>
      <c r="CV94" s="598"/>
      <c r="CW94" s="662"/>
      <c r="CX94" s="594"/>
      <c r="CY94" s="715"/>
      <c r="CZ94" s="598"/>
      <c r="DA94" s="598"/>
      <c r="DB94" s="598"/>
      <c r="DC94" s="662"/>
      <c r="DD94" s="67"/>
      <c r="DE94" s="82"/>
      <c r="DF94" s="67"/>
      <c r="DG94" s="67"/>
      <c r="DH94" s="67"/>
      <c r="DI94" s="93"/>
      <c r="DJ94" s="67"/>
      <c r="DK94" s="82"/>
      <c r="DL94" s="67"/>
      <c r="DM94" s="67"/>
      <c r="DN94" s="67"/>
      <c r="DO94" s="93"/>
      <c r="DP94" s="67"/>
      <c r="DQ94" s="82"/>
      <c r="DR94" s="67"/>
      <c r="DS94" s="67"/>
      <c r="DT94" s="67"/>
      <c r="DU94" s="93"/>
      <c r="DV94" s="67"/>
      <c r="DW94" s="82"/>
      <c r="DX94" s="67"/>
      <c r="DY94" s="67"/>
      <c r="DZ94" s="67"/>
      <c r="EA94" s="93"/>
      <c r="EB94" s="67"/>
      <c r="EC94" s="82"/>
      <c r="ED94" s="67"/>
      <c r="EE94" s="67"/>
      <c r="EF94" s="67"/>
      <c r="EG94" s="93"/>
      <c r="EH94" s="9"/>
    </row>
    <row r="95" spans="1:138" ht="11.25" hidden="1" customHeight="1" outlineLevel="1" x14ac:dyDescent="0.2">
      <c r="A95" s="50" t="s">
        <v>496</v>
      </c>
      <c r="B95" s="14"/>
      <c r="C95" s="14"/>
      <c r="D95" s="14"/>
      <c r="E95" s="93"/>
      <c r="F95" s="67"/>
      <c r="G95" s="93"/>
      <c r="H95" s="67"/>
      <c r="I95" s="93"/>
      <c r="J95" s="67"/>
      <c r="K95" s="93"/>
      <c r="L95" s="67"/>
      <c r="M95" s="82"/>
      <c r="N95" s="67"/>
      <c r="O95" s="67"/>
      <c r="P95" s="67"/>
      <c r="Q95" s="93"/>
      <c r="R95" s="67"/>
      <c r="S95" s="82"/>
      <c r="T95" s="67"/>
      <c r="U95" s="67"/>
      <c r="V95" s="67"/>
      <c r="W95" s="93"/>
      <c r="X95" s="67"/>
      <c r="Y95" s="82"/>
      <c r="Z95" s="67"/>
      <c r="AA95" s="67"/>
      <c r="AB95" s="67"/>
      <c r="AC95" s="93"/>
      <c r="AD95" s="67"/>
      <c r="AE95" s="631"/>
      <c r="AF95" s="593"/>
      <c r="AG95" s="593"/>
      <c r="AH95" s="593"/>
      <c r="AI95" s="659"/>
      <c r="AJ95" s="588"/>
      <c r="AK95" s="721"/>
      <c r="AL95" s="589"/>
      <c r="AM95" s="589"/>
      <c r="AN95" s="646"/>
      <c r="AO95" s="660"/>
      <c r="AP95" s="588"/>
      <c r="AQ95" s="721"/>
      <c r="AR95" s="589"/>
      <c r="AS95" s="589"/>
      <c r="AT95" s="593"/>
      <c r="AU95" s="660"/>
      <c r="AV95" s="593"/>
      <c r="AW95" s="631"/>
      <c r="AX95" s="593"/>
      <c r="AY95" s="593"/>
      <c r="AZ95" s="590"/>
      <c r="BA95" s="660"/>
      <c r="BB95" s="593"/>
      <c r="BC95" s="631"/>
      <c r="BD95" s="593"/>
      <c r="BE95" s="593"/>
      <c r="BF95" s="593"/>
      <c r="BG95" s="683">
        <f>+BG84-BG118-BG103-BG110</f>
        <v>0</v>
      </c>
      <c r="BH95" s="593"/>
      <c r="BI95" s="631"/>
      <c r="BJ95" s="593"/>
      <c r="BK95" s="593"/>
      <c r="BL95" s="593"/>
      <c r="BM95" s="660"/>
      <c r="BN95" s="593"/>
      <c r="BO95" s="631"/>
      <c r="BP95" s="593"/>
      <c r="BQ95" s="593"/>
      <c r="BR95" s="593"/>
      <c r="BS95" s="690"/>
      <c r="BT95" s="594"/>
      <c r="BU95" s="703"/>
      <c r="BV95" s="594"/>
      <c r="BW95" s="594"/>
      <c r="BX95" s="590"/>
      <c r="BY95" s="690"/>
      <c r="BZ95" s="594"/>
      <c r="CA95" s="703"/>
      <c r="CB95" s="595"/>
      <c r="CC95" s="595"/>
      <c r="CD95" s="590"/>
      <c r="CE95" s="690"/>
      <c r="CF95" s="594"/>
      <c r="CG95" s="703"/>
      <c r="CH95" s="595"/>
      <c r="CI95" s="595"/>
      <c r="CJ95" s="595"/>
      <c r="CK95" s="690"/>
      <c r="CL95" s="594"/>
      <c r="CM95" s="715"/>
      <c r="CN95" s="598"/>
      <c r="CO95" s="598"/>
      <c r="CP95" s="598"/>
      <c r="CQ95" s="662"/>
      <c r="CR95" s="594"/>
      <c r="CS95" s="715"/>
      <c r="CT95" s="598"/>
      <c r="CU95" s="598"/>
      <c r="CV95" s="598"/>
      <c r="CW95" s="662"/>
      <c r="CX95" s="594"/>
      <c r="CY95" s="715"/>
      <c r="CZ95" s="598"/>
      <c r="DA95" s="598"/>
      <c r="DB95" s="598"/>
      <c r="DC95" s="662"/>
      <c r="DD95" s="67"/>
      <c r="DE95" s="82"/>
      <c r="DF95" s="67"/>
      <c r="DG95" s="67"/>
      <c r="DH95" s="67"/>
      <c r="DI95" s="93"/>
      <c r="DJ95" s="67"/>
      <c r="DK95" s="82"/>
      <c r="DL95" s="67"/>
      <c r="DM95" s="67"/>
      <c r="DN95" s="67"/>
      <c r="DO95" s="93"/>
      <c r="DP95" s="67"/>
      <c r="DQ95" s="82"/>
      <c r="DR95" s="67"/>
      <c r="DS95" s="67"/>
      <c r="DT95" s="67"/>
      <c r="DU95" s="93"/>
      <c r="DV95" s="67"/>
      <c r="DW95" s="82"/>
      <c r="DX95" s="67"/>
      <c r="DY95" s="67"/>
      <c r="DZ95" s="67"/>
      <c r="EA95" s="93"/>
      <c r="EB95" s="67"/>
      <c r="EC95" s="82"/>
      <c r="ED95" s="67"/>
      <c r="EE95" s="67"/>
      <c r="EF95" s="67"/>
      <c r="EG95" s="93"/>
      <c r="EH95" s="9"/>
    </row>
    <row r="96" spans="1:138" ht="11.25" hidden="1" customHeight="1" outlineLevel="1" x14ac:dyDescent="0.2">
      <c r="A96" s="51" t="s">
        <v>86</v>
      </c>
      <c r="B96" s="14"/>
      <c r="C96" s="14"/>
      <c r="D96" s="14"/>
      <c r="E96" s="93"/>
      <c r="F96" s="67"/>
      <c r="G96" s="93"/>
      <c r="H96" s="67"/>
      <c r="I96" s="93"/>
      <c r="J96" s="67"/>
      <c r="K96" s="93"/>
      <c r="L96" s="67"/>
      <c r="M96" s="82"/>
      <c r="N96" s="67"/>
      <c r="O96" s="67"/>
      <c r="P96" s="67"/>
      <c r="Q96" s="93"/>
      <c r="R96" s="67"/>
      <c r="S96" s="82"/>
      <c r="T96" s="67"/>
      <c r="U96" s="67"/>
      <c r="V96" s="67"/>
      <c r="W96" s="93"/>
      <c r="X96" s="67"/>
      <c r="Y96" s="82"/>
      <c r="Z96" s="67"/>
      <c r="AA96" s="67"/>
      <c r="AB96" s="67"/>
      <c r="AC96" s="93"/>
      <c r="AD96" s="67"/>
      <c r="AE96" s="628"/>
      <c r="AF96" s="572"/>
      <c r="AG96" s="572"/>
      <c r="AH96" s="573"/>
      <c r="AI96" s="661"/>
      <c r="AJ96" s="602"/>
      <c r="AK96" s="722"/>
      <c r="AL96" s="573"/>
      <c r="AM96" s="573"/>
      <c r="AN96" s="573"/>
      <c r="AO96" s="661"/>
      <c r="AP96" s="572"/>
      <c r="AQ96" s="722"/>
      <c r="AR96" s="573"/>
      <c r="AS96" s="573"/>
      <c r="AT96" s="573"/>
      <c r="AU96" s="657"/>
      <c r="AV96" s="572"/>
      <c r="AW96" s="722"/>
      <c r="AX96" s="573"/>
      <c r="AY96" s="573"/>
      <c r="AZ96" s="573"/>
      <c r="BA96" s="657"/>
      <c r="BB96" s="572"/>
      <c r="BC96" s="722"/>
      <c r="BD96" s="573"/>
      <c r="BE96" s="573"/>
      <c r="BF96" s="573"/>
      <c r="BG96" s="678"/>
      <c r="BH96" s="572"/>
      <c r="BI96" s="632">
        <f>340.4-BI90</f>
        <v>331.34873599999997</v>
      </c>
      <c r="BJ96" s="566">
        <f>349-BJ90</f>
        <v>339.57159999999999</v>
      </c>
      <c r="BK96" s="566">
        <f>363.4-BK90</f>
        <v>353.97159999999997</v>
      </c>
      <c r="BL96" s="566">
        <f>432.12-BL90</f>
        <v>422.31446399999999</v>
      </c>
      <c r="BM96" s="662">
        <f>SUM(BI96:BL96)</f>
        <v>1447.2064</v>
      </c>
      <c r="BN96" s="566"/>
      <c r="BO96" s="632">
        <f>516.5-BO90</f>
        <v>507.13194176000002</v>
      </c>
      <c r="BP96" s="566">
        <f>540.1-BP90</f>
        <v>529.917328</v>
      </c>
      <c r="BQ96" s="566">
        <f>559.8-BQ90</f>
        <v>549.61732799999993</v>
      </c>
      <c r="BR96" s="566">
        <f>681.9-BR90</f>
        <v>670.90271424000002</v>
      </c>
      <c r="BS96" s="1091">
        <f>SUM(BO96:BR96)</f>
        <v>2257.5693120000001</v>
      </c>
      <c r="BT96" s="1092"/>
      <c r="BU96" s="1093">
        <f>626.6-BU90</f>
        <v>616.43362027520004</v>
      </c>
      <c r="BV96" s="1092">
        <f>704.8-BV90</f>
        <v>694.21002111999996</v>
      </c>
      <c r="BW96" s="1092">
        <f>1567.4-BW90</f>
        <v>1556.8100211200001</v>
      </c>
      <c r="BX96" s="1092">
        <f>1728.5-BX90</f>
        <v>1717.4864219648</v>
      </c>
      <c r="BY96" s="1091">
        <f>SUM(BU96:BX96)</f>
        <v>4584.9400844800002</v>
      </c>
      <c r="BZ96" s="1092"/>
      <c r="CA96" s="1094">
        <f>1545.9-CA90</f>
        <v>1535.5302926807042</v>
      </c>
      <c r="CB96" s="1095">
        <f>1583.4-CB90</f>
        <v>1572.5982215424001</v>
      </c>
      <c r="CC96" s="1095">
        <f>1518.1-CC90</f>
        <v>1507.2982215423999</v>
      </c>
      <c r="CD96" s="1095">
        <f>1837.7-CD90</f>
        <v>1826.466150404096</v>
      </c>
      <c r="CE96" s="1091">
        <f>SUM(CA96:CD96)</f>
        <v>6441.8928861696004</v>
      </c>
      <c r="CF96" s="1092"/>
      <c r="CG96" s="1093">
        <f>1567.4-CG90</f>
        <v>1556.6155043879323</v>
      </c>
      <c r="CH96" s="1092">
        <f>1674.3-CH90</f>
        <v>1663.0661504040959</v>
      </c>
      <c r="CI96" s="1092">
        <f>1675.1-CI90</f>
        <v>1663.8661504040958</v>
      </c>
      <c r="CJ96" s="1092">
        <f>1939.6-CJ90</f>
        <v>1927.9167964202597</v>
      </c>
      <c r="CK96" s="1091">
        <f>SUM(CG96:CJ96)</f>
        <v>6811.4646016163833</v>
      </c>
      <c r="CL96" s="1092"/>
      <c r="CM96" s="1093">
        <f>1659.6-CM90</f>
        <v>1645.6151</v>
      </c>
      <c r="CN96" s="1092">
        <f>1790-CN90</f>
        <v>1769.1011000000001</v>
      </c>
      <c r="CO96" s="1092">
        <f>1741.2-CO90</f>
        <v>1728.7182</v>
      </c>
      <c r="CP96" s="1092">
        <f>1994.9-CP90</f>
        <v>1986.8656000000001</v>
      </c>
      <c r="CQ96" s="1091">
        <f>SUM(CM96:CP96)</f>
        <v>7130.3</v>
      </c>
      <c r="CR96" s="1092"/>
      <c r="CS96" s="1093">
        <f>1695.7-CS90</f>
        <v>1681.9</v>
      </c>
      <c r="CT96" s="1092">
        <f>1840.3-CT90</f>
        <v>1823.3</v>
      </c>
      <c r="CU96" s="1092">
        <f>1997.6-CU90</f>
        <v>1980.3</v>
      </c>
      <c r="CV96" s="1092">
        <f>2679.5-CV90</f>
        <v>2661.6</v>
      </c>
      <c r="CW96" s="1091">
        <f>SUM(CS96:CV96)</f>
        <v>8147.1</v>
      </c>
      <c r="CX96" s="1092"/>
      <c r="CY96" s="1093">
        <f>2411.9-CY90</f>
        <v>2394.3000000000002</v>
      </c>
      <c r="CZ96" s="1092">
        <f>2602.9-CZ90</f>
        <v>2585.9</v>
      </c>
      <c r="DA96" s="1092">
        <f>2538.1-DA90</f>
        <v>2538.1</v>
      </c>
      <c r="DB96" s="1092">
        <f>2885.9-DB90</f>
        <v>2885.9</v>
      </c>
      <c r="DC96" s="1091">
        <f>SUM(CY96:DB96)</f>
        <v>10404.200000000001</v>
      </c>
      <c r="DD96" s="67"/>
      <c r="DE96" s="82"/>
      <c r="DF96" s="67"/>
      <c r="DG96" s="67"/>
      <c r="DH96" s="67"/>
      <c r="DI96" s="93"/>
      <c r="DJ96" s="67"/>
      <c r="DK96" s="82"/>
      <c r="DL96" s="67"/>
      <c r="DM96" s="67"/>
      <c r="DN96" s="67"/>
      <c r="DO96" s="93"/>
      <c r="DP96" s="67"/>
      <c r="DQ96" s="82"/>
      <c r="DR96" s="67"/>
      <c r="DS96" s="67"/>
      <c r="DT96" s="67"/>
      <c r="DU96" s="93"/>
      <c r="DV96" s="67"/>
      <c r="DW96" s="82"/>
      <c r="DX96" s="67"/>
      <c r="DY96" s="67"/>
      <c r="DZ96" s="67"/>
      <c r="EA96" s="93"/>
      <c r="EB96" s="67"/>
      <c r="EC96" s="82"/>
      <c r="ED96" s="67"/>
      <c r="EE96" s="67"/>
      <c r="EF96" s="67"/>
      <c r="EG96" s="93"/>
      <c r="EH96" s="9"/>
    </row>
    <row r="97" spans="1:138" ht="11.25" hidden="1" customHeight="1" outlineLevel="1" x14ac:dyDescent="0.2">
      <c r="A97" s="51" t="s">
        <v>623</v>
      </c>
      <c r="B97" s="14"/>
      <c r="C97" s="14"/>
      <c r="D97" s="14"/>
      <c r="E97" s="93"/>
      <c r="F97" s="67"/>
      <c r="G97" s="93"/>
      <c r="H97" s="67"/>
      <c r="I97" s="93"/>
      <c r="J97" s="67"/>
      <c r="K97" s="93"/>
      <c r="L97" s="67"/>
      <c r="M97" s="82"/>
      <c r="N97" s="67"/>
      <c r="O97" s="67"/>
      <c r="P97" s="67"/>
      <c r="Q97" s="93"/>
      <c r="R97" s="67"/>
      <c r="S97" s="82"/>
      <c r="T97" s="67"/>
      <c r="U97" s="67"/>
      <c r="V97" s="67"/>
      <c r="W97" s="93"/>
      <c r="X97" s="67"/>
      <c r="Y97" s="82"/>
      <c r="Z97" s="67"/>
      <c r="AA97" s="67"/>
      <c r="AB97" s="67"/>
      <c r="AC97" s="93"/>
      <c r="AD97" s="67"/>
      <c r="AE97" s="629"/>
      <c r="AF97" s="579"/>
      <c r="AG97" s="579"/>
      <c r="AH97" s="579"/>
      <c r="AI97" s="658"/>
      <c r="AJ97" s="574"/>
      <c r="AK97" s="706"/>
      <c r="AL97" s="580"/>
      <c r="AM97" s="580"/>
      <c r="AN97" s="581"/>
      <c r="AO97" s="673"/>
      <c r="AP97" s="582"/>
      <c r="AQ97" s="706"/>
      <c r="AR97" s="580"/>
      <c r="AS97" s="580"/>
      <c r="AT97" s="581"/>
      <c r="AU97" s="673"/>
      <c r="AV97" s="582"/>
      <c r="AW97" s="706"/>
      <c r="AX97" s="580"/>
      <c r="AY97" s="580"/>
      <c r="AZ97" s="581"/>
      <c r="BA97" s="661"/>
      <c r="BB97" s="582"/>
      <c r="BC97" s="706"/>
      <c r="BD97" s="580"/>
      <c r="BE97" s="580"/>
      <c r="BF97" s="581"/>
      <c r="BG97" s="660"/>
      <c r="BH97" s="582"/>
      <c r="BI97" s="706">
        <v>3.5000000000000003E-2</v>
      </c>
      <c r="BJ97" s="580">
        <v>-0.04</v>
      </c>
      <c r="BK97" s="580">
        <v>-2.5000000000000001E-2</v>
      </c>
      <c r="BL97" s="580">
        <v>0.01</v>
      </c>
      <c r="BM97" s="673">
        <v>-0.01</v>
      </c>
      <c r="BN97" s="582"/>
      <c r="BO97" s="706">
        <v>0.08</v>
      </c>
      <c r="BP97" s="580">
        <v>7.4999999999999997E-2</v>
      </c>
      <c r="BQ97" s="580">
        <v>0.1</v>
      </c>
      <c r="BR97" s="580">
        <v>0.1</v>
      </c>
      <c r="BS97" s="673">
        <v>0.09</v>
      </c>
      <c r="BT97" s="582"/>
      <c r="BU97" s="706">
        <v>0.09</v>
      </c>
      <c r="BV97" s="580">
        <v>0.08</v>
      </c>
      <c r="BW97" s="580">
        <v>0.06</v>
      </c>
      <c r="BX97" s="580">
        <v>0.06</v>
      </c>
      <c r="BY97" s="673">
        <v>7.0000000000000007E-2</v>
      </c>
      <c r="BZ97" s="582"/>
      <c r="CA97" s="706">
        <v>0.02</v>
      </c>
      <c r="CB97" s="580">
        <v>0.05</v>
      </c>
      <c r="CC97" s="580">
        <v>2.5000000000000001E-2</v>
      </c>
      <c r="CD97" s="581">
        <v>7.0000000000000007E-2</v>
      </c>
      <c r="CE97" s="673">
        <v>4.4999999999999998E-2</v>
      </c>
      <c r="CF97" s="582"/>
      <c r="CG97" s="706">
        <v>2.5000000000000001E-2</v>
      </c>
      <c r="CH97" s="580">
        <v>0.05</v>
      </c>
      <c r="CI97" s="580">
        <v>0.06</v>
      </c>
      <c r="CJ97" s="580">
        <v>3.5000000000000003E-2</v>
      </c>
      <c r="CK97" s="673">
        <v>0.04</v>
      </c>
      <c r="CL97" s="582"/>
      <c r="CM97" s="706">
        <v>0.04</v>
      </c>
      <c r="CN97" s="580">
        <v>0.05</v>
      </c>
      <c r="CO97" s="580">
        <v>0.03</v>
      </c>
      <c r="CP97" s="581">
        <v>0.05</v>
      </c>
      <c r="CQ97" s="697">
        <f>SUMPRODUCT(CM97:CP97,CG$96:CJ$96)/CK$96</f>
        <v>4.2829225297541663E-2</v>
      </c>
      <c r="CR97" s="582"/>
      <c r="CS97" s="706">
        <v>0.05</v>
      </c>
      <c r="CT97" s="580">
        <v>4.4999999999999998E-2</v>
      </c>
      <c r="CU97" s="580">
        <v>3.5000000000000003E-2</v>
      </c>
      <c r="CV97" s="581">
        <v>0.02</v>
      </c>
      <c r="CW97" s="697">
        <f>SUMPRODUCT(CS97:CV97,CM$96:CP$96)/CQ$96</f>
        <v>3.6763215222360916E-2</v>
      </c>
      <c r="CX97" s="582"/>
      <c r="CY97" s="706">
        <v>2.5000000000000001E-2</v>
      </c>
      <c r="CZ97" s="580">
        <v>3.0273405777485596E-2</v>
      </c>
      <c r="DA97" s="580">
        <v>2.9999999999999995E-2</v>
      </c>
      <c r="DB97" s="581">
        <v>3.5038636127377946E-2</v>
      </c>
      <c r="DC97" s="697">
        <f>SUMPRODUCT(CY97:DB97,CS$96:CV$96)/CW$96</f>
        <v>3.0675066547694099E-2</v>
      </c>
      <c r="DD97" s="67"/>
      <c r="DE97" s="82"/>
      <c r="DF97" s="67"/>
      <c r="DG97" s="67"/>
      <c r="DH97" s="67"/>
      <c r="DI97" s="93"/>
      <c r="DJ97" s="67"/>
      <c r="DK97" s="82"/>
      <c r="DL97" s="67"/>
      <c r="DM97" s="67"/>
      <c r="DN97" s="67"/>
      <c r="DO97" s="93"/>
      <c r="DP97" s="67"/>
      <c r="DQ97" s="82"/>
      <c r="DR97" s="67"/>
      <c r="DS97" s="67"/>
      <c r="DT97" s="67"/>
      <c r="DU97" s="93"/>
      <c r="DV97" s="67"/>
      <c r="DW97" s="82"/>
      <c r="DX97" s="67"/>
      <c r="DY97" s="67"/>
      <c r="DZ97" s="67"/>
      <c r="EA97" s="93"/>
      <c r="EB97" s="67"/>
      <c r="EC97" s="82"/>
      <c r="ED97" s="67"/>
      <c r="EE97" s="67"/>
      <c r="EF97" s="67"/>
      <c r="EG97" s="93"/>
      <c r="EH97" s="9"/>
    </row>
    <row r="98" spans="1:138" ht="11.25" hidden="1" customHeight="1" outlineLevel="1" x14ac:dyDescent="0.2">
      <c r="A98" s="51" t="s">
        <v>84</v>
      </c>
      <c r="B98" s="14"/>
      <c r="C98" s="14"/>
      <c r="D98" s="14"/>
      <c r="E98" s="93"/>
      <c r="F98" s="67"/>
      <c r="G98" s="93"/>
      <c r="H98" s="67"/>
      <c r="I98" s="93"/>
      <c r="J98" s="67"/>
      <c r="K98" s="93"/>
      <c r="L98" s="67"/>
      <c r="M98" s="82"/>
      <c r="N98" s="67"/>
      <c r="O98" s="67"/>
      <c r="P98" s="67"/>
      <c r="Q98" s="93"/>
      <c r="R98" s="67"/>
      <c r="S98" s="82"/>
      <c r="T98" s="67"/>
      <c r="U98" s="67"/>
      <c r="V98" s="67"/>
      <c r="W98" s="93"/>
      <c r="X98" s="67"/>
      <c r="Y98" s="82"/>
      <c r="Z98" s="67"/>
      <c r="AA98" s="67"/>
      <c r="AB98" s="67"/>
      <c r="AC98" s="93"/>
      <c r="AD98" s="67"/>
      <c r="AE98" s="431"/>
      <c r="AF98" s="587"/>
      <c r="AG98" s="587"/>
      <c r="AH98" s="587"/>
      <c r="AI98" s="659"/>
      <c r="AJ98" s="552"/>
      <c r="AK98" s="707"/>
      <c r="AL98" s="588"/>
      <c r="AM98" s="588"/>
      <c r="AN98" s="590"/>
      <c r="AO98" s="674"/>
      <c r="AP98" s="552"/>
      <c r="AQ98" s="707"/>
      <c r="AR98" s="588"/>
      <c r="AS98" s="588"/>
      <c r="AT98" s="590"/>
      <c r="AU98" s="678"/>
      <c r="AV98" s="552"/>
      <c r="AW98" s="707"/>
      <c r="AX98" s="588"/>
      <c r="AY98" s="588"/>
      <c r="AZ98" s="590"/>
      <c r="BA98" s="678"/>
      <c r="BB98" s="552"/>
      <c r="BC98" s="707"/>
      <c r="BD98" s="588"/>
      <c r="BE98" s="588"/>
      <c r="BF98" s="590"/>
      <c r="BG98" s="678"/>
      <c r="BH98" s="552"/>
      <c r="BI98" s="707"/>
      <c r="BJ98" s="588"/>
      <c r="BK98" s="588"/>
      <c r="BL98" s="588"/>
      <c r="BM98" s="678"/>
      <c r="BN98" s="552"/>
      <c r="BO98" s="634">
        <v>0.38733254994124577</v>
      </c>
      <c r="BP98" s="588">
        <v>0.48756446991404029</v>
      </c>
      <c r="BQ98" s="589">
        <v>0.46545129334067137</v>
      </c>
      <c r="BR98" s="588">
        <v>0.495</v>
      </c>
      <c r="BS98" s="664">
        <v>0.46</v>
      </c>
      <c r="BT98" s="603"/>
      <c r="BU98" s="634">
        <v>0.1</v>
      </c>
      <c r="BV98" s="588">
        <v>0.15</v>
      </c>
      <c r="BW98" s="588">
        <v>1.6850000000000001</v>
      </c>
      <c r="BX98" s="588">
        <v>1.4750000000000001</v>
      </c>
      <c r="BY98" s="664">
        <v>0.91</v>
      </c>
      <c r="BZ98" s="603"/>
      <c r="CA98" s="634">
        <v>1.45</v>
      </c>
      <c r="CB98" s="588">
        <v>1.23</v>
      </c>
      <c r="CC98" s="588">
        <v>-2.5000000000000001E-2</v>
      </c>
      <c r="CD98" s="588">
        <v>0</v>
      </c>
      <c r="CE98" s="664">
        <v>0.375</v>
      </c>
      <c r="CF98" s="603"/>
      <c r="CG98" s="634">
        <v>5.0000000000000001E-3</v>
      </c>
      <c r="CH98" s="588">
        <v>1.4999999999999999E-2</v>
      </c>
      <c r="CI98" s="588">
        <v>5.5E-2</v>
      </c>
      <c r="CJ98" s="588">
        <v>3.5000000000000003E-2</v>
      </c>
      <c r="CK98" s="664">
        <v>0.03</v>
      </c>
      <c r="CL98" s="603"/>
      <c r="CM98" s="634">
        <v>2.5000000000000001E-2</v>
      </c>
      <c r="CN98" s="588">
        <v>1.4999999999999999E-2</v>
      </c>
      <c r="CO98" s="588">
        <v>1.4999999999999999E-2</v>
      </c>
      <c r="CP98" s="588">
        <v>0.02</v>
      </c>
      <c r="CQ98" s="697">
        <f>SUMPRODUCT(CM98:CP98,CG$96:CJ$96)/CK$96</f>
        <v>1.8700487413529129E-2</v>
      </c>
      <c r="CR98" s="603"/>
      <c r="CS98" s="634">
        <v>4.4999999999999998E-2</v>
      </c>
      <c r="CT98" s="588">
        <v>5.5E-2</v>
      </c>
      <c r="CU98" s="588">
        <v>0.18</v>
      </c>
      <c r="CV98" s="588">
        <v>0.38</v>
      </c>
      <c r="CW98" s="697">
        <f>SUMPRODUCT(CS98:CV98,CM$96:CP$96)/CQ$96</f>
        <v>0.17355951979580103</v>
      </c>
      <c r="CX98" s="603"/>
      <c r="CY98" s="634">
        <v>0.41499999999999998</v>
      </c>
      <c r="CZ98" s="588">
        <v>0.49926993430870287</v>
      </c>
      <c r="DA98" s="588">
        <v>0.30499999999999999</v>
      </c>
      <c r="DB98" s="588">
        <v>6.5017821465675696E-2</v>
      </c>
      <c r="DC98" s="697">
        <f>SUMPRODUCT(CY98:DB98,CS$96:CV$96)/CW$96</f>
        <v>0.29278520023543347</v>
      </c>
      <c r="DD98" s="67"/>
      <c r="DE98" s="82"/>
      <c r="DF98" s="67"/>
      <c r="DG98" s="67"/>
      <c r="DH98" s="67"/>
      <c r="DI98" s="93"/>
      <c r="DJ98" s="67"/>
      <c r="DK98" s="82"/>
      <c r="DL98" s="67"/>
      <c r="DM98" s="67"/>
      <c r="DN98" s="67"/>
      <c r="DO98" s="93"/>
      <c r="DP98" s="67"/>
      <c r="DQ98" s="82"/>
      <c r="DR98" s="67"/>
      <c r="DS98" s="67"/>
      <c r="DT98" s="67"/>
      <c r="DU98" s="93"/>
      <c r="DV98" s="67"/>
      <c r="DW98" s="82"/>
      <c r="DX98" s="67"/>
      <c r="DY98" s="67"/>
      <c r="DZ98" s="67"/>
      <c r="EA98" s="93"/>
      <c r="EB98" s="67"/>
      <c r="EC98" s="82"/>
      <c r="ED98" s="67"/>
      <c r="EE98" s="67"/>
      <c r="EF98" s="67"/>
      <c r="EG98" s="93"/>
      <c r="EH98" s="9"/>
    </row>
    <row r="99" spans="1:138" ht="11.25" hidden="1" customHeight="1" outlineLevel="1" x14ac:dyDescent="0.2">
      <c r="A99" s="51" t="s">
        <v>85</v>
      </c>
      <c r="B99" s="14"/>
      <c r="C99" s="14"/>
      <c r="D99" s="14"/>
      <c r="E99" s="93"/>
      <c r="F99" s="67"/>
      <c r="G99" s="93"/>
      <c r="H99" s="67"/>
      <c r="I99" s="93"/>
      <c r="J99" s="67"/>
      <c r="K99" s="93"/>
      <c r="L99" s="67"/>
      <c r="M99" s="82"/>
      <c r="N99" s="67"/>
      <c r="O99" s="67"/>
      <c r="P99" s="67"/>
      <c r="Q99" s="93"/>
      <c r="R99" s="67"/>
      <c r="S99" s="82"/>
      <c r="T99" s="67"/>
      <c r="U99" s="67"/>
      <c r="V99" s="67"/>
      <c r="W99" s="93"/>
      <c r="X99" s="67"/>
      <c r="Y99" s="82"/>
      <c r="Z99" s="67"/>
      <c r="AA99" s="67"/>
      <c r="AB99" s="67"/>
      <c r="AC99" s="93"/>
      <c r="AD99" s="67"/>
      <c r="AE99" s="431"/>
      <c r="AF99" s="587"/>
      <c r="AG99" s="587"/>
      <c r="AH99" s="587"/>
      <c r="AI99" s="660"/>
      <c r="AJ99" s="644"/>
      <c r="AK99" s="634"/>
      <c r="AL99" s="588"/>
      <c r="AM99" s="588"/>
      <c r="AN99" s="590"/>
      <c r="AO99" s="660"/>
      <c r="AP99" s="644"/>
      <c r="AQ99" s="634"/>
      <c r="AR99" s="588"/>
      <c r="AS99" s="588"/>
      <c r="AT99" s="590"/>
      <c r="AU99" s="660"/>
      <c r="AV99" s="644"/>
      <c r="AW99" s="634"/>
      <c r="AX99" s="588"/>
      <c r="AY99" s="588"/>
      <c r="AZ99" s="590"/>
      <c r="BA99" s="660"/>
      <c r="BB99" s="644"/>
      <c r="BC99" s="634"/>
      <c r="BD99" s="588"/>
      <c r="BE99" s="588"/>
      <c r="BF99" s="590"/>
      <c r="BG99" s="660"/>
      <c r="BH99" s="644"/>
      <c r="BI99" s="634">
        <v>-8.5000000000000006E-2</v>
      </c>
      <c r="BJ99" s="588">
        <v>-7.4999999999999997E-2</v>
      </c>
      <c r="BK99" s="588">
        <v>-0.02</v>
      </c>
      <c r="BL99" s="588">
        <v>7.0000000000000007E-2</v>
      </c>
      <c r="BM99" s="660">
        <v>-2.5000000000000001E-2</v>
      </c>
      <c r="BN99" s="590"/>
      <c r="BO99" s="634">
        <v>0.05</v>
      </c>
      <c r="BP99" s="588">
        <v>-1.4999999999999999E-2</v>
      </c>
      <c r="BQ99" s="588">
        <v>-2.5000000000000001E-2</v>
      </c>
      <c r="BR99" s="588">
        <v>-1.4999999999999999E-2</v>
      </c>
      <c r="BS99" s="660">
        <v>0</v>
      </c>
      <c r="BT99" s="590"/>
      <c r="BU99" s="634">
        <v>2.5000000000000001E-2</v>
      </c>
      <c r="BV99" s="588">
        <v>7.4999999999999997E-2</v>
      </c>
      <c r="BW99" s="588">
        <v>5.5E-2</v>
      </c>
      <c r="BX99" s="590">
        <v>0</v>
      </c>
      <c r="BY99" s="660">
        <v>3.5000000000000003E-2</v>
      </c>
      <c r="BZ99" s="644"/>
      <c r="CA99" s="634">
        <v>-5.0000000000000001E-3</v>
      </c>
      <c r="CB99" s="588">
        <v>-3.5000000000000003E-2</v>
      </c>
      <c r="CC99" s="588">
        <v>-0.03</v>
      </c>
      <c r="CD99" s="590">
        <v>-5.0000000000000001E-3</v>
      </c>
      <c r="CE99" s="660">
        <v>-0.02</v>
      </c>
      <c r="CF99" s="644"/>
      <c r="CG99" s="634">
        <v>-1.4999999999999999E-2</v>
      </c>
      <c r="CH99" s="588">
        <v>-0.01</v>
      </c>
      <c r="CI99" s="588">
        <v>-0.01</v>
      </c>
      <c r="CJ99" s="588">
        <v>-1.4999999999999999E-2</v>
      </c>
      <c r="CK99" s="660">
        <v>-1.4999999999999999E-2</v>
      </c>
      <c r="CL99" s="644"/>
      <c r="CM99" s="634">
        <v>-5.0000000000000001E-3</v>
      </c>
      <c r="CN99" s="588">
        <v>5.0000000000000001E-3</v>
      </c>
      <c r="CO99" s="588">
        <v>-5.0000000000000001E-3</v>
      </c>
      <c r="CP99" s="590">
        <v>-0.04</v>
      </c>
      <c r="CQ99" s="697">
        <f>SUMPRODUCT(CM99:CP99,CG$96:CJ$96)/CK$96</f>
        <v>-1.2464830156880225E-2</v>
      </c>
      <c r="CR99" s="644"/>
      <c r="CS99" s="634">
        <v>-7.4999999999999997E-2</v>
      </c>
      <c r="CT99" s="588">
        <v>-7.0000000000000007E-2</v>
      </c>
      <c r="CU99" s="588">
        <v>-7.0000000000000007E-2</v>
      </c>
      <c r="CV99" s="590">
        <v>-5.5E-2</v>
      </c>
      <c r="CW99" s="697">
        <f>SUMPRODUCT(CS99:CV99,CM$96:CP$96)/CQ$96</f>
        <v>-6.6974193442071159E-2</v>
      </c>
      <c r="CX99" s="644"/>
      <c r="CY99" s="634">
        <v>-1.7637553812584861E-2</v>
      </c>
      <c r="CZ99" s="588">
        <v>-3.8263047209185701E-3</v>
      </c>
      <c r="DA99" s="588">
        <v>4.5683289414502806E-3</v>
      </c>
      <c r="DB99" s="590">
        <v>-1.2480681936311029E-2</v>
      </c>
      <c r="DC99" s="697">
        <f>SUMPRODUCT(CY99:DB99,CS$96:CV$96)/CW$96</f>
        <v>-7.4643768204598875E-3</v>
      </c>
      <c r="DD99" s="67"/>
      <c r="DE99" s="82"/>
      <c r="DF99" s="67"/>
      <c r="DG99" s="67"/>
      <c r="DH99" s="67"/>
      <c r="DI99" s="93"/>
      <c r="DJ99" s="67"/>
      <c r="DK99" s="82"/>
      <c r="DL99" s="67"/>
      <c r="DM99" s="67"/>
      <c r="DN99" s="67"/>
      <c r="DO99" s="93"/>
      <c r="DP99" s="67"/>
      <c r="DQ99" s="82"/>
      <c r="DR99" s="67"/>
      <c r="DS99" s="67"/>
      <c r="DT99" s="67"/>
      <c r="DU99" s="93"/>
      <c r="DV99" s="67"/>
      <c r="DW99" s="82"/>
      <c r="DX99" s="67"/>
      <c r="DY99" s="67"/>
      <c r="DZ99" s="67"/>
      <c r="EA99" s="93"/>
      <c r="EB99" s="67"/>
      <c r="EC99" s="82"/>
      <c r="ED99" s="67"/>
      <c r="EE99" s="67"/>
      <c r="EF99" s="67"/>
      <c r="EG99" s="93"/>
      <c r="EH99" s="9"/>
    </row>
    <row r="100" spans="1:138" ht="11.25" hidden="1" customHeight="1" outlineLevel="1" x14ac:dyDescent="0.2">
      <c r="A100" s="51" t="s">
        <v>45</v>
      </c>
      <c r="B100" s="14"/>
      <c r="C100" s="14"/>
      <c r="D100" s="14"/>
      <c r="E100" s="93"/>
      <c r="F100" s="67"/>
      <c r="G100" s="93"/>
      <c r="H100" s="67"/>
      <c r="I100" s="93"/>
      <c r="J100" s="67"/>
      <c r="K100" s="93"/>
      <c r="L100" s="67"/>
      <c r="M100" s="82"/>
      <c r="N100" s="67"/>
      <c r="O100" s="67"/>
      <c r="P100" s="67"/>
      <c r="Q100" s="93"/>
      <c r="R100" s="67"/>
      <c r="S100" s="82"/>
      <c r="T100" s="67"/>
      <c r="U100" s="67"/>
      <c r="V100" s="67"/>
      <c r="W100" s="93"/>
      <c r="X100" s="67"/>
      <c r="Y100" s="82"/>
      <c r="Z100" s="67"/>
      <c r="AA100" s="67"/>
      <c r="AB100" s="67"/>
      <c r="AC100" s="93"/>
      <c r="AD100" s="67"/>
      <c r="AE100" s="630"/>
      <c r="AF100" s="596"/>
      <c r="AG100" s="596"/>
      <c r="AH100" s="596"/>
      <c r="AI100" s="659"/>
      <c r="AJ100" s="588"/>
      <c r="AK100" s="707"/>
      <c r="AL100" s="604"/>
      <c r="AM100" s="604"/>
      <c r="AN100" s="604"/>
      <c r="AO100" s="665"/>
      <c r="AP100" s="588"/>
      <c r="AQ100" s="707"/>
      <c r="AR100" s="604"/>
      <c r="AS100" s="604"/>
      <c r="AT100" s="604"/>
      <c r="AU100" s="665"/>
      <c r="AV100" s="588"/>
      <c r="AW100" s="707"/>
      <c r="AX100" s="604"/>
      <c r="AY100" s="604"/>
      <c r="AZ100" s="604"/>
      <c r="BA100" s="665"/>
      <c r="BB100" s="588"/>
      <c r="BC100" s="707"/>
      <c r="BD100" s="604"/>
      <c r="BE100" s="604"/>
      <c r="BF100" s="604"/>
      <c r="BG100" s="665"/>
      <c r="BH100" s="588"/>
      <c r="BI100" s="707"/>
      <c r="BJ100" s="604"/>
      <c r="BK100" s="604"/>
      <c r="BL100" s="604"/>
      <c r="BM100" s="665"/>
      <c r="BN100" s="588"/>
      <c r="BO100" s="707">
        <f>+BO96/BI96-1</f>
        <v>0.53050815247413552</v>
      </c>
      <c r="BP100" s="604">
        <f>+BP96/BJ96-1</f>
        <v>0.5605466652688269</v>
      </c>
      <c r="BQ100" s="604">
        <f>+BQ96/BK96-1</f>
        <v>0.55271589020136069</v>
      </c>
      <c r="BR100" s="604">
        <f>+BR96/BL96-1</f>
        <v>0.58863304819225903</v>
      </c>
      <c r="BS100" s="665">
        <f>+BS96/BM96-1</f>
        <v>0.5599497846333461</v>
      </c>
      <c r="BT100" s="588"/>
      <c r="BU100" s="707">
        <f t="shared" ref="BU100:BY100" si="346">+BU96/BO96-1</f>
        <v>0.21552907540366872</v>
      </c>
      <c r="BV100" s="604">
        <f t="shared" si="346"/>
        <v>0.31003457414776214</v>
      </c>
      <c r="BW100" s="604">
        <f t="shared" si="346"/>
        <v>1.8325344595394566</v>
      </c>
      <c r="BX100" s="604">
        <f t="shared" si="346"/>
        <v>1.5599634425542193</v>
      </c>
      <c r="BY100" s="665">
        <f t="shared" si="346"/>
        <v>1.0309188560054277</v>
      </c>
      <c r="BZ100" s="588"/>
      <c r="CA100" s="707">
        <f t="shared" ref="CA100:CE100" si="347">+CA96/BU96-1</f>
        <v>1.490990501126761</v>
      </c>
      <c r="CB100" s="604">
        <f t="shared" si="347"/>
        <v>1.2653061374787664</v>
      </c>
      <c r="CC100" s="604">
        <f t="shared" si="347"/>
        <v>-3.1803366439008718E-2</v>
      </c>
      <c r="CD100" s="604">
        <f t="shared" si="347"/>
        <v>6.3453036394094608E-2</v>
      </c>
      <c r="CE100" s="665">
        <f t="shared" si="347"/>
        <v>0.40501135619533524</v>
      </c>
      <c r="CF100" s="588"/>
      <c r="CG100" s="707">
        <f t="shared" ref="CG100:CK100" si="348">+CG96/CA96-1</f>
        <v>1.3731550466788756E-2</v>
      </c>
      <c r="CH100" s="604">
        <f t="shared" si="348"/>
        <v>5.7527681020117738E-2</v>
      </c>
      <c r="CI100" s="604">
        <f t="shared" si="348"/>
        <v>0.10387322603053417</v>
      </c>
      <c r="CJ100" s="604">
        <f t="shared" si="348"/>
        <v>5.5544772069122894E-2</v>
      </c>
      <c r="CK100" s="665">
        <f t="shared" si="348"/>
        <v>5.7370049762893949E-2</v>
      </c>
      <c r="CL100" s="588"/>
      <c r="CM100" s="707">
        <f t="shared" ref="CM100:CP100" si="349">+CM96/CG96-1</f>
        <v>5.7175066907137584E-2</v>
      </c>
      <c r="CN100" s="604">
        <f t="shared" si="349"/>
        <v>6.3758708317248614E-2</v>
      </c>
      <c r="CO100" s="604">
        <f t="shared" si="349"/>
        <v>3.8976722725054369E-2</v>
      </c>
      <c r="CP100" s="604">
        <f t="shared" si="349"/>
        <v>3.0576425128509666E-2</v>
      </c>
      <c r="CQ100" s="665">
        <f>+CQ96/CK96-1</f>
        <v>4.6808640583400507E-2</v>
      </c>
      <c r="CR100" s="588"/>
      <c r="CS100" s="707">
        <f t="shared" ref="CS100:CW100" si="350">+CS96/CM96-1</f>
        <v>2.204944521960206E-2</v>
      </c>
      <c r="CT100" s="604">
        <f t="shared" si="350"/>
        <v>3.0636406251739912E-2</v>
      </c>
      <c r="CU100" s="604">
        <f t="shared" si="350"/>
        <v>0.14553083319189897</v>
      </c>
      <c r="CV100" s="604">
        <f t="shared" si="350"/>
        <v>0.33959740407202177</v>
      </c>
      <c r="CW100" s="665">
        <f t="shared" si="350"/>
        <v>0.14260269553875715</v>
      </c>
      <c r="CX100" s="588"/>
      <c r="CY100" s="707">
        <f>+CY96/CS96-1</f>
        <v>0.42356858315000889</v>
      </c>
      <c r="CZ100" s="604">
        <f>+CZ96/CT96-1</f>
        <v>0.41825261887785881</v>
      </c>
      <c r="DA100" s="604">
        <f t="shared" ref="DA100:DC100" si="351">+DA96/CU96-1</f>
        <v>0.28167449376357112</v>
      </c>
      <c r="DB100" s="604">
        <f t="shared" si="351"/>
        <v>8.4272617974150865E-2</v>
      </c>
      <c r="DC100" s="665">
        <f t="shared" si="351"/>
        <v>0.27704336512378647</v>
      </c>
      <c r="DD100" s="67"/>
      <c r="DE100" s="82"/>
      <c r="DF100" s="67"/>
      <c r="DG100" s="67"/>
      <c r="DH100" s="67"/>
      <c r="DI100" s="93"/>
      <c r="DJ100" s="67"/>
      <c r="DK100" s="82"/>
      <c r="DL100" s="67"/>
      <c r="DM100" s="67"/>
      <c r="DN100" s="67"/>
      <c r="DO100" s="93"/>
      <c r="DP100" s="67"/>
      <c r="DQ100" s="82"/>
      <c r="DR100" s="67"/>
      <c r="DS100" s="67"/>
      <c r="DT100" s="67"/>
      <c r="DU100" s="93"/>
      <c r="DV100" s="67"/>
      <c r="DW100" s="82"/>
      <c r="DX100" s="67"/>
      <c r="DY100" s="67"/>
      <c r="DZ100" s="67"/>
      <c r="EA100" s="93"/>
      <c r="EB100" s="67"/>
      <c r="EC100" s="82"/>
      <c r="ED100" s="67"/>
      <c r="EE100" s="67"/>
      <c r="EF100" s="67"/>
      <c r="EG100" s="93"/>
      <c r="EH100" s="9"/>
    </row>
    <row r="101" spans="1:138" ht="11.25" hidden="1" customHeight="1" outlineLevel="1" x14ac:dyDescent="0.2">
      <c r="A101" s="51"/>
      <c r="B101" s="14"/>
      <c r="C101" s="14"/>
      <c r="D101" s="14"/>
      <c r="E101" s="93"/>
      <c r="F101" s="67"/>
      <c r="G101" s="93"/>
      <c r="H101" s="67"/>
      <c r="I101" s="93"/>
      <c r="J101" s="67"/>
      <c r="K101" s="93"/>
      <c r="L101" s="67"/>
      <c r="M101" s="82"/>
      <c r="N101" s="67"/>
      <c r="O101" s="67"/>
      <c r="P101" s="67"/>
      <c r="Q101" s="93"/>
      <c r="R101" s="67"/>
      <c r="S101" s="82"/>
      <c r="T101" s="67"/>
      <c r="U101" s="67"/>
      <c r="V101" s="67"/>
      <c r="W101" s="93"/>
      <c r="X101" s="67"/>
      <c r="Y101" s="82"/>
      <c r="Z101" s="67"/>
      <c r="AA101" s="67"/>
      <c r="AB101" s="67"/>
      <c r="AC101" s="93"/>
      <c r="AD101" s="67"/>
      <c r="AE101" s="630"/>
      <c r="AF101" s="596"/>
      <c r="AG101" s="596"/>
      <c r="AH101" s="596"/>
      <c r="AI101" s="659"/>
      <c r="AJ101" s="588"/>
      <c r="AK101" s="707"/>
      <c r="AL101" s="604"/>
      <c r="AM101" s="604"/>
      <c r="AN101" s="604"/>
      <c r="AO101" s="675"/>
      <c r="AP101" s="588"/>
      <c r="AQ101" s="707"/>
      <c r="AR101" s="604"/>
      <c r="AS101" s="604"/>
      <c r="AT101" s="604"/>
      <c r="AU101" s="665"/>
      <c r="AV101" s="588"/>
      <c r="AW101" s="707"/>
      <c r="AX101" s="604"/>
      <c r="AY101" s="604"/>
      <c r="AZ101" s="604"/>
      <c r="BA101" s="665"/>
      <c r="BB101" s="588"/>
      <c r="BC101" s="707"/>
      <c r="BD101" s="604"/>
      <c r="BE101" s="604"/>
      <c r="BF101" s="604"/>
      <c r="BG101" s="665"/>
      <c r="BH101" s="588"/>
      <c r="BI101" s="707"/>
      <c r="BJ101" s="604"/>
      <c r="BK101" s="604"/>
      <c r="BL101" s="604"/>
      <c r="BM101" s="665"/>
      <c r="BN101" s="588"/>
      <c r="BO101" s="708">
        <f>+BO98*BI96</f>
        <v>128.34215083468865</v>
      </c>
      <c r="BP101" s="649">
        <f>+BP98*BJ96</f>
        <v>165.56304715186252</v>
      </c>
      <c r="BQ101" s="649">
        <f>+BQ98*BK96</f>
        <v>164.75653902586677</v>
      </c>
      <c r="BR101" s="649">
        <f>+BR98*BL96</f>
        <v>209.04565968</v>
      </c>
      <c r="BS101" s="665"/>
      <c r="BT101" s="588"/>
      <c r="BU101" s="708">
        <f>+BU98*BO96</f>
        <v>50.713194176000002</v>
      </c>
      <c r="BV101" s="649">
        <f>+BV98*BP96</f>
        <v>79.487599199999991</v>
      </c>
      <c r="BW101" s="649">
        <f>+BW98*BQ96</f>
        <v>926.10519767999995</v>
      </c>
      <c r="BX101" s="649">
        <f>+BX98*BR96</f>
        <v>989.58150350400012</v>
      </c>
      <c r="BY101" s="665"/>
      <c r="BZ101" s="588"/>
      <c r="CA101" s="708">
        <f>+CA98*BU96</f>
        <v>893.82874939904002</v>
      </c>
      <c r="CB101" s="649">
        <f>+CB98*BV96</f>
        <v>853.87832597759996</v>
      </c>
      <c r="CC101" s="649">
        <f>+CC98*BW96</f>
        <v>-38.920250528000004</v>
      </c>
      <c r="CD101" s="649">
        <f>+CD98*BX96</f>
        <v>0</v>
      </c>
      <c r="CE101" s="665"/>
      <c r="CF101" s="588"/>
      <c r="CG101" s="708">
        <f>+CG98*CA96</f>
        <v>7.6776514634035209</v>
      </c>
      <c r="CH101" s="649">
        <f>+CH98*CB96</f>
        <v>23.588973323135999</v>
      </c>
      <c r="CI101" s="649">
        <f>+CI98*CC96</f>
        <v>82.901402184831994</v>
      </c>
      <c r="CJ101" s="649">
        <f>+CJ98*CD96</f>
        <v>63.926315264143362</v>
      </c>
      <c r="CK101" s="665"/>
      <c r="CL101" s="588"/>
      <c r="CM101" s="708">
        <f>+CM98*CG96</f>
        <v>38.915387609698314</v>
      </c>
      <c r="CN101" s="649">
        <f>+CN98*CH96</f>
        <v>24.945992256061437</v>
      </c>
      <c r="CO101" s="649">
        <f>+CO98*CI96</f>
        <v>24.957992256061438</v>
      </c>
      <c r="CP101" s="649">
        <f>+CP98*CJ96</f>
        <v>38.558335928405192</v>
      </c>
      <c r="CQ101" s="665"/>
      <c r="CR101" s="588"/>
      <c r="CS101" s="707"/>
      <c r="CT101" s="604"/>
      <c r="CU101" s="604"/>
      <c r="CV101" s="604"/>
      <c r="CW101" s="665"/>
      <c r="CX101" s="588"/>
      <c r="CY101" s="707"/>
      <c r="CZ101" s="604"/>
      <c r="DA101" s="604"/>
      <c r="DB101" s="604"/>
      <c r="DC101" s="665"/>
      <c r="DD101" s="67"/>
      <c r="DE101" s="82"/>
      <c r="DF101" s="67"/>
      <c r="DG101" s="67"/>
      <c r="DH101" s="67"/>
      <c r="DI101" s="93"/>
      <c r="DJ101" s="67"/>
      <c r="DK101" s="82"/>
      <c r="DL101" s="67"/>
      <c r="DM101" s="67"/>
      <c r="DN101" s="67"/>
      <c r="DO101" s="93"/>
      <c r="DP101" s="67"/>
      <c r="DQ101" s="82"/>
      <c r="DR101" s="67"/>
      <c r="DS101" s="67"/>
      <c r="DT101" s="67"/>
      <c r="DU101" s="93"/>
      <c r="DV101" s="67"/>
      <c r="DW101" s="82"/>
      <c r="DX101" s="67"/>
      <c r="DY101" s="67"/>
      <c r="DZ101" s="67"/>
      <c r="EA101" s="93"/>
      <c r="EB101" s="67"/>
      <c r="EC101" s="82"/>
      <c r="ED101" s="67"/>
      <c r="EE101" s="67"/>
      <c r="EF101" s="67"/>
      <c r="EG101" s="93"/>
    </row>
    <row r="102" spans="1:138" ht="11.25" hidden="1" customHeight="1" outlineLevel="1" x14ac:dyDescent="0.2">
      <c r="A102" s="50" t="s">
        <v>53</v>
      </c>
      <c r="B102" s="14"/>
      <c r="C102" s="14"/>
      <c r="D102" s="14"/>
      <c r="E102" s="93"/>
      <c r="F102" s="67"/>
      <c r="G102" s="93"/>
      <c r="H102" s="67"/>
      <c r="I102" s="93"/>
      <c r="J102" s="67"/>
      <c r="K102" s="93"/>
      <c r="L102" s="67"/>
      <c r="M102" s="82"/>
      <c r="N102" s="67"/>
      <c r="O102" s="67"/>
      <c r="P102" s="67"/>
      <c r="Q102" s="93"/>
      <c r="R102" s="67"/>
      <c r="S102" s="82"/>
      <c r="T102" s="67"/>
      <c r="U102" s="67"/>
      <c r="V102" s="67"/>
      <c r="W102" s="93"/>
      <c r="X102" s="67"/>
      <c r="Y102" s="82"/>
      <c r="Z102" s="67"/>
      <c r="AA102" s="67"/>
      <c r="AB102" s="67"/>
      <c r="AC102" s="93"/>
      <c r="AD102" s="67"/>
      <c r="AE102" s="630"/>
      <c r="AF102" s="596"/>
      <c r="AG102" s="596"/>
      <c r="AH102" s="596"/>
      <c r="AI102" s="659"/>
      <c r="AJ102" s="588"/>
      <c r="AK102" s="707"/>
      <c r="AL102" s="604"/>
      <c r="AM102" s="604"/>
      <c r="AN102" s="604"/>
      <c r="AO102" s="665"/>
      <c r="AP102" s="588"/>
      <c r="AQ102" s="707"/>
      <c r="AR102" s="604"/>
      <c r="AS102" s="604"/>
      <c r="AT102" s="604"/>
      <c r="AU102" s="665"/>
      <c r="AV102" s="588"/>
      <c r="AW102" s="707"/>
      <c r="AX102" s="604"/>
      <c r="AY102" s="604"/>
      <c r="AZ102" s="604"/>
      <c r="BA102" s="680">
        <f>830-BA90</f>
        <v>794</v>
      </c>
      <c r="BB102" s="588"/>
      <c r="BC102" s="707"/>
      <c r="BD102" s="604"/>
      <c r="BE102" s="604"/>
      <c r="BF102" s="604"/>
      <c r="BG102" s="665"/>
      <c r="BH102" s="588"/>
      <c r="BI102" s="707"/>
      <c r="BJ102" s="604"/>
      <c r="BK102" s="604"/>
      <c r="BL102" s="604"/>
      <c r="BM102" s="665"/>
      <c r="BN102" s="588"/>
      <c r="BO102" s="707"/>
      <c r="BP102" s="604"/>
      <c r="BQ102" s="604"/>
      <c r="BR102" s="604"/>
      <c r="BS102" s="665"/>
      <c r="BT102" s="589"/>
      <c r="BU102" s="1099"/>
      <c r="BV102" s="1100"/>
      <c r="BW102" s="1101">
        <f>+BW96-BQ96</f>
        <v>1007.1926931200002</v>
      </c>
      <c r="BX102" s="1100"/>
      <c r="BY102" s="1098"/>
      <c r="BZ102" s="589"/>
      <c r="CA102" s="1099"/>
      <c r="CB102" s="1100"/>
      <c r="CC102" s="1100"/>
      <c r="CD102" s="1100"/>
      <c r="CE102" s="1098"/>
      <c r="CF102" s="589"/>
      <c r="CG102" s="1099"/>
      <c r="CH102" s="1100"/>
      <c r="CI102" s="1100"/>
      <c r="CJ102" s="1100"/>
      <c r="CK102" s="1098"/>
      <c r="CL102" s="589"/>
      <c r="CM102" s="1102">
        <v>574.94845360824752</v>
      </c>
      <c r="CN102" s="1103">
        <v>605.54973821989529</v>
      </c>
      <c r="CO102" s="1103">
        <v>598.1412639405205</v>
      </c>
      <c r="CP102" s="1103">
        <v>732.86054423133669</v>
      </c>
      <c r="CQ102" s="1112">
        <v>2511.5</v>
      </c>
      <c r="CR102" s="1113"/>
      <c r="CS102" s="1114">
        <v>557.70000000000005</v>
      </c>
      <c r="CT102" s="1113">
        <v>578.29999999999995</v>
      </c>
      <c r="CU102" s="1113">
        <v>804.5</v>
      </c>
      <c r="CV102" s="1113">
        <v>1374.2</v>
      </c>
      <c r="CW102" s="1112">
        <v>3314.6</v>
      </c>
      <c r="CX102" s="1113"/>
      <c r="CY102" s="1114">
        <v>1258.0999999999999</v>
      </c>
      <c r="CZ102" s="1113">
        <v>1328.3</v>
      </c>
      <c r="DA102" s="1113">
        <v>1325.4</v>
      </c>
      <c r="DB102" s="1113">
        <v>1454.1</v>
      </c>
      <c r="DC102" s="1112">
        <v>5365.9</v>
      </c>
      <c r="DD102" s="67"/>
      <c r="DE102" s="82"/>
      <c r="DF102" s="67"/>
      <c r="DG102" s="67"/>
      <c r="DH102" s="67"/>
      <c r="DI102" s="93"/>
      <c r="DJ102" s="67"/>
      <c r="DK102" s="82"/>
      <c r="DL102" s="67"/>
      <c r="DM102" s="67"/>
      <c r="DN102" s="67"/>
      <c r="DO102" s="93"/>
      <c r="DP102" s="67"/>
      <c r="DQ102" s="82"/>
      <c r="DR102" s="67"/>
      <c r="DS102" s="67"/>
      <c r="DT102" s="67"/>
      <c r="DU102" s="93"/>
      <c r="DV102" s="67"/>
      <c r="DW102" s="82"/>
      <c r="DX102" s="67"/>
      <c r="DY102" s="67"/>
      <c r="DZ102" s="67"/>
      <c r="EA102" s="93"/>
      <c r="EB102" s="67"/>
      <c r="EC102" s="82"/>
      <c r="ED102" s="67"/>
      <c r="EE102" s="67"/>
      <c r="EF102" s="67"/>
      <c r="EG102" s="93"/>
    </row>
    <row r="103" spans="1:138" ht="11.25" hidden="1" customHeight="1" outlineLevel="1" x14ac:dyDescent="0.2">
      <c r="A103" s="51" t="s">
        <v>86</v>
      </c>
      <c r="B103" s="14"/>
      <c r="C103" s="14"/>
      <c r="D103" s="14"/>
      <c r="E103" s="93"/>
      <c r="F103" s="67"/>
      <c r="G103" s="93"/>
      <c r="H103" s="67"/>
      <c r="I103" s="93"/>
      <c r="J103" s="67"/>
      <c r="K103" s="93"/>
      <c r="L103" s="67"/>
      <c r="M103" s="82"/>
      <c r="N103" s="67"/>
      <c r="O103" s="67"/>
      <c r="P103" s="67"/>
      <c r="Q103" s="93"/>
      <c r="R103" s="67"/>
      <c r="S103" s="82"/>
      <c r="T103" s="67"/>
      <c r="U103" s="67"/>
      <c r="V103" s="67"/>
      <c r="W103" s="93"/>
      <c r="X103" s="67"/>
      <c r="Y103" s="82"/>
      <c r="Z103" s="67"/>
      <c r="AA103" s="67"/>
      <c r="AB103" s="67"/>
      <c r="AC103" s="93"/>
      <c r="AD103" s="67"/>
      <c r="AE103" s="632">
        <v>0</v>
      </c>
      <c r="AF103" s="566">
        <v>0</v>
      </c>
      <c r="AG103" s="566">
        <v>0</v>
      </c>
      <c r="AH103" s="566">
        <v>0</v>
      </c>
      <c r="AI103" s="661">
        <v>0</v>
      </c>
      <c r="AJ103" s="588"/>
      <c r="AK103" s="632">
        <v>0</v>
      </c>
      <c r="AL103" s="566">
        <v>0</v>
      </c>
      <c r="AM103" s="566">
        <v>54</v>
      </c>
      <c r="AN103" s="566">
        <v>135</v>
      </c>
      <c r="AO103" s="662">
        <f>SUM(AK103:AN103)</f>
        <v>189</v>
      </c>
      <c r="AP103" s="588"/>
      <c r="AQ103" s="632">
        <v>165</v>
      </c>
      <c r="AR103" s="566">
        <v>170</v>
      </c>
      <c r="AS103" s="566">
        <v>175</v>
      </c>
      <c r="AT103" s="566">
        <v>185</v>
      </c>
      <c r="AU103" s="662">
        <f>SUM(AQ103:AT103)</f>
        <v>695</v>
      </c>
      <c r="AV103" s="588"/>
      <c r="AW103" s="635">
        <v>188.10000000000002</v>
      </c>
      <c r="AX103" s="568">
        <v>193.8</v>
      </c>
      <c r="AY103" s="568">
        <v>199.50000000000003</v>
      </c>
      <c r="AZ103" s="568">
        <v>210.90000000000003</v>
      </c>
      <c r="BA103" s="662">
        <f>SUM(AW103:AZ103)</f>
        <v>792.30000000000018</v>
      </c>
      <c r="BB103" s="588"/>
      <c r="BC103" s="635">
        <v>212.553</v>
      </c>
      <c r="BD103" s="568">
        <v>218.994</v>
      </c>
      <c r="BE103" s="568">
        <v>225.435</v>
      </c>
      <c r="BF103" s="568">
        <v>238.31700000000001</v>
      </c>
      <c r="BG103" s="662">
        <f>SUM(BC103:BF103)</f>
        <v>895.29899999999998</v>
      </c>
      <c r="BH103" s="588"/>
      <c r="BI103" s="635">
        <f>+BC103*(1+BI107)</f>
        <v>197.67428999999998</v>
      </c>
      <c r="BJ103" s="568">
        <f>+BD103*(1+BJ107)</f>
        <v>203.66441999999998</v>
      </c>
      <c r="BK103" s="568">
        <f>+BE103*(1+BK107)</f>
        <v>214.16325000000001</v>
      </c>
      <c r="BL103" s="568">
        <f>+BF103*(1+BL107)</f>
        <v>259.76553000000001</v>
      </c>
      <c r="BM103" s="662">
        <f>SUM(BI103:BL103)</f>
        <v>875.26749000000007</v>
      </c>
      <c r="BN103" s="588"/>
      <c r="BO103" s="635">
        <f>+BI103*(1+BO107)</f>
        <v>340.03733691510001</v>
      </c>
      <c r="BP103" s="568">
        <f>+BJ103*(1+BP107)</f>
        <v>364.11125007599998</v>
      </c>
      <c r="BQ103" s="568">
        <f>+BK103*(1+BQ107)</f>
        <v>380.85293237249999</v>
      </c>
      <c r="BR103" s="568">
        <f>+BL103*(1+BR107)</f>
        <v>465.71803280520004</v>
      </c>
      <c r="BS103" s="1091">
        <f>SUM(BO103:BR103)</f>
        <v>1550.7195521688</v>
      </c>
      <c r="BT103" s="1104"/>
      <c r="BU103" s="1094">
        <f>+BO103*(1+BU107)</f>
        <v>402.94424424439353</v>
      </c>
      <c r="BV103" s="1095">
        <f>+BP103*(1+BV107)</f>
        <v>467.88295634765996</v>
      </c>
      <c r="BW103" s="1095">
        <f>+BQ103*(1+BW107)</f>
        <v>571.10801473918229</v>
      </c>
      <c r="BX103" s="1095">
        <f>+BR103*(1+BX107)</f>
        <v>651.32064041905642</v>
      </c>
      <c r="BY103" s="1091">
        <f>SUM(BU103:BX103)</f>
        <v>2093.2558557502921</v>
      </c>
      <c r="BZ103" s="1104"/>
      <c r="CA103" s="1094">
        <f>+BU103*(1+CA107)</f>
        <v>541.96000850870928</v>
      </c>
      <c r="CB103" s="1095">
        <f>+BV103*(1+CB107)</f>
        <v>554.44130327197706</v>
      </c>
      <c r="CC103" s="1095">
        <f>+BW103*(1+CC107)</f>
        <v>526.53017864871538</v>
      </c>
      <c r="CD103" s="1095">
        <f>+BX103*(1+CD107)</f>
        <v>701.66121271704537</v>
      </c>
      <c r="CE103" s="1091">
        <f>SUM(CA103:CD103)</f>
        <v>2324.5927031464471</v>
      </c>
      <c r="CF103" s="1104"/>
      <c r="CG103" s="1094">
        <f>+CA103*(1+CG107)</f>
        <v>543.17399892776882</v>
      </c>
      <c r="CH103" s="1095">
        <f>+CB103*(1+CH107)</f>
        <v>585.01874114742657</v>
      </c>
      <c r="CI103" s="1095">
        <f>+CC103*(1+CI107)</f>
        <v>587.08114919331763</v>
      </c>
      <c r="CJ103" s="1095">
        <f>+CD103*(1+CJ107)</f>
        <v>735.62863202467759</v>
      </c>
      <c r="CK103" s="1091">
        <f>SUM(CG103:CJ103)</f>
        <v>2450.9025212931906</v>
      </c>
      <c r="CL103" s="1104"/>
      <c r="CM103" s="1094">
        <f>+CG103*(1+CM107)</f>
        <v>574.89536046515047</v>
      </c>
      <c r="CN103" s="1095">
        <f>+CH103*(1+CN107)</f>
        <v>605.61140083581597</v>
      </c>
      <c r="CO103" s="1095">
        <f>+CI103*(1+CO107)</f>
        <v>598.1182747981519</v>
      </c>
      <c r="CP103" s="1095">
        <f>+CJ103*(1+CP107)</f>
        <v>732.870024654585</v>
      </c>
      <c r="CQ103" s="1091">
        <f>SUM(CM103:CP103)</f>
        <v>2511.4950607537035</v>
      </c>
      <c r="CR103" s="651"/>
      <c r="CS103" s="716"/>
      <c r="CT103" s="651"/>
      <c r="CU103" s="651"/>
      <c r="CV103" s="651"/>
      <c r="CW103" s="657"/>
      <c r="CX103" s="651"/>
      <c r="CY103" s="716"/>
      <c r="CZ103" s="651"/>
      <c r="DA103" s="651"/>
      <c r="DB103" s="651"/>
      <c r="DC103" s="657"/>
      <c r="DD103" s="67"/>
      <c r="DE103" s="82"/>
      <c r="DF103" s="67"/>
      <c r="DG103" s="67"/>
      <c r="DH103" s="67"/>
      <c r="DI103" s="93"/>
      <c r="DJ103" s="67"/>
      <c r="DK103" s="82"/>
      <c r="DL103" s="67"/>
      <c r="DM103" s="67"/>
      <c r="DN103" s="67"/>
      <c r="DO103" s="93"/>
      <c r="DP103" s="67"/>
      <c r="DQ103" s="82"/>
      <c r="DR103" s="67"/>
      <c r="DS103" s="67"/>
      <c r="DT103" s="67"/>
      <c r="DU103" s="93"/>
      <c r="DV103" s="67"/>
      <c r="DW103" s="82"/>
      <c r="DX103" s="67"/>
      <c r="DY103" s="67"/>
      <c r="DZ103" s="67"/>
      <c r="EA103" s="93"/>
      <c r="EB103" s="67"/>
      <c r="EC103" s="82"/>
      <c r="ED103" s="67"/>
      <c r="EE103" s="67"/>
      <c r="EF103" s="67"/>
      <c r="EG103" s="93"/>
    </row>
    <row r="104" spans="1:138" ht="11.25" hidden="1" customHeight="1" outlineLevel="1" x14ac:dyDescent="0.2">
      <c r="A104" s="51" t="s">
        <v>623</v>
      </c>
      <c r="B104" s="14"/>
      <c r="C104" s="14"/>
      <c r="D104" s="14"/>
      <c r="E104" s="93"/>
      <c r="F104" s="67"/>
      <c r="G104" s="93"/>
      <c r="H104" s="67"/>
      <c r="I104" s="93"/>
      <c r="J104" s="67"/>
      <c r="K104" s="93"/>
      <c r="L104" s="67"/>
      <c r="M104" s="82"/>
      <c r="N104" s="67"/>
      <c r="O104" s="67"/>
      <c r="P104" s="67"/>
      <c r="Q104" s="93"/>
      <c r="R104" s="67"/>
      <c r="S104" s="82"/>
      <c r="T104" s="67"/>
      <c r="U104" s="67"/>
      <c r="V104" s="67"/>
      <c r="W104" s="93"/>
      <c r="X104" s="67"/>
      <c r="Y104" s="82"/>
      <c r="Z104" s="67"/>
      <c r="AA104" s="67"/>
      <c r="AB104" s="67"/>
      <c r="AC104" s="93"/>
      <c r="AD104" s="67"/>
      <c r="AE104" s="633"/>
      <c r="AF104" s="583"/>
      <c r="AG104" s="583"/>
      <c r="AH104" s="583"/>
      <c r="AI104" s="663"/>
      <c r="AJ104" s="588"/>
      <c r="AK104" s="633"/>
      <c r="AL104" s="583"/>
      <c r="AM104" s="583"/>
      <c r="AN104" s="583"/>
      <c r="AO104" s="663"/>
      <c r="AP104" s="588"/>
      <c r="AQ104" s="633"/>
      <c r="AR104" s="583"/>
      <c r="AS104" s="583"/>
      <c r="AT104" s="583"/>
      <c r="AU104" s="663">
        <v>0.09</v>
      </c>
      <c r="AV104" s="588"/>
      <c r="AW104" s="724"/>
      <c r="AX104" s="648"/>
      <c r="AY104" s="648"/>
      <c r="AZ104" s="648"/>
      <c r="BA104" s="663">
        <v>0.14000000000000001</v>
      </c>
      <c r="BB104" s="588"/>
      <c r="BC104" s="724"/>
      <c r="BD104" s="648"/>
      <c r="BE104" s="648"/>
      <c r="BF104" s="648"/>
      <c r="BG104" s="663">
        <v>9.5000000000000001E-2</v>
      </c>
      <c r="BH104" s="588"/>
      <c r="BI104" s="709">
        <f>+BM104</f>
        <v>-2.545E-2</v>
      </c>
      <c r="BJ104" s="605">
        <f>+BM104</f>
        <v>-2.545E-2</v>
      </c>
      <c r="BK104" s="605">
        <f>+BM104</f>
        <v>-2.545E-2</v>
      </c>
      <c r="BL104" s="605">
        <f>+BM104</f>
        <v>-2.545E-2</v>
      </c>
      <c r="BM104" s="663">
        <v>-2.545E-2</v>
      </c>
      <c r="BN104" s="588"/>
      <c r="BO104" s="709">
        <v>7.0000000000000007E-2</v>
      </c>
      <c r="BP104" s="605">
        <v>7.0000000000000007E-2</v>
      </c>
      <c r="BQ104" s="605">
        <v>0.1</v>
      </c>
      <c r="BR104" s="605">
        <v>0.1</v>
      </c>
      <c r="BS104" s="660">
        <f>SUMPRODUCT(BO104:BR104,BI$44:BL$44)/BM$44</f>
        <v>8.4416200717169682E-2</v>
      </c>
      <c r="BT104" s="588"/>
      <c r="BU104" s="709">
        <v>0.06</v>
      </c>
      <c r="BV104" s="605">
        <v>0.06</v>
      </c>
      <c r="BW104" s="605">
        <v>0.05</v>
      </c>
      <c r="BX104" s="605">
        <v>0.05</v>
      </c>
      <c r="BY104" s="663">
        <f>SUMPRODUCT(BU104:BX104,BO$44:BR$44)/BS$44</f>
        <v>5.5165180666778661E-2</v>
      </c>
      <c r="BZ104" s="588"/>
      <c r="CA104" s="634">
        <v>0</v>
      </c>
      <c r="CB104" s="588">
        <v>0.03</v>
      </c>
      <c r="CC104" s="588">
        <v>-2.8275000000000002E-2</v>
      </c>
      <c r="CD104" s="588">
        <v>8.2290000000000002E-2</v>
      </c>
      <c r="CE104" s="665">
        <f>SUMPRODUCT(CA104:CD104,BU$44:BX$44)/BY$44</f>
        <v>2.4969009459252456E-2</v>
      </c>
      <c r="CF104" s="588"/>
      <c r="CG104" s="634">
        <v>1.2239999999999999E-2</v>
      </c>
      <c r="CH104" s="588">
        <v>5.015E-2</v>
      </c>
      <c r="CI104" s="588">
        <v>7.0000000000000007E-2</v>
      </c>
      <c r="CJ104" s="588">
        <v>2.8410000000000001E-2</v>
      </c>
      <c r="CK104" s="665">
        <f>SUMPRODUCT(CG104:CJ104,CA$44:CD$44)/CE$44</f>
        <v>4.2010243149135401E-2</v>
      </c>
      <c r="CL104" s="588"/>
      <c r="CM104" s="717">
        <v>5.45E-2</v>
      </c>
      <c r="CN104" s="652">
        <v>2.52E-2</v>
      </c>
      <c r="CO104" s="652">
        <v>0.02</v>
      </c>
      <c r="CP104" s="652">
        <v>3.6249999999999998E-2</v>
      </c>
      <c r="CQ104" s="500">
        <f>SUMPRODUCT(CM104:CP104,CG$44:CJ$44)/CK$44</f>
        <v>2.8730095972657705E-2</v>
      </c>
      <c r="CR104" s="651"/>
      <c r="CS104" s="716"/>
      <c r="CT104" s="651"/>
      <c r="CU104" s="651"/>
      <c r="CV104" s="651"/>
      <c r="CW104" s="657"/>
      <c r="CX104" s="651"/>
      <c r="CY104" s="716"/>
      <c r="CZ104" s="651"/>
      <c r="DA104" s="651"/>
      <c r="DB104" s="651"/>
      <c r="DC104" s="657"/>
      <c r="DD104" s="67"/>
      <c r="DE104" s="82"/>
      <c r="DF104" s="67"/>
      <c r="DG104" s="67"/>
      <c r="DH104" s="67"/>
      <c r="DI104" s="93"/>
      <c r="DJ104" s="67"/>
      <c r="DK104" s="82"/>
      <c r="DL104" s="67"/>
      <c r="DM104" s="67"/>
      <c r="DN104" s="67"/>
      <c r="DO104" s="93"/>
      <c r="DP104" s="67"/>
      <c r="DQ104" s="82"/>
      <c r="DR104" s="67"/>
      <c r="DS104" s="67"/>
      <c r="DT104" s="67"/>
      <c r="DU104" s="93"/>
      <c r="DV104" s="67"/>
      <c r="DW104" s="82"/>
      <c r="DX104" s="67"/>
      <c r="DY104" s="67"/>
      <c r="DZ104" s="67"/>
      <c r="EA104" s="93"/>
      <c r="EB104" s="67"/>
      <c r="EC104" s="82"/>
      <c r="ED104" s="67"/>
      <c r="EE104" s="67"/>
      <c r="EF104" s="67"/>
      <c r="EG104" s="93"/>
    </row>
    <row r="105" spans="1:138" ht="11.25" hidden="1" customHeight="1" outlineLevel="1" x14ac:dyDescent="0.2">
      <c r="A105" s="51" t="s">
        <v>84</v>
      </c>
      <c r="B105" s="14"/>
      <c r="C105" s="14"/>
      <c r="D105" s="14"/>
      <c r="E105" s="93"/>
      <c r="F105" s="67"/>
      <c r="G105" s="93"/>
      <c r="H105" s="67"/>
      <c r="I105" s="93"/>
      <c r="J105" s="67"/>
      <c r="K105" s="93"/>
      <c r="L105" s="67"/>
      <c r="M105" s="82"/>
      <c r="N105" s="67"/>
      <c r="O105" s="67"/>
      <c r="P105" s="67"/>
      <c r="Q105" s="93"/>
      <c r="R105" s="67"/>
      <c r="S105" s="82"/>
      <c r="T105" s="67"/>
      <c r="U105" s="67"/>
      <c r="V105" s="67"/>
      <c r="W105" s="93"/>
      <c r="X105" s="67"/>
      <c r="Y105" s="82"/>
      <c r="Z105" s="67"/>
      <c r="AA105" s="67"/>
      <c r="AB105" s="67"/>
      <c r="AC105" s="93"/>
      <c r="AD105" s="67"/>
      <c r="AE105" s="634"/>
      <c r="AF105" s="588"/>
      <c r="AG105" s="588"/>
      <c r="AH105" s="588"/>
      <c r="AI105" s="664"/>
      <c r="AJ105" s="588"/>
      <c r="AK105" s="634"/>
      <c r="AL105" s="588"/>
      <c r="AM105" s="588"/>
      <c r="AN105" s="588"/>
      <c r="AO105" s="664"/>
      <c r="AP105" s="588"/>
      <c r="AQ105" s="634"/>
      <c r="AR105" s="588"/>
      <c r="AS105" s="588"/>
      <c r="AT105" s="588"/>
      <c r="AU105" s="664"/>
      <c r="AV105" s="588"/>
      <c r="AW105" s="723">
        <v>0.14000000000000001</v>
      </c>
      <c r="AX105" s="607">
        <v>0.14000000000000001</v>
      </c>
      <c r="AY105" s="607">
        <v>0.14000000000000001</v>
      </c>
      <c r="AZ105" s="607">
        <v>0.14000000000000001</v>
      </c>
      <c r="BA105" s="664"/>
      <c r="BB105" s="588"/>
      <c r="BC105" s="723">
        <v>0.13</v>
      </c>
      <c r="BD105" s="607">
        <v>0.13</v>
      </c>
      <c r="BE105" s="607">
        <v>0.13</v>
      </c>
      <c r="BF105" s="607">
        <v>0.13</v>
      </c>
      <c r="BG105" s="664"/>
      <c r="BH105" s="588"/>
      <c r="BI105" s="707"/>
      <c r="BJ105" s="604"/>
      <c r="BK105" s="604"/>
      <c r="BL105" s="604"/>
      <c r="BM105" s="665"/>
      <c r="BN105" s="588"/>
      <c r="BO105" s="634">
        <v>0.60019</v>
      </c>
      <c r="BP105" s="588">
        <v>0.73280000000000001</v>
      </c>
      <c r="BQ105" s="588">
        <v>0.70333000000000001</v>
      </c>
      <c r="BR105" s="588">
        <v>0.70784000000000002</v>
      </c>
      <c r="BS105" s="665">
        <f>SUMPRODUCT(BO105:BR105,BI$44:BL$44)/BM$44</f>
        <v>0.69222572366559376</v>
      </c>
      <c r="BT105" s="588"/>
      <c r="BU105" s="634">
        <v>0.1</v>
      </c>
      <c r="BV105" s="588">
        <v>0.15</v>
      </c>
      <c r="BW105" s="588">
        <v>0.39455000000000001</v>
      </c>
      <c r="BX105" s="588">
        <v>0.34853000000000001</v>
      </c>
      <c r="BY105" s="665">
        <f>SUMPRODUCT(BU105:BX105,BO$44:BR$44)/BS$44</f>
        <v>0.20061931023366858</v>
      </c>
      <c r="BZ105" s="588"/>
      <c r="CA105" s="634">
        <v>0.35</v>
      </c>
      <c r="CB105" s="588">
        <v>0.19</v>
      </c>
      <c r="CC105" s="588">
        <v>-1.9779999999999999E-2</v>
      </c>
      <c r="CD105" s="588">
        <v>0</v>
      </c>
      <c r="CE105" s="665">
        <f>SUMPRODUCT(CA105:CD105,BU$44:BX$44)/BY$44</f>
        <v>0.10749641914317812</v>
      </c>
      <c r="CF105" s="588"/>
      <c r="CG105" s="634">
        <v>5.0000000000000001E-3</v>
      </c>
      <c r="CH105" s="588">
        <v>1.4999999999999999E-2</v>
      </c>
      <c r="CI105" s="588">
        <v>5.5E-2</v>
      </c>
      <c r="CJ105" s="588">
        <v>3.5000000000000003E-2</v>
      </c>
      <c r="CK105" s="665">
        <f>SUMPRODUCT(CG105:CJ105,CA$44:CD$44)/CE$44</f>
        <v>2.6639764850917052E-2</v>
      </c>
      <c r="CL105" s="588"/>
      <c r="CM105" s="634">
        <v>8.8999999999999999E-3</v>
      </c>
      <c r="CN105" s="588">
        <v>5.0000000000000001E-3</v>
      </c>
      <c r="CO105" s="588">
        <v>3.8E-3</v>
      </c>
      <c r="CP105" s="588">
        <v>0</v>
      </c>
      <c r="CQ105" s="665">
        <f>SUMPRODUCT(CM105:CP105,CG$44:CJ$44)/CK$44</f>
        <v>3.3088946360591703E-3</v>
      </c>
      <c r="CR105" s="651"/>
      <c r="CS105" s="716"/>
      <c r="CT105" s="651"/>
      <c r="CU105" s="651"/>
      <c r="CV105" s="651"/>
      <c r="CW105" s="657"/>
      <c r="CX105" s="651"/>
      <c r="CY105" s="716"/>
      <c r="CZ105" s="651"/>
      <c r="DA105" s="651"/>
      <c r="DB105" s="651"/>
      <c r="DC105" s="657"/>
      <c r="DD105" s="67"/>
      <c r="DE105" s="82"/>
      <c r="DF105" s="67"/>
      <c r="DG105" s="67"/>
      <c r="DH105" s="67"/>
      <c r="DI105" s="93"/>
      <c r="DJ105" s="67"/>
      <c r="DK105" s="82"/>
      <c r="DL105" s="67"/>
      <c r="DM105" s="67"/>
      <c r="DN105" s="67"/>
      <c r="DO105" s="93"/>
      <c r="DP105" s="67"/>
      <c r="DQ105" s="82"/>
      <c r="DR105" s="67"/>
      <c r="DS105" s="67"/>
      <c r="DT105" s="67"/>
      <c r="DU105" s="93"/>
      <c r="DV105" s="67"/>
      <c r="DW105" s="82"/>
      <c r="DX105" s="67"/>
      <c r="DY105" s="67"/>
      <c r="DZ105" s="67"/>
      <c r="EA105" s="93"/>
      <c r="EB105" s="67"/>
      <c r="EC105" s="82"/>
      <c r="ED105" s="67"/>
      <c r="EE105" s="67"/>
      <c r="EF105" s="67"/>
      <c r="EG105" s="93"/>
    </row>
    <row r="106" spans="1:138" ht="11.25" hidden="1" customHeight="1" outlineLevel="1" x14ac:dyDescent="0.2">
      <c r="A106" s="51" t="s">
        <v>85</v>
      </c>
      <c r="B106" s="14"/>
      <c r="C106" s="14"/>
      <c r="D106" s="14"/>
      <c r="E106" s="93"/>
      <c r="F106" s="67"/>
      <c r="G106" s="93"/>
      <c r="H106" s="67"/>
      <c r="I106" s="93"/>
      <c r="J106" s="67"/>
      <c r="K106" s="93"/>
      <c r="L106" s="67"/>
      <c r="M106" s="82"/>
      <c r="N106" s="67"/>
      <c r="O106" s="67"/>
      <c r="P106" s="67"/>
      <c r="Q106" s="93"/>
      <c r="R106" s="67"/>
      <c r="S106" s="82"/>
      <c r="T106" s="67"/>
      <c r="U106" s="67"/>
      <c r="V106" s="67"/>
      <c r="W106" s="93"/>
      <c r="X106" s="67"/>
      <c r="Y106" s="82"/>
      <c r="Z106" s="67"/>
      <c r="AA106" s="67"/>
      <c r="AB106" s="67"/>
      <c r="AC106" s="93"/>
      <c r="AD106" s="67"/>
      <c r="AE106" s="631"/>
      <c r="AF106" s="593"/>
      <c r="AG106" s="593"/>
      <c r="AH106" s="590"/>
      <c r="AI106" s="660"/>
      <c r="AJ106" s="588"/>
      <c r="AK106" s="631"/>
      <c r="AL106" s="593"/>
      <c r="AM106" s="593"/>
      <c r="AN106" s="590"/>
      <c r="AO106" s="660"/>
      <c r="AP106" s="588"/>
      <c r="AQ106" s="631"/>
      <c r="AR106" s="593"/>
      <c r="AS106" s="593"/>
      <c r="AT106" s="590"/>
      <c r="AU106" s="660"/>
      <c r="AV106" s="588"/>
      <c r="AW106" s="631"/>
      <c r="AX106" s="593"/>
      <c r="AY106" s="593"/>
      <c r="AZ106" s="590"/>
      <c r="BA106" s="660"/>
      <c r="BB106" s="588"/>
      <c r="BC106" s="631"/>
      <c r="BD106" s="593"/>
      <c r="BE106" s="593"/>
      <c r="BF106" s="590"/>
      <c r="BG106" s="660"/>
      <c r="BH106" s="588"/>
      <c r="BI106" s="634"/>
      <c r="BJ106" s="588"/>
      <c r="BK106" s="588"/>
      <c r="BL106" s="588"/>
      <c r="BM106" s="660"/>
      <c r="BN106" s="588"/>
      <c r="BO106" s="634">
        <v>0.05</v>
      </c>
      <c r="BP106" s="588">
        <v>-1.4999999999999999E-2</v>
      </c>
      <c r="BQ106" s="588">
        <v>-2.5000000000000001E-2</v>
      </c>
      <c r="BR106" s="588">
        <v>-1.4999999999999999E-2</v>
      </c>
      <c r="BS106" s="660">
        <v>0</v>
      </c>
      <c r="BT106" s="588"/>
      <c r="BU106" s="634">
        <v>2.5000000000000001E-2</v>
      </c>
      <c r="BV106" s="588">
        <v>7.4999999999999997E-2</v>
      </c>
      <c r="BW106" s="588">
        <v>5.5E-2</v>
      </c>
      <c r="BX106" s="588">
        <v>0</v>
      </c>
      <c r="BY106" s="660">
        <v>3.5000000000000003E-2</v>
      </c>
      <c r="BZ106" s="644"/>
      <c r="CA106" s="634">
        <v>-5.0000000000000001E-3</v>
      </c>
      <c r="CB106" s="588">
        <v>-3.5000000000000003E-2</v>
      </c>
      <c r="CC106" s="588">
        <v>-0.03</v>
      </c>
      <c r="CD106" s="588">
        <v>-5.0000000000000001E-3</v>
      </c>
      <c r="CE106" s="660">
        <v>-0.02</v>
      </c>
      <c r="CF106" s="644"/>
      <c r="CG106" s="634">
        <v>-1.4999999999999999E-2</v>
      </c>
      <c r="CH106" s="588">
        <v>-0.01</v>
      </c>
      <c r="CI106" s="588">
        <v>-0.01</v>
      </c>
      <c r="CJ106" s="588">
        <v>-1.4999999999999999E-2</v>
      </c>
      <c r="CK106" s="660">
        <v>-1.4999999999999999E-2</v>
      </c>
      <c r="CL106" s="644"/>
      <c r="CM106" s="634">
        <v>-5.0000000000000001E-3</v>
      </c>
      <c r="CN106" s="588">
        <v>5.0000000000000001E-3</v>
      </c>
      <c r="CO106" s="588">
        <v>-5.0000000000000001E-3</v>
      </c>
      <c r="CP106" s="590">
        <v>-0.04</v>
      </c>
      <c r="CQ106" s="665">
        <f>SUMPRODUCT(CM106:CP106,CG$44:CJ$44)/CK$44</f>
        <v>-1.225091357120515E-2</v>
      </c>
      <c r="CR106" s="651"/>
      <c r="CS106" s="716"/>
      <c r="CT106" s="651"/>
      <c r="CU106" s="651"/>
      <c r="CV106" s="651"/>
      <c r="CW106" s="657"/>
      <c r="CX106" s="651"/>
      <c r="CY106" s="716"/>
      <c r="CZ106" s="651"/>
      <c r="DA106" s="651"/>
      <c r="DB106" s="651"/>
      <c r="DC106" s="657"/>
      <c r="DD106" s="67"/>
      <c r="DE106" s="82"/>
      <c r="DF106" s="67"/>
      <c r="DG106" s="67"/>
      <c r="DH106" s="67"/>
      <c r="DI106" s="93"/>
      <c r="DJ106" s="67"/>
      <c r="DK106" s="82"/>
      <c r="DL106" s="67"/>
      <c r="DM106" s="67"/>
      <c r="DN106" s="67"/>
      <c r="DO106" s="93"/>
      <c r="DP106" s="67"/>
      <c r="DQ106" s="82"/>
      <c r="DR106" s="67"/>
      <c r="DS106" s="67"/>
      <c r="DT106" s="67"/>
      <c r="DU106" s="93"/>
      <c r="DV106" s="67"/>
      <c r="DW106" s="82"/>
      <c r="DX106" s="67"/>
      <c r="DY106" s="67"/>
      <c r="DZ106" s="67"/>
      <c r="EA106" s="93"/>
      <c r="EB106" s="67"/>
      <c r="EC106" s="82"/>
      <c r="ED106" s="67"/>
      <c r="EE106" s="67"/>
      <c r="EF106" s="67"/>
      <c r="EG106" s="93"/>
    </row>
    <row r="107" spans="1:138" ht="11.25" hidden="1" customHeight="1" outlineLevel="1" x14ac:dyDescent="0.2">
      <c r="A107" s="51" t="s">
        <v>45</v>
      </c>
      <c r="B107" s="14"/>
      <c r="C107" s="14"/>
      <c r="D107" s="14"/>
      <c r="E107" s="93"/>
      <c r="F107" s="67"/>
      <c r="G107" s="93"/>
      <c r="H107" s="67"/>
      <c r="I107" s="93"/>
      <c r="J107" s="67"/>
      <c r="K107" s="93"/>
      <c r="L107" s="67"/>
      <c r="M107" s="82"/>
      <c r="N107" s="67"/>
      <c r="O107" s="67"/>
      <c r="P107" s="67"/>
      <c r="Q107" s="93"/>
      <c r="R107" s="67"/>
      <c r="S107" s="82"/>
      <c r="T107" s="67"/>
      <c r="U107" s="67"/>
      <c r="V107" s="67"/>
      <c r="W107" s="93"/>
      <c r="X107" s="67"/>
      <c r="Y107" s="82"/>
      <c r="Z107" s="67"/>
      <c r="AA107" s="67"/>
      <c r="AB107" s="67"/>
      <c r="AC107" s="93"/>
      <c r="AD107" s="67"/>
      <c r="AE107" s="630" t="s">
        <v>501</v>
      </c>
      <c r="AF107" s="596" t="s">
        <v>501</v>
      </c>
      <c r="AG107" s="596" t="s">
        <v>501</v>
      </c>
      <c r="AH107" s="596" t="s">
        <v>501</v>
      </c>
      <c r="AI107" s="665"/>
      <c r="AJ107" s="588"/>
      <c r="AK107" s="707" t="s">
        <v>501</v>
      </c>
      <c r="AL107" s="604" t="s">
        <v>501</v>
      </c>
      <c r="AM107" s="604" t="s">
        <v>501</v>
      </c>
      <c r="AN107" s="604" t="s">
        <v>501</v>
      </c>
      <c r="AO107" s="665"/>
      <c r="AP107" s="588"/>
      <c r="AQ107" s="707" t="s">
        <v>501</v>
      </c>
      <c r="AR107" s="604" t="s">
        <v>501</v>
      </c>
      <c r="AS107" s="604" t="s">
        <v>501</v>
      </c>
      <c r="AT107" s="604" t="s">
        <v>501</v>
      </c>
      <c r="AU107" s="665"/>
      <c r="AV107" s="588"/>
      <c r="AW107" s="707">
        <f>+AW103/AQ103-1</f>
        <v>0.14000000000000012</v>
      </c>
      <c r="AX107" s="604">
        <f>+AX103/AR103-1</f>
        <v>0.14000000000000012</v>
      </c>
      <c r="AY107" s="604">
        <f>+AY103/AS103-1</f>
        <v>0.14000000000000012</v>
      </c>
      <c r="AZ107" s="604">
        <f>+AZ103/AT103-1</f>
        <v>0.14000000000000012</v>
      </c>
      <c r="BA107" s="665">
        <f>+BA103/AU103-1</f>
        <v>0.14000000000000035</v>
      </c>
      <c r="BB107" s="588"/>
      <c r="BC107" s="707">
        <f>+BC103/AW103-1</f>
        <v>0.12999999999999989</v>
      </c>
      <c r="BD107" s="604">
        <f>+BD103/AX103-1</f>
        <v>0.12999999999999989</v>
      </c>
      <c r="BE107" s="604">
        <f>+BE103/AY103-1</f>
        <v>0.12999999999999989</v>
      </c>
      <c r="BF107" s="604">
        <f>+BF103/AZ103-1</f>
        <v>0.12999999999999989</v>
      </c>
      <c r="BG107" s="665">
        <f>+BG103/BA103-1</f>
        <v>0.12999999999999967</v>
      </c>
      <c r="BH107" s="588"/>
      <c r="BI107" s="634">
        <v>-7.0000000000000007E-2</v>
      </c>
      <c r="BJ107" s="588">
        <v>-7.0000000000000007E-2</v>
      </c>
      <c r="BK107" s="588">
        <v>-0.05</v>
      </c>
      <c r="BL107" s="588">
        <v>0.09</v>
      </c>
      <c r="BM107" s="665">
        <f>+BM103/BG103-1</f>
        <v>-2.2374100719424361E-2</v>
      </c>
      <c r="BN107" s="588"/>
      <c r="BO107" s="636">
        <f>+BO106+BO105+BO104</f>
        <v>0.72019000000000011</v>
      </c>
      <c r="BP107" s="608">
        <f>+BP106+BP105+BP104</f>
        <v>0.78780000000000006</v>
      </c>
      <c r="BQ107" s="608">
        <f>+BQ106+BQ105+BQ104</f>
        <v>0.77832999999999997</v>
      </c>
      <c r="BR107" s="608">
        <f>+BR106+BR105+BR104</f>
        <v>0.79283999999999999</v>
      </c>
      <c r="BS107" s="665">
        <f>+BS103/BM103-1</f>
        <v>0.77170930016925432</v>
      </c>
      <c r="BT107" s="588"/>
      <c r="BU107" s="636">
        <f>+BU106+BU105+BU104</f>
        <v>0.185</v>
      </c>
      <c r="BV107" s="608">
        <f>+BV106+BV105+BV104</f>
        <v>0.28499999999999998</v>
      </c>
      <c r="BW107" s="608">
        <f>+BW106+BW105+BW104</f>
        <v>0.49954999999999999</v>
      </c>
      <c r="BX107" s="608">
        <f>+BX106+BX105+BX104</f>
        <v>0.39853</v>
      </c>
      <c r="BY107" s="665">
        <f>+BY103/BS103-1</f>
        <v>0.34986100666797793</v>
      </c>
      <c r="BZ107" s="588"/>
      <c r="CA107" s="636">
        <f>+CA106+CA105+CA104</f>
        <v>0.34499999999999997</v>
      </c>
      <c r="CB107" s="608">
        <f>+CB106+CB105+CB104</f>
        <v>0.185</v>
      </c>
      <c r="CC107" s="608">
        <f>+CC106+CC105+CC104</f>
        <v>-7.8054999999999999E-2</v>
      </c>
      <c r="CD107" s="608">
        <f>+CD106+CD105+CD104</f>
        <v>7.7289999999999998E-2</v>
      </c>
      <c r="CE107" s="665">
        <f>+CE103/BY103-1</f>
        <v>0.11051532317975354</v>
      </c>
      <c r="CF107" s="588"/>
      <c r="CG107" s="636">
        <f>+CG106+CG105+CG104</f>
        <v>2.2400000000000007E-3</v>
      </c>
      <c r="CH107" s="608">
        <f>+CH106+CH105+CH104</f>
        <v>5.5149999999999998E-2</v>
      </c>
      <c r="CI107" s="608">
        <f>+CI106+CI105+CI104</f>
        <v>0.115</v>
      </c>
      <c r="CJ107" s="608">
        <f>+CJ106+CJ105+CJ104</f>
        <v>4.8410000000000009E-2</v>
      </c>
      <c r="CK107" s="665">
        <f>+CK103/CE103-1</f>
        <v>5.433632221927609E-2</v>
      </c>
      <c r="CL107" s="588"/>
      <c r="CM107" s="636">
        <f>+CM106+CM105+CM104</f>
        <v>5.8400000000000001E-2</v>
      </c>
      <c r="CN107" s="608">
        <f>+CN106+CN105+CN104</f>
        <v>3.5200000000000002E-2</v>
      </c>
      <c r="CO107" s="608">
        <f>+CO106+CO105+CO104</f>
        <v>1.8800000000000001E-2</v>
      </c>
      <c r="CP107" s="608">
        <f>+CP106+CP105+CP104</f>
        <v>-3.7500000000000033E-3</v>
      </c>
      <c r="CQ107" s="665">
        <f>+CQ103/CK103-1</f>
        <v>2.4722541567480105E-2</v>
      </c>
      <c r="CR107" s="651"/>
      <c r="CS107" s="716"/>
      <c r="CT107" s="651"/>
      <c r="CU107" s="651"/>
      <c r="CV107" s="651"/>
      <c r="CW107" s="657"/>
      <c r="CX107" s="651"/>
      <c r="CY107" s="716"/>
      <c r="CZ107" s="651"/>
      <c r="DA107" s="651"/>
      <c r="DB107" s="651"/>
      <c r="DC107" s="657"/>
      <c r="DD107" s="67"/>
      <c r="DE107" s="82"/>
      <c r="DF107" s="67"/>
      <c r="DG107" s="67"/>
      <c r="DH107" s="67"/>
      <c r="DI107" s="93"/>
      <c r="DJ107" s="67"/>
      <c r="DK107" s="82"/>
      <c r="DL107" s="67"/>
      <c r="DM107" s="67"/>
      <c r="DN107" s="67"/>
      <c r="DO107" s="93"/>
      <c r="DP107" s="67"/>
      <c r="DQ107" s="82"/>
      <c r="DR107" s="67"/>
      <c r="DS107" s="67"/>
      <c r="DT107" s="67"/>
      <c r="DU107" s="93"/>
      <c r="DV107" s="67"/>
      <c r="DW107" s="82"/>
      <c r="DX107" s="67"/>
      <c r="DY107" s="67"/>
      <c r="DZ107" s="67"/>
      <c r="EA107" s="93"/>
      <c r="EB107" s="67"/>
      <c r="EC107" s="82"/>
      <c r="ED107" s="67"/>
      <c r="EE107" s="67"/>
      <c r="EF107" s="67"/>
      <c r="EG107" s="93"/>
    </row>
    <row r="108" spans="1:138" ht="11.25" hidden="1" customHeight="1" outlineLevel="1" x14ac:dyDescent="0.2">
      <c r="A108" s="51"/>
      <c r="B108" s="14"/>
      <c r="C108" s="14"/>
      <c r="D108" s="14"/>
      <c r="E108" s="93"/>
      <c r="F108" s="67"/>
      <c r="G108" s="93"/>
      <c r="H108" s="67"/>
      <c r="I108" s="93"/>
      <c r="J108" s="67"/>
      <c r="K108" s="93"/>
      <c r="L108" s="67"/>
      <c r="M108" s="82"/>
      <c r="N108" s="67"/>
      <c r="O108" s="67"/>
      <c r="P108" s="67"/>
      <c r="Q108" s="93"/>
      <c r="R108" s="67"/>
      <c r="S108" s="82"/>
      <c r="T108" s="67"/>
      <c r="U108" s="67"/>
      <c r="V108" s="67"/>
      <c r="W108" s="93"/>
      <c r="X108" s="67"/>
      <c r="Y108" s="82"/>
      <c r="Z108" s="67"/>
      <c r="AA108" s="67"/>
      <c r="AB108" s="67"/>
      <c r="AC108" s="93"/>
      <c r="AD108" s="67"/>
      <c r="AE108" s="630"/>
      <c r="AF108" s="596"/>
      <c r="AG108" s="596"/>
      <c r="AH108" s="596"/>
      <c r="AI108" s="659"/>
      <c r="AJ108" s="588"/>
      <c r="AK108" s="707"/>
      <c r="AL108" s="604"/>
      <c r="AM108" s="604"/>
      <c r="AN108" s="604"/>
      <c r="AO108" s="665"/>
      <c r="AP108" s="588"/>
      <c r="AQ108" s="707"/>
      <c r="AR108" s="604"/>
      <c r="AS108" s="604"/>
      <c r="AT108" s="604"/>
      <c r="AU108" s="665"/>
      <c r="AV108" s="588"/>
      <c r="AW108" s="707"/>
      <c r="AX108" s="604"/>
      <c r="AY108" s="604"/>
      <c r="AZ108" s="604"/>
      <c r="BA108" s="665"/>
      <c r="BB108" s="588"/>
      <c r="BC108" s="707"/>
      <c r="BD108" s="604"/>
      <c r="BE108" s="604"/>
      <c r="BF108" s="604"/>
      <c r="BG108" s="665"/>
      <c r="BH108" s="588"/>
      <c r="BI108" s="707"/>
      <c r="BJ108" s="604"/>
      <c r="BK108" s="604"/>
      <c r="BL108" s="604"/>
      <c r="BM108" s="665"/>
      <c r="BN108" s="588"/>
      <c r="BO108" s="707"/>
      <c r="BP108" s="604"/>
      <c r="BQ108" s="604"/>
      <c r="BR108" s="604"/>
      <c r="BS108" s="665"/>
      <c r="BT108" s="588"/>
      <c r="BU108" s="707"/>
      <c r="BV108" s="604"/>
      <c r="BW108" s="650"/>
      <c r="BX108" s="604"/>
      <c r="BY108" s="665"/>
      <c r="BZ108" s="588"/>
      <c r="CA108" s="707"/>
      <c r="CB108" s="604"/>
      <c r="CC108" s="604"/>
      <c r="CD108" s="604"/>
      <c r="CE108" s="665"/>
      <c r="CF108" s="588"/>
      <c r="CG108" s="707"/>
      <c r="CH108" s="604"/>
      <c r="CI108" s="604"/>
      <c r="CJ108" s="604"/>
      <c r="CK108" s="665"/>
      <c r="CL108" s="588"/>
      <c r="CM108" s="716"/>
      <c r="CN108" s="651"/>
      <c r="CO108" s="651"/>
      <c r="CP108" s="651"/>
      <c r="CQ108" s="657"/>
      <c r="CR108" s="651"/>
      <c r="CS108" s="716"/>
      <c r="CT108" s="651"/>
      <c r="CU108" s="651"/>
      <c r="CV108" s="651"/>
      <c r="CW108" s="657"/>
      <c r="CX108" s="651"/>
      <c r="CY108" s="716"/>
      <c r="CZ108" s="651"/>
      <c r="DA108" s="651"/>
      <c r="DB108" s="651"/>
      <c r="DC108" s="657"/>
      <c r="DD108" s="67"/>
      <c r="DE108" s="82"/>
      <c r="DF108" s="67"/>
      <c r="DG108" s="67"/>
      <c r="DH108" s="67"/>
      <c r="DI108" s="93"/>
      <c r="DJ108" s="67"/>
      <c r="DK108" s="82"/>
      <c r="DL108" s="67"/>
      <c r="DM108" s="67"/>
      <c r="DN108" s="67"/>
      <c r="DO108" s="93"/>
      <c r="DP108" s="67"/>
      <c r="DQ108" s="82"/>
      <c r="DR108" s="67"/>
      <c r="DS108" s="67"/>
      <c r="DT108" s="67"/>
      <c r="DU108" s="93"/>
      <c r="DV108" s="67"/>
      <c r="DW108" s="82"/>
      <c r="DX108" s="67"/>
      <c r="DY108" s="67"/>
      <c r="DZ108" s="67"/>
      <c r="EA108" s="93"/>
      <c r="EB108" s="67"/>
      <c r="EC108" s="82"/>
      <c r="ED108" s="67"/>
      <c r="EE108" s="67"/>
      <c r="EF108" s="67"/>
      <c r="EG108" s="93"/>
    </row>
    <row r="109" spans="1:138" ht="11.25" hidden="1" customHeight="1" outlineLevel="1" x14ac:dyDescent="0.2">
      <c r="A109" s="50" t="s">
        <v>115</v>
      </c>
      <c r="B109" s="14"/>
      <c r="C109" s="14"/>
      <c r="D109" s="14"/>
      <c r="E109" s="93"/>
      <c r="F109" s="67"/>
      <c r="G109" s="93"/>
      <c r="H109" s="67"/>
      <c r="I109" s="93"/>
      <c r="J109" s="67"/>
      <c r="K109" s="93"/>
      <c r="L109" s="67"/>
      <c r="M109" s="82"/>
      <c r="N109" s="67"/>
      <c r="O109" s="67"/>
      <c r="P109" s="67"/>
      <c r="Q109" s="93"/>
      <c r="R109" s="67"/>
      <c r="S109" s="82"/>
      <c r="T109" s="67"/>
      <c r="U109" s="67"/>
      <c r="V109" s="67"/>
      <c r="W109" s="93"/>
      <c r="X109" s="67"/>
      <c r="Y109" s="82"/>
      <c r="Z109" s="67"/>
      <c r="AA109" s="67"/>
      <c r="AB109" s="67"/>
      <c r="AC109" s="93"/>
      <c r="AD109" s="67"/>
      <c r="AE109" s="630"/>
      <c r="AF109" s="596"/>
      <c r="AG109" s="596"/>
      <c r="AH109" s="596"/>
      <c r="AI109" s="659"/>
      <c r="AJ109" s="588"/>
      <c r="AK109" s="707"/>
      <c r="AL109" s="604"/>
      <c r="AM109" s="604"/>
      <c r="AN109" s="604"/>
      <c r="AO109" s="665"/>
      <c r="AP109" s="588"/>
      <c r="AQ109" s="707"/>
      <c r="AR109" s="604"/>
      <c r="AS109" s="604"/>
      <c r="AT109" s="604"/>
      <c r="AU109" s="665"/>
      <c r="AV109" s="588"/>
      <c r="AW109" s="707"/>
      <c r="AX109" s="604"/>
      <c r="AY109" s="604"/>
      <c r="AZ109" s="604"/>
      <c r="BA109" s="665"/>
      <c r="BB109" s="588"/>
      <c r="BC109" s="707"/>
      <c r="BD109" s="604"/>
      <c r="BE109" s="604"/>
      <c r="BF109" s="604"/>
      <c r="BG109" s="665"/>
      <c r="BH109" s="588"/>
      <c r="BI109" s="707"/>
      <c r="BJ109" s="604"/>
      <c r="BK109" s="604"/>
      <c r="BL109" s="604"/>
      <c r="BM109" s="665"/>
      <c r="BN109" s="588"/>
      <c r="BO109" s="707"/>
      <c r="BP109" s="604"/>
      <c r="BQ109" s="604"/>
      <c r="BR109" s="604"/>
      <c r="BS109" s="665"/>
      <c r="BT109" s="588"/>
      <c r="BU109" s="707"/>
      <c r="BV109" s="604"/>
      <c r="BW109" s="650">
        <f>88%*BW101</f>
        <v>814.97257395839995</v>
      </c>
      <c r="BX109" s="604"/>
      <c r="BY109" s="665"/>
      <c r="BZ109" s="588"/>
      <c r="CA109" s="707"/>
      <c r="CB109" s="604"/>
      <c r="CC109" s="604"/>
      <c r="CD109" s="604"/>
      <c r="CE109" s="665"/>
      <c r="CF109" s="588"/>
      <c r="CG109" s="707"/>
      <c r="CH109" s="604"/>
      <c r="CI109" s="604"/>
      <c r="CJ109" s="604"/>
      <c r="CK109" s="665"/>
      <c r="CL109" s="588"/>
      <c r="CM109" s="716">
        <v>1070.6666666666699</v>
      </c>
      <c r="CN109" s="651">
        <v>1163.5514018691588</v>
      </c>
      <c r="CO109" s="651">
        <v>1130.5769230769231</v>
      </c>
      <c r="CP109" s="651">
        <v>1254.0050083872518</v>
      </c>
      <c r="CQ109" s="1105">
        <v>4618.8</v>
      </c>
      <c r="CR109" s="1106"/>
      <c r="CS109" s="1107">
        <v>1124.2</v>
      </c>
      <c r="CT109" s="1106">
        <v>1245</v>
      </c>
      <c r="CU109" s="1106">
        <v>1175.8</v>
      </c>
      <c r="CV109" s="1106">
        <v>1287.4000000000001</v>
      </c>
      <c r="CW109" s="1105">
        <v>4832.5</v>
      </c>
      <c r="CX109" s="1106"/>
      <c r="CY109" s="1107">
        <v>1136.2</v>
      </c>
      <c r="CZ109" s="1106">
        <v>1257.5999999999999</v>
      </c>
      <c r="DA109" s="1106">
        <v>1212.7</v>
      </c>
      <c r="DB109" s="1106">
        <v>1431.8</v>
      </c>
      <c r="DC109" s="1105">
        <v>5038.3</v>
      </c>
      <c r="DD109" s="67"/>
      <c r="DE109" s="82"/>
      <c r="DF109" s="67"/>
      <c r="DG109" s="67"/>
      <c r="DH109" s="67"/>
      <c r="DI109" s="93"/>
      <c r="DJ109" s="67"/>
      <c r="DK109" s="82"/>
      <c r="DL109" s="67"/>
      <c r="DM109" s="67"/>
      <c r="DN109" s="67"/>
      <c r="DO109" s="93"/>
      <c r="DP109" s="67"/>
      <c r="DQ109" s="82"/>
      <c r="DR109" s="67"/>
      <c r="DS109" s="67"/>
      <c r="DT109" s="67"/>
      <c r="DU109" s="93"/>
      <c r="DV109" s="67"/>
      <c r="DW109" s="82"/>
      <c r="DX109" s="67"/>
      <c r="DY109" s="67"/>
      <c r="DZ109" s="67"/>
      <c r="EA109" s="93"/>
      <c r="EB109" s="67"/>
      <c r="EC109" s="82"/>
      <c r="ED109" s="67"/>
      <c r="EE109" s="67"/>
      <c r="EF109" s="67"/>
      <c r="EG109" s="93"/>
    </row>
    <row r="110" spans="1:138" ht="11.25" hidden="1" customHeight="1" outlineLevel="1" x14ac:dyDescent="0.2">
      <c r="A110" s="51" t="s">
        <v>86</v>
      </c>
      <c r="B110" s="14"/>
      <c r="C110" s="14"/>
      <c r="D110" s="14"/>
      <c r="E110" s="93"/>
      <c r="F110" s="67"/>
      <c r="G110" s="93"/>
      <c r="H110" s="67"/>
      <c r="I110" s="93"/>
      <c r="J110" s="67"/>
      <c r="K110" s="93"/>
      <c r="L110" s="67"/>
      <c r="M110" s="82"/>
      <c r="N110" s="67"/>
      <c r="O110" s="67"/>
      <c r="P110" s="67"/>
      <c r="Q110" s="93"/>
      <c r="R110" s="67"/>
      <c r="S110" s="82"/>
      <c r="T110" s="67"/>
      <c r="U110" s="67"/>
      <c r="V110" s="67"/>
      <c r="W110" s="93"/>
      <c r="X110" s="67"/>
      <c r="Y110" s="82"/>
      <c r="Z110" s="67"/>
      <c r="AA110" s="67"/>
      <c r="AB110" s="67"/>
      <c r="AC110" s="93"/>
      <c r="AD110" s="67"/>
      <c r="AE110" s="635">
        <v>78.75</v>
      </c>
      <c r="AF110" s="568">
        <v>80.400000000000006</v>
      </c>
      <c r="AG110" s="568">
        <v>82.87</v>
      </c>
      <c r="AH110" s="568">
        <v>85.906000000000063</v>
      </c>
      <c r="AI110" s="662">
        <v>327.92600000000004</v>
      </c>
      <c r="AJ110" s="588"/>
      <c r="AK110" s="635">
        <v>84.262500000000003</v>
      </c>
      <c r="AL110" s="568">
        <v>84.420000000000016</v>
      </c>
      <c r="AM110" s="568">
        <v>87.013500000000008</v>
      </c>
      <c r="AN110" s="568">
        <v>90.201300000000074</v>
      </c>
      <c r="AO110" s="662">
        <f>SUM(AK110:AN110)</f>
        <v>345.89730000000009</v>
      </c>
      <c r="AP110" s="588"/>
      <c r="AQ110" s="635">
        <v>97.744500000000002</v>
      </c>
      <c r="AR110" s="568">
        <v>97.927200000000013</v>
      </c>
      <c r="AS110" s="568">
        <v>100.93566</v>
      </c>
      <c r="AT110" s="568">
        <v>104.63350800000008</v>
      </c>
      <c r="AU110" s="662">
        <v>401.24086800000009</v>
      </c>
      <c r="AV110" s="588"/>
      <c r="AW110" s="635">
        <v>113.38361999999999</v>
      </c>
      <c r="AX110" s="568">
        <v>113.59555200000001</v>
      </c>
      <c r="AY110" s="568">
        <v>117.08536559999999</v>
      </c>
      <c r="AZ110" s="568">
        <v>120.53780121600008</v>
      </c>
      <c r="BA110" s="662">
        <v>464.60233881600004</v>
      </c>
      <c r="BB110" s="588"/>
      <c r="BC110" s="635">
        <v>133.79267159999998</v>
      </c>
      <c r="BD110" s="568">
        <v>134.04275136000001</v>
      </c>
      <c r="BE110" s="568">
        <v>138.16073140799998</v>
      </c>
      <c r="BF110" s="568">
        <v>141.33057192576007</v>
      </c>
      <c r="BG110" s="662">
        <v>547.32672629375998</v>
      </c>
      <c r="BH110" s="588"/>
      <c r="BI110" s="635">
        <f>+BC110*(1+BI114)</f>
        <v>133.67225819555998</v>
      </c>
      <c r="BJ110" s="568">
        <f>+BD110*(1+BJ114)</f>
        <v>135.90460517639042</v>
      </c>
      <c r="BK110" s="568">
        <f>+BE110*(1+BK114)</f>
        <v>139.80484411175519</v>
      </c>
      <c r="BL110" s="568">
        <f>+BF110*(1+BL114)</f>
        <v>162.55135730041295</v>
      </c>
      <c r="BM110" s="662">
        <f>SUM(BI110:BL110)</f>
        <v>571.93306478411853</v>
      </c>
      <c r="BN110" s="588"/>
      <c r="BO110" s="635">
        <f>+BI110*(1+BO114)</f>
        <v>167.09032274444996</v>
      </c>
      <c r="BP110" s="568">
        <f>+BJ110*(1+BP114)</f>
        <v>165.8036183151963</v>
      </c>
      <c r="BQ110" s="568">
        <f>+BK110*(1+BQ114)</f>
        <v>168.76541756950527</v>
      </c>
      <c r="BR110" s="568">
        <f>+BL110*(1+BR114)</f>
        <v>205.18857832031125</v>
      </c>
      <c r="BS110" s="662">
        <f>SUM(BO110:BR110)</f>
        <v>706.84793694946279</v>
      </c>
      <c r="BT110" s="588"/>
      <c r="BU110" s="635">
        <f>+BO110*(1+BU114)</f>
        <v>213.48963446735627</v>
      </c>
      <c r="BV110" s="568">
        <f>+BP110*(1+BV114)</f>
        <v>226.33022918115873</v>
      </c>
      <c r="BW110" s="568">
        <f>+BQ110*(1+BW114)</f>
        <v>985.69973612733099</v>
      </c>
      <c r="BX110" s="568">
        <f>+BR110*(1+BX114)</f>
        <v>1066.1619048381206</v>
      </c>
      <c r="BY110" s="1091">
        <f>SUM(BU110:BX110)</f>
        <v>2491.6815046139664</v>
      </c>
      <c r="BZ110" s="1104"/>
      <c r="CA110" s="1094">
        <f>+BU110*(1+CA114)</f>
        <v>993.57008432935277</v>
      </c>
      <c r="CB110" s="1095">
        <f>+BV110*(1+CB114)</f>
        <v>1018.1578524829016</v>
      </c>
      <c r="CC110" s="1095">
        <f>+BW110*(1+CC114)</f>
        <v>980.77123744669439</v>
      </c>
      <c r="CD110" s="1095">
        <f>+BX110*(1+CD114)</f>
        <v>1124.8008096042172</v>
      </c>
      <c r="CE110" s="1091">
        <f>SUM(CA110:CD110)</f>
        <v>4117.2999838631658</v>
      </c>
      <c r="CF110" s="1104"/>
      <c r="CG110" s="1094">
        <f>+CA110*(1+CG114)</f>
        <v>1013.4414860159399</v>
      </c>
      <c r="CH110" s="1095">
        <f>+CB110*(1+CH114)</f>
        <v>1078.0458973659461</v>
      </c>
      <c r="CI110" s="1095">
        <f>+CC110*(1+CI114)</f>
        <v>1076.788741592726</v>
      </c>
      <c r="CJ110" s="1095">
        <f>+CD110*(1+CJ114)</f>
        <v>1192.2888581804702</v>
      </c>
      <c r="CK110" s="1091">
        <f>SUM(CG110:CJ110)</f>
        <v>4360.5649831550818</v>
      </c>
      <c r="CL110" s="1104"/>
      <c r="CM110" s="1094">
        <f>+CG110*(1+CM114)</f>
        <v>1070.7009299758404</v>
      </c>
      <c r="CN110" s="1095">
        <f>+CH110*(1+CN114)</f>
        <v>1163.6427416168021</v>
      </c>
      <c r="CO110" s="1095">
        <f>+CI110*(1+CO114)</f>
        <v>1130.6281786723623</v>
      </c>
      <c r="CP110" s="1095">
        <f>+CJ110*(1+CP114)</f>
        <v>1253.7871174854188</v>
      </c>
      <c r="CQ110" s="1091">
        <f>SUM(CM110:CP110)</f>
        <v>4618.7589677504238</v>
      </c>
      <c r="CR110" s="1106"/>
      <c r="CS110" s="716"/>
      <c r="CT110" s="651"/>
      <c r="CU110" s="651"/>
      <c r="CV110" s="651"/>
      <c r="CW110" s="657"/>
      <c r="CX110" s="651"/>
      <c r="CY110" s="716"/>
      <c r="CZ110" s="651"/>
      <c r="DA110" s="651"/>
      <c r="DB110" s="651"/>
      <c r="DC110" s="657"/>
      <c r="DD110" s="67"/>
      <c r="DE110" s="82"/>
      <c r="DF110" s="67"/>
      <c r="DG110" s="67"/>
      <c r="DH110" s="67"/>
      <c r="DI110" s="93"/>
      <c r="DJ110" s="67"/>
      <c r="DK110" s="82"/>
      <c r="DL110" s="67"/>
      <c r="DM110" s="67"/>
      <c r="DN110" s="67"/>
      <c r="DO110" s="93"/>
      <c r="DP110" s="67"/>
      <c r="DQ110" s="82"/>
      <c r="DR110" s="67"/>
      <c r="DS110" s="67"/>
      <c r="DT110" s="67"/>
      <c r="DU110" s="93"/>
      <c r="DV110" s="67"/>
      <c r="DW110" s="82"/>
      <c r="DX110" s="67"/>
      <c r="DY110" s="67"/>
      <c r="DZ110" s="67"/>
      <c r="EA110" s="93"/>
      <c r="EB110" s="67"/>
      <c r="EC110" s="82"/>
      <c r="ED110" s="67"/>
      <c r="EE110" s="67"/>
      <c r="EF110" s="67"/>
      <c r="EG110" s="93"/>
    </row>
    <row r="111" spans="1:138" ht="11.25" hidden="1" customHeight="1" outlineLevel="1" x14ac:dyDescent="0.2">
      <c r="A111" s="51" t="s">
        <v>623</v>
      </c>
      <c r="B111" s="14"/>
      <c r="C111" s="14"/>
      <c r="D111" s="14"/>
      <c r="E111" s="93"/>
      <c r="F111" s="67"/>
      <c r="G111" s="93"/>
      <c r="H111" s="67"/>
      <c r="I111" s="93"/>
      <c r="J111" s="67"/>
      <c r="K111" s="93"/>
      <c r="L111" s="67"/>
      <c r="M111" s="82"/>
      <c r="N111" s="67"/>
      <c r="O111" s="67"/>
      <c r="P111" s="67"/>
      <c r="Q111" s="93"/>
      <c r="R111" s="67"/>
      <c r="S111" s="82"/>
      <c r="T111" s="67"/>
      <c r="U111" s="67"/>
      <c r="V111" s="67"/>
      <c r="W111" s="93"/>
      <c r="X111" s="67"/>
      <c r="Y111" s="82"/>
      <c r="Z111" s="67"/>
      <c r="AA111" s="67"/>
      <c r="AB111" s="67"/>
      <c r="AC111" s="93"/>
      <c r="AD111" s="67"/>
      <c r="AE111" s="633"/>
      <c r="AF111" s="583"/>
      <c r="AG111" s="583"/>
      <c r="AH111" s="583"/>
      <c r="AI111" s="663">
        <v>0.09</v>
      </c>
      <c r="AJ111" s="588"/>
      <c r="AK111" s="723">
        <v>7.0000000000000007E-2</v>
      </c>
      <c r="AL111" s="607">
        <v>0.05</v>
      </c>
      <c r="AM111" s="607">
        <v>0.05</v>
      </c>
      <c r="AN111" s="607">
        <v>0.05</v>
      </c>
      <c r="AO111" s="663">
        <v>0.05</v>
      </c>
      <c r="AP111" s="588"/>
      <c r="AQ111" s="723">
        <v>0.16</v>
      </c>
      <c r="AR111" s="607">
        <v>0.16</v>
      </c>
      <c r="AS111" s="607">
        <v>0.16</v>
      </c>
      <c r="AT111" s="607">
        <v>0.16</v>
      </c>
      <c r="AU111" s="663">
        <v>0.06</v>
      </c>
      <c r="AV111" s="588"/>
      <c r="AW111" s="724"/>
      <c r="AX111" s="648"/>
      <c r="AY111" s="648"/>
      <c r="AZ111" s="648"/>
      <c r="BA111" s="663">
        <v>0.09</v>
      </c>
      <c r="BB111" s="588"/>
      <c r="BC111" s="724"/>
      <c r="BD111" s="648"/>
      <c r="BE111" s="648"/>
      <c r="BF111" s="648"/>
      <c r="BG111" s="663">
        <v>6.5000000000000002E-2</v>
      </c>
      <c r="BH111" s="588"/>
      <c r="BI111" s="709">
        <f>+BM111</f>
        <v>0.05</v>
      </c>
      <c r="BJ111" s="605">
        <f>+BM111</f>
        <v>0.05</v>
      </c>
      <c r="BK111" s="605">
        <f>+BM111</f>
        <v>0.05</v>
      </c>
      <c r="BL111" s="605">
        <f>+BM111</f>
        <v>0.05</v>
      </c>
      <c r="BM111" s="663">
        <v>0.05</v>
      </c>
      <c r="BN111" s="588"/>
      <c r="BO111" s="709">
        <v>0.08</v>
      </c>
      <c r="BP111" s="605">
        <v>0.08</v>
      </c>
      <c r="BQ111" s="605">
        <v>0.09</v>
      </c>
      <c r="BR111" s="605">
        <v>0.09</v>
      </c>
      <c r="BS111" s="663">
        <f>SUMPRODUCT(BO111:BR111,BI$93:BL$93)/BM$93</f>
        <v>8.5100000000000009E-2</v>
      </c>
      <c r="BT111" s="588"/>
      <c r="BU111" s="709">
        <v>0.09</v>
      </c>
      <c r="BV111" s="605">
        <v>0.09</v>
      </c>
      <c r="BW111" s="605">
        <v>0.08</v>
      </c>
      <c r="BX111" s="605">
        <v>0.08</v>
      </c>
      <c r="BY111" s="663">
        <f>SUMPRODUCT(BU111:BX111,BO$93:BR$93)/BS$93</f>
        <v>8.48E-2</v>
      </c>
      <c r="BZ111" s="588"/>
      <c r="CA111" s="634">
        <v>0.05</v>
      </c>
      <c r="CB111" s="588">
        <v>0.05</v>
      </c>
      <c r="CC111" s="588">
        <v>0.05</v>
      </c>
      <c r="CD111" s="588">
        <v>0.06</v>
      </c>
      <c r="CE111" s="713">
        <f>SUMPRODUCT(CA111:CD111,BU$93:BX$93)/BY$93</f>
        <v>5.2599999999999994E-2</v>
      </c>
      <c r="CF111" s="588"/>
      <c r="CG111" s="634">
        <v>0.03</v>
      </c>
      <c r="CH111" s="588">
        <v>5.382E-2</v>
      </c>
      <c r="CI111" s="588">
        <v>5.2900000000000003E-2</v>
      </c>
      <c r="CJ111" s="588">
        <v>0.04</v>
      </c>
      <c r="CK111" s="665">
        <f>SUMPRODUCT(CG111:CJ111,CA$93:CD$93)/CE$93</f>
        <v>4.428E-2</v>
      </c>
      <c r="CL111" s="588"/>
      <c r="CM111" s="717">
        <v>3.15E-2</v>
      </c>
      <c r="CN111" s="652">
        <v>5.4399999999999997E-2</v>
      </c>
      <c r="CO111" s="652">
        <v>3.5000000000000003E-2</v>
      </c>
      <c r="CP111" s="652">
        <v>5.1580000000000001E-2</v>
      </c>
      <c r="CQ111" s="500">
        <f>SUMPRODUCT(CM111:CP111,CG$93:CJ$93)/CK$93</f>
        <v>4.3320799999999993E-2</v>
      </c>
      <c r="CR111" s="651"/>
      <c r="CS111" s="716"/>
      <c r="CT111" s="651"/>
      <c r="CU111" s="651"/>
      <c r="CV111" s="651"/>
      <c r="CW111" s="657"/>
      <c r="CX111" s="651"/>
      <c r="CY111" s="716"/>
      <c r="CZ111" s="651"/>
      <c r="DA111" s="651"/>
      <c r="DB111" s="651"/>
      <c r="DC111" s="657"/>
      <c r="DD111" s="67"/>
      <c r="DE111" s="82"/>
      <c r="DF111" s="67"/>
      <c r="DG111" s="67"/>
      <c r="DH111" s="67"/>
      <c r="DI111" s="93"/>
      <c r="DJ111" s="67"/>
      <c r="DK111" s="82"/>
      <c r="DL111" s="67"/>
      <c r="DM111" s="67"/>
      <c r="DN111" s="67"/>
      <c r="DO111" s="93"/>
      <c r="DP111" s="67"/>
      <c r="DQ111" s="82"/>
      <c r="DR111" s="67"/>
      <c r="DS111" s="67"/>
      <c r="DT111" s="67"/>
      <c r="DU111" s="93"/>
      <c r="DV111" s="67"/>
      <c r="DW111" s="82"/>
      <c r="DX111" s="67"/>
      <c r="DY111" s="67"/>
      <c r="DZ111" s="67"/>
      <c r="EA111" s="93"/>
      <c r="EB111" s="67"/>
      <c r="EC111" s="82"/>
      <c r="ED111" s="67"/>
      <c r="EE111" s="67"/>
      <c r="EF111" s="67"/>
      <c r="EG111" s="93"/>
    </row>
    <row r="112" spans="1:138" ht="11.25" hidden="1" customHeight="1" outlineLevel="1" x14ac:dyDescent="0.2">
      <c r="A112" s="51" t="s">
        <v>84</v>
      </c>
      <c r="B112" s="14"/>
      <c r="C112" s="14"/>
      <c r="D112" s="14"/>
      <c r="E112" s="93"/>
      <c r="F112" s="67"/>
      <c r="G112" s="93"/>
      <c r="H112" s="67"/>
      <c r="I112" s="93"/>
      <c r="J112" s="67"/>
      <c r="K112" s="93"/>
      <c r="L112" s="67"/>
      <c r="M112" s="82"/>
      <c r="N112" s="67"/>
      <c r="O112" s="67"/>
      <c r="P112" s="67"/>
      <c r="Q112" s="93"/>
      <c r="R112" s="67"/>
      <c r="S112" s="82"/>
      <c r="T112" s="67"/>
      <c r="U112" s="67"/>
      <c r="V112" s="67"/>
      <c r="W112" s="93"/>
      <c r="X112" s="67"/>
      <c r="Y112" s="82"/>
      <c r="Z112" s="67"/>
      <c r="AA112" s="67"/>
      <c r="AB112" s="67"/>
      <c r="AC112" s="93"/>
      <c r="AD112" s="67"/>
      <c r="AE112" s="634"/>
      <c r="AF112" s="588"/>
      <c r="AG112" s="588"/>
      <c r="AH112" s="588"/>
      <c r="AI112" s="666"/>
      <c r="AJ112" s="588"/>
      <c r="AK112" s="634"/>
      <c r="AL112" s="588"/>
      <c r="AM112" s="588"/>
      <c r="AN112" s="588"/>
      <c r="AO112" s="664"/>
      <c r="AP112" s="588"/>
      <c r="AQ112" s="634"/>
      <c r="AR112" s="588"/>
      <c r="AS112" s="588"/>
      <c r="AT112" s="588"/>
      <c r="AU112" s="664"/>
      <c r="AV112" s="588"/>
      <c r="AW112" s="723">
        <v>0.16</v>
      </c>
      <c r="AX112" s="607">
        <v>0.16</v>
      </c>
      <c r="AY112" s="607">
        <v>0.16</v>
      </c>
      <c r="AZ112" s="607">
        <v>0.152</v>
      </c>
      <c r="BA112" s="664"/>
      <c r="BB112" s="588"/>
      <c r="BC112" s="723">
        <v>0.18</v>
      </c>
      <c r="BD112" s="607">
        <v>0.18</v>
      </c>
      <c r="BE112" s="607">
        <v>0.18</v>
      </c>
      <c r="BF112" s="607">
        <v>0.17249999999999999</v>
      </c>
      <c r="BG112" s="664"/>
      <c r="BH112" s="588"/>
      <c r="BI112" s="707"/>
      <c r="BJ112" s="604"/>
      <c r="BK112" s="604"/>
      <c r="BL112" s="604"/>
      <c r="BM112" s="665"/>
      <c r="BN112" s="588"/>
      <c r="BO112" s="634">
        <v>0.12</v>
      </c>
      <c r="BP112" s="588">
        <v>0.155</v>
      </c>
      <c r="BQ112" s="588">
        <v>0.14215</v>
      </c>
      <c r="BR112" s="588">
        <v>0.18729999999999999</v>
      </c>
      <c r="BS112" s="665">
        <f>SUMPRODUCT(BO112:BR112,BI$93:BL$93)/BM$93</f>
        <v>0.15178549999999999</v>
      </c>
      <c r="BT112" s="588"/>
      <c r="BU112" s="634">
        <v>0.16269</v>
      </c>
      <c r="BV112" s="588">
        <v>0.20005000000000001</v>
      </c>
      <c r="BW112" s="588">
        <v>4.7056500000000003</v>
      </c>
      <c r="BX112" s="588">
        <v>4.1160100000000002</v>
      </c>
      <c r="BY112" s="665">
        <f>SUMPRODUCT(BU112:BX112,BO$93:BR$93)/BS$93</f>
        <v>2.3751664000000003</v>
      </c>
      <c r="BZ112" s="588"/>
      <c r="CA112" s="634">
        <v>3.6089500000000001</v>
      </c>
      <c r="CB112" s="588">
        <v>3.4835500000000001</v>
      </c>
      <c r="CC112" s="588">
        <v>-2.5000000000000001E-2</v>
      </c>
      <c r="CD112" s="588">
        <v>0</v>
      </c>
      <c r="CE112" s="665">
        <f>SUMPRODUCT(CA112:CD112,BU$93:BX$93)/BY$93</f>
        <v>1.7307855000000001</v>
      </c>
      <c r="CF112" s="588"/>
      <c r="CG112" s="634">
        <v>5.0000000000000001E-3</v>
      </c>
      <c r="CH112" s="588">
        <v>1.4999999999999999E-2</v>
      </c>
      <c r="CI112" s="588">
        <v>5.5E-2</v>
      </c>
      <c r="CJ112" s="588">
        <v>3.5000000000000003E-2</v>
      </c>
      <c r="CK112" s="665">
        <f>SUMPRODUCT(CG112:CJ112,CA$93:CD$93)/CE$93</f>
        <v>2.7800000000000002E-2</v>
      </c>
      <c r="CL112" s="588"/>
      <c r="CM112" s="634">
        <v>0.03</v>
      </c>
      <c r="CN112" s="588">
        <v>0.02</v>
      </c>
      <c r="CO112" s="588">
        <v>0.02</v>
      </c>
      <c r="CP112" s="588">
        <v>0.04</v>
      </c>
      <c r="CQ112" s="665">
        <f>SUMPRODUCT(CM112:CP112,CG$93:CJ$93)/CK$93</f>
        <v>2.76E-2</v>
      </c>
      <c r="CR112" s="651"/>
      <c r="CS112" s="716"/>
      <c r="CT112" s="651"/>
      <c r="CU112" s="651"/>
      <c r="CV112" s="651"/>
      <c r="CW112" s="657"/>
      <c r="CX112" s="651"/>
      <c r="CY112" s="716"/>
      <c r="CZ112" s="651"/>
      <c r="DA112" s="651"/>
      <c r="DB112" s="651"/>
      <c r="DC112" s="657"/>
      <c r="DD112" s="67"/>
      <c r="DE112" s="82"/>
      <c r="DF112" s="67"/>
      <c r="DG112" s="67"/>
      <c r="DH112" s="67"/>
      <c r="DI112" s="93"/>
      <c r="DJ112" s="67"/>
      <c r="DK112" s="82"/>
      <c r="DL112" s="67"/>
      <c r="DM112" s="67"/>
      <c r="DN112" s="67"/>
      <c r="DO112" s="93"/>
      <c r="DP112" s="67"/>
      <c r="DQ112" s="82"/>
      <c r="DR112" s="67"/>
      <c r="DS112" s="67"/>
      <c r="DT112" s="67"/>
      <c r="DU112" s="93"/>
      <c r="DV112" s="67"/>
      <c r="DW112" s="82"/>
      <c r="DX112" s="67"/>
      <c r="DY112" s="67"/>
      <c r="DZ112" s="67"/>
      <c r="EA112" s="93"/>
      <c r="EB112" s="67"/>
      <c r="EC112" s="82"/>
      <c r="ED112" s="67"/>
      <c r="EE112" s="67"/>
      <c r="EF112" s="67"/>
      <c r="EG112" s="93"/>
    </row>
    <row r="113" spans="1:137" ht="11.25" hidden="1" customHeight="1" outlineLevel="1" x14ac:dyDescent="0.2">
      <c r="A113" s="51" t="s">
        <v>85</v>
      </c>
      <c r="B113" s="14"/>
      <c r="C113" s="14"/>
      <c r="D113" s="14"/>
      <c r="E113" s="93"/>
      <c r="F113" s="67"/>
      <c r="G113" s="93"/>
      <c r="H113" s="67"/>
      <c r="I113" s="93"/>
      <c r="J113" s="67"/>
      <c r="K113" s="93"/>
      <c r="L113" s="67"/>
      <c r="M113" s="82"/>
      <c r="N113" s="67"/>
      <c r="O113" s="67"/>
      <c r="P113" s="67"/>
      <c r="Q113" s="93"/>
      <c r="R113" s="67"/>
      <c r="S113" s="82"/>
      <c r="T113" s="67"/>
      <c r="U113" s="67"/>
      <c r="V113" s="67"/>
      <c r="W113" s="93"/>
      <c r="X113" s="67"/>
      <c r="Y113" s="82"/>
      <c r="Z113" s="67"/>
      <c r="AA113" s="67"/>
      <c r="AB113" s="67"/>
      <c r="AC113" s="93"/>
      <c r="AD113" s="67"/>
      <c r="AE113" s="631"/>
      <c r="AF113" s="593"/>
      <c r="AG113" s="593"/>
      <c r="AH113" s="590"/>
      <c r="AI113" s="660"/>
      <c r="AJ113" s="588"/>
      <c r="AK113" s="631"/>
      <c r="AL113" s="593"/>
      <c r="AM113" s="593"/>
      <c r="AN113" s="590"/>
      <c r="AO113" s="660"/>
      <c r="AP113" s="588"/>
      <c r="AQ113" s="631"/>
      <c r="AR113" s="593"/>
      <c r="AS113" s="593"/>
      <c r="AT113" s="590"/>
      <c r="AU113" s="660"/>
      <c r="AV113" s="588"/>
      <c r="AW113" s="631"/>
      <c r="AX113" s="593"/>
      <c r="AY113" s="593"/>
      <c r="AZ113" s="590"/>
      <c r="BA113" s="660"/>
      <c r="BB113" s="588"/>
      <c r="BC113" s="631"/>
      <c r="BD113" s="593"/>
      <c r="BE113" s="593"/>
      <c r="BF113" s="590"/>
      <c r="BG113" s="660"/>
      <c r="BH113" s="588"/>
      <c r="BI113" s="634"/>
      <c r="BJ113" s="588"/>
      <c r="BK113" s="588"/>
      <c r="BL113" s="588"/>
      <c r="BM113" s="660"/>
      <c r="BN113" s="588"/>
      <c r="BO113" s="634">
        <v>0.05</v>
      </c>
      <c r="BP113" s="588">
        <v>-1.4999999999999999E-2</v>
      </c>
      <c r="BQ113" s="588">
        <v>-2.5000000000000001E-2</v>
      </c>
      <c r="BR113" s="588">
        <v>-1.4999999999999999E-2</v>
      </c>
      <c r="BS113" s="660">
        <v>0</v>
      </c>
      <c r="BT113" s="588"/>
      <c r="BU113" s="634">
        <v>2.5000000000000001E-2</v>
      </c>
      <c r="BV113" s="588">
        <v>7.4999999999999997E-2</v>
      </c>
      <c r="BW113" s="588">
        <v>5.5E-2</v>
      </c>
      <c r="BX113" s="588">
        <v>0</v>
      </c>
      <c r="BY113" s="660">
        <v>3.5000000000000003E-2</v>
      </c>
      <c r="BZ113" s="644"/>
      <c r="CA113" s="634">
        <v>-5.0000000000000001E-3</v>
      </c>
      <c r="CB113" s="588">
        <v>-3.5000000000000003E-2</v>
      </c>
      <c r="CC113" s="588">
        <v>-0.03</v>
      </c>
      <c r="CD113" s="588">
        <v>-5.0000000000000001E-3</v>
      </c>
      <c r="CE113" s="660">
        <v>-0.02</v>
      </c>
      <c r="CF113" s="644"/>
      <c r="CG113" s="634">
        <v>-1.4999999999999999E-2</v>
      </c>
      <c r="CH113" s="588">
        <v>-0.01</v>
      </c>
      <c r="CI113" s="588">
        <v>-0.01</v>
      </c>
      <c r="CJ113" s="588">
        <v>-1.4999999999999999E-2</v>
      </c>
      <c r="CK113" s="660">
        <v>-1.4999999999999999E-2</v>
      </c>
      <c r="CL113" s="644"/>
      <c r="CM113" s="634">
        <v>-5.0000000000000001E-3</v>
      </c>
      <c r="CN113" s="588">
        <v>5.0000000000000001E-3</v>
      </c>
      <c r="CO113" s="588">
        <v>-5.0000000000000001E-3</v>
      </c>
      <c r="CP113" s="590">
        <v>-0.04</v>
      </c>
      <c r="CQ113" s="698">
        <f>SUMPRODUCT(CM113:CP113,CG$93:CJ$93)/CK$93</f>
        <v>-1.1599999999999999E-2</v>
      </c>
      <c r="CR113" s="651"/>
      <c r="CS113" s="716"/>
      <c r="CT113" s="651"/>
      <c r="CU113" s="651"/>
      <c r="CV113" s="651"/>
      <c r="CW113" s="657"/>
      <c r="CX113" s="651"/>
      <c r="CY113" s="716"/>
      <c r="CZ113" s="651"/>
      <c r="DA113" s="651"/>
      <c r="DB113" s="651"/>
      <c r="DC113" s="657"/>
      <c r="DD113" s="67"/>
      <c r="DE113" s="82"/>
      <c r="DF113" s="67"/>
      <c r="DG113" s="67"/>
      <c r="DH113" s="67"/>
      <c r="DI113" s="93"/>
      <c r="DJ113" s="67"/>
      <c r="DK113" s="82"/>
      <c r="DL113" s="67"/>
      <c r="DM113" s="67"/>
      <c r="DN113" s="67"/>
      <c r="DO113" s="93"/>
      <c r="DP113" s="67"/>
      <c r="DQ113" s="82"/>
      <c r="DR113" s="67"/>
      <c r="DS113" s="67"/>
      <c r="DT113" s="67"/>
      <c r="DU113" s="93"/>
      <c r="DV113" s="67"/>
      <c r="DW113" s="82"/>
      <c r="DX113" s="67"/>
      <c r="DY113" s="67"/>
      <c r="DZ113" s="67"/>
      <c r="EA113" s="93"/>
      <c r="EB113" s="67"/>
      <c r="EC113" s="82"/>
      <c r="ED113" s="67"/>
      <c r="EE113" s="67"/>
      <c r="EF113" s="67"/>
      <c r="EG113" s="93"/>
    </row>
    <row r="114" spans="1:137" ht="11.25" hidden="1" customHeight="1" outlineLevel="1" x14ac:dyDescent="0.2">
      <c r="A114" s="51" t="s">
        <v>45</v>
      </c>
      <c r="B114" s="14"/>
      <c r="C114" s="14"/>
      <c r="D114" s="14"/>
      <c r="E114" s="93"/>
      <c r="F114" s="67"/>
      <c r="G114" s="93"/>
      <c r="H114" s="67"/>
      <c r="I114" s="93"/>
      <c r="J114" s="67"/>
      <c r="K114" s="93"/>
      <c r="L114" s="67"/>
      <c r="M114" s="82"/>
      <c r="N114" s="67"/>
      <c r="O114" s="67"/>
      <c r="P114" s="67"/>
      <c r="Q114" s="93"/>
      <c r="R114" s="67"/>
      <c r="S114" s="82"/>
      <c r="T114" s="67"/>
      <c r="U114" s="67"/>
      <c r="V114" s="67"/>
      <c r="W114" s="93"/>
      <c r="X114" s="67"/>
      <c r="Y114" s="82"/>
      <c r="Z114" s="67"/>
      <c r="AA114" s="67"/>
      <c r="AB114" s="67"/>
      <c r="AC114" s="93"/>
      <c r="AD114" s="67"/>
      <c r="AE114" s="630" t="s">
        <v>501</v>
      </c>
      <c r="AF114" s="596" t="s">
        <v>501</v>
      </c>
      <c r="AG114" s="596" t="s">
        <v>501</v>
      </c>
      <c r="AH114" s="596" t="s">
        <v>501</v>
      </c>
      <c r="AI114" s="665"/>
      <c r="AJ114" s="588"/>
      <c r="AK114" s="707">
        <f>+AK110/AE110-1</f>
        <v>7.0000000000000062E-2</v>
      </c>
      <c r="AL114" s="604">
        <f>+AL110/AF110-1</f>
        <v>5.0000000000000044E-2</v>
      </c>
      <c r="AM114" s="604">
        <f>+AM110/AG110-1</f>
        <v>5.0000000000000044E-2</v>
      </c>
      <c r="AN114" s="604">
        <f>+AN110/AH110-1</f>
        <v>5.0000000000000044E-2</v>
      </c>
      <c r="AO114" s="665">
        <f>+AO110/AI110-1</f>
        <v>5.4802912852289998E-2</v>
      </c>
      <c r="AP114" s="588"/>
      <c r="AQ114" s="707">
        <f>+AQ110/AK110-1</f>
        <v>0.15999999999999992</v>
      </c>
      <c r="AR114" s="604">
        <f>+AR110/AL110-1</f>
        <v>0.15999999999999992</v>
      </c>
      <c r="AS114" s="604">
        <f>+AS110/AM110-1</f>
        <v>0.15999999999999992</v>
      </c>
      <c r="AT114" s="604">
        <f>+AT110/AN110-1</f>
        <v>0.15999999999999992</v>
      </c>
      <c r="AU114" s="665">
        <f>+AU110/AO110-1</f>
        <v>0.15999999999999992</v>
      </c>
      <c r="AV114" s="588"/>
      <c r="AW114" s="707">
        <f>+AW110/AQ110-1</f>
        <v>0.15999999999999992</v>
      </c>
      <c r="AX114" s="604">
        <f>+AX110/AR110-1</f>
        <v>0.15999999999999992</v>
      </c>
      <c r="AY114" s="604">
        <f>+AY110/AS110-1</f>
        <v>0.15999999999999992</v>
      </c>
      <c r="AZ114" s="604">
        <f>+AZ110/AT110-1</f>
        <v>0.15199999999999991</v>
      </c>
      <c r="BA114" s="665">
        <f>+BA110/AU110-1</f>
        <v>0.15791380158214574</v>
      </c>
      <c r="BB114" s="588"/>
      <c r="BC114" s="707">
        <f>+BC110/AW110-1</f>
        <v>0.17999999999999994</v>
      </c>
      <c r="BD114" s="604">
        <f>+BD110/AX110-1</f>
        <v>0.17999999999999994</v>
      </c>
      <c r="BE114" s="604">
        <f>+BE110/AY110-1</f>
        <v>0.17999999999999994</v>
      </c>
      <c r="BF114" s="604">
        <f>+BF110/AZ110-1</f>
        <v>0.17249999999999988</v>
      </c>
      <c r="BG114" s="665">
        <f>+BG110/BA110-1</f>
        <v>0.17805417787731348</v>
      </c>
      <c r="BH114" s="588"/>
      <c r="BI114" s="634">
        <v>-8.9999999999999998E-4</v>
      </c>
      <c r="BJ114" s="588">
        <v>1.389E-2</v>
      </c>
      <c r="BK114" s="588">
        <v>1.1900000000000001E-2</v>
      </c>
      <c r="BL114" s="588">
        <v>0.15015000000000001</v>
      </c>
      <c r="BM114" s="665">
        <f>+BM110/BG110-1</f>
        <v>4.4957312165223806E-2</v>
      </c>
      <c r="BN114" s="588"/>
      <c r="BO114" s="636">
        <f>+BO113+BO112+BO111</f>
        <v>0.25</v>
      </c>
      <c r="BP114" s="608">
        <f>+BP113+BP112+BP111</f>
        <v>0.22000000000000003</v>
      </c>
      <c r="BQ114" s="608">
        <f>+BQ113+BQ112+BQ111</f>
        <v>0.20715</v>
      </c>
      <c r="BR114" s="608">
        <f>+BR113+BR112+BR111</f>
        <v>0.26229999999999998</v>
      </c>
      <c r="BS114" s="665">
        <f>+BS110/BM110-1</f>
        <v>0.23589276520718228</v>
      </c>
      <c r="BT114" s="588"/>
      <c r="BU114" s="636">
        <f>+BU113+BU112+BU111</f>
        <v>0.27768999999999999</v>
      </c>
      <c r="BV114" s="608">
        <f>+BV113+BV112+BV111</f>
        <v>0.36504999999999999</v>
      </c>
      <c r="BW114" s="608">
        <f>+BW113+BW112+BW111</f>
        <v>4.8406500000000001</v>
      </c>
      <c r="BX114" s="608">
        <f>+BX113+BX112+BX111</f>
        <v>4.1960100000000002</v>
      </c>
      <c r="BY114" s="665">
        <f>+BY110/BS110-1</f>
        <v>2.5250601640959633</v>
      </c>
      <c r="BZ114" s="588"/>
      <c r="CA114" s="636">
        <f>+CA113+CA112+CA111</f>
        <v>3.65395</v>
      </c>
      <c r="CB114" s="608">
        <f>+CB113+CB112+CB111</f>
        <v>3.4985499999999998</v>
      </c>
      <c r="CC114" s="608">
        <f>+CC113+CC112+CC111</f>
        <v>-4.9999999999999975E-3</v>
      </c>
      <c r="CD114" s="608">
        <f>+CD113+CD112+CD111</f>
        <v>5.5E-2</v>
      </c>
      <c r="CE114" s="665">
        <f>+CE110/BY110-1</f>
        <v>0.65241824697055528</v>
      </c>
      <c r="CF114" s="588"/>
      <c r="CG114" s="636">
        <f>+CG113+CG112+CG111</f>
        <v>0.02</v>
      </c>
      <c r="CH114" s="608">
        <f>+CH113+CH112+CH111</f>
        <v>5.8819999999999997E-2</v>
      </c>
      <c r="CI114" s="608">
        <f>+CI113+CI112+CI111</f>
        <v>9.7900000000000001E-2</v>
      </c>
      <c r="CJ114" s="608">
        <f>+CJ113+CJ112+CJ111</f>
        <v>6.0000000000000005E-2</v>
      </c>
      <c r="CK114" s="665">
        <f>+CK110/CE110-1</f>
        <v>5.9083622822077242E-2</v>
      </c>
      <c r="CL114" s="588"/>
      <c r="CM114" s="636">
        <f>+CM113+CM112+CM111</f>
        <v>5.6499999999999995E-2</v>
      </c>
      <c r="CN114" s="608">
        <f>+CN113+CN112+CN111</f>
        <v>7.9399999999999998E-2</v>
      </c>
      <c r="CO114" s="608">
        <f>+CO113+CO112+CO111</f>
        <v>0.05</v>
      </c>
      <c r="CP114" s="608">
        <f>+CP113+CP112+CP111</f>
        <v>5.1580000000000001E-2</v>
      </c>
      <c r="CQ114" s="665">
        <f>+CQ110/CK110-1</f>
        <v>5.9211131032962161E-2</v>
      </c>
      <c r="CR114" s="651"/>
      <c r="CS114" s="716"/>
      <c r="CT114" s="651"/>
      <c r="CU114" s="651"/>
      <c r="CV114" s="651"/>
      <c r="CW114" s="657"/>
      <c r="CX114" s="651"/>
      <c r="CY114" s="716"/>
      <c r="CZ114" s="651"/>
      <c r="DA114" s="651"/>
      <c r="DB114" s="651"/>
      <c r="DC114" s="657"/>
      <c r="DD114" s="67"/>
      <c r="DE114" s="82"/>
      <c r="DF114" s="67"/>
      <c r="DG114" s="67"/>
      <c r="DH114" s="67"/>
      <c r="DI114" s="93"/>
      <c r="DJ114" s="67"/>
      <c r="DK114" s="82"/>
      <c r="DL114" s="67"/>
      <c r="DM114" s="67"/>
      <c r="DN114" s="67"/>
      <c r="DO114" s="93"/>
      <c r="DP114" s="67"/>
      <c r="DQ114" s="82"/>
      <c r="DR114" s="67"/>
      <c r="DS114" s="67"/>
      <c r="DT114" s="67"/>
      <c r="DU114" s="93"/>
      <c r="DV114" s="67"/>
      <c r="DW114" s="82"/>
      <c r="DX114" s="67"/>
      <c r="DY114" s="67"/>
      <c r="DZ114" s="67"/>
      <c r="EA114" s="93"/>
      <c r="EB114" s="67"/>
      <c r="EC114" s="82"/>
      <c r="ED114" s="67"/>
      <c r="EE114" s="67"/>
      <c r="EF114" s="67"/>
      <c r="EG114" s="93"/>
    </row>
    <row r="115" spans="1:137" ht="11.25" hidden="1" customHeight="1" outlineLevel="1" x14ac:dyDescent="0.2">
      <c r="A115" s="417" t="s">
        <v>497</v>
      </c>
      <c r="B115" s="14"/>
      <c r="C115" s="14"/>
      <c r="D115" s="14"/>
      <c r="E115" s="93"/>
      <c r="F115" s="67"/>
      <c r="G115" s="93"/>
      <c r="H115" s="67"/>
      <c r="I115" s="93"/>
      <c r="J115" s="67"/>
      <c r="K115" s="93"/>
      <c r="L115" s="67"/>
      <c r="M115" s="82"/>
      <c r="N115" s="67"/>
      <c r="O115" s="67"/>
      <c r="P115" s="67"/>
      <c r="Q115" s="93"/>
      <c r="R115" s="67"/>
      <c r="S115" s="82"/>
      <c r="T115" s="67"/>
      <c r="U115" s="67"/>
      <c r="V115" s="67"/>
      <c r="W115" s="93"/>
      <c r="X115" s="67"/>
      <c r="Y115" s="82"/>
      <c r="Z115" s="67"/>
      <c r="AA115" s="67"/>
      <c r="AB115" s="67"/>
      <c r="AC115" s="93"/>
      <c r="AD115" s="67"/>
      <c r="AE115" s="631"/>
      <c r="AF115" s="593"/>
      <c r="AG115" s="593"/>
      <c r="AH115" s="593"/>
      <c r="AI115" s="659"/>
      <c r="AJ115" s="588"/>
      <c r="AK115" s="721"/>
      <c r="AL115" s="589"/>
      <c r="AM115" s="589"/>
      <c r="AN115" s="646"/>
      <c r="AO115" s="660"/>
      <c r="AP115" s="588"/>
      <c r="AQ115" s="721"/>
      <c r="AR115" s="589"/>
      <c r="AS115" s="589"/>
      <c r="AT115" s="593"/>
      <c r="AU115" s="660"/>
      <c r="AV115" s="593"/>
      <c r="AW115" s="631"/>
      <c r="AX115" s="593"/>
      <c r="AY115" s="593"/>
      <c r="AZ115" s="590"/>
      <c r="BA115" s="660"/>
      <c r="BB115" s="593"/>
      <c r="BC115" s="631"/>
      <c r="BD115" s="593"/>
      <c r="BE115" s="593"/>
      <c r="BF115" s="593"/>
      <c r="BG115" s="683">
        <f>1795.5-BG118</f>
        <v>-2.0273706240004685E-2</v>
      </c>
      <c r="BH115" s="593"/>
      <c r="BI115" s="710">
        <f>+BI96-BI103-BI110</f>
        <v>2.1878044400125418E-3</v>
      </c>
      <c r="BJ115" s="609">
        <f>+BJ96-BJ103-BJ110</f>
        <v>2.5748236095921584E-3</v>
      </c>
      <c r="BK115" s="609">
        <f>+BK96-BK103-BK110</f>
        <v>3.505888244774269E-3</v>
      </c>
      <c r="BL115" s="609">
        <f>+BL96-BL103-BL110</f>
        <v>-2.4233004129712299E-3</v>
      </c>
      <c r="BM115" s="686">
        <f>+BM96-BM103-BM110</f>
        <v>5.845215881436161E-3</v>
      </c>
      <c r="BN115" s="593"/>
      <c r="BO115" s="710">
        <f>+BO96-BO103-BO110</f>
        <v>4.2821004500410709E-3</v>
      </c>
      <c r="BP115" s="609">
        <f>+BP96-BP103-BP110</f>
        <v>2.4596088037185382E-3</v>
      </c>
      <c r="BQ115" s="609">
        <f>+BQ96-BQ103-BQ110</f>
        <v>-1.0219420053374506E-3</v>
      </c>
      <c r="BR115" s="609">
        <f>+BR96-BR103-BR110</f>
        <v>-3.8968855112671008E-3</v>
      </c>
      <c r="BS115" s="686">
        <f>+BS96-BS103-BS110</f>
        <v>1.8228817373255879E-3</v>
      </c>
      <c r="BT115" s="594"/>
      <c r="BU115" s="710">
        <f>+BU96-BU103-BU110</f>
        <v>-2.5843654975687969E-4</v>
      </c>
      <c r="BV115" s="609">
        <f>+BV96-BV103-BV110</f>
        <v>-3.1644088187192665E-3</v>
      </c>
      <c r="BW115" s="609">
        <f>+BW96-BW103-BW110</f>
        <v>2.2702534868130897E-3</v>
      </c>
      <c r="BX115" s="609">
        <f>+BX96-BX103-BX110</f>
        <v>3.8767076230215025E-3</v>
      </c>
      <c r="BY115" s="686">
        <f>+BY96-BY103-BY110</f>
        <v>2.7241157417847717E-3</v>
      </c>
      <c r="BZ115" s="594"/>
      <c r="CA115" s="710">
        <f>+CA96-CA103-CA110</f>
        <v>1.9984264213235292E-4</v>
      </c>
      <c r="CB115" s="609">
        <f>+CB96-CB103-CB110</f>
        <v>-9.3421247856895206E-4</v>
      </c>
      <c r="CC115" s="609">
        <f>+CC96-CC103-CC110</f>
        <v>-3.1945530098482777E-3</v>
      </c>
      <c r="CD115" s="609">
        <f>+CD96-CD103-CD110</f>
        <v>4.1280828334038233E-3</v>
      </c>
      <c r="CE115" s="686">
        <f>+CE96-CE103-CE110</f>
        <v>1.9915998746000696E-4</v>
      </c>
      <c r="CF115" s="594"/>
      <c r="CG115" s="710">
        <f>+CG96-CG103-CG110</f>
        <v>1.9444223653408699E-5</v>
      </c>
      <c r="CH115" s="609">
        <f>+CH96-CH103-CH110</f>
        <v>1.5118907231226331E-3</v>
      </c>
      <c r="CI115" s="609">
        <f>+CI96-CI103-CI110</f>
        <v>-3.7403819476367062E-3</v>
      </c>
      <c r="CJ115" s="609">
        <f>+CJ96-CJ103-CJ110</f>
        <v>-6.9378488819893391E-4</v>
      </c>
      <c r="CK115" s="686">
        <f>+CK96-CK103-CK110</f>
        <v>-2.9028318895143457E-3</v>
      </c>
      <c r="CL115" s="594"/>
      <c r="CM115" s="718">
        <f>+CM96-(CM102+CM109)</f>
        <v>-2.0274917460483266E-5</v>
      </c>
      <c r="CN115" s="610">
        <f>+CN96-(CN102+CN109)</f>
        <v>-4.0089053982228506E-5</v>
      </c>
      <c r="CO115" s="610">
        <f>+CO96-(CO102+CO109)</f>
        <v>1.2982556427232339E-5</v>
      </c>
      <c r="CP115" s="610">
        <f>+CP96-(CP102+CP109)</f>
        <v>4.7381411604874302E-5</v>
      </c>
      <c r="CQ115" s="699">
        <f>+CQ96-(CQ102+CQ109)</f>
        <v>0</v>
      </c>
      <c r="CR115" s="611"/>
      <c r="CS115" s="732">
        <f>+CS96-(CS102+CS109)</f>
        <v>0</v>
      </c>
      <c r="CT115" s="612">
        <f>+CT96-(CT102+CT109)</f>
        <v>0</v>
      </c>
      <c r="CU115" s="612">
        <f>+CU96-(CU102+CU109)</f>
        <v>0</v>
      </c>
      <c r="CV115" s="612">
        <f>+CV96-(CV102+CV109)</f>
        <v>0</v>
      </c>
      <c r="CW115" s="699">
        <f>+CW96-(CW102+CW109)</f>
        <v>0</v>
      </c>
      <c r="CX115" s="611"/>
      <c r="CY115" s="710">
        <f>+CY96-(CY102+CY109)</f>
        <v>0</v>
      </c>
      <c r="CZ115" s="609">
        <f>+CZ96-(CZ102+CZ109)</f>
        <v>0</v>
      </c>
      <c r="DA115" s="609">
        <f>+DA96-(DA102+DA109)</f>
        <v>0</v>
      </c>
      <c r="DB115" s="609">
        <f>+DB96-(DB102+DB109)</f>
        <v>0</v>
      </c>
      <c r="DC115" s="699">
        <f>+DC96-(DC102+DC109)</f>
        <v>0</v>
      </c>
      <c r="DD115" s="67"/>
      <c r="DE115" s="82"/>
      <c r="DF115" s="67"/>
      <c r="DG115" s="67"/>
      <c r="DH115" s="67"/>
      <c r="DI115" s="93"/>
      <c r="DJ115" s="67"/>
      <c r="DK115" s="82"/>
      <c r="DL115" s="67"/>
      <c r="DM115" s="67"/>
      <c r="DN115" s="67"/>
      <c r="DO115" s="93"/>
      <c r="DP115" s="67"/>
      <c r="DQ115" s="82"/>
      <c r="DR115" s="67"/>
      <c r="DS115" s="67"/>
      <c r="DT115" s="67"/>
      <c r="DU115" s="93"/>
      <c r="DV115" s="67"/>
      <c r="DW115" s="82"/>
      <c r="DX115" s="67"/>
      <c r="DY115" s="67"/>
      <c r="DZ115" s="67"/>
      <c r="EA115" s="93"/>
      <c r="EB115" s="67"/>
      <c r="EC115" s="82"/>
      <c r="ED115" s="67"/>
      <c r="EE115" s="67"/>
      <c r="EF115" s="67"/>
      <c r="EG115" s="93"/>
    </row>
    <row r="116" spans="1:137" ht="11.25" hidden="1" customHeight="1" outlineLevel="1" x14ac:dyDescent="0.2">
      <c r="A116" s="51"/>
      <c r="B116" s="14"/>
      <c r="C116" s="14"/>
      <c r="D116" s="14"/>
      <c r="E116" s="93"/>
      <c r="F116" s="67"/>
      <c r="G116" s="93"/>
      <c r="H116" s="67"/>
      <c r="I116" s="93"/>
      <c r="J116" s="67"/>
      <c r="K116" s="93"/>
      <c r="L116" s="67"/>
      <c r="M116" s="82"/>
      <c r="N116" s="67"/>
      <c r="O116" s="67"/>
      <c r="P116" s="67"/>
      <c r="Q116" s="93"/>
      <c r="R116" s="67"/>
      <c r="S116" s="82"/>
      <c r="T116" s="67"/>
      <c r="U116" s="67"/>
      <c r="V116" s="67"/>
      <c r="W116" s="93"/>
      <c r="X116" s="67"/>
      <c r="Y116" s="82"/>
      <c r="Z116" s="67"/>
      <c r="AA116" s="67"/>
      <c r="AB116" s="67"/>
      <c r="AC116" s="93"/>
      <c r="AD116" s="67"/>
      <c r="AE116" s="631"/>
      <c r="AF116" s="593"/>
      <c r="AG116" s="593"/>
      <c r="AH116" s="593"/>
      <c r="AI116" s="659"/>
      <c r="AJ116" s="588"/>
      <c r="AK116" s="721"/>
      <c r="AL116" s="589"/>
      <c r="AM116" s="589"/>
      <c r="AN116" s="646"/>
      <c r="AO116" s="660"/>
      <c r="AP116" s="588"/>
      <c r="AQ116" s="721"/>
      <c r="AR116" s="589"/>
      <c r="AS116" s="589"/>
      <c r="AT116" s="593"/>
      <c r="AU116" s="660"/>
      <c r="AV116" s="593"/>
      <c r="AW116" s="631"/>
      <c r="AX116" s="593"/>
      <c r="AY116" s="593"/>
      <c r="AZ116" s="590"/>
      <c r="BA116" s="660"/>
      <c r="BB116" s="593"/>
      <c r="BC116" s="631"/>
      <c r="BD116" s="593"/>
      <c r="BE116" s="593"/>
      <c r="BF116" s="593"/>
      <c r="BG116" s="660"/>
      <c r="BH116" s="593"/>
      <c r="BI116" s="631"/>
      <c r="BJ116" s="593"/>
      <c r="BK116" s="593"/>
      <c r="BL116" s="593"/>
      <c r="BM116" s="686"/>
      <c r="BN116" s="593"/>
      <c r="BO116" s="631"/>
      <c r="BP116" s="593"/>
      <c r="BQ116" s="593"/>
      <c r="BR116" s="593"/>
      <c r="BS116" s="690"/>
      <c r="BT116" s="594"/>
      <c r="BU116" s="703"/>
      <c r="BV116" s="594"/>
      <c r="BW116" s="594"/>
      <c r="BX116" s="590"/>
      <c r="BY116" s="690"/>
      <c r="BZ116" s="594"/>
      <c r="CA116" s="703"/>
      <c r="CB116" s="595"/>
      <c r="CC116" s="595"/>
      <c r="CD116" s="590"/>
      <c r="CE116" s="690"/>
      <c r="CF116" s="594"/>
      <c r="CG116" s="703"/>
      <c r="CH116" s="595"/>
      <c r="CI116" s="595"/>
      <c r="CJ116" s="595"/>
      <c r="CK116" s="690"/>
      <c r="CL116" s="594"/>
      <c r="CM116" s="710">
        <f>+CM109+CM102-CM110-CM103</f>
        <v>1.8829833926588435E-2</v>
      </c>
      <c r="CN116" s="609">
        <f>+CN109+CN102-CN110-CN103</f>
        <v>-0.15300236356404184</v>
      </c>
      <c r="CO116" s="609">
        <f>+CO109+CO102-CO110-CO103</f>
        <v>-2.8266453070614261E-2</v>
      </c>
      <c r="CP116" s="609">
        <f>+CP109+CP102-CP110-CP103</f>
        <v>0.20841047858471029</v>
      </c>
      <c r="CQ116" s="686">
        <f>+CQ109+CQ102-CQ110-CQ103</f>
        <v>4.5971495872890955E-2</v>
      </c>
      <c r="CR116" s="611"/>
      <c r="CS116" s="710"/>
      <c r="CT116" s="609"/>
      <c r="CU116" s="609"/>
      <c r="CV116" s="609"/>
      <c r="CW116" s="686"/>
      <c r="CX116" s="611"/>
      <c r="CY116" s="710"/>
      <c r="CZ116" s="609"/>
      <c r="DA116" s="609"/>
      <c r="DB116" s="609"/>
      <c r="DC116" s="686">
        <f>DC96-(5365.9+5038.3)</f>
        <v>0</v>
      </c>
      <c r="DD116" s="67"/>
      <c r="DE116" s="82"/>
      <c r="DF116" s="67"/>
      <c r="DG116" s="67"/>
      <c r="DH116" s="67"/>
      <c r="DI116" s="93"/>
      <c r="DJ116" s="67"/>
      <c r="DK116" s="82"/>
      <c r="DL116" s="67"/>
      <c r="DM116" s="67"/>
      <c r="DN116" s="67"/>
      <c r="DO116" s="93"/>
      <c r="DP116" s="67"/>
      <c r="DQ116" s="82"/>
      <c r="DR116" s="67"/>
      <c r="DS116" s="67"/>
      <c r="DT116" s="67"/>
      <c r="DU116" s="93"/>
      <c r="DV116" s="67"/>
      <c r="DW116" s="82"/>
      <c r="DX116" s="67"/>
      <c r="DY116" s="67"/>
      <c r="DZ116" s="67"/>
      <c r="EA116" s="93"/>
      <c r="EB116" s="67"/>
      <c r="EC116" s="82"/>
      <c r="ED116" s="67"/>
      <c r="EE116" s="67"/>
      <c r="EF116" s="67"/>
      <c r="EG116" s="93"/>
    </row>
    <row r="117" spans="1:137" ht="11.25" hidden="1" customHeight="1" outlineLevel="1" x14ac:dyDescent="0.2">
      <c r="A117" s="50" t="s">
        <v>163</v>
      </c>
      <c r="B117" s="14"/>
      <c r="C117" s="14"/>
      <c r="D117" s="14"/>
      <c r="E117" s="93"/>
      <c r="F117" s="67"/>
      <c r="G117" s="93"/>
      <c r="H117" s="67"/>
      <c r="I117" s="93"/>
      <c r="J117" s="67"/>
      <c r="K117" s="93"/>
      <c r="L117" s="67"/>
      <c r="M117" s="82"/>
      <c r="N117" s="67"/>
      <c r="O117" s="67"/>
      <c r="P117" s="67"/>
      <c r="Q117" s="93"/>
      <c r="R117" s="67"/>
      <c r="S117" s="82"/>
      <c r="T117" s="67"/>
      <c r="U117" s="67"/>
      <c r="V117" s="67"/>
      <c r="W117" s="93"/>
      <c r="X117" s="67"/>
      <c r="Y117" s="82"/>
      <c r="Z117" s="67"/>
      <c r="AA117" s="67"/>
      <c r="AB117" s="67"/>
      <c r="AC117" s="93"/>
      <c r="AD117" s="67"/>
      <c r="AE117" s="631"/>
      <c r="AF117" s="593"/>
      <c r="AG117" s="593"/>
      <c r="AH117" s="593"/>
      <c r="AI117" s="659"/>
      <c r="AJ117" s="588"/>
      <c r="AK117" s="721"/>
      <c r="AL117" s="589"/>
      <c r="AM117" s="589"/>
      <c r="AN117" s="646"/>
      <c r="AO117" s="660"/>
      <c r="AP117" s="588"/>
      <c r="AQ117" s="721"/>
      <c r="AR117" s="589"/>
      <c r="AS117" s="589"/>
      <c r="AT117" s="593"/>
      <c r="AU117" s="660"/>
      <c r="AV117" s="593"/>
      <c r="AW117" s="631"/>
      <c r="AX117" s="593"/>
      <c r="AY117" s="593"/>
      <c r="AZ117" s="590"/>
      <c r="BA117" s="660"/>
      <c r="BB117" s="593"/>
      <c r="BC117" s="631"/>
      <c r="BD117" s="593"/>
      <c r="BE117" s="593"/>
      <c r="BF117" s="593"/>
      <c r="BG117" s="660"/>
      <c r="BH117" s="593"/>
      <c r="BI117" s="631"/>
      <c r="BJ117" s="593"/>
      <c r="BK117" s="593"/>
      <c r="BL117" s="593"/>
      <c r="BM117" s="665"/>
      <c r="BN117" s="593"/>
      <c r="BO117" s="631"/>
      <c r="BP117" s="593"/>
      <c r="BQ117" s="593"/>
      <c r="BR117" s="593"/>
      <c r="BS117" s="690"/>
      <c r="BT117" s="594"/>
      <c r="BU117" s="703"/>
      <c r="BV117" s="594"/>
      <c r="BW117" s="594"/>
      <c r="BX117" s="590"/>
      <c r="BY117" s="690"/>
      <c r="BZ117" s="594"/>
      <c r="CA117" s="703"/>
      <c r="CB117" s="595"/>
      <c r="CC117" s="595"/>
      <c r="CD117" s="590"/>
      <c r="CE117" s="690"/>
      <c r="CF117" s="594"/>
      <c r="CG117" s="703"/>
      <c r="CH117" s="595"/>
      <c r="CI117" s="595"/>
      <c r="CJ117" s="595"/>
      <c r="CK117" s="690"/>
      <c r="CL117" s="594"/>
      <c r="CM117" s="703"/>
      <c r="CN117" s="595"/>
      <c r="CO117" s="595"/>
      <c r="CP117" s="595"/>
      <c r="CQ117" s="686"/>
      <c r="CR117" s="594"/>
      <c r="CS117" s="703"/>
      <c r="CT117" s="595"/>
      <c r="CU117" s="595"/>
      <c r="CV117" s="595"/>
      <c r="CW117" s="690"/>
      <c r="CX117" s="594"/>
      <c r="CY117" s="703"/>
      <c r="CZ117" s="595"/>
      <c r="DA117" s="595"/>
      <c r="DB117" s="595"/>
      <c r="DC117" s="690"/>
      <c r="DD117" s="67"/>
      <c r="DE117" s="82"/>
      <c r="DF117" s="67"/>
      <c r="DG117" s="67"/>
      <c r="DH117" s="67"/>
      <c r="DI117" s="93"/>
      <c r="DJ117" s="67"/>
      <c r="DK117" s="82"/>
      <c r="DL117" s="67"/>
      <c r="DM117" s="67"/>
      <c r="DN117" s="67"/>
      <c r="DO117" s="93"/>
      <c r="DP117" s="67"/>
      <c r="DQ117" s="82"/>
      <c r="DR117" s="67"/>
      <c r="DS117" s="67"/>
      <c r="DT117" s="67"/>
      <c r="DU117" s="93"/>
      <c r="DV117" s="67"/>
      <c r="DW117" s="82"/>
      <c r="DX117" s="67"/>
      <c r="DY117" s="67"/>
      <c r="DZ117" s="67"/>
      <c r="EA117" s="93"/>
      <c r="EB117" s="67"/>
      <c r="EC117" s="82"/>
      <c r="ED117" s="67"/>
      <c r="EE117" s="67"/>
      <c r="EF117" s="67"/>
      <c r="EG117" s="93"/>
    </row>
    <row r="118" spans="1:137" ht="11.25" hidden="1" customHeight="1" outlineLevel="1" x14ac:dyDescent="0.2">
      <c r="A118" s="51" t="s">
        <v>86</v>
      </c>
      <c r="B118" s="14"/>
      <c r="C118" s="14"/>
      <c r="D118" s="14"/>
      <c r="E118" s="93"/>
      <c r="F118" s="67"/>
      <c r="G118" s="93"/>
      <c r="H118" s="67"/>
      <c r="I118" s="93"/>
      <c r="J118" s="67"/>
      <c r="K118" s="93"/>
      <c r="L118" s="67"/>
      <c r="M118" s="82"/>
      <c r="N118" s="67"/>
      <c r="O118" s="67"/>
      <c r="P118" s="67"/>
      <c r="Q118" s="93"/>
      <c r="R118" s="67"/>
      <c r="S118" s="82"/>
      <c r="T118" s="67"/>
      <c r="U118" s="67"/>
      <c r="V118" s="67"/>
      <c r="W118" s="93"/>
      <c r="X118" s="67"/>
      <c r="Y118" s="82"/>
      <c r="Z118" s="67"/>
      <c r="AA118" s="67"/>
      <c r="AB118" s="67"/>
      <c r="AC118" s="93"/>
      <c r="AD118" s="67"/>
      <c r="AE118" s="632">
        <v>0</v>
      </c>
      <c r="AF118" s="566">
        <v>30</v>
      </c>
      <c r="AG118" s="566">
        <v>125</v>
      </c>
      <c r="AH118" s="566">
        <v>190</v>
      </c>
      <c r="AI118" s="662">
        <f>SUM(AE118:AH118)</f>
        <v>345</v>
      </c>
      <c r="AJ118" s="574"/>
      <c r="AK118" s="635">
        <f>+AK84-AK110</f>
        <v>127.12102500000002</v>
      </c>
      <c r="AL118" s="568">
        <f>+AL84-AL110</f>
        <v>142.08758</v>
      </c>
      <c r="AM118" s="568">
        <f>+AM84-AM110-AM103</f>
        <v>150.76378</v>
      </c>
      <c r="AN118" s="568">
        <f>+AN84-AN110-AN103</f>
        <v>226.66431500000004</v>
      </c>
      <c r="AO118" s="662">
        <f>SUM(AK118:AN118)</f>
        <v>646.63670000000002</v>
      </c>
      <c r="AP118" s="588"/>
      <c r="AQ118" s="635">
        <f>+AQ84-AQ110-AQ103</f>
        <v>127.72389999999996</v>
      </c>
      <c r="AR118" s="568">
        <f>+AR84-AR110-AR103</f>
        <v>240.25738599999994</v>
      </c>
      <c r="AS118" s="568">
        <f>+AS84-AS110-AS103</f>
        <v>349.06677200000013</v>
      </c>
      <c r="AT118" s="568">
        <f>+AT84-AT110-AT103</f>
        <v>406.68707399999994</v>
      </c>
      <c r="AU118" s="662">
        <f>SUM(AQ118:AT118)</f>
        <v>1123.735132</v>
      </c>
      <c r="AV118" s="566"/>
      <c r="AW118" s="635">
        <f>+AW84-AW110-AW103</f>
        <v>373.45537999999999</v>
      </c>
      <c r="AX118" s="568">
        <f>+AX84-AX110-AX103</f>
        <v>390.517448</v>
      </c>
      <c r="AY118" s="568">
        <f>+AY84-AY110-AY103</f>
        <v>415.59763440000006</v>
      </c>
      <c r="AZ118" s="568">
        <f>+AZ84-AZ110-AZ103</f>
        <v>525.513198784</v>
      </c>
      <c r="BA118" s="662">
        <f>SUM(AW118:AZ118)</f>
        <v>1705.083661184</v>
      </c>
      <c r="BB118" s="566"/>
      <c r="BC118" s="635">
        <f>+BC84-BC110-BC103</f>
        <v>402.53512840000008</v>
      </c>
      <c r="BD118" s="568">
        <f>+BD84-BD110-BD103</f>
        <v>477.22824863999995</v>
      </c>
      <c r="BE118" s="568">
        <f>+BE84-BE110-BE103</f>
        <v>461.69326859200004</v>
      </c>
      <c r="BF118" s="568">
        <f>+BF84-BF110-BF103</f>
        <v>454.06362807424</v>
      </c>
      <c r="BG118" s="662">
        <f>SUM(BC118:BF118)</f>
        <v>1795.52027370624</v>
      </c>
      <c r="BH118" s="566"/>
      <c r="BI118" s="632">
        <v>376.6</v>
      </c>
      <c r="BJ118" s="566">
        <v>388.5</v>
      </c>
      <c r="BK118" s="566">
        <v>402.9</v>
      </c>
      <c r="BL118" s="566">
        <v>489</v>
      </c>
      <c r="BM118" s="662">
        <f>SUM(BI118:BL118)</f>
        <v>1657</v>
      </c>
      <c r="BN118" s="566"/>
      <c r="BO118" s="632">
        <v>431.8</v>
      </c>
      <c r="BP118" s="566">
        <v>428.3</v>
      </c>
      <c r="BQ118" s="566">
        <v>443</v>
      </c>
      <c r="BR118" s="566">
        <v>521.5</v>
      </c>
      <c r="BS118" s="1091">
        <f>SUM(BO118:BR118)</f>
        <v>1824.6</v>
      </c>
      <c r="BT118" s="1092"/>
      <c r="BU118" s="1093">
        <v>463.5</v>
      </c>
      <c r="BV118" s="1092">
        <v>504.7</v>
      </c>
      <c r="BW118" s="1092">
        <v>492.6</v>
      </c>
      <c r="BX118" s="1092">
        <v>550.5</v>
      </c>
      <c r="BY118" s="1091">
        <f>SUM(BU118:BX118)</f>
        <v>2011.3000000000002</v>
      </c>
      <c r="BZ118" s="1092"/>
      <c r="CA118" s="1094">
        <v>464.7</v>
      </c>
      <c r="CB118" s="1095">
        <v>498.8</v>
      </c>
      <c r="CC118" s="1095">
        <v>488.9</v>
      </c>
      <c r="CD118" s="1095">
        <v>570.5</v>
      </c>
      <c r="CE118" s="1105">
        <f>SUM(CA118:CD118)</f>
        <v>2022.9</v>
      </c>
      <c r="CF118" s="1092"/>
      <c r="CG118" s="1093">
        <v>479.8</v>
      </c>
      <c r="CH118" s="1092">
        <v>514.70000000000005</v>
      </c>
      <c r="CI118" s="1092">
        <v>510.2</v>
      </c>
      <c r="CJ118" s="1092">
        <v>590.20000000000005</v>
      </c>
      <c r="CK118" s="1091">
        <f>SUM(CG118:CJ118)</f>
        <v>2094.9</v>
      </c>
      <c r="CL118" s="1092"/>
      <c r="CM118" s="1093">
        <v>509.7</v>
      </c>
      <c r="CN118" s="1092">
        <v>528.1</v>
      </c>
      <c r="CO118" s="1092">
        <v>528.4</v>
      </c>
      <c r="CP118" s="1092">
        <v>626.9</v>
      </c>
      <c r="CQ118" s="1091">
        <f>SUM(CM118:CP118)</f>
        <v>2193.1</v>
      </c>
      <c r="CR118" s="1092"/>
      <c r="CS118" s="1093">
        <v>662.4</v>
      </c>
      <c r="CT118" s="1092">
        <v>687.6</v>
      </c>
      <c r="CU118" s="1092">
        <v>652.20000000000005</v>
      </c>
      <c r="CV118" s="1092">
        <v>734.6</v>
      </c>
      <c r="CW118" s="1091">
        <f>SUM(CS118:CV118)</f>
        <v>2736.8</v>
      </c>
      <c r="CX118" s="1092"/>
      <c r="CY118" s="1093">
        <v>655.9</v>
      </c>
      <c r="CZ118" s="1092">
        <v>714.6</v>
      </c>
      <c r="DA118" s="1092">
        <v>675.6</v>
      </c>
      <c r="DB118" s="1092">
        <v>739.3</v>
      </c>
      <c r="DC118" s="1091">
        <f>SUM(CY118:DB118)</f>
        <v>2785.3999999999996</v>
      </c>
      <c r="DD118" s="67"/>
      <c r="DE118" s="82"/>
      <c r="DF118" s="67"/>
      <c r="DG118" s="67"/>
      <c r="DH118" s="67"/>
      <c r="DI118" s="93"/>
      <c r="DJ118" s="67"/>
      <c r="DK118" s="82"/>
      <c r="DL118" s="67"/>
      <c r="DM118" s="67"/>
      <c r="DN118" s="67"/>
      <c r="DO118" s="93"/>
      <c r="DP118" s="67"/>
      <c r="DQ118" s="82"/>
      <c r="DR118" s="67"/>
      <c r="DS118" s="67"/>
      <c r="DT118" s="67"/>
      <c r="DU118" s="93"/>
      <c r="DV118" s="67"/>
      <c r="DW118" s="82"/>
      <c r="DX118" s="67"/>
      <c r="DY118" s="67"/>
      <c r="DZ118" s="67"/>
      <c r="EA118" s="93"/>
      <c r="EB118" s="67"/>
      <c r="EC118" s="82"/>
      <c r="ED118" s="67"/>
      <c r="EE118" s="67"/>
      <c r="EF118" s="67"/>
      <c r="EG118" s="93"/>
    </row>
    <row r="119" spans="1:137" ht="11.25" hidden="1" customHeight="1" outlineLevel="1" x14ac:dyDescent="0.2">
      <c r="A119" s="51" t="s">
        <v>623</v>
      </c>
      <c r="B119" s="14"/>
      <c r="C119" s="14"/>
      <c r="D119" s="14"/>
      <c r="E119" s="93"/>
      <c r="F119" s="67"/>
      <c r="G119" s="93"/>
      <c r="H119" s="67"/>
      <c r="I119" s="93"/>
      <c r="J119" s="67"/>
      <c r="K119" s="93"/>
      <c r="L119" s="67"/>
      <c r="M119" s="82"/>
      <c r="N119" s="67"/>
      <c r="O119" s="67"/>
      <c r="P119" s="67"/>
      <c r="Q119" s="93"/>
      <c r="R119" s="67"/>
      <c r="S119" s="82"/>
      <c r="T119" s="67"/>
      <c r="U119" s="67"/>
      <c r="V119" s="67"/>
      <c r="W119" s="93"/>
      <c r="X119" s="67"/>
      <c r="Y119" s="82"/>
      <c r="Z119" s="67"/>
      <c r="AA119" s="67"/>
      <c r="AB119" s="67"/>
      <c r="AC119" s="93"/>
      <c r="AD119" s="67"/>
      <c r="AE119" s="633"/>
      <c r="AF119" s="583"/>
      <c r="AG119" s="583"/>
      <c r="AH119" s="583"/>
      <c r="AI119" s="667"/>
      <c r="AJ119" s="574"/>
      <c r="AK119" s="633">
        <v>0.05</v>
      </c>
      <c r="AL119" s="583">
        <v>0.05</v>
      </c>
      <c r="AM119" s="583">
        <v>0.05</v>
      </c>
      <c r="AN119" s="583">
        <v>0.05</v>
      </c>
      <c r="AO119" s="663">
        <v>0.05</v>
      </c>
      <c r="AP119" s="588"/>
      <c r="AQ119" s="633">
        <v>0.05</v>
      </c>
      <c r="AR119" s="583">
        <v>0.05</v>
      </c>
      <c r="AS119" s="583">
        <v>0.1</v>
      </c>
      <c r="AT119" s="583">
        <v>9.5000000000000001E-2</v>
      </c>
      <c r="AU119" s="663">
        <v>0.09</v>
      </c>
      <c r="AV119" s="582"/>
      <c r="AW119" s="709">
        <f>+BA119</f>
        <v>0.05</v>
      </c>
      <c r="AX119" s="605">
        <f>+BA119</f>
        <v>0.05</v>
      </c>
      <c r="AY119" s="605">
        <f>+BA119</f>
        <v>0.05</v>
      </c>
      <c r="AZ119" s="605">
        <f>+BA119</f>
        <v>0.05</v>
      </c>
      <c r="BA119" s="663">
        <v>0.05</v>
      </c>
      <c r="BB119" s="582"/>
      <c r="BC119" s="709">
        <f>+BG119</f>
        <v>5.0000000000000001E-3</v>
      </c>
      <c r="BD119" s="605">
        <f>+BG119</f>
        <v>5.0000000000000001E-3</v>
      </c>
      <c r="BE119" s="605">
        <f>+BG119</f>
        <v>5.0000000000000001E-3</v>
      </c>
      <c r="BF119" s="605">
        <f>+BG119</f>
        <v>5.0000000000000001E-3</v>
      </c>
      <c r="BG119" s="663">
        <v>5.0000000000000001E-3</v>
      </c>
      <c r="BH119" s="582"/>
      <c r="BI119" s="706">
        <v>-0.05</v>
      </c>
      <c r="BJ119" s="580">
        <v>-0.11</v>
      </c>
      <c r="BK119" s="580">
        <v>-0.13</v>
      </c>
      <c r="BL119" s="580">
        <v>-0.04</v>
      </c>
      <c r="BM119" s="673">
        <v>-8.5000000000000006E-2</v>
      </c>
      <c r="BN119" s="582"/>
      <c r="BO119" s="706">
        <v>0.02</v>
      </c>
      <c r="BP119" s="580">
        <v>0.02</v>
      </c>
      <c r="BQ119" s="580">
        <v>0.06</v>
      </c>
      <c r="BR119" s="580">
        <v>7.4999999999999997E-2</v>
      </c>
      <c r="BS119" s="673">
        <v>4.4999999999999998E-2</v>
      </c>
      <c r="BT119" s="582"/>
      <c r="BU119" s="706">
        <v>5.5E-2</v>
      </c>
      <c r="BV119" s="580">
        <v>6.5000000000000002E-2</v>
      </c>
      <c r="BW119" s="580">
        <v>4.4999999999999998E-2</v>
      </c>
      <c r="BX119" s="580">
        <v>2.5000000000000001E-2</v>
      </c>
      <c r="BY119" s="673">
        <v>4.4999999999999998E-2</v>
      </c>
      <c r="BZ119" s="582"/>
      <c r="CA119" s="706">
        <v>5.0000000000000001E-3</v>
      </c>
      <c r="CB119" s="580">
        <v>0.05</v>
      </c>
      <c r="CC119" s="580">
        <v>0.03</v>
      </c>
      <c r="CD119" s="580">
        <v>0.04</v>
      </c>
      <c r="CE119" s="673">
        <v>3.5000000000000003E-2</v>
      </c>
      <c r="CF119" s="582"/>
      <c r="CG119" s="706">
        <v>2.5000000000000001E-2</v>
      </c>
      <c r="CH119" s="580">
        <v>2.5000000000000001E-2</v>
      </c>
      <c r="CI119" s="580">
        <v>3.5000000000000003E-2</v>
      </c>
      <c r="CJ119" s="580">
        <v>0.03</v>
      </c>
      <c r="CK119" s="673">
        <v>0.03</v>
      </c>
      <c r="CL119" s="582"/>
      <c r="CM119" s="706">
        <v>0.06</v>
      </c>
      <c r="CN119" s="580">
        <v>0.02</v>
      </c>
      <c r="CO119" s="580">
        <v>0.02</v>
      </c>
      <c r="CP119" s="580">
        <v>2.5000000000000001E-2</v>
      </c>
      <c r="CQ119" s="698">
        <f>SUMPRODUCT(CM119:CP119,CG$118:CJ$118)/CK$118</f>
        <v>3.0569955606472861E-2</v>
      </c>
      <c r="CR119" s="582"/>
      <c r="CS119" s="706">
        <v>-5.0000000000000001E-3</v>
      </c>
      <c r="CT119" s="580">
        <v>0.01</v>
      </c>
      <c r="CU119" s="580">
        <v>-5.0000000000000001E-3</v>
      </c>
      <c r="CV119" s="580">
        <v>5.0000000000000001E-3</v>
      </c>
      <c r="CW119" s="698">
        <f>SUMPRODUCT(CS119:CV119,CM$118:CP$118)/CQ$118</f>
        <v>1.4705211800647487E-3</v>
      </c>
      <c r="CX119" s="582"/>
      <c r="CY119" s="706">
        <v>5.0000000000000001E-3</v>
      </c>
      <c r="CZ119" s="580">
        <v>0.04</v>
      </c>
      <c r="DA119" s="580">
        <v>0.03</v>
      </c>
      <c r="DB119" s="580">
        <v>5.0000000000000001E-3</v>
      </c>
      <c r="DC119" s="698">
        <f>SUMPRODUCT(CY119:DB119,CS$118:CV$118)/CW$118</f>
        <v>1.9751169248757673E-2</v>
      </c>
      <c r="DD119" s="67"/>
      <c r="DE119" s="82"/>
      <c r="DF119" s="67"/>
      <c r="DG119" s="67"/>
      <c r="DH119" s="67"/>
      <c r="DI119" s="93"/>
      <c r="DJ119" s="67"/>
      <c r="DK119" s="82"/>
      <c r="DL119" s="67"/>
      <c r="DM119" s="67"/>
      <c r="DN119" s="67"/>
      <c r="DO119" s="93"/>
      <c r="DP119" s="67"/>
      <c r="DQ119" s="82"/>
      <c r="DR119" s="67"/>
      <c r="DS119" s="67"/>
      <c r="DT119" s="67"/>
      <c r="DU119" s="93"/>
      <c r="DV119" s="67"/>
      <c r="DW119" s="82"/>
      <c r="DX119" s="67"/>
      <c r="DY119" s="67"/>
      <c r="DZ119" s="67"/>
      <c r="EA119" s="93"/>
      <c r="EB119" s="67"/>
      <c r="EC119" s="82"/>
      <c r="ED119" s="67"/>
      <c r="EE119" s="67"/>
      <c r="EF119" s="67"/>
      <c r="EG119" s="93"/>
    </row>
    <row r="120" spans="1:137" ht="11.25" hidden="1" customHeight="1" outlineLevel="1" x14ac:dyDescent="0.2">
      <c r="A120" s="51" t="s">
        <v>84</v>
      </c>
      <c r="B120" s="14"/>
      <c r="C120" s="14"/>
      <c r="D120" s="14"/>
      <c r="E120" s="93"/>
      <c r="F120" s="67"/>
      <c r="G120" s="93"/>
      <c r="H120" s="67"/>
      <c r="I120" s="93"/>
      <c r="J120" s="67"/>
      <c r="K120" s="93"/>
      <c r="L120" s="67"/>
      <c r="M120" s="82"/>
      <c r="N120" s="67"/>
      <c r="O120" s="67"/>
      <c r="P120" s="67"/>
      <c r="Q120" s="93"/>
      <c r="R120" s="67"/>
      <c r="S120" s="82"/>
      <c r="T120" s="67"/>
      <c r="U120" s="67"/>
      <c r="V120" s="67"/>
      <c r="W120" s="93"/>
      <c r="X120" s="67"/>
      <c r="Y120" s="82"/>
      <c r="Z120" s="67"/>
      <c r="AA120" s="67"/>
      <c r="AB120" s="67"/>
      <c r="AC120" s="93"/>
      <c r="AD120" s="67"/>
      <c r="AE120" s="634"/>
      <c r="AF120" s="588"/>
      <c r="AG120" s="588"/>
      <c r="AH120" s="588"/>
      <c r="AI120" s="664"/>
      <c r="AJ120" s="552"/>
      <c r="AK120" s="634"/>
      <c r="AL120" s="588"/>
      <c r="AM120" s="588"/>
      <c r="AN120" s="588"/>
      <c r="AO120" s="664"/>
      <c r="AP120" s="588"/>
      <c r="AQ120" s="634"/>
      <c r="AR120" s="588"/>
      <c r="AS120" s="588"/>
      <c r="AT120" s="588"/>
      <c r="AU120" s="664"/>
      <c r="AV120" s="552"/>
      <c r="AW120" s="634"/>
      <c r="AX120" s="588"/>
      <c r="AY120" s="588"/>
      <c r="AZ120" s="588"/>
      <c r="BA120" s="664"/>
      <c r="BB120" s="552"/>
      <c r="BC120" s="634"/>
      <c r="BD120" s="588"/>
      <c r="BE120" s="588"/>
      <c r="BF120" s="588"/>
      <c r="BG120" s="664"/>
      <c r="BH120" s="552"/>
      <c r="BI120" s="707"/>
      <c r="BJ120" s="588"/>
      <c r="BK120" s="588"/>
      <c r="BL120" s="590"/>
      <c r="BM120" s="678"/>
      <c r="BN120" s="552"/>
      <c r="BO120" s="707"/>
      <c r="BP120" s="588"/>
      <c r="BQ120" s="588"/>
      <c r="BR120" s="590"/>
      <c r="BS120" s="678">
        <v>6.5000000000000002E-2</v>
      </c>
      <c r="BT120" s="552"/>
      <c r="BU120" s="707">
        <v>0.01</v>
      </c>
      <c r="BV120" s="588">
        <v>4.4999999999999998E-2</v>
      </c>
      <c r="BW120" s="588">
        <v>2.5000000000000001E-2</v>
      </c>
      <c r="BX120" s="588">
        <v>3.5000000000000003E-2</v>
      </c>
      <c r="BY120" s="678">
        <v>2.5000000000000001E-2</v>
      </c>
      <c r="BZ120" s="552"/>
      <c r="CA120" s="707">
        <v>1.4999999999999999E-2</v>
      </c>
      <c r="CB120" s="588">
        <v>-0.01</v>
      </c>
      <c r="CC120" s="588">
        <v>5.0000000000000001E-3</v>
      </c>
      <c r="CD120" s="588">
        <v>0.01</v>
      </c>
      <c r="CE120" s="678">
        <v>5.0000000000000001E-3</v>
      </c>
      <c r="CF120" s="552"/>
      <c r="CG120" s="707">
        <v>0.01</v>
      </c>
      <c r="CH120" s="588">
        <v>0.01</v>
      </c>
      <c r="CI120" s="588">
        <v>5.0000000000000001E-3</v>
      </c>
      <c r="CJ120" s="588">
        <v>0</v>
      </c>
      <c r="CK120" s="678">
        <v>0.01</v>
      </c>
      <c r="CL120" s="552"/>
      <c r="CM120" s="707">
        <v>0</v>
      </c>
      <c r="CN120" s="588">
        <v>0</v>
      </c>
      <c r="CO120" s="588">
        <v>0.02</v>
      </c>
      <c r="CP120" s="588">
        <v>8.5000000000000006E-2</v>
      </c>
      <c r="CQ120" s="698">
        <f>SUMPRODUCT(CM120:CP120,CG$118:CJ$118)/CK$118</f>
        <v>2.8818082008687768E-2</v>
      </c>
      <c r="CR120" s="552"/>
      <c r="CS120" s="707">
        <v>0.39</v>
      </c>
      <c r="CT120" s="588">
        <v>0.375</v>
      </c>
      <c r="CU120" s="588">
        <v>0.32</v>
      </c>
      <c r="CV120" s="588">
        <v>0.22500000000000001</v>
      </c>
      <c r="CW120" s="698">
        <f>SUMPRODUCT(CS120:CV120,CM$118:CP$118)/CQ$118</f>
        <v>0.322356937668141</v>
      </c>
      <c r="CX120" s="552"/>
      <c r="CY120" s="634">
        <v>5.0000000000000001E-3</v>
      </c>
      <c r="CZ120" s="588">
        <v>5.0000000000000001E-3</v>
      </c>
      <c r="DA120" s="588">
        <v>0</v>
      </c>
      <c r="DB120" s="588">
        <v>0</v>
      </c>
      <c r="DC120" s="698">
        <f>SUMPRODUCT(CY120:DB120,CS$118:CV$118)/CW$118</f>
        <v>2.4663840982168954E-3</v>
      </c>
      <c r="DD120" s="67"/>
      <c r="DE120" s="82"/>
      <c r="DF120" s="67"/>
      <c r="DG120" s="67"/>
      <c r="DH120" s="67"/>
      <c r="DI120" s="93"/>
      <c r="DJ120" s="67"/>
      <c r="DK120" s="82"/>
      <c r="DL120" s="67"/>
      <c r="DM120" s="67"/>
      <c r="DN120" s="67"/>
      <c r="DO120" s="93"/>
      <c r="DP120" s="67"/>
      <c r="DQ120" s="82"/>
      <c r="DR120" s="67"/>
      <c r="DS120" s="67"/>
      <c r="DT120" s="67"/>
      <c r="DU120" s="93"/>
      <c r="DV120" s="67"/>
      <c r="DW120" s="82"/>
      <c r="DX120" s="67"/>
      <c r="DY120" s="67"/>
      <c r="DZ120" s="67"/>
      <c r="EA120" s="93"/>
      <c r="EB120" s="67"/>
      <c r="EC120" s="82"/>
      <c r="ED120" s="67"/>
      <c r="EE120" s="67"/>
      <c r="EF120" s="67"/>
      <c r="EG120" s="93"/>
    </row>
    <row r="121" spans="1:137" ht="11.25" hidden="1" customHeight="1" outlineLevel="1" x14ac:dyDescent="0.2">
      <c r="A121" s="51" t="s">
        <v>85</v>
      </c>
      <c r="B121" s="14"/>
      <c r="C121" s="14"/>
      <c r="D121" s="14"/>
      <c r="E121" s="93"/>
      <c r="F121" s="67"/>
      <c r="G121" s="93"/>
      <c r="H121" s="67"/>
      <c r="I121" s="93"/>
      <c r="J121" s="67"/>
      <c r="K121" s="93"/>
      <c r="L121" s="67"/>
      <c r="M121" s="82"/>
      <c r="N121" s="67"/>
      <c r="O121" s="67"/>
      <c r="P121" s="67"/>
      <c r="Q121" s="93"/>
      <c r="R121" s="67"/>
      <c r="S121" s="82"/>
      <c r="T121" s="67"/>
      <c r="U121" s="67"/>
      <c r="V121" s="67"/>
      <c r="W121" s="93"/>
      <c r="X121" s="67"/>
      <c r="Y121" s="82"/>
      <c r="Z121" s="67"/>
      <c r="AA121" s="67"/>
      <c r="AB121" s="67"/>
      <c r="AC121" s="93"/>
      <c r="AD121" s="67"/>
      <c r="AE121" s="631"/>
      <c r="AF121" s="593"/>
      <c r="AG121" s="593"/>
      <c r="AH121" s="590"/>
      <c r="AI121" s="660"/>
      <c r="AJ121" s="644"/>
      <c r="AK121" s="631"/>
      <c r="AL121" s="593"/>
      <c r="AM121" s="593"/>
      <c r="AN121" s="590"/>
      <c r="AO121" s="660"/>
      <c r="AP121" s="588"/>
      <c r="AQ121" s="631"/>
      <c r="AR121" s="593"/>
      <c r="AS121" s="593"/>
      <c r="AT121" s="590"/>
      <c r="AU121" s="660"/>
      <c r="AV121" s="644"/>
      <c r="AW121" s="631"/>
      <c r="AX121" s="593"/>
      <c r="AY121" s="593"/>
      <c r="AZ121" s="590"/>
      <c r="BA121" s="660"/>
      <c r="BB121" s="644"/>
      <c r="BC121" s="631"/>
      <c r="BD121" s="593"/>
      <c r="BE121" s="593"/>
      <c r="BF121" s="590"/>
      <c r="BG121" s="660"/>
      <c r="BH121" s="644"/>
      <c r="BI121" s="634"/>
      <c r="BJ121" s="588"/>
      <c r="BK121" s="588"/>
      <c r="BL121" s="590"/>
      <c r="BM121" s="660"/>
      <c r="BN121" s="644"/>
      <c r="BO121" s="634"/>
      <c r="BP121" s="588"/>
      <c r="BQ121" s="588"/>
      <c r="BR121" s="590"/>
      <c r="BS121" s="660"/>
      <c r="BT121" s="644"/>
      <c r="BU121" s="634">
        <v>0.01</v>
      </c>
      <c r="BV121" s="588">
        <v>7.0000000000000007E-2</v>
      </c>
      <c r="BW121" s="588">
        <v>0.04</v>
      </c>
      <c r="BX121" s="588">
        <v>-5.0000000000000001E-3</v>
      </c>
      <c r="BY121" s="660">
        <v>0.03</v>
      </c>
      <c r="BZ121" s="644"/>
      <c r="CA121" s="634">
        <v>-1.4999999999999999E-2</v>
      </c>
      <c r="CB121" s="588">
        <v>-0.05</v>
      </c>
      <c r="CC121" s="588">
        <v>-4.4999999999999998E-2</v>
      </c>
      <c r="CD121" s="588">
        <v>-1.4999999999999999E-2</v>
      </c>
      <c r="CE121" s="660">
        <v>-3.5000000000000003E-2</v>
      </c>
      <c r="CF121" s="644"/>
      <c r="CG121" s="634">
        <v>-5.0000000000000001E-3</v>
      </c>
      <c r="CH121" s="588">
        <v>-5.0000000000000001E-3</v>
      </c>
      <c r="CI121" s="588">
        <v>5.1999999999999998E-3</v>
      </c>
      <c r="CJ121" s="588">
        <v>5.0000000000000001E-3</v>
      </c>
      <c r="CK121" s="660">
        <v>-5.0000000000000001E-3</v>
      </c>
      <c r="CL121" s="644"/>
      <c r="CM121" s="634">
        <v>0</v>
      </c>
      <c r="CN121" s="588">
        <v>5.0000000000000001E-3</v>
      </c>
      <c r="CO121" s="588">
        <v>-5.0000000000000001E-3</v>
      </c>
      <c r="CP121" s="588">
        <v>-0.05</v>
      </c>
      <c r="CQ121" s="698">
        <f>SUMPRODUCT(CM121:CP121,CG$118:CJ$118)/CK$118</f>
        <v>-1.40758508759368E-2</v>
      </c>
      <c r="CR121" s="644"/>
      <c r="CS121" s="634">
        <v>-8.5000000000000006E-2</v>
      </c>
      <c r="CT121" s="588">
        <v>-8.5000000000000006E-2</v>
      </c>
      <c r="CU121" s="588">
        <v>-0.08</v>
      </c>
      <c r="CV121" s="588">
        <v>-0.06</v>
      </c>
      <c r="CW121" s="698">
        <f>SUMPRODUCT(CS121:CV121,CM$118:CP$118)/CQ$118</f>
        <v>-7.664903561169123E-2</v>
      </c>
      <c r="CX121" s="644"/>
      <c r="CY121" s="634">
        <f>-CY119-CY120+CY122</f>
        <v>-1.9812801932367112E-2</v>
      </c>
      <c r="CZ121" s="588">
        <f>-CZ119-CZ120+CZ122</f>
        <v>-5.7329842931937575E-3</v>
      </c>
      <c r="DA121" s="588">
        <f>-DA119-DA120+DA122</f>
        <v>5.8785648574055938E-3</v>
      </c>
      <c r="DB121" s="588">
        <f>-DB119-DB120+DB122</f>
        <v>1.3980397495233542E-3</v>
      </c>
      <c r="DC121" s="698">
        <f>SUMPRODUCT(CY121:DB121,CS$118:CV$118)/CW$118</f>
        <v>-4.4595878398129996E-3</v>
      </c>
      <c r="DD121" s="67"/>
      <c r="DE121" s="82"/>
      <c r="DF121" s="67"/>
      <c r="DG121" s="67"/>
      <c r="DH121" s="67"/>
      <c r="DI121" s="93"/>
      <c r="DJ121" s="67"/>
      <c r="DK121" s="82"/>
      <c r="DL121" s="67"/>
      <c r="DM121" s="67"/>
      <c r="DN121" s="67"/>
      <c r="DO121" s="93"/>
      <c r="DP121" s="67"/>
      <c r="DQ121" s="82"/>
      <c r="DR121" s="67"/>
      <c r="DS121" s="67"/>
      <c r="DT121" s="67"/>
      <c r="DU121" s="93"/>
      <c r="DV121" s="67"/>
      <c r="DW121" s="82"/>
      <c r="DX121" s="67"/>
      <c r="DY121" s="67"/>
      <c r="DZ121" s="67"/>
      <c r="EA121" s="93"/>
      <c r="EB121" s="67"/>
      <c r="EC121" s="82"/>
      <c r="ED121" s="67"/>
      <c r="EE121" s="67"/>
      <c r="EF121" s="67"/>
      <c r="EG121" s="93"/>
    </row>
    <row r="122" spans="1:137" ht="11.25" hidden="1" customHeight="1" outlineLevel="1" x14ac:dyDescent="0.2">
      <c r="A122" s="51" t="s">
        <v>45</v>
      </c>
      <c r="B122" s="14"/>
      <c r="C122" s="14"/>
      <c r="D122" s="14"/>
      <c r="E122" s="93"/>
      <c r="F122" s="67"/>
      <c r="G122" s="93"/>
      <c r="H122" s="67"/>
      <c r="I122" s="93"/>
      <c r="J122" s="67"/>
      <c r="K122" s="93"/>
      <c r="L122" s="67"/>
      <c r="M122" s="82"/>
      <c r="N122" s="67"/>
      <c r="O122" s="67"/>
      <c r="P122" s="67"/>
      <c r="Q122" s="93"/>
      <c r="R122" s="67"/>
      <c r="S122" s="82"/>
      <c r="T122" s="67"/>
      <c r="U122" s="67"/>
      <c r="V122" s="67"/>
      <c r="W122" s="93"/>
      <c r="X122" s="67"/>
      <c r="Y122" s="82"/>
      <c r="Z122" s="67"/>
      <c r="AA122" s="67"/>
      <c r="AB122" s="67"/>
      <c r="AC122" s="93"/>
      <c r="AD122" s="67"/>
      <c r="AE122" s="630" t="s">
        <v>501</v>
      </c>
      <c r="AF122" s="596" t="s">
        <v>501</v>
      </c>
      <c r="AG122" s="596" t="s">
        <v>501</v>
      </c>
      <c r="AH122" s="596" t="s">
        <v>501</v>
      </c>
      <c r="AI122" s="665"/>
      <c r="AJ122" s="588"/>
      <c r="AK122" s="707"/>
      <c r="AL122" s="604">
        <f>+AL118/AF118-1</f>
        <v>3.7362526666666671</v>
      </c>
      <c r="AM122" s="604">
        <f>+AM118/AG118-1</f>
        <v>0.20611023999999989</v>
      </c>
      <c r="AN122" s="604">
        <f>+AN118/AH118-1</f>
        <v>0.19297007894736873</v>
      </c>
      <c r="AO122" s="665">
        <f>+AO118/AI118-1</f>
        <v>0.87430927536231895</v>
      </c>
      <c r="AP122" s="588"/>
      <c r="AQ122" s="707">
        <f>+AQ118/AK118-1</f>
        <v>4.7425278391197701E-3</v>
      </c>
      <c r="AR122" s="604">
        <f>+AR118/AL118-1</f>
        <v>0.69091053560064819</v>
      </c>
      <c r="AS122" s="604">
        <f>+AS118/AM118-1</f>
        <v>1.3153224998736444</v>
      </c>
      <c r="AT122" s="604">
        <f>+AT118/AN118-1</f>
        <v>0.79422629450956972</v>
      </c>
      <c r="AU122" s="665">
        <f>+AU118/AO118-1</f>
        <v>0.73781527092415256</v>
      </c>
      <c r="AV122" s="588"/>
      <c r="AW122" s="707">
        <f>+AW118/AQ118-1</f>
        <v>1.9239271585036168</v>
      </c>
      <c r="AX122" s="604">
        <f>+AX118/AR118-1</f>
        <v>0.62541287284296065</v>
      </c>
      <c r="AY122" s="604">
        <f>+AY118/AS118-1</f>
        <v>0.19059637793310191</v>
      </c>
      <c r="AZ122" s="604">
        <f>+AZ118/AT118-1</f>
        <v>0.29218072660947203</v>
      </c>
      <c r="BA122" s="665">
        <f>+BA118/AU118-1</f>
        <v>0.51733590294478748</v>
      </c>
      <c r="BB122" s="588"/>
      <c r="BC122" s="707">
        <f>+BC118/AW118-1</f>
        <v>7.7866727746699116E-2</v>
      </c>
      <c r="BD122" s="604">
        <f>+BD118/AX118-1</f>
        <v>0.22204078482045175</v>
      </c>
      <c r="BE122" s="604">
        <f>+BE118/AY118-1</f>
        <v>0.11091409184402212</v>
      </c>
      <c r="BF122" s="604">
        <f>+BF118/AZ118-1</f>
        <v>-0.13596151509627008</v>
      </c>
      <c r="BG122" s="665">
        <f>+BG118/BA118-1</f>
        <v>5.303939893450238E-2</v>
      </c>
      <c r="BH122" s="588"/>
      <c r="BI122" s="707">
        <f>+BI118/BC118-1</f>
        <v>-6.4429478498155501E-2</v>
      </c>
      <c r="BJ122" s="604">
        <f>+BJ118/BD118-1</f>
        <v>-0.18592413356262283</v>
      </c>
      <c r="BK122" s="604">
        <f>+BK118/BE118-1</f>
        <v>-0.12734270259408065</v>
      </c>
      <c r="BL122" s="604">
        <f>+BL118/BF118-1</f>
        <v>7.6941577712205333E-2</v>
      </c>
      <c r="BM122" s="665">
        <f>+BM118/BG118-1</f>
        <v>-7.7147707956709444E-2</v>
      </c>
      <c r="BN122" s="588"/>
      <c r="BO122" s="707">
        <f t="shared" ref="BO122:BS122" si="352">+BO118/BI118-1</f>
        <v>0.14657461497610202</v>
      </c>
      <c r="BP122" s="604">
        <f t="shared" si="352"/>
        <v>0.10244530244530248</v>
      </c>
      <c r="BQ122" s="604">
        <f t="shared" si="352"/>
        <v>9.9528418962521847E-2</v>
      </c>
      <c r="BR122" s="604">
        <f t="shared" si="352"/>
        <v>6.6462167689161467E-2</v>
      </c>
      <c r="BS122" s="665">
        <f t="shared" si="352"/>
        <v>0.10114665057332517</v>
      </c>
      <c r="BT122" s="588"/>
      <c r="BU122" s="707">
        <f t="shared" ref="BU122:BY122" si="353">+BU118/BO118-1</f>
        <v>7.3413617415470034E-2</v>
      </c>
      <c r="BV122" s="604">
        <f t="shared" si="353"/>
        <v>0.17837964043894461</v>
      </c>
      <c r="BW122" s="604">
        <f t="shared" si="353"/>
        <v>0.11196388261851031</v>
      </c>
      <c r="BX122" s="604">
        <f t="shared" si="353"/>
        <v>5.5608820709491802E-2</v>
      </c>
      <c r="BY122" s="665">
        <f t="shared" si="353"/>
        <v>0.10232379699660221</v>
      </c>
      <c r="BZ122" s="588"/>
      <c r="CA122" s="707">
        <f t="shared" ref="CA122:CE122" si="354">+CA118/BU118-1</f>
        <v>2.5889967637540146E-3</v>
      </c>
      <c r="CB122" s="604">
        <f t="shared" si="354"/>
        <v>-1.1690112938379182E-2</v>
      </c>
      <c r="CC122" s="604">
        <f t="shared" si="354"/>
        <v>-7.5111652456354427E-3</v>
      </c>
      <c r="CD122" s="604">
        <f t="shared" si="354"/>
        <v>3.6330608537693099E-2</v>
      </c>
      <c r="CE122" s="665">
        <f t="shared" si="354"/>
        <v>5.7674141102768139E-3</v>
      </c>
      <c r="CF122" s="588"/>
      <c r="CG122" s="707">
        <f t="shared" ref="CG122:CK122" si="355">+CG118/CA118-1</f>
        <v>3.2494082203572194E-2</v>
      </c>
      <c r="CH122" s="604">
        <f t="shared" si="355"/>
        <v>3.1876503608660789E-2</v>
      </c>
      <c r="CI122" s="604">
        <f t="shared" si="355"/>
        <v>4.3567191654735105E-2</v>
      </c>
      <c r="CJ122" s="604">
        <f t="shared" si="355"/>
        <v>3.4531113058720475E-2</v>
      </c>
      <c r="CK122" s="665">
        <f t="shared" si="355"/>
        <v>3.5592466261308076E-2</v>
      </c>
      <c r="CL122" s="588"/>
      <c r="CM122" s="707">
        <f t="shared" ref="CM122:CP122" si="356">+CM118/CG118-1</f>
        <v>6.2317632346811092E-2</v>
      </c>
      <c r="CN122" s="604">
        <f t="shared" si="356"/>
        <v>2.6034583252380061E-2</v>
      </c>
      <c r="CO122" s="604">
        <f t="shared" si="356"/>
        <v>3.5672285378282931E-2</v>
      </c>
      <c r="CP122" s="604">
        <f t="shared" si="356"/>
        <v>6.2182311080989372E-2</v>
      </c>
      <c r="CQ122" s="665">
        <f>+CQ118/CK118-1</f>
        <v>4.6875745858990792E-2</v>
      </c>
      <c r="CR122" s="588"/>
      <c r="CS122" s="707">
        <f t="shared" ref="CS122:CW122" si="357">+CS118/CM118-1</f>
        <v>0.29958799293702176</v>
      </c>
      <c r="CT122" s="604">
        <f t="shared" si="357"/>
        <v>0.30202613141450474</v>
      </c>
      <c r="CU122" s="604">
        <f t="shared" si="357"/>
        <v>0.23429220287660879</v>
      </c>
      <c r="CV122" s="604">
        <f t="shared" si="357"/>
        <v>0.17179773488594674</v>
      </c>
      <c r="CW122" s="665">
        <f t="shared" si="357"/>
        <v>0.24791391181432698</v>
      </c>
      <c r="CX122" s="588"/>
      <c r="CY122" s="707">
        <f>+CY118/CS118-1</f>
        <v>-9.8128019323671101E-3</v>
      </c>
      <c r="CZ122" s="604">
        <f>+CZ118/CT118-1</f>
        <v>3.9267015706806241E-2</v>
      </c>
      <c r="DA122" s="604">
        <f>+DA118/CU118-1</f>
        <v>3.5878564857405593E-2</v>
      </c>
      <c r="DB122" s="604">
        <f>+DB118/CV118-1</f>
        <v>6.3980397495233543E-3</v>
      </c>
      <c r="DC122" s="665">
        <f>+DC118/CW118-1</f>
        <v>1.7757965507161355E-2</v>
      </c>
      <c r="DD122" s="67"/>
      <c r="DE122" s="82"/>
      <c r="DF122" s="67"/>
      <c r="DG122" s="67"/>
      <c r="DH122" s="67"/>
      <c r="DI122" s="93"/>
      <c r="DJ122" s="67"/>
      <c r="DK122" s="82"/>
      <c r="DL122" s="67"/>
      <c r="DM122" s="67"/>
      <c r="DN122" s="67"/>
      <c r="DO122" s="93"/>
      <c r="DP122" s="67"/>
      <c r="DQ122" s="82"/>
      <c r="DR122" s="67"/>
      <c r="DS122" s="67"/>
      <c r="DT122" s="67"/>
      <c r="DU122" s="93"/>
      <c r="DV122" s="67"/>
      <c r="DW122" s="82"/>
      <c r="DX122" s="67"/>
      <c r="DY122" s="67"/>
      <c r="DZ122" s="67"/>
      <c r="EA122" s="93"/>
      <c r="EB122" s="67"/>
      <c r="EC122" s="82"/>
      <c r="ED122" s="67"/>
      <c r="EE122" s="67"/>
      <c r="EF122" s="67"/>
      <c r="EG122" s="93"/>
    </row>
    <row r="123" spans="1:137" ht="11.25" hidden="1" customHeight="1" outlineLevel="1" x14ac:dyDescent="0.2">
      <c r="A123" s="51"/>
      <c r="B123" s="14"/>
      <c r="C123" s="14"/>
      <c r="D123" s="14"/>
      <c r="E123" s="93"/>
      <c r="F123" s="67"/>
      <c r="G123" s="93"/>
      <c r="H123" s="67"/>
      <c r="I123" s="93"/>
      <c r="J123" s="67"/>
      <c r="K123" s="93"/>
      <c r="L123" s="67"/>
      <c r="M123" s="82"/>
      <c r="N123" s="67"/>
      <c r="O123" s="67"/>
      <c r="P123" s="67"/>
      <c r="Q123" s="93"/>
      <c r="R123" s="67"/>
      <c r="S123" s="82"/>
      <c r="T123" s="67"/>
      <c r="U123" s="67"/>
      <c r="V123" s="67"/>
      <c r="W123" s="93"/>
      <c r="X123" s="67"/>
      <c r="Y123" s="82"/>
      <c r="Z123" s="67"/>
      <c r="AA123" s="67"/>
      <c r="AB123" s="67"/>
      <c r="AC123" s="93"/>
      <c r="AD123" s="67"/>
      <c r="AE123" s="433"/>
      <c r="AF123" s="613"/>
      <c r="AG123" s="613"/>
      <c r="AH123" s="613"/>
      <c r="AI123" s="660"/>
      <c r="AJ123" s="644"/>
      <c r="AK123" s="634"/>
      <c r="AL123" s="588"/>
      <c r="AM123" s="588"/>
      <c r="AN123" s="646"/>
      <c r="AO123" s="660"/>
      <c r="AP123" s="644"/>
      <c r="AQ123" s="634"/>
      <c r="AR123" s="588"/>
      <c r="AS123" s="588"/>
      <c r="AT123" s="613"/>
      <c r="AU123" s="660"/>
      <c r="AV123" s="593"/>
      <c r="AW123" s="631"/>
      <c r="AX123" s="589"/>
      <c r="AY123" s="589"/>
      <c r="AZ123" s="588"/>
      <c r="BA123" s="681"/>
      <c r="BB123" s="588"/>
      <c r="BC123" s="721"/>
      <c r="BD123" s="588"/>
      <c r="BE123" s="588"/>
      <c r="BF123" s="588"/>
      <c r="BG123" s="681"/>
      <c r="BH123" s="588"/>
      <c r="BI123" s="505"/>
      <c r="BJ123" s="614"/>
      <c r="BK123" s="614"/>
      <c r="BL123" s="614"/>
      <c r="BM123" s="681"/>
      <c r="BN123" s="588"/>
      <c r="BO123" s="505"/>
      <c r="BP123" s="614"/>
      <c r="BQ123" s="614"/>
      <c r="BR123" s="614"/>
      <c r="BS123" s="681"/>
      <c r="BT123" s="588"/>
      <c r="BU123" s="505"/>
      <c r="BV123" s="614"/>
      <c r="BW123" s="614"/>
      <c r="BX123" s="614"/>
      <c r="BY123" s="681"/>
      <c r="BZ123" s="587"/>
      <c r="CA123" s="505"/>
      <c r="CB123" s="614"/>
      <c r="CC123" s="614"/>
      <c r="CD123" s="614"/>
      <c r="CE123" s="681"/>
      <c r="CF123" s="587"/>
      <c r="CG123" s="505"/>
      <c r="CH123" s="614"/>
      <c r="CI123" s="614"/>
      <c r="CJ123" s="614"/>
      <c r="CK123" s="681"/>
      <c r="CL123" s="587"/>
      <c r="CM123" s="505"/>
      <c r="CN123" s="614"/>
      <c r="CO123" s="614"/>
      <c r="CP123" s="614"/>
      <c r="CQ123" s="681"/>
      <c r="CR123" s="587"/>
      <c r="CS123" s="505"/>
      <c r="CT123" s="614"/>
      <c r="CU123" s="614"/>
      <c r="CV123" s="614"/>
      <c r="CW123" s="681"/>
      <c r="CX123" s="648"/>
      <c r="CY123" s="505"/>
      <c r="CZ123" s="614"/>
      <c r="DA123" s="614"/>
      <c r="DB123" s="614"/>
      <c r="DC123" s="681"/>
      <c r="DD123" s="67"/>
      <c r="DE123" s="82"/>
      <c r="DF123" s="67"/>
      <c r="DG123" s="67"/>
      <c r="DH123" s="67"/>
      <c r="DI123" s="93"/>
      <c r="DJ123" s="67"/>
      <c r="DK123" s="82"/>
      <c r="DL123" s="67"/>
      <c r="DM123" s="67"/>
      <c r="DN123" s="67"/>
      <c r="DO123" s="93"/>
      <c r="DP123" s="67"/>
      <c r="DQ123" s="82"/>
      <c r="DR123" s="67"/>
      <c r="DS123" s="67"/>
      <c r="DT123" s="67"/>
      <c r="DU123" s="93"/>
      <c r="DV123" s="67"/>
      <c r="DW123" s="82"/>
      <c r="DX123" s="67"/>
      <c r="DY123" s="67"/>
      <c r="DZ123" s="67"/>
      <c r="EA123" s="93"/>
      <c r="EB123" s="67"/>
      <c r="EC123" s="82"/>
      <c r="ED123" s="67"/>
      <c r="EE123" s="67"/>
      <c r="EF123" s="67"/>
      <c r="EG123" s="93"/>
    </row>
    <row r="124" spans="1:137" ht="11.25" hidden="1" customHeight="1" outlineLevel="1" x14ac:dyDescent="0.2">
      <c r="A124" s="50" t="s">
        <v>498</v>
      </c>
      <c r="B124" s="14"/>
      <c r="C124" s="14"/>
      <c r="D124" s="14"/>
      <c r="E124" s="93"/>
      <c r="F124" s="67"/>
      <c r="G124" s="93"/>
      <c r="H124" s="67"/>
      <c r="I124" s="93"/>
      <c r="J124" s="67"/>
      <c r="K124" s="93"/>
      <c r="L124" s="67"/>
      <c r="M124" s="82"/>
      <c r="N124" s="67"/>
      <c r="O124" s="67"/>
      <c r="P124" s="67"/>
      <c r="Q124" s="93"/>
      <c r="R124" s="67"/>
      <c r="S124" s="82"/>
      <c r="T124" s="67"/>
      <c r="U124" s="67"/>
      <c r="V124" s="67"/>
      <c r="W124" s="93"/>
      <c r="X124" s="67"/>
      <c r="Y124" s="82"/>
      <c r="Z124" s="67"/>
      <c r="AA124" s="67"/>
      <c r="AB124" s="67"/>
      <c r="AC124" s="93"/>
      <c r="AD124" s="67"/>
      <c r="AE124" s="636"/>
      <c r="AF124" s="608"/>
      <c r="AG124" s="608"/>
      <c r="AH124" s="608"/>
      <c r="AI124" s="664"/>
      <c r="AJ124" s="644"/>
      <c r="AK124" s="636"/>
      <c r="AL124" s="608"/>
      <c r="AM124" s="608"/>
      <c r="AN124" s="608"/>
      <c r="AO124" s="664"/>
      <c r="AP124" s="644"/>
      <c r="AQ124" s="636"/>
      <c r="AR124" s="608"/>
      <c r="AS124" s="608"/>
      <c r="AT124" s="608"/>
      <c r="AU124" s="664"/>
      <c r="AV124" s="593"/>
      <c r="AW124" s="636"/>
      <c r="AX124" s="608"/>
      <c r="AY124" s="608"/>
      <c r="AZ124" s="608"/>
      <c r="BA124" s="664"/>
      <c r="BB124" s="588"/>
      <c r="BC124" s="636"/>
      <c r="BD124" s="608"/>
      <c r="BE124" s="608"/>
      <c r="BF124" s="608"/>
      <c r="BG124" s="664"/>
      <c r="BH124" s="588"/>
      <c r="BI124" s="636"/>
      <c r="BJ124" s="608"/>
      <c r="BK124" s="608"/>
      <c r="BL124" s="608"/>
      <c r="BM124" s="664"/>
      <c r="BN124" s="588"/>
      <c r="BO124" s="636"/>
      <c r="BP124" s="608"/>
      <c r="BQ124" s="608"/>
      <c r="BR124" s="608"/>
      <c r="BS124" s="664"/>
      <c r="BT124" s="594"/>
      <c r="BU124" s="636"/>
      <c r="BV124" s="608"/>
      <c r="BW124" s="608"/>
      <c r="BX124" s="608"/>
      <c r="BY124" s="664"/>
      <c r="BZ124" s="594"/>
      <c r="CA124" s="636"/>
      <c r="CB124" s="608"/>
      <c r="CC124" s="608"/>
      <c r="CD124" s="608"/>
      <c r="CE124" s="664"/>
      <c r="CF124" s="594"/>
      <c r="CG124" s="636"/>
      <c r="CH124" s="608"/>
      <c r="CI124" s="608"/>
      <c r="CJ124" s="608"/>
      <c r="CK124" s="664"/>
      <c r="CL124" s="594"/>
      <c r="CM124" s="636"/>
      <c r="CN124" s="608"/>
      <c r="CO124" s="608"/>
      <c r="CP124" s="608"/>
      <c r="CQ124" s="664"/>
      <c r="CR124" s="594"/>
      <c r="CS124" s="703"/>
      <c r="CT124" s="595"/>
      <c r="CU124" s="595"/>
      <c r="CV124" s="595"/>
      <c r="CW124" s="681"/>
      <c r="CX124" s="594"/>
      <c r="CY124" s="703"/>
      <c r="CZ124" s="595"/>
      <c r="DA124" s="595"/>
      <c r="DB124" s="595"/>
      <c r="DC124" s="681"/>
      <c r="DD124" s="67"/>
      <c r="DE124" s="82"/>
      <c r="DF124" s="67"/>
      <c r="DG124" s="67"/>
      <c r="DH124" s="67"/>
      <c r="DI124" s="93"/>
      <c r="DJ124" s="67"/>
      <c r="DK124" s="82"/>
      <c r="DL124" s="67"/>
      <c r="DM124" s="67"/>
      <c r="DN124" s="67"/>
      <c r="DO124" s="93"/>
      <c r="DP124" s="67"/>
      <c r="DQ124" s="82"/>
      <c r="DR124" s="67"/>
      <c r="DS124" s="67"/>
      <c r="DT124" s="67"/>
      <c r="DU124" s="93"/>
      <c r="DV124" s="67"/>
      <c r="DW124" s="82"/>
      <c r="DX124" s="67"/>
      <c r="DY124" s="67"/>
      <c r="DZ124" s="67"/>
      <c r="EA124" s="93"/>
      <c r="EB124" s="67"/>
      <c r="EC124" s="82"/>
      <c r="ED124" s="67"/>
      <c r="EE124" s="67"/>
      <c r="EF124" s="67"/>
      <c r="EG124" s="93"/>
    </row>
    <row r="125" spans="1:137" ht="11.25" hidden="1" customHeight="1" outlineLevel="1" x14ac:dyDescent="0.2">
      <c r="A125" s="51" t="s">
        <v>86</v>
      </c>
      <c r="B125" s="14"/>
      <c r="C125" s="14"/>
      <c r="D125" s="14"/>
      <c r="E125" s="93"/>
      <c r="F125" s="67"/>
      <c r="G125" s="93"/>
      <c r="H125" s="67"/>
      <c r="I125" s="93"/>
      <c r="J125" s="67"/>
      <c r="K125" s="93"/>
      <c r="L125" s="67"/>
      <c r="M125" s="82"/>
      <c r="N125" s="67"/>
      <c r="O125" s="67"/>
      <c r="P125" s="67"/>
      <c r="Q125" s="93"/>
      <c r="R125" s="67"/>
      <c r="S125" s="760">
        <v>156.147785</v>
      </c>
      <c r="T125" s="761">
        <v>205.0600718831169</v>
      </c>
      <c r="U125" s="761">
        <v>217.1392228338762</v>
      </c>
      <c r="V125" s="761">
        <v>266.06033028300698</v>
      </c>
      <c r="W125" s="762">
        <v>844.40741000000003</v>
      </c>
      <c r="X125" s="67"/>
      <c r="Y125" s="760">
        <v>223.654507</v>
      </c>
      <c r="Z125" s="761">
        <v>244.50004300000001</v>
      </c>
      <c r="AA125" s="761">
        <v>262.09071899999998</v>
      </c>
      <c r="AB125" s="761">
        <v>320.27545699999996</v>
      </c>
      <c r="AC125" s="762">
        <v>1050.520726</v>
      </c>
      <c r="AD125" s="67"/>
      <c r="AE125" s="733">
        <v>296.03693160000006</v>
      </c>
      <c r="AF125" s="734">
        <v>287.15146960000004</v>
      </c>
      <c r="AG125" s="734">
        <v>323.54052720000004</v>
      </c>
      <c r="AH125" s="734">
        <v>387.44867159999995</v>
      </c>
      <c r="AI125" s="735">
        <v>1294.1776</v>
      </c>
      <c r="AJ125" s="736"/>
      <c r="AK125" s="733">
        <v>369.14457519000007</v>
      </c>
      <c r="AL125" s="734">
        <v>385.56481015999998</v>
      </c>
      <c r="AM125" s="734">
        <v>406.96923801599996</v>
      </c>
      <c r="AN125" s="734">
        <v>463.13189663399982</v>
      </c>
      <c r="AO125" s="735">
        <v>1624.8105199999998</v>
      </c>
      <c r="AP125" s="736"/>
      <c r="AQ125" s="733">
        <v>403.50722594850004</v>
      </c>
      <c r="AR125" s="734">
        <v>408.92408755280007</v>
      </c>
      <c r="AS125" s="734">
        <v>439.48841654783996</v>
      </c>
      <c r="AT125" s="734">
        <v>481.03886995085998</v>
      </c>
      <c r="AU125" s="735">
        <v>1732.9585999999999</v>
      </c>
      <c r="AV125" s="737"/>
      <c r="AW125" s="733">
        <v>458.358698668785</v>
      </c>
      <c r="AX125" s="734">
        <v>472.39734218715608</v>
      </c>
      <c r="AY125" s="734">
        <v>547.09464361559048</v>
      </c>
      <c r="AZ125" s="734">
        <v>596.96774752846852</v>
      </c>
      <c r="BA125" s="735">
        <v>2074.818432</v>
      </c>
      <c r="BB125" s="736"/>
      <c r="BC125" s="733">
        <v>521.81249261864059</v>
      </c>
      <c r="BD125" s="734">
        <v>544.33201060059866</v>
      </c>
      <c r="BE125" s="734">
        <v>571.39648422492246</v>
      </c>
      <c r="BF125" s="734">
        <v>584.9532135558386</v>
      </c>
      <c r="BG125" s="735">
        <v>2222.4942010000004</v>
      </c>
      <c r="BH125" s="736"/>
      <c r="BI125" s="733">
        <v>474.68010354125818</v>
      </c>
      <c r="BJ125" s="734">
        <v>491.75775924802463</v>
      </c>
      <c r="BK125" s="734">
        <v>533.01679235181473</v>
      </c>
      <c r="BL125" s="734">
        <v>623.11284485890258</v>
      </c>
      <c r="BM125" s="735">
        <v>2122.5675000000001</v>
      </c>
      <c r="BN125" s="736"/>
      <c r="BO125" s="733">
        <v>529.72600000000011</v>
      </c>
      <c r="BP125" s="734">
        <v>589.67399999999998</v>
      </c>
      <c r="BQ125" s="734">
        <v>591.42600000000016</v>
      </c>
      <c r="BR125" s="734">
        <v>640.85400000000004</v>
      </c>
      <c r="BS125" s="735">
        <v>2351.6800000000003</v>
      </c>
      <c r="BT125" s="738"/>
      <c r="BU125" s="733">
        <v>661.43358000000001</v>
      </c>
      <c r="BV125" s="734">
        <v>714.64867000000004</v>
      </c>
      <c r="BW125" s="734">
        <v>721.79015000000004</v>
      </c>
      <c r="BX125" s="734">
        <v>769.19559999999979</v>
      </c>
      <c r="BY125" s="735">
        <v>2867.0680000000002</v>
      </c>
      <c r="BZ125" s="738"/>
      <c r="CA125" s="859">
        <v>739.05509660000007</v>
      </c>
      <c r="CB125" s="860">
        <v>807.86077264999994</v>
      </c>
      <c r="CC125" s="860">
        <v>824.16359950000015</v>
      </c>
      <c r="CD125" s="860">
        <v>884.91801124999984</v>
      </c>
      <c r="CE125" s="861">
        <v>3255.99748</v>
      </c>
      <c r="CF125" s="738"/>
      <c r="CG125" s="733">
        <v>786.5474121179999</v>
      </c>
      <c r="CH125" s="734">
        <v>863.87690023124992</v>
      </c>
      <c r="CI125" s="734">
        <v>862.34258531249998</v>
      </c>
      <c r="CJ125" s="734">
        <v>941.76691433824999</v>
      </c>
      <c r="CK125" s="735">
        <v>3454.5338119999997</v>
      </c>
      <c r="CL125" s="738"/>
      <c r="CM125" s="733">
        <v>804.95549228448999</v>
      </c>
      <c r="CN125" s="734">
        <v>884.61197587818754</v>
      </c>
      <c r="CO125" s="734">
        <v>903.37099457812508</v>
      </c>
      <c r="CP125" s="734">
        <v>950.56430725919768</v>
      </c>
      <c r="CQ125" s="735">
        <v>3543.5027700000001</v>
      </c>
      <c r="CR125" s="738"/>
      <c r="CS125" s="733">
        <v>847.9</v>
      </c>
      <c r="CT125" s="734">
        <v>895.4</v>
      </c>
      <c r="CU125" s="734">
        <v>879.7</v>
      </c>
      <c r="CV125" s="734">
        <v>926.8</v>
      </c>
      <c r="CW125" s="739">
        <v>3549.8</v>
      </c>
      <c r="CX125" s="738"/>
      <c r="CY125" s="733">
        <v>873.9</v>
      </c>
      <c r="CZ125" s="734">
        <v>941.4</v>
      </c>
      <c r="DA125" s="734">
        <v>918.4</v>
      </c>
      <c r="DB125" s="734">
        <v>959.1</v>
      </c>
      <c r="DC125" s="739">
        <v>3692.7999999999997</v>
      </c>
      <c r="DD125" s="67"/>
      <c r="DE125" s="82"/>
      <c r="DF125" s="67"/>
      <c r="DG125" s="67"/>
      <c r="DH125" s="67"/>
      <c r="DI125" s="93"/>
      <c r="DJ125" s="67"/>
      <c r="DK125" s="82"/>
      <c r="DL125" s="67"/>
      <c r="DM125" s="67"/>
      <c r="DN125" s="67"/>
      <c r="DO125" s="93"/>
      <c r="DP125" s="67"/>
      <c r="DQ125" s="82"/>
      <c r="DR125" s="67"/>
      <c r="DS125" s="67"/>
      <c r="DT125" s="67"/>
      <c r="DU125" s="93"/>
      <c r="DV125" s="67"/>
      <c r="DW125" s="82"/>
      <c r="DX125" s="67"/>
      <c r="DY125" s="67"/>
      <c r="DZ125" s="67"/>
      <c r="EA125" s="93"/>
      <c r="EB125" s="67"/>
      <c r="EC125" s="82"/>
      <c r="ED125" s="67"/>
      <c r="EE125" s="67"/>
      <c r="EF125" s="67"/>
      <c r="EG125" s="93"/>
    </row>
    <row r="126" spans="1:137" ht="11.25" hidden="1" customHeight="1" outlineLevel="1" x14ac:dyDescent="0.2">
      <c r="A126" s="51" t="s">
        <v>623</v>
      </c>
      <c r="B126" s="14"/>
      <c r="C126" s="14"/>
      <c r="D126" s="14"/>
      <c r="E126" s="93"/>
      <c r="F126" s="67"/>
      <c r="G126" s="93"/>
      <c r="H126" s="67"/>
      <c r="I126" s="93"/>
      <c r="J126" s="67"/>
      <c r="K126" s="93"/>
      <c r="L126" s="67"/>
      <c r="M126" s="82"/>
      <c r="N126" s="67"/>
      <c r="O126" s="67"/>
      <c r="P126" s="67"/>
      <c r="Q126" s="93"/>
      <c r="R126" s="67"/>
      <c r="S126" s="763">
        <v>0</v>
      </c>
      <c r="T126" s="764">
        <v>0.01</v>
      </c>
      <c r="U126" s="764">
        <v>0.01</v>
      </c>
      <c r="V126" s="764">
        <v>1.9999999999999997E-2</v>
      </c>
      <c r="W126" s="765">
        <v>0.01</v>
      </c>
      <c r="X126" s="67"/>
      <c r="Y126" s="763">
        <v>5.2507314148888096E-2</v>
      </c>
      <c r="Z126" s="764">
        <v>4.9516091127553841E-2</v>
      </c>
      <c r="AA126" s="764">
        <v>2.2250731414888834E-2</v>
      </c>
      <c r="AB126" s="764">
        <v>9.7434172660007135E-3</v>
      </c>
      <c r="AC126" s="765">
        <v>3.3504388489332876E-2</v>
      </c>
      <c r="AD126" s="67"/>
      <c r="AE126" s="706">
        <v>7.7846707437989965E-2</v>
      </c>
      <c r="AF126" s="580">
        <v>5.9999999999999984E-2</v>
      </c>
      <c r="AG126" s="580">
        <v>7.0000000000000007E-2</v>
      </c>
      <c r="AH126" s="580">
        <v>8.2500000000000018E-2</v>
      </c>
      <c r="AI126" s="673">
        <v>7.2460601427501145E-2</v>
      </c>
      <c r="AJ126" s="582"/>
      <c r="AK126" s="706">
        <v>6.4580697569584913E-2</v>
      </c>
      <c r="AL126" s="580">
        <v>9.7500000000000003E-2</v>
      </c>
      <c r="AM126" s="580">
        <v>0.10750000000000001</v>
      </c>
      <c r="AN126" s="580">
        <v>0.09</v>
      </c>
      <c r="AO126" s="673">
        <v>9.0020965121520774E-2</v>
      </c>
      <c r="AP126" s="582"/>
      <c r="AQ126" s="706">
        <v>8.4497252271346815E-2</v>
      </c>
      <c r="AR126" s="580">
        <v>5.9856357791813378E-2</v>
      </c>
      <c r="AS126" s="580">
        <v>3.3325942697073091E-2</v>
      </c>
      <c r="AT126" s="580">
        <v>-6.6740573029269029E-3</v>
      </c>
      <c r="AU126" s="673">
        <v>4.2751373864326592E-2</v>
      </c>
      <c r="AV126" s="582"/>
      <c r="AW126" s="706">
        <v>2.7000000000000003E-2</v>
      </c>
      <c r="AX126" s="580">
        <v>4.2000000000000003E-2</v>
      </c>
      <c r="AY126" s="580">
        <v>6.1750000000000006E-2</v>
      </c>
      <c r="AZ126" s="580">
        <v>7.400000000000001E-2</v>
      </c>
      <c r="BA126" s="673">
        <v>5.1187500000000011E-2</v>
      </c>
      <c r="BB126" s="582"/>
      <c r="BC126" s="706">
        <v>5.0932549137391439E-2</v>
      </c>
      <c r="BD126" s="580">
        <v>6.4671435378921838E-2</v>
      </c>
      <c r="BE126" s="580">
        <v>1.859683144793052E-2</v>
      </c>
      <c r="BF126" s="580">
        <v>2.3268266826852346E-2</v>
      </c>
      <c r="BG126" s="673">
        <v>3.9367270697774029E-2</v>
      </c>
      <c r="BH126" s="582"/>
      <c r="BI126" s="706">
        <v>-1.6756852255581985E-2</v>
      </c>
      <c r="BJ126" s="580">
        <v>-5.859469486836108E-2</v>
      </c>
      <c r="BK126" s="580">
        <v>-1.8594694868361086E-2</v>
      </c>
      <c r="BL126" s="580">
        <v>-2.3675685225558192E-2</v>
      </c>
      <c r="BM126" s="673">
        <v>-2.9405481804465589E-2</v>
      </c>
      <c r="BN126" s="582"/>
      <c r="BO126" s="706">
        <v>9.6960130630017682E-2</v>
      </c>
      <c r="BP126" s="580">
        <v>0.1256602939175398</v>
      </c>
      <c r="BQ126" s="580">
        <v>0.12740032657504424</v>
      </c>
      <c r="BR126" s="580">
        <v>0.12740032657504424</v>
      </c>
      <c r="BS126" s="673">
        <v>0.11935526942441149</v>
      </c>
      <c r="BT126" s="582"/>
      <c r="BU126" s="706">
        <v>0.11837288826075978</v>
      </c>
      <c r="BV126" s="580">
        <v>9.8106539503074214E-2</v>
      </c>
      <c r="BW126" s="580">
        <v>8.405326975153711E-2</v>
      </c>
      <c r="BX126" s="580">
        <v>5.9733651242314445E-2</v>
      </c>
      <c r="BY126" s="673">
        <v>9.0066587189421399E-2</v>
      </c>
      <c r="BZ126" s="582"/>
      <c r="CA126" s="756">
        <v>2.1337216882612576E-2</v>
      </c>
      <c r="CB126" s="775">
        <v>0.05</v>
      </c>
      <c r="CC126" s="775">
        <v>5.6000000000000001E-2</v>
      </c>
      <c r="CD126" s="775">
        <v>4.9749999999999989E-2</v>
      </c>
      <c r="CE126" s="728">
        <v>4.406631268281111E-2</v>
      </c>
      <c r="CF126" s="582"/>
      <c r="CG126" s="706">
        <v>4.6227998367034076E-2</v>
      </c>
      <c r="CH126" s="580">
        <v>4.3473598040440889E-2</v>
      </c>
      <c r="CI126" s="580">
        <v>3.2544003265931848E-2</v>
      </c>
      <c r="CJ126" s="580">
        <v>5.4999999999999993E-2</v>
      </c>
      <c r="CK126" s="673">
        <v>4.4311399918351702E-2</v>
      </c>
      <c r="CL126" s="582"/>
      <c r="CM126" s="706">
        <v>3.9E-2</v>
      </c>
      <c r="CN126" s="580">
        <v>4.2000000000000003E-2</v>
      </c>
      <c r="CO126" s="580">
        <v>5.45E-2</v>
      </c>
      <c r="CP126" s="580">
        <v>5.5499999999999994E-2</v>
      </c>
      <c r="CQ126" s="673">
        <v>4.7750000000000001E-2</v>
      </c>
      <c r="CR126" s="582"/>
      <c r="CS126" s="706">
        <v>0.09</v>
      </c>
      <c r="CT126" s="580">
        <v>5.5E-2</v>
      </c>
      <c r="CU126" s="580">
        <v>3.5000000000000003E-2</v>
      </c>
      <c r="CV126" s="580">
        <v>0.01</v>
      </c>
      <c r="CW126" s="673">
        <v>4.4999999999999998E-2</v>
      </c>
      <c r="CX126" s="582"/>
      <c r="CY126" s="706">
        <v>1.4999999999999999E-2</v>
      </c>
      <c r="CZ126" s="580">
        <v>2.5000000000000001E-2</v>
      </c>
      <c r="DA126" s="580">
        <v>3.5000000000000003E-2</v>
      </c>
      <c r="DB126" s="580">
        <v>0.04</v>
      </c>
      <c r="DC126" s="673">
        <v>2.8750000000000005E-2</v>
      </c>
      <c r="DD126" s="67"/>
      <c r="DE126" s="82"/>
      <c r="DF126" s="67"/>
      <c r="DG126" s="67"/>
      <c r="DH126" s="67"/>
      <c r="DI126" s="93"/>
      <c r="DJ126" s="67"/>
      <c r="DK126" s="82"/>
      <c r="DL126" s="67"/>
      <c r="DM126" s="67"/>
      <c r="DN126" s="67"/>
      <c r="DO126" s="93"/>
      <c r="DP126" s="67"/>
      <c r="DQ126" s="82"/>
      <c r="DR126" s="67"/>
      <c r="DS126" s="67"/>
      <c r="DT126" s="67"/>
      <c r="DU126" s="93"/>
      <c r="DV126" s="67"/>
      <c r="DW126" s="82"/>
      <c r="DX126" s="67"/>
      <c r="DY126" s="67"/>
      <c r="DZ126" s="67"/>
      <c r="EA126" s="93"/>
      <c r="EB126" s="67"/>
      <c r="EC126" s="82"/>
      <c r="ED126" s="67"/>
      <c r="EE126" s="67"/>
      <c r="EF126" s="67"/>
      <c r="EG126" s="93"/>
    </row>
    <row r="127" spans="1:137" ht="11.25" hidden="1" customHeight="1" outlineLevel="1" x14ac:dyDescent="0.2">
      <c r="A127" s="51" t="s">
        <v>84</v>
      </c>
      <c r="B127" s="14"/>
      <c r="C127" s="14"/>
      <c r="D127" s="14"/>
      <c r="E127" s="93"/>
      <c r="F127" s="67"/>
      <c r="G127" s="93"/>
      <c r="H127" s="67"/>
      <c r="I127" s="93"/>
      <c r="J127" s="67"/>
      <c r="K127" s="93"/>
      <c r="L127" s="67"/>
      <c r="M127" s="82"/>
      <c r="N127" s="67"/>
      <c r="O127" s="67"/>
      <c r="P127" s="67"/>
      <c r="Q127" s="93"/>
      <c r="R127" s="67"/>
      <c r="S127" s="757">
        <v>0</v>
      </c>
      <c r="T127" s="758">
        <v>0</v>
      </c>
      <c r="U127" s="758">
        <v>0</v>
      </c>
      <c r="V127" s="758">
        <v>0</v>
      </c>
      <c r="W127" s="759">
        <v>0</v>
      </c>
      <c r="X127" s="67"/>
      <c r="Y127" s="757">
        <v>0.37981852383850323</v>
      </c>
      <c r="Z127" s="758">
        <v>0.12207076367036454</v>
      </c>
      <c r="AA127" s="758">
        <v>0.17097309915485098</v>
      </c>
      <c r="AB127" s="758">
        <v>0.19402663240402959</v>
      </c>
      <c r="AC127" s="759">
        <v>0.1880805608344549</v>
      </c>
      <c r="AD127" s="67"/>
      <c r="AE127" s="726">
        <v>0.21531768628333056</v>
      </c>
      <c r="AF127" s="727">
        <v>0.10002855237146689</v>
      </c>
      <c r="AG127" s="727">
        <v>0.14375205391950321</v>
      </c>
      <c r="AH127" s="727">
        <v>0.12208837736214967</v>
      </c>
      <c r="AI127" s="728">
        <v>0.12201005767740815</v>
      </c>
      <c r="AJ127" s="729"/>
      <c r="AK127" s="503">
        <v>0.16496071608856633</v>
      </c>
      <c r="AL127" s="730">
        <v>0.22777146131153761</v>
      </c>
      <c r="AM127" s="730">
        <v>0.14536170140109708</v>
      </c>
      <c r="AN127" s="730">
        <v>0.1350591102226914</v>
      </c>
      <c r="AO127" s="728">
        <v>0.16291434361716609</v>
      </c>
      <c r="AP127" s="729"/>
      <c r="AQ127" s="503">
        <v>3.1051295822724201E-2</v>
      </c>
      <c r="AR127" s="730">
        <v>-1.8911928193030211E-3</v>
      </c>
      <c r="AS127" s="730">
        <v>3.1579798312672588E-2</v>
      </c>
      <c r="AT127" s="730">
        <v>7.7863671912765178E-3</v>
      </c>
      <c r="AU127" s="728">
        <v>1.6344962453550382E-2</v>
      </c>
      <c r="AV127" s="729"/>
      <c r="AW127" s="503">
        <v>7.6194019195798907E-2</v>
      </c>
      <c r="AX127" s="730">
        <v>8.3220141259495783E-2</v>
      </c>
      <c r="AY127" s="730">
        <v>0.14809428489149312</v>
      </c>
      <c r="AZ127" s="730">
        <v>0.16280615748146324</v>
      </c>
      <c r="BA127" s="728">
        <v>0.10170580681144097</v>
      </c>
      <c r="BB127" s="729"/>
      <c r="BC127" s="503">
        <v>3.7504430752255999E-2</v>
      </c>
      <c r="BD127" s="731">
        <v>3.7604333321197655E-2</v>
      </c>
      <c r="BE127" s="731">
        <v>-2.208270193199028E-3</v>
      </c>
      <c r="BF127" s="731">
        <v>1.0503229766653889E-2</v>
      </c>
      <c r="BG127" s="728">
        <v>1.6808002628504459E-2</v>
      </c>
      <c r="BH127" s="729"/>
      <c r="BI127" s="503">
        <v>2.041002318354905E-4</v>
      </c>
      <c r="BJ127" s="730">
        <v>2.869847206333774E-2</v>
      </c>
      <c r="BK127" s="730">
        <v>-1.6695184072854238E-2</v>
      </c>
      <c r="BL127" s="730">
        <v>3.898598961825283E-2</v>
      </c>
      <c r="BM127" s="728">
        <v>1.4957497052561379E-2</v>
      </c>
      <c r="BN127" s="729"/>
      <c r="BO127" s="503">
        <v>-1.4229229046120603E-2</v>
      </c>
      <c r="BP127" s="731">
        <v>8.3454491585193746E-2</v>
      </c>
      <c r="BQ127" s="731">
        <v>-1.03073318688926E-3</v>
      </c>
      <c r="BR127" s="731">
        <v>-8.3928509170742752E-2</v>
      </c>
      <c r="BS127" s="728">
        <v>-8.1540940873527229E-3</v>
      </c>
      <c r="BT127" s="729"/>
      <c r="BU127" s="503">
        <v>0.12026051844383809</v>
      </c>
      <c r="BV127" s="731">
        <v>6.586731061060927E-2</v>
      </c>
      <c r="BW127" s="731">
        <v>0.10841869719152609</v>
      </c>
      <c r="BX127" s="731">
        <v>0.14553286812090982</v>
      </c>
      <c r="BY127" s="728">
        <v>0.10909078116001383</v>
      </c>
      <c r="BZ127" s="729"/>
      <c r="CA127" s="717">
        <v>0.10601623922706972</v>
      </c>
      <c r="CB127" s="831">
        <v>0.11543066693176653</v>
      </c>
      <c r="CC127" s="831">
        <v>0.11859011221419358</v>
      </c>
      <c r="CD127" s="831">
        <v>0.10859158911238159</v>
      </c>
      <c r="CE127" s="728">
        <v>0.11158777016419497</v>
      </c>
      <c r="CF127" s="729"/>
      <c r="CG127" s="503">
        <v>4.3700907876436448E-2</v>
      </c>
      <c r="CH127" s="731">
        <v>4.4089551712861261E-2</v>
      </c>
      <c r="CI127" s="731">
        <v>3.1240829704930348E-2</v>
      </c>
      <c r="CJ127" s="731">
        <v>3.3411943078266365E-2</v>
      </c>
      <c r="CK127" s="728">
        <v>4.0098531846524621E-2</v>
      </c>
      <c r="CL127" s="729"/>
      <c r="CM127" s="503">
        <v>-1.5344072251354122E-2</v>
      </c>
      <c r="CN127" s="731">
        <v>-2.5274422195383693E-2</v>
      </c>
      <c r="CO127" s="731">
        <v>-6.9221464132411883E-3</v>
      </c>
      <c r="CP127" s="731">
        <v>-1.2608792479033924E-2</v>
      </c>
      <c r="CQ127" s="728">
        <v>-1.4645204037998419E-2</v>
      </c>
      <c r="CR127" s="729"/>
      <c r="CS127" s="503">
        <v>0.02</v>
      </c>
      <c r="CT127" s="731">
        <v>0.02</v>
      </c>
      <c r="CU127" s="731">
        <v>1.4999999999999999E-2</v>
      </c>
      <c r="CV127" s="731">
        <v>0.03</v>
      </c>
      <c r="CW127" s="728">
        <v>2.1249999999999998E-2</v>
      </c>
      <c r="CX127" s="729"/>
      <c r="CY127" s="503">
        <v>3.5000000000000003E-2</v>
      </c>
      <c r="CZ127" s="731">
        <v>3.5000000000000003E-2</v>
      </c>
      <c r="DA127" s="731">
        <v>0.02</v>
      </c>
      <c r="DB127" s="731">
        <v>0.01</v>
      </c>
      <c r="DC127" s="728">
        <v>2.5000000000000001E-2</v>
      </c>
      <c r="DD127" s="67"/>
      <c r="DE127" s="82"/>
      <c r="DF127" s="67"/>
      <c r="DG127" s="67"/>
      <c r="DH127" s="67"/>
      <c r="DI127" s="93"/>
      <c r="DJ127" s="67"/>
      <c r="DK127" s="82"/>
      <c r="DL127" s="67"/>
      <c r="DM127" s="67"/>
      <c r="DN127" s="67"/>
      <c r="DO127" s="93"/>
      <c r="DP127" s="67"/>
      <c r="DQ127" s="82"/>
      <c r="DR127" s="67"/>
      <c r="DS127" s="67"/>
      <c r="DT127" s="67"/>
      <c r="DU127" s="93"/>
      <c r="DV127" s="67"/>
      <c r="DW127" s="82"/>
      <c r="DX127" s="67"/>
      <c r="DY127" s="67"/>
      <c r="DZ127" s="67"/>
      <c r="EA127" s="93"/>
      <c r="EB127" s="67"/>
      <c r="EC127" s="82"/>
      <c r="ED127" s="67"/>
      <c r="EE127" s="67"/>
      <c r="EF127" s="67"/>
      <c r="EG127" s="93"/>
    </row>
    <row r="128" spans="1:137" ht="11.25" hidden="1" customHeight="1" outlineLevel="1" x14ac:dyDescent="0.2">
      <c r="A128" s="51" t="s">
        <v>85</v>
      </c>
      <c r="B128" s="14"/>
      <c r="C128" s="14"/>
      <c r="D128" s="14"/>
      <c r="E128" s="93"/>
      <c r="F128" s="67"/>
      <c r="G128" s="93"/>
      <c r="H128" s="67"/>
      <c r="I128" s="93"/>
      <c r="J128" s="67"/>
      <c r="K128" s="93"/>
      <c r="L128" s="67"/>
      <c r="M128" s="82"/>
      <c r="N128" s="67"/>
      <c r="O128" s="67"/>
      <c r="P128" s="67"/>
      <c r="Q128" s="93"/>
      <c r="R128" s="67"/>
      <c r="S128" s="757">
        <v>0</v>
      </c>
      <c r="T128" s="758">
        <v>0</v>
      </c>
      <c r="U128" s="758">
        <v>0</v>
      </c>
      <c r="V128" s="758">
        <v>0</v>
      </c>
      <c r="W128" s="759">
        <v>0</v>
      </c>
      <c r="X128" s="67"/>
      <c r="Y128" s="757">
        <v>0</v>
      </c>
      <c r="Z128" s="758">
        <v>2.0746887966804982E-2</v>
      </c>
      <c r="AA128" s="758">
        <v>1.3793103448275862E-2</v>
      </c>
      <c r="AB128" s="758">
        <v>0</v>
      </c>
      <c r="AC128" s="759">
        <v>2.2507314148888104E-2</v>
      </c>
      <c r="AD128" s="67"/>
      <c r="AE128" s="726">
        <v>3.0470598351519999E-2</v>
      </c>
      <c r="AF128" s="727">
        <v>1.4414879526007481E-2</v>
      </c>
      <c r="AG128" s="727">
        <v>2.070801561084926E-2</v>
      </c>
      <c r="AH128" s="727">
        <v>5.1473770700108425E-3</v>
      </c>
      <c r="AI128" s="728">
        <v>3.7468481142000916E-2</v>
      </c>
      <c r="AJ128" s="729"/>
      <c r="AK128" s="503">
        <v>1.7413056498233839E-2</v>
      </c>
      <c r="AL128" s="730">
        <v>1.7451286014425939E-2</v>
      </c>
      <c r="AM128" s="730">
        <v>5.000000000000001E-3</v>
      </c>
      <c r="AN128" s="730">
        <v>-2.9721687277195121E-2</v>
      </c>
      <c r="AO128" s="728">
        <v>2.5419302430415088E-3</v>
      </c>
      <c r="AP128" s="729"/>
      <c r="AQ128" s="503">
        <v>-2.246130513292656E-2</v>
      </c>
      <c r="AR128" s="730">
        <v>2.6194028543786757E-3</v>
      </c>
      <c r="AS128" s="730">
        <v>1.4999999999999999E-2</v>
      </c>
      <c r="AT128" s="730">
        <v>3.7552643760937733E-2</v>
      </c>
      <c r="AU128" s="728">
        <v>7.4640894479533456E-3</v>
      </c>
      <c r="AV128" s="729"/>
      <c r="AW128" s="503">
        <v>3.2742760105609878E-2</v>
      </c>
      <c r="AX128" s="730">
        <v>0.03</v>
      </c>
      <c r="AY128" s="730">
        <v>3.4999999999999996E-2</v>
      </c>
      <c r="AZ128" s="730">
        <v>4.1907448882998856E-3</v>
      </c>
      <c r="BA128" s="728">
        <v>4.4376167485290594E-2</v>
      </c>
      <c r="BB128" s="729"/>
      <c r="BC128" s="503">
        <v>4.9999999999999996E-2</v>
      </c>
      <c r="BD128" s="731">
        <v>0.05</v>
      </c>
      <c r="BE128" s="731">
        <v>2.8031249637088185E-2</v>
      </c>
      <c r="BF128" s="731">
        <v>-5.3897431407190534E-2</v>
      </c>
      <c r="BG128" s="728">
        <v>1.4999999999999998E-2</v>
      </c>
      <c r="BH128" s="729"/>
      <c r="BI128" s="503">
        <v>-7.3771626453386765E-2</v>
      </c>
      <c r="BJ128" s="730">
        <v>-6.6688674516310567E-2</v>
      </c>
      <c r="BK128" s="730">
        <v>-3.1878353508041524E-2</v>
      </c>
      <c r="BL128" s="730">
        <v>4.9925051903747644E-2</v>
      </c>
      <c r="BM128" s="728">
        <v>-3.0513527838337294E-2</v>
      </c>
      <c r="BN128" s="729"/>
      <c r="BO128" s="503">
        <v>3.3233294193601978E-2</v>
      </c>
      <c r="BP128" s="731">
        <v>-0.01</v>
      </c>
      <c r="BQ128" s="731">
        <v>-1.6787290379523388E-2</v>
      </c>
      <c r="BR128" s="731">
        <v>-1.5000000000000001E-2</v>
      </c>
      <c r="BS128" s="728">
        <v>-3.2599673424955778E-3</v>
      </c>
      <c r="BT128" s="729"/>
      <c r="BU128" s="503">
        <v>0.01</v>
      </c>
      <c r="BV128" s="731">
        <v>4.7964729508277126E-2</v>
      </c>
      <c r="BW128" s="731">
        <v>2.7951467265104685E-2</v>
      </c>
      <c r="BX128" s="731">
        <v>-5.0000000000000001E-3</v>
      </c>
      <c r="BY128" s="728">
        <v>0.02</v>
      </c>
      <c r="BZ128" s="729"/>
      <c r="CA128" s="717">
        <v>-0.01</v>
      </c>
      <c r="CB128" s="831">
        <v>-3.5000000000000003E-2</v>
      </c>
      <c r="CC128" s="831">
        <v>-3.2757407099001587E-2</v>
      </c>
      <c r="CD128" s="831">
        <v>-7.8955760956662298E-3</v>
      </c>
      <c r="CE128" s="728">
        <v>-0.02</v>
      </c>
      <c r="CF128" s="729"/>
      <c r="CG128" s="503">
        <v>-2.6972340984343945E-3</v>
      </c>
      <c r="CH128" s="731">
        <v>5.000000000000001E-3</v>
      </c>
      <c r="CI128" s="731">
        <v>4.5223741927481863E-3</v>
      </c>
      <c r="CJ128" s="731">
        <v>-6.6570126722839706E-4</v>
      </c>
      <c r="CK128" s="728">
        <v>-5.0880065318636969E-4</v>
      </c>
      <c r="CL128" s="729"/>
      <c r="CM128" s="503">
        <v>-2.5227797129655509E-4</v>
      </c>
      <c r="CN128" s="731">
        <v>7.2767721151316142E-3</v>
      </c>
      <c r="CO128" s="731">
        <v>0</v>
      </c>
      <c r="CP128" s="731">
        <v>-3.3549837817901863E-2</v>
      </c>
      <c r="CQ128" s="728">
        <v>-7.3505371120955757E-3</v>
      </c>
      <c r="CR128" s="729"/>
      <c r="CS128" s="503">
        <v>-6.5000000000000002E-2</v>
      </c>
      <c r="CT128" s="731">
        <v>-7.0000000000000007E-2</v>
      </c>
      <c r="CU128" s="731">
        <v>-7.0000000000000007E-2</v>
      </c>
      <c r="CV128" s="731">
        <v>-5.5E-2</v>
      </c>
      <c r="CW128" s="728">
        <v>-6.5000000000000002E-2</v>
      </c>
      <c r="CX128" s="729"/>
      <c r="CY128" s="503">
        <v>-1.9336006604552439E-2</v>
      </c>
      <c r="CZ128" s="731">
        <v>-8.6263122626759128E-3</v>
      </c>
      <c r="DA128" s="731">
        <v>-1.1007729907923269E-2</v>
      </c>
      <c r="DB128" s="731">
        <v>-1.4999999999999999E-2</v>
      </c>
      <c r="DC128" s="728">
        <v>-1.3492512193787904E-2</v>
      </c>
      <c r="DD128" s="67"/>
      <c r="DE128" s="82"/>
      <c r="DF128" s="67"/>
      <c r="DG128" s="67"/>
      <c r="DH128" s="67"/>
      <c r="DI128" s="93"/>
      <c r="DJ128" s="67"/>
      <c r="DK128" s="82"/>
      <c r="DL128" s="67"/>
      <c r="DM128" s="67"/>
      <c r="DN128" s="67"/>
      <c r="DO128" s="93"/>
      <c r="DP128" s="67"/>
      <c r="DQ128" s="82"/>
      <c r="DR128" s="67"/>
      <c r="DS128" s="67"/>
      <c r="DT128" s="67"/>
      <c r="DU128" s="93"/>
      <c r="DV128" s="67"/>
      <c r="DW128" s="82"/>
      <c r="DX128" s="67"/>
      <c r="DY128" s="67"/>
      <c r="DZ128" s="67"/>
      <c r="EA128" s="93"/>
      <c r="EB128" s="67"/>
      <c r="EC128" s="82"/>
      <c r="ED128" s="67"/>
      <c r="EE128" s="67"/>
      <c r="EF128" s="67"/>
      <c r="EG128" s="93"/>
    </row>
    <row r="129" spans="1:137" ht="11.25" hidden="1" customHeight="1" outlineLevel="1" x14ac:dyDescent="0.2">
      <c r="A129" s="51" t="s">
        <v>45</v>
      </c>
      <c r="B129" s="14"/>
      <c r="C129" s="14"/>
      <c r="D129" s="14"/>
      <c r="E129" s="93"/>
      <c r="F129" s="67"/>
      <c r="G129" s="93"/>
      <c r="H129" s="67"/>
      <c r="I129" s="93"/>
      <c r="J129" s="67"/>
      <c r="K129" s="93"/>
      <c r="L129" s="67"/>
      <c r="M129" s="82"/>
      <c r="N129" s="67"/>
      <c r="O129" s="67"/>
      <c r="P129" s="67"/>
      <c r="Q129" s="93"/>
      <c r="R129" s="67"/>
      <c r="S129" s="757">
        <v>0</v>
      </c>
      <c r="T129" s="758">
        <v>0</v>
      </c>
      <c r="U129" s="758">
        <v>0</v>
      </c>
      <c r="V129" s="758">
        <v>0</v>
      </c>
      <c r="W129" s="759">
        <v>0</v>
      </c>
      <c r="X129" s="67"/>
      <c r="Y129" s="757">
        <v>0.43232583798739133</v>
      </c>
      <c r="Z129" s="758">
        <v>0.19233374276472337</v>
      </c>
      <c r="AA129" s="758">
        <v>0.20701693401801569</v>
      </c>
      <c r="AB129" s="758">
        <v>0.20377004967003032</v>
      </c>
      <c r="AC129" s="759">
        <v>0.24409226347267587</v>
      </c>
      <c r="AD129" s="67"/>
      <c r="AE129" s="726">
        <v>0.32363499207284052</v>
      </c>
      <c r="AF129" s="727">
        <v>0.17444343189747435</v>
      </c>
      <c r="AG129" s="727">
        <v>0.23446006953035248</v>
      </c>
      <c r="AH129" s="727">
        <v>0.20973575443216053</v>
      </c>
      <c r="AI129" s="728">
        <v>0.2319391402469102</v>
      </c>
      <c r="AJ129" s="729"/>
      <c r="AK129" s="503">
        <v>0.24695447015638505</v>
      </c>
      <c r="AL129" s="730">
        <v>0.34272274732596353</v>
      </c>
      <c r="AM129" s="730">
        <v>0.2578617014010971</v>
      </c>
      <c r="AN129" s="730">
        <v>0.19533742294549628</v>
      </c>
      <c r="AO129" s="728">
        <v>0.25547723898172836</v>
      </c>
      <c r="AP129" s="729"/>
      <c r="AQ129" s="503">
        <v>9.3087242961144456E-2</v>
      </c>
      <c r="AR129" s="730">
        <v>6.0584567826889035E-2</v>
      </c>
      <c r="AS129" s="730">
        <v>7.9905741009745679E-2</v>
      </c>
      <c r="AT129" s="730">
        <v>3.8664953649287348E-2</v>
      </c>
      <c r="AU129" s="728">
        <v>6.6560425765830322E-2</v>
      </c>
      <c r="AV129" s="729"/>
      <c r="AW129" s="503">
        <v>0.13593677930140879</v>
      </c>
      <c r="AX129" s="730">
        <v>0.15522014125949579</v>
      </c>
      <c r="AY129" s="730">
        <v>0.24484428489149312</v>
      </c>
      <c r="AZ129" s="730">
        <v>0.24099690236976312</v>
      </c>
      <c r="BA129" s="728">
        <v>0.19726947429673158</v>
      </c>
      <c r="BB129" s="729"/>
      <c r="BC129" s="503">
        <v>0.13843697988964743</v>
      </c>
      <c r="BD129" s="730">
        <v>0.1522757687001195</v>
      </c>
      <c r="BE129" s="730">
        <v>4.4419810891819678E-2</v>
      </c>
      <c r="BF129" s="730">
        <v>-2.0125934813684299E-2</v>
      </c>
      <c r="BG129" s="728">
        <v>7.1175273326278488E-2</v>
      </c>
      <c r="BH129" s="729"/>
      <c r="BI129" s="503">
        <v>-9.032437847713326E-2</v>
      </c>
      <c r="BJ129" s="730">
        <v>-9.6584897321333907E-2</v>
      </c>
      <c r="BK129" s="730">
        <v>-6.7168232449256848E-2</v>
      </c>
      <c r="BL129" s="730">
        <v>6.5235356296442282E-2</v>
      </c>
      <c r="BM129" s="728">
        <v>-4.4961512590241504E-2</v>
      </c>
      <c r="BN129" s="729"/>
      <c r="BO129" s="503">
        <v>0.11596419577749906</v>
      </c>
      <c r="BP129" s="730">
        <v>0.19911478550273354</v>
      </c>
      <c r="BQ129" s="730">
        <v>0.10958230300863159</v>
      </c>
      <c r="BR129" s="730">
        <v>2.8471817404301492E-2</v>
      </c>
      <c r="BS129" s="728">
        <v>0.10794120799456319</v>
      </c>
      <c r="BT129" s="729"/>
      <c r="BU129" s="503">
        <v>0.24863340670459788</v>
      </c>
      <c r="BV129" s="730">
        <v>0.21193857962196061</v>
      </c>
      <c r="BW129" s="730">
        <v>0.2204234342081679</v>
      </c>
      <c r="BX129" s="730">
        <v>0.20026651936322426</v>
      </c>
      <c r="BY129" s="728">
        <v>0.21915736834943522</v>
      </c>
      <c r="BZ129" s="729"/>
      <c r="CA129" s="717">
        <v>0.11735345610968229</v>
      </c>
      <c r="CB129" s="652">
        <v>0.13043066693176653</v>
      </c>
      <c r="CC129" s="652">
        <v>0.14183270511519197</v>
      </c>
      <c r="CD129" s="652">
        <v>0.15044601301671534</v>
      </c>
      <c r="CE129" s="728">
        <v>0.13565408284700609</v>
      </c>
      <c r="CF129" s="729"/>
      <c r="CG129" s="503">
        <v>8.7231672145036132E-2</v>
      </c>
      <c r="CH129" s="730">
        <v>9.2563149753302154E-2</v>
      </c>
      <c r="CI129" s="730">
        <v>6.8307207163610384E-2</v>
      </c>
      <c r="CJ129" s="730">
        <v>8.7746241811037962E-2</v>
      </c>
      <c r="CK129" s="728">
        <v>8.3901131111689953E-2</v>
      </c>
      <c r="CL129" s="729"/>
      <c r="CM129" s="503">
        <v>2.3403649777349322E-2</v>
      </c>
      <c r="CN129" s="730">
        <v>2.4002349919747923E-2</v>
      </c>
      <c r="CO129" s="730">
        <v>4.7577853586758811E-2</v>
      </c>
      <c r="CP129" s="730">
        <v>9.3413697030642062E-3</v>
      </c>
      <c r="CQ129" s="728">
        <v>2.5754258849906009E-2</v>
      </c>
      <c r="CR129" s="729"/>
      <c r="CS129" s="503">
        <v>4.4999999999999998E-2</v>
      </c>
      <c r="CT129" s="730">
        <v>4.9999999999999975E-3</v>
      </c>
      <c r="CU129" s="730">
        <v>-2.0000000000000004E-2</v>
      </c>
      <c r="CV129" s="730">
        <v>-1.5000000000000001E-2</v>
      </c>
      <c r="CW129" s="728">
        <v>0</v>
      </c>
      <c r="CX129" s="729"/>
      <c r="CY129" s="503">
        <v>3.0663993395447564E-2</v>
      </c>
      <c r="CZ129" s="730">
        <v>5.1373687737324092E-2</v>
      </c>
      <c r="DA129" s="730">
        <v>4.3992270092076735E-2</v>
      </c>
      <c r="DB129" s="730">
        <v>3.5000000000000003E-2</v>
      </c>
      <c r="DC129" s="728">
        <v>4.0283959659699109E-2</v>
      </c>
      <c r="DD129" s="67"/>
      <c r="DE129" s="82"/>
      <c r="DF129" s="67"/>
      <c r="DG129" s="67"/>
      <c r="DH129" s="67"/>
      <c r="DI129" s="93"/>
      <c r="DJ129" s="67"/>
      <c r="DK129" s="82"/>
      <c r="DL129" s="67"/>
      <c r="DM129" s="67"/>
      <c r="DN129" s="67"/>
      <c r="DO129" s="93"/>
      <c r="DP129" s="67"/>
      <c r="DQ129" s="82"/>
      <c r="DR129" s="67"/>
      <c r="DS129" s="67"/>
      <c r="DT129" s="67"/>
      <c r="DU129" s="93"/>
      <c r="DV129" s="67"/>
      <c r="DW129" s="82"/>
      <c r="DX129" s="67"/>
      <c r="DY129" s="67"/>
      <c r="DZ129" s="67"/>
      <c r="EA129" s="93"/>
      <c r="EB129" s="67"/>
      <c r="EC129" s="82"/>
      <c r="ED129" s="67"/>
      <c r="EE129" s="67"/>
      <c r="EF129" s="67"/>
      <c r="EG129" s="93"/>
    </row>
    <row r="130" spans="1:137" ht="11.25" hidden="1" customHeight="1" outlineLevel="1" x14ac:dyDescent="0.2">
      <c r="A130" s="51"/>
      <c r="B130" s="14"/>
      <c r="C130" s="14"/>
      <c r="D130" s="14"/>
      <c r="E130" s="93"/>
      <c r="F130" s="67"/>
      <c r="G130" s="93"/>
      <c r="H130" s="67"/>
      <c r="I130" s="93"/>
      <c r="J130" s="67"/>
      <c r="K130" s="93"/>
      <c r="L130" s="67"/>
      <c r="M130" s="82"/>
      <c r="N130" s="67"/>
      <c r="O130" s="67"/>
      <c r="P130" s="67"/>
      <c r="Q130" s="93"/>
      <c r="R130" s="67"/>
      <c r="S130" s="82"/>
      <c r="T130" s="67"/>
      <c r="U130" s="67"/>
      <c r="V130" s="67"/>
      <c r="W130" s="93"/>
      <c r="X130" s="67"/>
      <c r="Y130" s="82"/>
      <c r="Z130" s="67"/>
      <c r="AA130" s="67"/>
      <c r="AB130" s="67"/>
      <c r="AC130" s="93"/>
      <c r="AD130" s="67"/>
      <c r="AE130" s="637"/>
      <c r="AF130" s="615"/>
      <c r="AG130" s="615"/>
      <c r="AH130" s="615"/>
      <c r="AI130" s="668"/>
      <c r="AJ130" s="653"/>
      <c r="AK130" s="711"/>
      <c r="AL130" s="616"/>
      <c r="AM130" s="616"/>
      <c r="AN130" s="616"/>
      <c r="AO130" s="668"/>
      <c r="AP130" s="653"/>
      <c r="AQ130" s="711"/>
      <c r="AR130" s="616"/>
      <c r="AS130" s="616"/>
      <c r="AT130" s="616"/>
      <c r="AU130" s="668"/>
      <c r="AV130" s="653"/>
      <c r="AW130" s="711"/>
      <c r="AX130" s="616"/>
      <c r="AY130" s="616"/>
      <c r="AZ130" s="616"/>
      <c r="BA130" s="668"/>
      <c r="BB130" s="653"/>
      <c r="BC130" s="711"/>
      <c r="BD130" s="616"/>
      <c r="BE130" s="616"/>
      <c r="BF130" s="616"/>
      <c r="BG130" s="668"/>
      <c r="BH130" s="653"/>
      <c r="BI130" s="711"/>
      <c r="BJ130" s="616"/>
      <c r="BK130" s="616"/>
      <c r="BL130" s="616"/>
      <c r="BM130" s="668"/>
      <c r="BN130" s="653"/>
      <c r="BO130" s="711"/>
      <c r="BP130" s="616"/>
      <c r="BQ130" s="616"/>
      <c r="BR130" s="616"/>
      <c r="BS130" s="668"/>
      <c r="BT130" s="653"/>
      <c r="BU130" s="711"/>
      <c r="BV130" s="616"/>
      <c r="BW130" s="616"/>
      <c r="BX130" s="616"/>
      <c r="BY130" s="668"/>
      <c r="BZ130" s="653"/>
      <c r="CA130" s="711"/>
      <c r="CB130" s="616"/>
      <c r="CC130" s="616"/>
      <c r="CD130" s="616"/>
      <c r="CE130" s="668"/>
      <c r="CF130" s="653"/>
      <c r="CG130" s="711"/>
      <c r="CH130" s="616"/>
      <c r="CI130" s="616"/>
      <c r="CJ130" s="616"/>
      <c r="CK130" s="668"/>
      <c r="CL130" s="653"/>
      <c r="CM130" s="711"/>
      <c r="CN130" s="616"/>
      <c r="CO130" s="616"/>
      <c r="CP130" s="616"/>
      <c r="CQ130" s="668"/>
      <c r="CR130" s="653"/>
      <c r="CS130" s="711"/>
      <c r="CT130" s="616"/>
      <c r="CU130" s="616"/>
      <c r="CV130" s="616"/>
      <c r="CW130" s="668"/>
      <c r="CX130" s="653"/>
      <c r="CY130" s="711"/>
      <c r="CZ130" s="616"/>
      <c r="DA130" s="616"/>
      <c r="DB130" s="616"/>
      <c r="DC130" s="668"/>
      <c r="DD130" s="67"/>
      <c r="DE130" s="82"/>
      <c r="DF130" s="67"/>
      <c r="DG130" s="67"/>
      <c r="DH130" s="67"/>
      <c r="DI130" s="93"/>
      <c r="DJ130" s="67"/>
      <c r="DK130" s="82"/>
      <c r="DL130" s="67"/>
      <c r="DM130" s="67"/>
      <c r="DN130" s="67"/>
      <c r="DO130" s="93"/>
      <c r="DP130" s="67"/>
      <c r="DQ130" s="82"/>
      <c r="DR130" s="67"/>
      <c r="DS130" s="67"/>
      <c r="DT130" s="67"/>
      <c r="DU130" s="93"/>
      <c r="DV130" s="67"/>
      <c r="DW130" s="82"/>
      <c r="DX130" s="67"/>
      <c r="DY130" s="67"/>
      <c r="DZ130" s="67"/>
      <c r="EA130" s="93"/>
      <c r="EB130" s="67"/>
      <c r="EC130" s="82"/>
      <c r="ED130" s="67"/>
      <c r="EE130" s="67"/>
      <c r="EF130" s="67"/>
      <c r="EG130" s="93"/>
    </row>
    <row r="131" spans="1:137" ht="11.25" hidden="1" customHeight="1" outlineLevel="1" x14ac:dyDescent="0.2">
      <c r="A131" s="745" t="s">
        <v>499</v>
      </c>
      <c r="B131" s="746"/>
      <c r="C131" s="746"/>
      <c r="D131" s="746"/>
      <c r="E131" s="747"/>
      <c r="F131" s="748"/>
      <c r="G131" s="747"/>
      <c r="H131" s="748"/>
      <c r="I131" s="747"/>
      <c r="J131" s="748"/>
      <c r="K131" s="747"/>
      <c r="L131" s="748"/>
      <c r="M131" s="749"/>
      <c r="N131" s="748"/>
      <c r="O131" s="748"/>
      <c r="P131" s="748"/>
      <c r="Q131" s="747"/>
      <c r="R131" s="748"/>
      <c r="S131" s="749"/>
      <c r="T131" s="748"/>
      <c r="U131" s="748"/>
      <c r="V131" s="748"/>
      <c r="W131" s="747"/>
      <c r="X131" s="748"/>
      <c r="Y131" s="749"/>
      <c r="Z131" s="748"/>
      <c r="AA131" s="748"/>
      <c r="AB131" s="748"/>
      <c r="AC131" s="747"/>
      <c r="AD131" s="748"/>
      <c r="AE131" s="638"/>
      <c r="AF131" s="617"/>
      <c r="AG131" s="617"/>
      <c r="AH131" s="617"/>
      <c r="AI131" s="669"/>
      <c r="AJ131" s="619"/>
      <c r="AK131" s="712"/>
      <c r="AL131" s="620"/>
      <c r="AM131" s="620"/>
      <c r="AN131" s="620"/>
      <c r="AO131" s="676"/>
      <c r="AP131" s="617"/>
      <c r="AQ131" s="712"/>
      <c r="AR131" s="620"/>
      <c r="AS131" s="620"/>
      <c r="AT131" s="620"/>
      <c r="AU131" s="676"/>
      <c r="AV131" s="622"/>
      <c r="AW131" s="712"/>
      <c r="AX131" s="620"/>
      <c r="AY131" s="620"/>
      <c r="AZ131" s="620"/>
      <c r="BA131" s="676"/>
      <c r="BB131" s="622"/>
      <c r="BC131" s="712"/>
      <c r="BD131" s="620"/>
      <c r="BE131" s="620"/>
      <c r="BF131" s="620"/>
      <c r="BG131" s="684"/>
      <c r="BH131" s="622"/>
      <c r="BI131" s="712"/>
      <c r="BJ131" s="620"/>
      <c r="BK131" s="620"/>
      <c r="BL131" s="620"/>
      <c r="BM131" s="676"/>
      <c r="BN131" s="622"/>
      <c r="BO131" s="712"/>
      <c r="BP131" s="620"/>
      <c r="BQ131" s="620"/>
      <c r="BR131" s="620"/>
      <c r="BS131" s="676"/>
      <c r="BT131" s="622"/>
      <c r="BU131" s="712"/>
      <c r="BV131" s="620"/>
      <c r="BW131" s="620"/>
      <c r="BX131" s="620"/>
      <c r="BY131" s="676"/>
      <c r="BZ131" s="622"/>
      <c r="CA131" s="712"/>
      <c r="CB131" s="620"/>
      <c r="CC131" s="620"/>
      <c r="CD131" s="620"/>
      <c r="CE131" s="684"/>
      <c r="CF131" s="622"/>
      <c r="CG131" s="712"/>
      <c r="CH131" s="620"/>
      <c r="CI131" s="620"/>
      <c r="CJ131" s="620"/>
      <c r="CK131" s="684"/>
      <c r="CL131" s="622"/>
      <c r="CM131" s="712"/>
      <c r="CN131" s="620"/>
      <c r="CO131" s="620"/>
      <c r="CP131" s="620"/>
      <c r="CQ131" s="676"/>
      <c r="CR131" s="622"/>
      <c r="CS131" s="712"/>
      <c r="CT131" s="620"/>
      <c r="CU131" s="620"/>
      <c r="CV131" s="620"/>
      <c r="CW131" s="684"/>
      <c r="CX131" s="617"/>
      <c r="CY131" s="712"/>
      <c r="CZ131" s="620"/>
      <c r="DA131" s="620"/>
      <c r="DB131" s="620"/>
      <c r="DC131" s="684"/>
      <c r="DD131" s="67"/>
      <c r="DE131" s="82"/>
      <c r="DF131" s="67"/>
      <c r="DG131" s="67"/>
      <c r="DH131" s="67"/>
      <c r="DI131" s="93"/>
      <c r="DJ131" s="67"/>
      <c r="DK131" s="82"/>
      <c r="DL131" s="67"/>
      <c r="DM131" s="67"/>
      <c r="DN131" s="67"/>
      <c r="DO131" s="93"/>
      <c r="DP131" s="67"/>
      <c r="DQ131" s="82"/>
      <c r="DR131" s="67"/>
      <c r="DS131" s="67"/>
      <c r="DT131" s="67"/>
      <c r="DU131" s="93"/>
      <c r="DV131" s="67"/>
      <c r="DW131" s="82"/>
      <c r="DX131" s="67"/>
      <c r="DY131" s="67"/>
      <c r="DZ131" s="67"/>
      <c r="EA131" s="93"/>
      <c r="EB131" s="67"/>
      <c r="EC131" s="82"/>
      <c r="ED131" s="67"/>
      <c r="EE131" s="67"/>
      <c r="EF131" s="67"/>
      <c r="EG131" s="93"/>
    </row>
    <row r="132" spans="1:137" ht="11.25" hidden="1" customHeight="1" outlineLevel="1" x14ac:dyDescent="0.2">
      <c r="A132" s="750" t="s">
        <v>86</v>
      </c>
      <c r="B132" s="751"/>
      <c r="C132" s="751"/>
      <c r="D132" s="751"/>
      <c r="E132" s="752"/>
      <c r="F132" s="753"/>
      <c r="G132" s="752"/>
      <c r="H132" s="753"/>
      <c r="I132" s="752"/>
      <c r="J132" s="753"/>
      <c r="K132" s="752"/>
      <c r="L132" s="753"/>
      <c r="M132" s="754"/>
      <c r="N132" s="753"/>
      <c r="O132" s="753"/>
      <c r="P132" s="753"/>
      <c r="Q132" s="752"/>
      <c r="R132" s="753"/>
      <c r="S132" s="740">
        <f>+S84+S125</f>
        <v>156.147785</v>
      </c>
      <c r="T132" s="741">
        <f>+T84+T125</f>
        <v>205.0600718831169</v>
      </c>
      <c r="U132" s="741">
        <f>+U84+U125</f>
        <v>217.1392228338762</v>
      </c>
      <c r="V132" s="741">
        <f>+V84+V125</f>
        <v>266.06033028300698</v>
      </c>
      <c r="W132" s="742">
        <f>+W84+W125</f>
        <v>844.40741000000003</v>
      </c>
      <c r="X132" s="753"/>
      <c r="Y132" s="740">
        <f>+Y84+Y125</f>
        <v>223.654507</v>
      </c>
      <c r="Z132" s="741">
        <f>+Z84+Z125</f>
        <v>244.50004300000001</v>
      </c>
      <c r="AA132" s="741">
        <f>+AA84+AA125</f>
        <v>262.09071899999998</v>
      </c>
      <c r="AB132" s="741">
        <f>+AB84+AB125</f>
        <v>320.27545699999996</v>
      </c>
      <c r="AC132" s="742">
        <f>+AC84+AC125</f>
        <v>1050.520726</v>
      </c>
      <c r="AD132" s="753"/>
      <c r="AE132" s="740">
        <f>+AE84+AE125</f>
        <v>374.78693160000006</v>
      </c>
      <c r="AF132" s="741">
        <f>+AF84+AF125</f>
        <v>397.55146960000002</v>
      </c>
      <c r="AG132" s="741">
        <f>+AG84+AG125</f>
        <v>531.41052720000005</v>
      </c>
      <c r="AH132" s="741">
        <f>+AH84+AH125</f>
        <v>663.35467160000007</v>
      </c>
      <c r="AI132" s="742">
        <f>+AI84+AI125</f>
        <v>1967.1035999999999</v>
      </c>
      <c r="AJ132" s="743"/>
      <c r="AK132" s="740">
        <f>+AK84+AK125</f>
        <v>580.52810019000003</v>
      </c>
      <c r="AL132" s="741">
        <f>+AL84+AL125</f>
        <v>612.07239015999994</v>
      </c>
      <c r="AM132" s="741">
        <f>+AM84+AM125</f>
        <v>698.74651801599998</v>
      </c>
      <c r="AN132" s="741">
        <f>+AN84+AN125</f>
        <v>914.99751163399992</v>
      </c>
      <c r="AO132" s="742">
        <f>+AO84+AO125</f>
        <v>2806.3445199999996</v>
      </c>
      <c r="AP132" s="743"/>
      <c r="AQ132" s="740">
        <f>+AQ84+AQ125</f>
        <v>793.97562594850001</v>
      </c>
      <c r="AR132" s="741">
        <f>+AR84+AR125</f>
        <v>917.10867355280004</v>
      </c>
      <c r="AS132" s="741">
        <f>+AS84+AS125</f>
        <v>1064.49084854784</v>
      </c>
      <c r="AT132" s="741">
        <f>+AT84+AT125</f>
        <v>1177.3594519508601</v>
      </c>
      <c r="AU132" s="742">
        <f>+AU84+AU125</f>
        <v>3952.9346</v>
      </c>
      <c r="AV132" s="743"/>
      <c r="AW132" s="740">
        <f>+AW84+AW125</f>
        <v>1133.297698668785</v>
      </c>
      <c r="AX132" s="741">
        <f>+AX84+AX125</f>
        <v>1170.310342187156</v>
      </c>
      <c r="AY132" s="741">
        <f>+AY84+AY125</f>
        <v>1279.2776436155905</v>
      </c>
      <c r="AZ132" s="741">
        <f>+AZ84+AZ125</f>
        <v>1453.9187475284684</v>
      </c>
      <c r="BA132" s="742">
        <f>+BA84+BA125</f>
        <v>5036.8044319999999</v>
      </c>
      <c r="BB132" s="743"/>
      <c r="BC132" s="740">
        <f>+BC84+BC125</f>
        <v>1270.6932926186405</v>
      </c>
      <c r="BD132" s="741">
        <f>+BD84+BD125</f>
        <v>1374.5970106005987</v>
      </c>
      <c r="BE132" s="741">
        <f>+BE84+BE125</f>
        <v>1396.6854842249224</v>
      </c>
      <c r="BF132" s="741">
        <f>+BF84+BF125</f>
        <v>1418.6644135558386</v>
      </c>
      <c r="BG132" s="742">
        <f>+BG84+BG125</f>
        <v>5460.6402010000002</v>
      </c>
      <c r="BH132" s="743"/>
      <c r="BI132" s="740">
        <f>+BI84+BI125</f>
        <v>1182.6878395412582</v>
      </c>
      <c r="BJ132" s="741">
        <f>+BJ84+BJ125</f>
        <v>1219.8693592480245</v>
      </c>
      <c r="BK132" s="741">
        <f>+BK84+BK125</f>
        <v>1289.8553923518148</v>
      </c>
      <c r="BL132" s="741">
        <f>+BL84+BL125</f>
        <v>1534.3573088589026</v>
      </c>
      <c r="BM132" s="742">
        <f>+BM84+BM125</f>
        <v>5226.7698999999993</v>
      </c>
      <c r="BN132" s="744"/>
      <c r="BO132" s="740">
        <f>+BO96+BO125+BO118</f>
        <v>1468.6579417600001</v>
      </c>
      <c r="BP132" s="741">
        <f>+BP96+BP125+BP118</f>
        <v>1547.8913279999999</v>
      </c>
      <c r="BQ132" s="741">
        <f>+BQ96+BQ125+BQ118</f>
        <v>1584.0433280000002</v>
      </c>
      <c r="BR132" s="741">
        <f>+BR96+BR125+BR118</f>
        <v>1833.2567142400001</v>
      </c>
      <c r="BS132" s="742">
        <f>+BS96+BS125+BS118</f>
        <v>6433.8493120000003</v>
      </c>
      <c r="BT132" s="744"/>
      <c r="BU132" s="740">
        <f>+BU96+BU125+BU118</f>
        <v>1741.3672002752</v>
      </c>
      <c r="BV132" s="741">
        <f>+BV96+BV125+BV118</f>
        <v>1913.55869112</v>
      </c>
      <c r="BW132" s="741">
        <f>+BW96+BW125+BW118</f>
        <v>2771.20017112</v>
      </c>
      <c r="BX132" s="741">
        <f>+BX96+BX125+BX118</f>
        <v>3037.1820219647998</v>
      </c>
      <c r="BY132" s="742">
        <f>+BY96+BY125+BY118</f>
        <v>9463.3080844800006</v>
      </c>
      <c r="BZ132" s="744"/>
      <c r="CA132" s="740">
        <f>+CA96+CA125+CA118</f>
        <v>2739.2853892807043</v>
      </c>
      <c r="CB132" s="741">
        <f>+CB96+CB125+CB118</f>
        <v>2879.2589941924002</v>
      </c>
      <c r="CC132" s="741">
        <f>+CC96+CC125+CC118</f>
        <v>2820.3618210424002</v>
      </c>
      <c r="CD132" s="741">
        <f>+CD96+CD125+CD118</f>
        <v>3281.8841616540958</v>
      </c>
      <c r="CE132" s="1108">
        <f>+CE96+CE125+CE118</f>
        <v>11720.7903661696</v>
      </c>
      <c r="CF132" s="1109"/>
      <c r="CG132" s="1110">
        <f>+CG96+CG125+CG118</f>
        <v>2822.9629165059323</v>
      </c>
      <c r="CH132" s="1111">
        <f>+CH96+CH125+CH118</f>
        <v>3041.6430506353454</v>
      </c>
      <c r="CI132" s="1111">
        <f>+CI96+CI125+CI118</f>
        <v>3036.4087357165954</v>
      </c>
      <c r="CJ132" s="1111">
        <f>+CJ96+CJ125+CJ118</f>
        <v>3459.8837107585096</v>
      </c>
      <c r="CK132" s="1108">
        <f>+CK96+CK125+CK118</f>
        <v>12360.898413616384</v>
      </c>
      <c r="CL132" s="1109"/>
      <c r="CM132" s="1110">
        <f>+CM96+CM125+CM118</f>
        <v>2960.2705922844898</v>
      </c>
      <c r="CN132" s="1111">
        <f>+CN96+CN125+CN118</f>
        <v>3181.8130758781876</v>
      </c>
      <c r="CO132" s="1111">
        <f>+CO96+CO125+CO118</f>
        <v>3160.4891945781251</v>
      </c>
      <c r="CP132" s="1111">
        <f>+CP96+CP125+CP118</f>
        <v>3564.3299072591976</v>
      </c>
      <c r="CQ132" s="1108">
        <f>+CQ96+CQ125+CQ118</f>
        <v>12866.902770000001</v>
      </c>
      <c r="CR132" s="1109"/>
      <c r="CS132" s="1110">
        <f>+CS96+CS125+CS118</f>
        <v>3192.2000000000003</v>
      </c>
      <c r="CT132" s="1111">
        <f>+CT96+CT125+CT118</f>
        <v>3406.2999999999997</v>
      </c>
      <c r="CU132" s="1111">
        <f>+CU96+CU125+CU118</f>
        <v>3512.2</v>
      </c>
      <c r="CV132" s="1111">
        <f>+CV96+CV125+CV118</f>
        <v>4323</v>
      </c>
      <c r="CW132" s="1108">
        <f>+CW96+CW125+CW118</f>
        <v>14433.7</v>
      </c>
      <c r="CX132" s="1109"/>
      <c r="CY132" s="1110">
        <f>+CY96+CY125+CY118</f>
        <v>3924.1000000000004</v>
      </c>
      <c r="CZ132" s="1111">
        <f>+CZ96+CZ125+CZ118</f>
        <v>4241.9000000000005</v>
      </c>
      <c r="DA132" s="1111">
        <f>+DA96+DA125+DA118</f>
        <v>4132.1000000000004</v>
      </c>
      <c r="DB132" s="1111">
        <f>+DB96+DB125+DB118</f>
        <v>4584.3</v>
      </c>
      <c r="DC132" s="1108">
        <f>+DC96+DC125+DC118</f>
        <v>16882.400000000001</v>
      </c>
      <c r="DD132" s="164"/>
      <c r="DE132" s="165"/>
      <c r="DF132" s="164"/>
      <c r="DG132" s="164"/>
      <c r="DH132" s="164"/>
      <c r="DI132" s="93"/>
      <c r="DJ132" s="67"/>
      <c r="DK132" s="82"/>
      <c r="DL132" s="67"/>
      <c r="DM132" s="67"/>
      <c r="DN132" s="67"/>
      <c r="DO132" s="93"/>
      <c r="DP132" s="67"/>
      <c r="DQ132" s="82"/>
      <c r="DR132" s="67"/>
      <c r="DS132" s="67"/>
      <c r="DT132" s="67"/>
      <c r="DU132" s="93"/>
      <c r="DV132" s="67"/>
      <c r="DW132" s="82"/>
      <c r="DX132" s="67"/>
      <c r="DY132" s="67"/>
      <c r="DZ132" s="67"/>
      <c r="EA132" s="93"/>
      <c r="EB132" s="67"/>
      <c r="EC132" s="82"/>
      <c r="ED132" s="67"/>
      <c r="EE132" s="67"/>
      <c r="EF132" s="67"/>
      <c r="EG132" s="93"/>
    </row>
    <row r="133" spans="1:137" ht="11.25" hidden="1" customHeight="1" outlineLevel="1" x14ac:dyDescent="0.2">
      <c r="A133" s="51" t="s">
        <v>623</v>
      </c>
      <c r="B133" s="746"/>
      <c r="C133" s="746"/>
      <c r="D133" s="746"/>
      <c r="E133" s="747"/>
      <c r="F133" s="748"/>
      <c r="G133" s="747"/>
      <c r="H133" s="748"/>
      <c r="I133" s="747"/>
      <c r="J133" s="748"/>
      <c r="K133" s="747"/>
      <c r="L133" s="748"/>
      <c r="M133" s="749"/>
      <c r="N133" s="748"/>
      <c r="O133" s="748"/>
      <c r="P133" s="748"/>
      <c r="Q133" s="747"/>
      <c r="R133" s="748"/>
      <c r="S133" s="639">
        <f>+S126</f>
        <v>0</v>
      </c>
      <c r="T133" s="623">
        <f>+T126</f>
        <v>0.01</v>
      </c>
      <c r="U133" s="623">
        <f>+U126</f>
        <v>0.01</v>
      </c>
      <c r="V133" s="623">
        <f>+V126</f>
        <v>1.9999999999999997E-2</v>
      </c>
      <c r="W133" s="670">
        <f>+W126</f>
        <v>0.01</v>
      </c>
      <c r="X133" s="748"/>
      <c r="Y133" s="639">
        <f>+Y126</f>
        <v>5.2507314148888096E-2</v>
      </c>
      <c r="Z133" s="623">
        <f>+Z126</f>
        <v>4.9516091127553841E-2</v>
      </c>
      <c r="AA133" s="623">
        <f>+AA126</f>
        <v>2.2250731414888834E-2</v>
      </c>
      <c r="AB133" s="623">
        <f>+AB126</f>
        <v>9.7434172660007135E-3</v>
      </c>
      <c r="AC133" s="670">
        <f>+AC126</f>
        <v>3.3504388489332876E-2</v>
      </c>
      <c r="AD133" s="748"/>
      <c r="AE133" s="639">
        <f>+AE126</f>
        <v>7.7846707437989965E-2</v>
      </c>
      <c r="AF133" s="623">
        <f>+AF126</f>
        <v>5.9999999999999984E-2</v>
      </c>
      <c r="AG133" s="623">
        <f>+AG126</f>
        <v>7.0000000000000007E-2</v>
      </c>
      <c r="AH133" s="623">
        <f>+AH126</f>
        <v>8.2500000000000018E-2</v>
      </c>
      <c r="AI133" s="670">
        <f>+AI126</f>
        <v>7.2460601427501145E-2</v>
      </c>
      <c r="AJ133" s="618"/>
      <c r="AK133" s="639">
        <f>+((AK126*AE125)+(AK85*AE84))/AE132</f>
        <v>6.7820591930926058E-2</v>
      </c>
      <c r="AL133" s="623">
        <f>+((AL126*AF125)+(AL85*AF84))/AF132</f>
        <v>8.2920755692761763E-2</v>
      </c>
      <c r="AM133" s="623">
        <f>+((AM126*AG125)+(AM85*AG84))/AG132</f>
        <v>5.5670437749656999E-2</v>
      </c>
      <c r="AN133" s="623">
        <f>+((AN126*AH125)+(AN85*AH84))/AH132</f>
        <v>5.2566721750663535E-2</v>
      </c>
      <c r="AO133" s="670">
        <f>+((AO126*AI125)+(AO85*AI84))/AI132</f>
        <v>6.7777958715877232E-2</v>
      </c>
      <c r="AP133" s="618"/>
      <c r="AQ133" s="639">
        <f>+((AQ126*AK125)+(AQ85*AK84))/AK132</f>
        <v>7.193601572561388E-2</v>
      </c>
      <c r="AR133" s="623">
        <f>+((AR126*AL125)+(AR85*AL84))/AL132</f>
        <v>5.8059181724534406E-2</v>
      </c>
      <c r="AS133" s="623">
        <f>+((AS126*AM125)+(AS85*AM84))/AM132</f>
        <v>7.1606501378582918E-2</v>
      </c>
      <c r="AT133" s="623">
        <f>+((AT126*AN125)+(AT85*AN84))/AN132</f>
        <v>5.0944672789118191E-2</v>
      </c>
      <c r="AU133" s="670">
        <f>+((AU126*AO125)+(AU85*AO84))/AO132</f>
        <v>6.0538993266304644E-2</v>
      </c>
      <c r="AV133" s="618"/>
      <c r="AW133" s="639">
        <f>+((AW126*AQ125)+(AW85*AQ84))/AQ132</f>
        <v>5.5523756221036655E-2</v>
      </c>
      <c r="AX133" s="623">
        <f>+((AX126*AR125)+(AX85*AR84))/AR132</f>
        <v>5.7515247885375931E-2</v>
      </c>
      <c r="AY133" s="623">
        <f>+((AY126*AS125)+(AY85*AS84))/AS132</f>
        <v>6.952957108348766E-2</v>
      </c>
      <c r="AZ133" s="623">
        <f>+((AZ126*AT125)+(AZ85*AT84))/AT132</f>
        <v>8.6419938700768445E-2</v>
      </c>
      <c r="BA133" s="670">
        <f>+((BA126*AU125)+(BA85*AU84))/AU132</f>
        <v>6.7368657790973827E-2</v>
      </c>
      <c r="BB133" s="618"/>
      <c r="BC133" s="639">
        <f>+((BC126*AW125)+(BC85*AW84))/AW132</f>
        <v>3.8466103825769121E-2</v>
      </c>
      <c r="BD133" s="623">
        <f>+((BD126*AX125)+(BD85*AX84))/AX132</f>
        <v>8.5739577419187182E-2</v>
      </c>
      <c r="BE133" s="623">
        <f>+((BE126*AY125)+(BE85*AY84))/AY132</f>
        <v>3.9431856036204395E-2</v>
      </c>
      <c r="BF133" s="623">
        <f>+((BF126*AZ125)+(BF85*AZ84))/AZ132</f>
        <v>6.6067308457547404E-3</v>
      </c>
      <c r="BG133" s="670">
        <f>+((BG126*BA125)+(BG85*BA84))/BA132</f>
        <v>4.2679701339111885E-2</v>
      </c>
      <c r="BH133" s="618"/>
      <c r="BI133" s="639">
        <f>+((BI126*BC125)+(BI85*BC84))/BC132</f>
        <v>-1.572145454766562E-2</v>
      </c>
      <c r="BJ133" s="623">
        <f>+((BJ126*BD125)+(BJ85*BD84))/BD132</f>
        <v>-6.8503599485554248E-2</v>
      </c>
      <c r="BK133" s="623">
        <f>+((BK126*BE125)+(BK85*BE84))/BE132</f>
        <v>-5.7832997611371187E-2</v>
      </c>
      <c r="BL133" s="623">
        <f>+((BL126*BF125)+(BL85*BF84))/BF132</f>
        <v>-2.1515583152833737E-2</v>
      </c>
      <c r="BM133" s="670">
        <f>+((BM126*BG125)+(BM85*BG84))/BG132</f>
        <v>-4.1617979654916253E-2</v>
      </c>
      <c r="BN133" s="618"/>
      <c r="BO133" s="639">
        <f>+((BO126*BI125)+(BO119*BI118)+(BO97*BI96))/BI132</f>
        <v>6.7697443949272657E-2</v>
      </c>
      <c r="BP133" s="623">
        <f>+((BP126*BJ125)+(BP119*BJ118)+(BP97*BJ96))/BJ132</f>
        <v>7.7903665538348474E-2</v>
      </c>
      <c r="BQ133" s="623">
        <f>+((BQ126*BK125)+(BQ119*BK118)+(BQ97*BK96))/BK132</f>
        <v>9.8830980721933165E-2</v>
      </c>
      <c r="BR133" s="623">
        <f>+((BR126*BL125)+(BR119*BL118)+(BR97*BL96))/BL132</f>
        <v>0.10316451416772657</v>
      </c>
      <c r="BS133" s="670">
        <f>+((BS126*BM125)+(BS119*BM118)+(BS97*BM96))/BM132</f>
        <v>8.7655129381915109E-2</v>
      </c>
      <c r="BT133" s="624"/>
      <c r="BU133" s="639">
        <f>+((BU126*BO125)+(BU119*BO118)+(BU97*BO96))/BO132</f>
        <v>8.994338818398985E-2</v>
      </c>
      <c r="BV133" s="623">
        <f>+((BV126*BP125)+(BV119*BP118)+(BV97*BP96))/BP132</f>
        <v>8.274725718660772E-2</v>
      </c>
      <c r="BW133" s="623">
        <f>+((BW126*BQ125)+(BW119*BQ118)+(BW97*BQ96))/BQ132</f>
        <v>6.4785682930557184E-2</v>
      </c>
      <c r="BX133" s="623">
        <f>+((BX126*BR125)+(BX119*BR118)+(BX97*BR96))/BR132</f>
        <v>4.9950566920795164E-2</v>
      </c>
      <c r="BY133" s="670">
        <f>+((BY126*BS125)+(BY119*BS118)+(BY97*BS96))/BS132</f>
        <v>7.0244828824119421E-2</v>
      </c>
      <c r="BZ133" s="624"/>
      <c r="CA133" s="639">
        <f>+((CA126*BU125)+(CA119*BU118)+(CA97*BU96))/BU132</f>
        <v>1.6515370308377145E-2</v>
      </c>
      <c r="CB133" s="623">
        <f>+((CB126*BV125)+(CB119*BV118)+(CB97*BV96))/BV132</f>
        <v>4.9999999999999996E-2</v>
      </c>
      <c r="CC133" s="623">
        <f>+((CC126*BW125)+(CC119*BW118)+(CC97*BW96))/BW132</f>
        <v>3.3963082100258876E-2</v>
      </c>
      <c r="CD133" s="623">
        <f>+((CD126*BX125)+(CD119*BX118)+(CD97*BX96))/BX132</f>
        <v>5.9433886191898475E-2</v>
      </c>
      <c r="CE133" s="670">
        <f>+((CE126*BY125)+(CE119*BY118)+(CE97*BY96))/BY132</f>
        <v>4.2591757044611697E-2</v>
      </c>
      <c r="CF133" s="624"/>
      <c r="CG133" s="639">
        <f>+((CG126*CA125)+(CG119*CA118)+(CG97*CA96))/CA132</f>
        <v>3.0727282175550395E-2</v>
      </c>
      <c r="CH133" s="623">
        <f>+((CH126*CB125)+(CH119*CB118)+(CH97*CB96))/CB132</f>
        <v>4.3837850583965804E-2</v>
      </c>
      <c r="CI133" s="623">
        <f>+((CI126*CC125)+(CI119*CC118)+(CI97*CC96))/CC132</f>
        <v>4.7643169455708664E-2</v>
      </c>
      <c r="CJ133" s="623">
        <f>+((CJ126*CD125)+(CJ119*CD118)+(CJ97*CD96))/CD132</f>
        <v>3.9523578375635769E-2</v>
      </c>
      <c r="CK133" s="670">
        <f>+((CK126*CE125)+(CK119*CE118)+(CK97*CE96))/CE132</f>
        <v>3.9471785388428722E-2</v>
      </c>
      <c r="CL133" s="624"/>
      <c r="CM133" s="639">
        <f>+((CM126*CG125)+(CM119*CG118)+(CM97*CG96))/CG132</f>
        <v>4.31206405639879E-2</v>
      </c>
      <c r="CN133" s="623">
        <f>+((CN126*CH125)+(CN119*CH118)+(CN97*CH96))/CH132</f>
        <v>4.2651335206088353E-2</v>
      </c>
      <c r="CO133" s="623">
        <f>+((CO126*CI125)+(CO119*CI118)+(CO97*CI96))/CI132</f>
        <v>3.527774576316197E-2</v>
      </c>
      <c r="CP133" s="623">
        <f>+((CP126*CJ125)+(CP119*CJ118)+(CP97*CJ96))/CJ132</f>
        <v>4.7232484449877529E-2</v>
      </c>
      <c r="CQ133" s="670">
        <f>+((CQ126*CK125)+(CQ119*CK118)+(CQ97*CK96))/CK132</f>
        <v>4.2126771382429914E-2</v>
      </c>
      <c r="CR133" s="624"/>
      <c r="CS133" s="639">
        <f>+((CS126*CM125)+(CS119*CM118)+(CS97*CM96))/CM132</f>
        <v>5.1406871284751576E-2</v>
      </c>
      <c r="CT133" s="623">
        <f>+((CT126*CN125)+(CT119*CN118)+(CT97*CN96))/CN132</f>
        <v>4.1971104206503962E-2</v>
      </c>
      <c r="CU133" s="623">
        <f>+((CU126*CO125)+(CU119*CO118)+(CU97*CO96))/CO132</f>
        <v>2.8312427697503546E-2</v>
      </c>
      <c r="CV133" s="623">
        <f>+((CV126*CP125)+(CV119*CP118)+(CV97*CP96))/CP132</f>
        <v>1.469489537596361E-2</v>
      </c>
      <c r="CW133" s="670">
        <f>+((CW126*CQ125)+(CW119*CQ118)+(CW97*CQ96))/CQ132</f>
        <v>3.3016133388408281E-2</v>
      </c>
      <c r="CX133" s="624"/>
      <c r="CY133" s="639">
        <f>+((CY126*CS125)+(CY119*CS118)+(CY97*CS96))/CS132</f>
        <v>1.8193722197857278E-2</v>
      </c>
      <c r="CZ133" s="623">
        <f>+((CZ126*CT125)+(CZ119*CT118)+(CZ97*CT96))/CT132</f>
        <v>3.0850629936907934E-2</v>
      </c>
      <c r="DA133" s="623">
        <f>+((DA126*CU125)+(DA119*CU118)+(DA97*CU96))/CU132</f>
        <v>3.1252348955070897E-2</v>
      </c>
      <c r="DB133" s="623">
        <f>+((DB126*CV125)+(DB119*CV118)+(DB97*CV96))/CV132</f>
        <v>3.0997879693876736E-2</v>
      </c>
      <c r="DC133" s="670">
        <f>+((DC126*CW125)+(DC119*CW118)+(DC97*CW96))/CW132</f>
        <v>2.8130318952917035E-2</v>
      </c>
      <c r="DD133" s="67"/>
      <c r="DE133" s="82"/>
      <c r="DF133" s="67"/>
      <c r="DG133" s="67"/>
      <c r="DH133" s="67"/>
      <c r="DI133" s="93"/>
      <c r="DJ133" s="67"/>
      <c r="DK133" s="82"/>
      <c r="DL133" s="67"/>
      <c r="DM133" s="67"/>
      <c r="DN133" s="67"/>
      <c r="DO133" s="93"/>
      <c r="DP133" s="67"/>
      <c r="DQ133" s="82"/>
      <c r="DR133" s="67"/>
      <c r="DS133" s="67"/>
      <c r="DT133" s="67"/>
      <c r="DU133" s="93"/>
      <c r="DV133" s="67"/>
      <c r="DW133" s="82"/>
      <c r="DX133" s="67"/>
      <c r="DY133" s="67"/>
      <c r="DZ133" s="67"/>
      <c r="EA133" s="93"/>
      <c r="EB133" s="67"/>
      <c r="EC133" s="82"/>
      <c r="ED133" s="67"/>
      <c r="EE133" s="67"/>
      <c r="EF133" s="67"/>
      <c r="EG133" s="93"/>
    </row>
    <row r="134" spans="1:137" ht="11.25" hidden="1" customHeight="1" outlineLevel="1" x14ac:dyDescent="0.2">
      <c r="A134" s="755" t="s">
        <v>84</v>
      </c>
      <c r="B134" s="746"/>
      <c r="C134" s="746"/>
      <c r="D134" s="746"/>
      <c r="E134" s="747"/>
      <c r="F134" s="748"/>
      <c r="G134" s="747"/>
      <c r="H134" s="748"/>
      <c r="I134" s="747"/>
      <c r="J134" s="748"/>
      <c r="K134" s="747"/>
      <c r="L134" s="748"/>
      <c r="M134" s="749"/>
      <c r="N134" s="748"/>
      <c r="O134" s="748"/>
      <c r="P134" s="748"/>
      <c r="Q134" s="747"/>
      <c r="R134" s="748"/>
      <c r="S134" s="749"/>
      <c r="T134" s="748"/>
      <c r="U134" s="748"/>
      <c r="V134" s="748"/>
      <c r="W134" s="747"/>
      <c r="X134" s="748"/>
      <c r="Y134" s="749"/>
      <c r="Z134" s="748"/>
      <c r="AA134" s="748"/>
      <c r="AB134" s="748"/>
      <c r="AC134" s="747"/>
      <c r="AD134" s="748"/>
      <c r="AE134" s="640"/>
      <c r="AF134" s="621"/>
      <c r="AG134" s="621"/>
      <c r="AH134" s="621"/>
      <c r="AI134" s="670"/>
      <c r="AJ134" s="619"/>
      <c r="AK134" s="640">
        <f>+((AK127*AE125)+(AK86*AE84))/AE132</f>
        <v>0.46317780741263692</v>
      </c>
      <c r="AL134" s="621">
        <f>+((AL127*AF125)+(AL86*AF84))/AF132</f>
        <v>0.46860073246864836</v>
      </c>
      <c r="AM134" s="621">
        <f>+((AM127*AG125)+(AM86*AG84))/AG132</f>
        <v>0.25670267057893525</v>
      </c>
      <c r="AN134" s="621">
        <f>+((AN127*AH125)+(AN86*AH84))/AH132</f>
        <v>3.3450906719076023E-2</v>
      </c>
      <c r="AO134" s="670">
        <f>+((AO127*AI125)+(AO86*AI84))/AI132</f>
        <v>0.36375033538042401</v>
      </c>
      <c r="AP134" s="619"/>
      <c r="AQ134" s="640">
        <f>+((AQ127*AK125)+(AQ86*AK84))/AK132</f>
        <v>0.32823095444167927</v>
      </c>
      <c r="AR134" s="621">
        <f>+((AR127*AL125)+(AR86*AL84))/AL132</f>
        <v>0.45954165589158963</v>
      </c>
      <c r="AS134" s="621">
        <f>+((AS127*AM125)+(AS86*AM84))/AM132</f>
        <v>0.43805323527780138</v>
      </c>
      <c r="AT134" s="621">
        <f>+((AT127*AN125)+(AT86*AN84))/AN132</f>
        <v>1.5198994539808988E-2</v>
      </c>
      <c r="AU134" s="670">
        <f>+((AU127*AO125)+(AU86*AO84))/AO132</f>
        <v>0.33786086497445933</v>
      </c>
      <c r="AV134" s="619"/>
      <c r="AW134" s="640">
        <f>+((AW127*AQ125)+(AW86*AQ84))/AQ132</f>
        <v>0.34117282000434351</v>
      </c>
      <c r="AX134" s="621">
        <f>+((AX127*AR125)+(AX86*AR84))/AR132</f>
        <v>0.18948842868025653</v>
      </c>
      <c r="AY134" s="621">
        <f>+((AY127*AS125)+(AY86*AS84))/AS132</f>
        <v>0.10811358076374752</v>
      </c>
      <c r="AZ134" s="621">
        <f>+((AZ127*AT125)+(AZ86*AT84))/AT132</f>
        <v>0.11087534350671117</v>
      </c>
      <c r="BA134" s="670">
        <f>+((BA127*AU125)+(BA86*AU84))/AU132</f>
        <v>0.16814006297595341</v>
      </c>
      <c r="BB134" s="619"/>
      <c r="BC134" s="640">
        <f>+((BC127*AW125)+(BC86*AW84))/AW132</f>
        <v>1.8146315039794282E-2</v>
      </c>
      <c r="BD134" s="621">
        <f>+((BD127*AX125)+(BD86*AX84))/AX132</f>
        <v>1.8160782956026193E-2</v>
      </c>
      <c r="BE134" s="621">
        <f>+((BE127*AY125)+(BE86*AY84))/AY132</f>
        <v>1.6225842223724668E-2</v>
      </c>
      <c r="BF134" s="621">
        <f>+((BF127*AZ125)+(BF86*AZ84))/AZ132</f>
        <v>1.9637146480232927E-2</v>
      </c>
      <c r="BG134" s="670">
        <f>+((BG127*BA125)+(BG86*BA84))/BA132</f>
        <v>1.868511571757716E-2</v>
      </c>
      <c r="BH134" s="619"/>
      <c r="BI134" s="640">
        <f>+((BI127*BC125)+(BI86*BC84))/BC132</f>
        <v>2.6604482959889198E-2</v>
      </c>
      <c r="BJ134" s="621">
        <f>+((BJ127*BD125)+(BJ86*BD84))/BD132</f>
        <v>2.9484602895864971E-2</v>
      </c>
      <c r="BK134" s="621">
        <f>+((BK127*BE125)+(BK86*BE84))/BE132</f>
        <v>7.9421284480800155E-3</v>
      </c>
      <c r="BL134" s="621">
        <f>+((BL127*BF125)+(BL86*BF84))/BF132</f>
        <v>3.9581896447310416E-2</v>
      </c>
      <c r="BM134" s="670">
        <f>+((BM127*BG125)+(BM86*BG84))/BG132</f>
        <v>2.6842651239675087E-2</v>
      </c>
      <c r="BN134" s="622"/>
      <c r="BO134" s="640">
        <f>+((BO127*BI125)+(BO120*BI118)+(BO98*BI96))/BI132</f>
        <v>0.10280634910808367</v>
      </c>
      <c r="BP134" s="621">
        <f>+((BP127*BJ125)+(BP120*BJ118)+(BP98*BJ96))/BJ132</f>
        <v>0.1693643990372366</v>
      </c>
      <c r="BQ134" s="621">
        <f>+((BQ127*BK125)+(BQ120*BK118)+(BQ98*BK96))/BK132</f>
        <v>0.12730662824878292</v>
      </c>
      <c r="BR134" s="621">
        <f>+((BR127*BL125)+(BR120*BL118)+(BR98*BL96))/BL132</f>
        <v>0.10215920806766034</v>
      </c>
      <c r="BS134" s="670">
        <f>+((BS127*BM125)+(BS120*BM118)+(BS98*BM96))/BM132</f>
        <v>0.1446614913922733</v>
      </c>
      <c r="BT134" s="622"/>
      <c r="BU134" s="640">
        <f>+((BU127*BO125)+(BU120*BO118)+(BU98*BO96))/BO132</f>
        <v>8.0846815444915773E-2</v>
      </c>
      <c r="BV134" s="621">
        <f>+((BV127*BP125)+(BV120*BP118)+(BV98*BP96))/BP132</f>
        <v>8.8895994975818099E-2</v>
      </c>
      <c r="BW134" s="621">
        <f>+((BW127*BQ125)+(BW120*BQ118)+(BW98*BQ96))/BQ132</f>
        <v>0.63211770561189806</v>
      </c>
      <c r="BX134" s="621">
        <f>+((BX127*BR125)+(BX120*BR118)+(BX98*BR96))/BR132</f>
        <v>0.60062473281448336</v>
      </c>
      <c r="BY134" s="670">
        <f>+((BY127*BS125)+(BY120*BS118)+(BY98*BS96))/BS132</f>
        <v>0.36627368281117451</v>
      </c>
      <c r="BZ134" s="622"/>
      <c r="CA134" s="640">
        <f>+((CA127*BU125)+(CA120*BU118)+(CA98*BU96))/BU132</f>
        <v>0.55755268038567551</v>
      </c>
      <c r="CB134" s="621">
        <f>+((CB127*BV125)+(CB120*BV118)+(CB98*BV96))/BV132</f>
        <v>0.48669722172592417</v>
      </c>
      <c r="CC134" s="621">
        <f>+((CC127*BW125)+(CC120*BW118)+(CC98*BW96))/BW132</f>
        <v>1.7732361908645293E-2</v>
      </c>
      <c r="CD134" s="621">
        <f>+((CD127*BX125)+(CD120*BX118)+(CD98*BX96))/BX132</f>
        <v>2.9314401276698876E-2</v>
      </c>
      <c r="CE134" s="670">
        <f>+((CE127*BY125)+(CE120*BY118)+(CE98*BY96))/BY132</f>
        <v>0.21655627592533644</v>
      </c>
      <c r="CF134" s="622"/>
      <c r="CG134" s="640">
        <f>+((CG127*CA125)+(CG120*CA118)+(CG98*CA96))/CA132</f>
        <v>1.6289660920378965E-2</v>
      </c>
      <c r="CH134" s="621">
        <f>+((CH127*CB125)+(CH120*CB118)+(CH98*CB96))/CB132</f>
        <v>2.2295733994463482E-2</v>
      </c>
      <c r="CI134" s="621">
        <f>+((CI127*CC125)+(CI120*CC118)+(CI98*CC96))/CC132</f>
        <v>3.9389788933092987E-2</v>
      </c>
      <c r="CJ134" s="621">
        <f>+((CJ127*CD125)+(CJ120*CD118)+(CJ98*CD96))/CD132</f>
        <v>2.8487643341390739E-2</v>
      </c>
      <c r="CK134" s="670">
        <f>+((CK127*CE125)+(CK120*CE118)+(CK98*CE96))/CE132</f>
        <v>2.9353524334170624E-2</v>
      </c>
      <c r="CL134" s="622"/>
      <c r="CM134" s="640">
        <f>+((CM127*CG125)+(CM120*CG118)+(CM98*CG96))/CG132</f>
        <v>9.510060203792161E-3</v>
      </c>
      <c r="CN134" s="621">
        <f>+((CN127*CH125)+(CN120*CH118)+(CN98*CH96))/CH132</f>
        <v>1.0231321371281317E-3</v>
      </c>
      <c r="CO134" s="621">
        <f>+((CO127*CI125)+(CO120*CI118)+(CO98*CI96))/CI132</f>
        <v>9.6142295596662718E-3</v>
      </c>
      <c r="CP134" s="621">
        <f>+((CP127*CJ125)+(CP120*CJ118)+(CP98*CJ96))/CJ132</f>
        <v>2.2211958194700739E-2</v>
      </c>
      <c r="CQ134" s="670">
        <f>+((CQ127*CK125)+(CQ120*CK118)+(CQ98*CK96))/CK132</f>
        <v>1.1095985981588096E-2</v>
      </c>
      <c r="CR134" s="622"/>
      <c r="CS134" s="640">
        <f>+((CS127*CM125)+(CS120*CM118)+(CS98*CM96))/CM132</f>
        <v>9.760418189430245E-2</v>
      </c>
      <c r="CT134" s="621">
        <f>+((CT127*CN125)+(CT120*CN118)+(CT98*CN96))/CN132</f>
        <v>9.8381109308618542E-2</v>
      </c>
      <c r="CU134" s="621">
        <f>+((CU127*CO125)+(CU120*CO118)+(CU98*CO96))/CO132</f>
        <v>0.156244116184864</v>
      </c>
      <c r="CV134" s="621">
        <f>+((CV127*CP125)+(CV120*CP118)+(CV98*CP96))/CP132</f>
        <v>0.25939752527810572</v>
      </c>
      <c r="CW134" s="670">
        <f>+((CW127*CQ125)+(CW120*CQ118)+(CW98*CQ96))/CQ132</f>
        <v>0.15697576285194081</v>
      </c>
      <c r="CX134" s="622"/>
      <c r="CY134" s="640">
        <f>+((CY127*CS125)+(CY120*CS118)+(CY98*CS96))/CS132</f>
        <v>0.2289884719002569</v>
      </c>
      <c r="CZ134" s="621">
        <f>+((CZ127*CT125)+(CZ120*CT118)+(CZ98*CT96))/CT132</f>
        <v>0.27745526560345773</v>
      </c>
      <c r="DA134" s="621">
        <f>+((DA127*CU125)+(DA120*CU118)+(DA98*CU96))/CU132</f>
        <v>0.17697895905700134</v>
      </c>
      <c r="DB134" s="621">
        <f>+((DB127*CV125)+(DB120*CV118)+(DB98*CV96))/CV132</f>
        <v>4.2174284897766007E-2</v>
      </c>
      <c r="DC134" s="670">
        <f>+((DC127*CW125)+(DC120*CW118)+(DC98*CW96))/CW132</f>
        <v>0.17187868009159815</v>
      </c>
      <c r="DD134" s="67"/>
      <c r="DE134" s="82"/>
      <c r="DF134" s="67"/>
      <c r="DG134" s="67"/>
      <c r="DH134" s="67"/>
      <c r="DI134" s="93"/>
      <c r="DJ134" s="67"/>
      <c r="DK134" s="82"/>
      <c r="DL134" s="67"/>
      <c r="DM134" s="67"/>
      <c r="DN134" s="67"/>
      <c r="DO134" s="93"/>
      <c r="DP134" s="67"/>
      <c r="DQ134" s="82"/>
      <c r="DR134" s="67"/>
      <c r="DS134" s="67"/>
      <c r="DT134" s="67"/>
      <c r="DU134" s="93"/>
      <c r="DV134" s="67"/>
      <c r="DW134" s="82"/>
      <c r="DX134" s="67"/>
      <c r="DY134" s="67"/>
      <c r="DZ134" s="67"/>
      <c r="EA134" s="93"/>
      <c r="EB134" s="67"/>
      <c r="EC134" s="82"/>
      <c r="ED134" s="67"/>
      <c r="EE134" s="67"/>
      <c r="EF134" s="67"/>
      <c r="EG134" s="93"/>
    </row>
    <row r="135" spans="1:137" ht="11.25" hidden="1" customHeight="1" outlineLevel="1" x14ac:dyDescent="0.2">
      <c r="A135" s="755" t="s">
        <v>85</v>
      </c>
      <c r="B135" s="746"/>
      <c r="C135" s="746"/>
      <c r="D135" s="746"/>
      <c r="E135" s="747"/>
      <c r="F135" s="748"/>
      <c r="G135" s="747"/>
      <c r="H135" s="748"/>
      <c r="I135" s="747"/>
      <c r="J135" s="748"/>
      <c r="K135" s="747"/>
      <c r="L135" s="748"/>
      <c r="M135" s="749"/>
      <c r="N135" s="748"/>
      <c r="O135" s="748"/>
      <c r="P135" s="748"/>
      <c r="Q135" s="747"/>
      <c r="R135" s="748"/>
      <c r="S135" s="749"/>
      <c r="T135" s="748"/>
      <c r="U135" s="748"/>
      <c r="V135" s="748"/>
      <c r="W135" s="747"/>
      <c r="X135" s="748"/>
      <c r="Y135" s="749"/>
      <c r="Z135" s="748"/>
      <c r="AA135" s="748"/>
      <c r="AB135" s="748"/>
      <c r="AC135" s="747"/>
      <c r="AD135" s="748"/>
      <c r="AE135" s="641"/>
      <c r="AF135" s="625"/>
      <c r="AG135" s="625"/>
      <c r="AH135" s="625"/>
      <c r="AI135" s="670"/>
      <c r="AJ135" s="618"/>
      <c r="AK135" s="641">
        <f>+((AK128*AE125)+(AK87*AE84))/AE132</f>
        <v>1.795662347879631E-2</v>
      </c>
      <c r="AL135" s="625">
        <f>+((AL128*AF125)+(AL87*AF84))/AF132</f>
        <v>2.0936062527518163E-2</v>
      </c>
      <c r="AM135" s="625">
        <f>+((AM128*AG125)+(AM87*AG84))/AG132</f>
        <v>3.0441674622512073E-3</v>
      </c>
      <c r="AN135" s="625">
        <f>+((AN128*AH125)+(AN87*AH84))/AH132</f>
        <v>-7.1429975971936566E-2</v>
      </c>
      <c r="AO135" s="670">
        <f>+((AO128*AI125)+(AO87*AI84))/AI132</f>
        <v>-5.1694332818531391E-3</v>
      </c>
      <c r="AP135" s="618"/>
      <c r="AQ135" s="641">
        <f>+((AQ128*AK125)+(AQ87*AK84))/AK132</f>
        <v>-3.2488772180596044E-2</v>
      </c>
      <c r="AR135" s="625">
        <f>+((AR128*AL125)+(AR87*AL84))/AL132</f>
        <v>1.6500492107103023E-3</v>
      </c>
      <c r="AS135" s="625">
        <f>+((AS128*AM125)+(AS87*AM84))/AM132</f>
        <v>1.9175724278790881E-2</v>
      </c>
      <c r="AT135" s="625">
        <f>+((AT128*AN125)+(AT87*AN84))/AN132</f>
        <v>6.0984214376688134E-2</v>
      </c>
      <c r="AU135" s="670">
        <f>+((AU128*AO125)+(AU87*AO84))/AO132</f>
        <v>1.0636876849765969E-2</v>
      </c>
      <c r="AV135" s="618"/>
      <c r="AW135" s="641">
        <f>+((AW128*AQ125)+(AW87*AQ84))/AQ132</f>
        <v>4.1229679136567332E-2</v>
      </c>
      <c r="AX135" s="625">
        <f>+((AX128*AR125)+(AX87*AR84))/AR132</f>
        <v>3.2770579979531415E-2</v>
      </c>
      <c r="AY135" s="625">
        <f>+((AY128*AS125)+(AY87*AS84))/AS132</f>
        <v>3.7935687201316098E-2</v>
      </c>
      <c r="AZ135" s="625">
        <f>+((AZ128*AT125)+(AZ87*AT84))/AT132</f>
        <v>4.3112026527849755E-2</v>
      </c>
      <c r="BA135" s="670">
        <f>+((BA128*AU125)+(BA87*AU84))/AU132</f>
        <v>4.7534523105612403E-2</v>
      </c>
      <c r="BB135" s="618"/>
      <c r="BC135" s="641">
        <f>+((BC128*AW125)+(BC87*AW84))/AW132</f>
        <v>6.488882843388831E-2</v>
      </c>
      <c r="BD135" s="625">
        <f>+((BD128*AX125)+(BD87*AX84))/AX132</f>
        <v>6.7890459688556434E-2</v>
      </c>
      <c r="BE135" s="625">
        <f>+((BE128*AY125)+(BE87*AY84))/AY132</f>
        <v>3.4881455759818762E-2</v>
      </c>
      <c r="BF135" s="625">
        <f>+((BF128*AZ125)+(BF87*AZ84))/AZ132</f>
        <v>-6.928248803171054E-2</v>
      </c>
      <c r="BG135" s="670">
        <f>+((BG128*BA125)+(BG87*BA84))/BA132</f>
        <v>2.3821027419235721E-2</v>
      </c>
      <c r="BH135" s="618"/>
      <c r="BI135" s="641">
        <f>+((BI128*BC125)+(BI87*BC84))/BC132</f>
        <v>-8.0389048149977244E-2</v>
      </c>
      <c r="BJ135" s="625">
        <f>+((BJ128*BD125)+(BJ87*BD84))/BD132</f>
        <v>-7.1708765931830495E-2</v>
      </c>
      <c r="BK135" s="625">
        <f>+((BK128*BE125)+(BK87*BE84))/BE132</f>
        <v>-2.4859540325674841E-2</v>
      </c>
      <c r="BL135" s="625">
        <f>+((BL128*BF125)+(BL87*BF84))/BF132</f>
        <v>6.1722562934079503E-2</v>
      </c>
      <c r="BM135" s="670">
        <f>+((BM128*BG125)+(BM87*BG84))/BG132</f>
        <v>-2.7244019601495202E-2</v>
      </c>
      <c r="BN135" s="618"/>
      <c r="BO135" s="640">
        <f>+((BO128*BI125)+(BO121*BI118)+(BO99*BI96))/BI132</f>
        <v>2.7346709120963951E-2</v>
      </c>
      <c r="BP135" s="625">
        <f>+((BP128*BJ125)+(BP121*BJ118)+(BP99*BJ96))/BJ132</f>
        <v>-8.2067407600527938E-3</v>
      </c>
      <c r="BQ135" s="625">
        <f>+((BQ128*BK125)+(BQ121*BK118)+(BQ99*BK96))/BK132</f>
        <v>-1.3797823985464067E-2</v>
      </c>
      <c r="BR135" s="625">
        <f>+((BR128*BL125)+(BR121*BL118)+(BR99*BL96))/BL132</f>
        <v>-1.0220181141865686E-2</v>
      </c>
      <c r="BS135" s="670">
        <f>+((BS128*BM125)+(BS121*BM118)+(BS99*BM96))/BM132</f>
        <v>-1.3238579207863128E-3</v>
      </c>
      <c r="BT135" s="624"/>
      <c r="BU135" s="641">
        <f>+((BU128*BO125)+(BU121*BO118)+(BU99*BO96))/BO132</f>
        <v>1.5179544473973296E-2</v>
      </c>
      <c r="BV135" s="625">
        <f>+((BV128*BP125)+(BV121*BP118)+(BV99*BP96))/BP132</f>
        <v>6.3317334838162362E-2</v>
      </c>
      <c r="BW135" s="625">
        <f>+((BW128*BQ125)+(BW121*BQ118)+(BW99*BQ96))/BQ132</f>
        <v>4.070606932207084E-2</v>
      </c>
      <c r="BX135" s="625">
        <f>+((BX128*BR125)+(BX121*BR118)+(BX99*BR96))/BR132</f>
        <v>-3.1701888529066936E-3</v>
      </c>
      <c r="BY135" s="670">
        <f>+((BY128*BS125)+(BY121*BS118)+(BY99*BS96))/BS132</f>
        <v>2.8099278853610805E-2</v>
      </c>
      <c r="BZ135" s="624"/>
      <c r="CA135" s="641">
        <f>+((CA128*BU125)+(CA121*BU118)+(CA99*BU96))/BU132</f>
        <v>-9.5608806107895239E-3</v>
      </c>
      <c r="CB135" s="625">
        <f>+((CB128*BV125)+(CB121*BV118)+(CB99*BV96))/BV132</f>
        <v>-3.8956241339830035E-2</v>
      </c>
      <c r="CC135" s="625">
        <f>+((CC128*BW125)+(CC121*BW118)+(CC99*BW96))/BW132</f>
        <v>-3.338455135119623E-2</v>
      </c>
      <c r="CD135" s="625">
        <f>+((CD128*BX125)+(CD121*BX118)+(CD99*BX96))/BX132</f>
        <v>-7.5458679579729383E-3</v>
      </c>
      <c r="CE135" s="670">
        <f>+((CE128*BY125)+(CE121*BY118)+(CE99*BY96))/BY132</f>
        <v>-2.318805006987763E-2</v>
      </c>
      <c r="CF135" s="624"/>
      <c r="CG135" s="641">
        <f>+((CG128*CA125)+(CG121*CA118)+(CG99*CA96))/CA132</f>
        <v>-9.9843043387908836E-3</v>
      </c>
      <c r="CH135" s="625">
        <f>+((CH128*CB125)+(CH121*CB118)+(CH99*CB96))/CB132</f>
        <v>-4.9251138507432259E-3</v>
      </c>
      <c r="CI135" s="625">
        <f>+((CI128*CC125)+(CI121*CC118)+(CI99*CC96))/CC132</f>
        <v>-3.1214172439722582E-3</v>
      </c>
      <c r="CJ135" s="625">
        <f>+((CJ128*CD125)+(CJ121*CD118)+(CJ99*CD96))/CD132</f>
        <v>-7.6582786166578976E-3</v>
      </c>
      <c r="CK135" s="670">
        <f>+((CK128*CE125)+(CK121*CE118)+(CK99*CE96))/CE132</f>
        <v>-9.2484844068213279E-3</v>
      </c>
      <c r="CL135" s="624"/>
      <c r="CM135" s="641">
        <f>+((CM128*CG125)+(CM121*CG118)+(CM99*CG96))/CG132</f>
        <v>-2.8273506749696524E-3</v>
      </c>
      <c r="CN135" s="625">
        <f>+((CN128*CH125)+(CN121*CH118)+(CN99*CH96))/CH132</f>
        <v>5.6466409123654433E-3</v>
      </c>
      <c r="CO135" s="625">
        <f>+((CO128*CI125)+(CO121*CI118)+(CO99*CI96))/CI132</f>
        <v>-3.5799958761003467E-3</v>
      </c>
      <c r="CP135" s="625">
        <f>+((CP128*CJ125)+(CP121*CJ118)+(CP99*CJ96))/CJ132</f>
        <v>-3.9950128573778575E-2</v>
      </c>
      <c r="CQ135" s="670">
        <f>+((CQ128*CK125)+(CQ121*CK118)+(CQ99*CK96))/CK132</f>
        <v>-1.1308557330659996E-2</v>
      </c>
      <c r="CR135" s="624"/>
      <c r="CS135" s="641">
        <f>+((CS128*CM125)+(CS121*CM118)+(CS99*CM96))/CM132</f>
        <v>-7.4002606406812846E-2</v>
      </c>
      <c r="CT135" s="625">
        <f>+((CT128*CN125)+(CT121*CN118)+(CT99*CN96))/CN132</f>
        <v>-7.2489618280864504E-2</v>
      </c>
      <c r="CU135" s="625">
        <f>+((CU128*CO125)+(CU121*CO118)+(CU99*CO96))/CO132</f>
        <v>-7.1671893075624118E-2</v>
      </c>
      <c r="CV135" s="625">
        <f>+((CV128*CP125)+(CV121*CP118)+(CV99*CP96))/CP132</f>
        <v>-5.5879407934045673E-2</v>
      </c>
      <c r="CW135" s="670">
        <f>+((CW128*CQ125)+(CW121*CQ118)+(CW99*CQ96))/CQ132</f>
        <v>-6.8079536094139623E-2</v>
      </c>
      <c r="CX135" s="624"/>
      <c r="CY135" s="641">
        <f>+((CY128*CS125)+(CY121*CS118)+(CY99*CS96))/CS132</f>
        <v>-1.8540066962404129E-2</v>
      </c>
      <c r="CZ135" s="625">
        <f>+((CZ128*CT125)+(CZ121*CT118)+(CZ99*CT96))/CT132</f>
        <v>-5.4729475964098492E-3</v>
      </c>
      <c r="DA135" s="625">
        <f>+((DA128*CU125)+(DA121*CU118)+(DA99*CU96))/CU132</f>
        <v>9.1030174897608869E-4</v>
      </c>
      <c r="DB135" s="625">
        <f>+((DB128*CV125)+(DB121*CV118)+(DB99*CV96))/CV132</f>
        <v>-1.0662406440362151E-2</v>
      </c>
      <c r="DC135" s="670">
        <f>+((DC128*CW125)+(DC121*CW118)+(DC99*CW96))/CW132</f>
        <v>-8.3771828553646857E-3</v>
      </c>
      <c r="DD135" s="67"/>
      <c r="DE135" s="82"/>
      <c r="DF135" s="67"/>
      <c r="DG135" s="67"/>
      <c r="DH135" s="67"/>
      <c r="DI135" s="93"/>
      <c r="DJ135" s="67"/>
      <c r="DK135" s="82"/>
      <c r="DL135" s="67"/>
      <c r="DM135" s="67"/>
      <c r="DN135" s="67"/>
      <c r="DO135" s="93"/>
      <c r="DP135" s="67"/>
      <c r="DQ135" s="82"/>
      <c r="DR135" s="67"/>
      <c r="DS135" s="67"/>
      <c r="DT135" s="67"/>
      <c r="DU135" s="93"/>
      <c r="DV135" s="67"/>
      <c r="DW135" s="82"/>
      <c r="DX135" s="67"/>
      <c r="DY135" s="67"/>
      <c r="DZ135" s="67"/>
      <c r="EA135" s="93"/>
      <c r="EB135" s="67"/>
      <c r="EC135" s="82"/>
      <c r="ED135" s="67"/>
      <c r="EE135" s="67"/>
      <c r="EF135" s="67"/>
      <c r="EG135" s="93"/>
    </row>
    <row r="136" spans="1:137" ht="11.25" hidden="1" customHeight="1" outlineLevel="1" x14ac:dyDescent="0.2">
      <c r="A136" s="755" t="s">
        <v>500</v>
      </c>
      <c r="B136" s="746"/>
      <c r="C136" s="746"/>
      <c r="D136" s="746"/>
      <c r="E136" s="747"/>
      <c r="F136" s="748"/>
      <c r="G136" s="747"/>
      <c r="H136" s="748"/>
      <c r="I136" s="747"/>
      <c r="J136" s="748"/>
      <c r="K136" s="747"/>
      <c r="L136" s="748"/>
      <c r="M136" s="749"/>
      <c r="N136" s="748"/>
      <c r="O136" s="748"/>
      <c r="P136" s="748"/>
      <c r="Q136" s="747"/>
      <c r="R136" s="748"/>
      <c r="S136" s="749"/>
      <c r="T136" s="748"/>
      <c r="U136" s="748"/>
      <c r="V136" s="748"/>
      <c r="W136" s="747"/>
      <c r="X136" s="748"/>
      <c r="Y136" s="749"/>
      <c r="Z136" s="748"/>
      <c r="AA136" s="748"/>
      <c r="AB136" s="748"/>
      <c r="AC136" s="747"/>
      <c r="AD136" s="748"/>
      <c r="AE136" s="642"/>
      <c r="AF136" s="626"/>
      <c r="AG136" s="626"/>
      <c r="AH136" s="626"/>
      <c r="AI136" s="671"/>
      <c r="AJ136" s="619"/>
      <c r="AK136" s="641">
        <f>+AK132/AE132-1</f>
        <v>0.5489550228223592</v>
      </c>
      <c r="AL136" s="625">
        <f>+AL132/AF132-1</f>
        <v>0.53960540197686124</v>
      </c>
      <c r="AM136" s="625">
        <f>+AM132/AG132-1</f>
        <v>0.3148902444550592</v>
      </c>
      <c r="AN136" s="625">
        <f>+AN132/AH132-1</f>
        <v>0.37934886239218257</v>
      </c>
      <c r="AO136" s="677">
        <f>+AO132/AI132-1</f>
        <v>0.42663788526440594</v>
      </c>
      <c r="AP136" s="619"/>
      <c r="AQ136" s="641">
        <f t="shared" ref="AQ136:AU136" si="358">+AQ132/AK132-1</f>
        <v>0.36767819798669721</v>
      </c>
      <c r="AR136" s="625">
        <f t="shared" si="358"/>
        <v>0.4983663506093805</v>
      </c>
      <c r="AS136" s="625">
        <f t="shared" si="358"/>
        <v>0.52342919943318433</v>
      </c>
      <c r="AT136" s="625">
        <f t="shared" si="358"/>
        <v>0.28673514078561269</v>
      </c>
      <c r="AU136" s="677">
        <f t="shared" si="358"/>
        <v>0.40857067684619164</v>
      </c>
      <c r="AV136" s="619"/>
      <c r="AW136" s="641">
        <f t="shared" ref="AW136:BA136" si="359">+AW132/AQ132-1</f>
        <v>0.42737089355220914</v>
      </c>
      <c r="AX136" s="625">
        <f t="shared" si="359"/>
        <v>0.27608687600071913</v>
      </c>
      <c r="AY136" s="625">
        <f t="shared" si="359"/>
        <v>0.20177420534968338</v>
      </c>
      <c r="AZ136" s="625">
        <f t="shared" si="359"/>
        <v>0.23489792783279162</v>
      </c>
      <c r="BA136" s="677">
        <f t="shared" si="359"/>
        <v>0.27419371724490449</v>
      </c>
      <c r="BB136" s="619"/>
      <c r="BC136" s="641">
        <f t="shared" ref="BC136:BG136" si="360">+BC132/AW132-1</f>
        <v>0.12123521834664075</v>
      </c>
      <c r="BD136" s="625">
        <f t="shared" si="360"/>
        <v>0.17455768871670196</v>
      </c>
      <c r="BE136" s="625">
        <f t="shared" si="360"/>
        <v>9.1776668806237582E-2</v>
      </c>
      <c r="BF136" s="625">
        <f t="shared" si="360"/>
        <v>-2.4247802040216482E-2</v>
      </c>
      <c r="BG136" s="677">
        <f t="shared" si="360"/>
        <v>8.4147751758490319E-2</v>
      </c>
      <c r="BH136" s="619"/>
      <c r="BI136" s="641">
        <f t="shared" ref="BI136:BL136" si="361">+BI132/BC132-1</f>
        <v>-6.9257824518787703E-2</v>
      </c>
      <c r="BJ136" s="625">
        <f t="shared" si="361"/>
        <v>-0.11256219107079934</v>
      </c>
      <c r="BK136" s="625">
        <f t="shared" si="361"/>
        <v>-7.6488295381971438E-2</v>
      </c>
      <c r="BL136" s="625">
        <f t="shared" si="361"/>
        <v>8.1550572635485707E-2</v>
      </c>
      <c r="BM136" s="677">
        <f>+BM132/BG132-1</f>
        <v>-4.2828366710037535E-2</v>
      </c>
      <c r="BN136" s="622"/>
      <c r="BO136" s="641">
        <f>+BO132/BI132-1</f>
        <v>0.24179677228241747</v>
      </c>
      <c r="BP136" s="625">
        <f t="shared" ref="BP136" si="362">+BP132/BJ132-1</f>
        <v>0.2688992606176952</v>
      </c>
      <c r="BQ136" s="625">
        <f>+BQ132/BK132-1</f>
        <v>0.22807823062381249</v>
      </c>
      <c r="BR136" s="625">
        <f>+BR132/BL132-1</f>
        <v>0.19480430252806502</v>
      </c>
      <c r="BS136" s="677">
        <f t="shared" ref="BS136" si="363">+BS132/BM132-1</f>
        <v>0.23094175467720524</v>
      </c>
      <c r="BT136" s="622"/>
      <c r="BU136" s="641">
        <f>+BU132/BO132-1</f>
        <v>0.18568602719595306</v>
      </c>
      <c r="BV136" s="625">
        <f t="shared" ref="BV136" si="364">+BV132/BP132-1</f>
        <v>0.23623581094189072</v>
      </c>
      <c r="BW136" s="625">
        <f>+BW132/BQ132-1</f>
        <v>0.74944720395930964</v>
      </c>
      <c r="BX136" s="625">
        <f t="shared" ref="BX136:BY136" si="365">+BX132/BR132-1</f>
        <v>0.65671397702961753</v>
      </c>
      <c r="BY136" s="677">
        <f t="shared" si="365"/>
        <v>0.47086256229682744</v>
      </c>
      <c r="BZ136" s="622"/>
      <c r="CA136" s="641">
        <f t="shared" ref="CA136:CE136" si="366">+CA132/BU132-1</f>
        <v>0.57306591559080511</v>
      </c>
      <c r="CB136" s="625">
        <f t="shared" si="366"/>
        <v>0.50466197224772791</v>
      </c>
      <c r="CC136" s="625">
        <f t="shared" si="366"/>
        <v>1.7740201676781364E-2</v>
      </c>
      <c r="CD136" s="625">
        <f t="shared" si="366"/>
        <v>8.0568809481821768E-2</v>
      </c>
      <c r="CE136" s="677">
        <f t="shared" si="366"/>
        <v>0.23855107131003295</v>
      </c>
      <c r="CF136" s="622"/>
      <c r="CG136" s="641">
        <f t="shared" ref="CG136:CK136" si="367">+CG132/CA132-1</f>
        <v>3.0547210434032301E-2</v>
      </c>
      <c r="CH136" s="625">
        <f t="shared" si="367"/>
        <v>5.6397863745665688E-2</v>
      </c>
      <c r="CI136" s="625">
        <f t="shared" si="367"/>
        <v>7.6602552574032812E-2</v>
      </c>
      <c r="CJ136" s="625">
        <f t="shared" si="367"/>
        <v>5.4236999338422853E-2</v>
      </c>
      <c r="CK136" s="677">
        <f t="shared" si="367"/>
        <v>5.4613044636850239E-2</v>
      </c>
      <c r="CL136" s="622"/>
      <c r="CM136" s="641">
        <f t="shared" ref="CM136:CQ136" si="368">+CM132/CG132-1</f>
        <v>4.8639560575066687E-2</v>
      </c>
      <c r="CN136" s="625">
        <f t="shared" si="368"/>
        <v>4.6083653771787247E-2</v>
      </c>
      <c r="CO136" s="625">
        <f t="shared" si="368"/>
        <v>4.0864214821278555E-2</v>
      </c>
      <c r="CP136" s="625">
        <f t="shared" si="368"/>
        <v>3.0187776593737059E-2</v>
      </c>
      <c r="CQ136" s="677">
        <f t="shared" si="368"/>
        <v>4.0935888270565934E-2</v>
      </c>
      <c r="CR136" s="622"/>
      <c r="CS136" s="641">
        <f t="shared" ref="CS136:CW136" si="369">+CS132/CM132-1</f>
        <v>7.8347367406209623E-2</v>
      </c>
      <c r="CT136" s="625">
        <f t="shared" si="369"/>
        <v>7.0553146513754106E-2</v>
      </c>
      <c r="CU136" s="625">
        <f t="shared" si="369"/>
        <v>0.11128366014515745</v>
      </c>
      <c r="CV136" s="625">
        <f t="shared" si="369"/>
        <v>0.2128506935330754</v>
      </c>
      <c r="CW136" s="677">
        <f t="shared" si="369"/>
        <v>0.12176957096878716</v>
      </c>
      <c r="CX136" s="622"/>
      <c r="CY136" s="641">
        <f t="shared" ref="CY136:DC136" si="370">+CY132/CS132-1</f>
        <v>0.22927761418457493</v>
      </c>
      <c r="CZ136" s="625">
        <f t="shared" si="370"/>
        <v>0.24531016058479893</v>
      </c>
      <c r="DA136" s="625">
        <f t="shared" si="370"/>
        <v>0.1764990604179717</v>
      </c>
      <c r="DB136" s="625">
        <f t="shared" si="370"/>
        <v>6.0444136016655214E-2</v>
      </c>
      <c r="DC136" s="677">
        <f t="shared" si="370"/>
        <v>0.16965157929013364</v>
      </c>
      <c r="DD136" s="67"/>
      <c r="DE136" s="82"/>
      <c r="DF136" s="67"/>
      <c r="DG136" s="67"/>
      <c r="DH136" s="67"/>
      <c r="DI136" s="93"/>
      <c r="DJ136" s="67"/>
      <c r="DK136" s="82"/>
      <c r="DL136" s="67"/>
      <c r="DM136" s="67"/>
      <c r="DN136" s="67"/>
      <c r="DO136" s="93"/>
      <c r="DP136" s="67"/>
      <c r="DQ136" s="82"/>
      <c r="DR136" s="67"/>
      <c r="DS136" s="67"/>
      <c r="DT136" s="67"/>
      <c r="DU136" s="93"/>
      <c r="DV136" s="67"/>
      <c r="DW136" s="82"/>
      <c r="DX136" s="67"/>
      <c r="DY136" s="67"/>
      <c r="DZ136" s="67"/>
      <c r="EA136" s="93"/>
      <c r="EB136" s="67"/>
      <c r="EC136" s="82"/>
      <c r="ED136" s="67"/>
      <c r="EE136" s="67"/>
      <c r="EF136" s="67"/>
      <c r="EG136" s="93"/>
    </row>
    <row r="137" spans="1:137" ht="11.25" customHeight="1" collapsed="1" x14ac:dyDescent="0.2">
      <c r="A137" s="2"/>
      <c r="B137" s="14"/>
      <c r="C137" s="14"/>
      <c r="D137" s="14"/>
      <c r="E137" s="67"/>
      <c r="F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67"/>
      <c r="BI137" s="67"/>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c r="DK137" s="67"/>
      <c r="DL137" s="67"/>
      <c r="DM137" s="67"/>
      <c r="DN137" s="67"/>
      <c r="DO137" s="67"/>
      <c r="DP137" s="67"/>
      <c r="DQ137" s="67"/>
      <c r="DR137" s="67"/>
      <c r="DS137" s="67"/>
      <c r="DT137" s="67"/>
      <c r="DU137" s="67"/>
      <c r="DV137" s="67"/>
      <c r="DW137" s="67"/>
      <c r="DX137" s="67"/>
      <c r="DY137" s="67"/>
      <c r="DZ137" s="67"/>
      <c r="EA137" s="67"/>
      <c r="EB137" s="67"/>
      <c r="EC137" s="67"/>
      <c r="ED137" s="67"/>
      <c r="EE137" s="67"/>
      <c r="EF137" s="67"/>
      <c r="EG137" s="67"/>
    </row>
    <row r="138" spans="1:137" ht="11.25" customHeight="1" x14ac:dyDescent="0.2">
      <c r="A138" s="2"/>
      <c r="B138" s="14"/>
      <c r="C138" s="14"/>
      <c r="D138" s="14"/>
      <c r="E138" s="67"/>
      <c r="F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67"/>
      <c r="BI138" s="67"/>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c r="DK138" s="67"/>
      <c r="DL138" s="67"/>
      <c r="DM138" s="67"/>
      <c r="DN138" s="67"/>
      <c r="DO138" s="67"/>
      <c r="DP138" s="67"/>
      <c r="DQ138" s="67"/>
      <c r="DR138" s="67"/>
      <c r="DS138" s="67"/>
      <c r="DT138" s="67"/>
      <c r="DU138" s="67"/>
      <c r="DV138" s="67"/>
      <c r="DW138" s="67"/>
      <c r="DX138" s="67"/>
      <c r="DY138" s="67"/>
      <c r="DZ138" s="67"/>
      <c r="EA138" s="67"/>
      <c r="EB138" s="67"/>
      <c r="EC138" s="67"/>
      <c r="ED138" s="67"/>
      <c r="EE138" s="67"/>
      <c r="EF138" s="67"/>
      <c r="EG138" s="67"/>
    </row>
    <row r="139" spans="1:137" ht="11.25" customHeight="1" x14ac:dyDescent="0.2">
      <c r="A139" s="2"/>
      <c r="B139" s="14"/>
      <c r="C139" s="14"/>
      <c r="D139" s="14"/>
      <c r="E139" s="67"/>
      <c r="F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67"/>
      <c r="BI139" s="67"/>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c r="DK139" s="67"/>
      <c r="DL139" s="67"/>
      <c r="DM139" s="67"/>
      <c r="DN139" s="67"/>
      <c r="DO139" s="67"/>
      <c r="DP139" s="67"/>
      <c r="DQ139" s="67"/>
      <c r="DR139" s="67"/>
      <c r="DS139" s="67"/>
      <c r="DT139" s="67"/>
      <c r="DU139" s="67"/>
      <c r="DV139" s="67"/>
      <c r="DW139" s="67"/>
      <c r="DX139" s="67"/>
      <c r="DY139" s="67"/>
      <c r="DZ139" s="67"/>
      <c r="EA139" s="67"/>
      <c r="EB139" s="67"/>
      <c r="EC139" s="67"/>
      <c r="ED139" s="67"/>
      <c r="EE139" s="67"/>
      <c r="EF139" s="67"/>
      <c r="EG139" s="67"/>
    </row>
    <row r="140" spans="1:137" ht="11.25" customHeight="1" x14ac:dyDescent="0.2">
      <c r="A140" s="2"/>
      <c r="B140" s="14"/>
      <c r="C140" s="14"/>
      <c r="D140" s="14"/>
      <c r="E140" s="67"/>
      <c r="F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67"/>
      <c r="BI140" s="67"/>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c r="DK140" s="67"/>
      <c r="DL140" s="67"/>
      <c r="DM140" s="67"/>
      <c r="DN140" s="67"/>
      <c r="DO140" s="67"/>
      <c r="DP140" s="67"/>
      <c r="DQ140" s="67"/>
      <c r="DR140" s="67"/>
      <c r="DS140" s="67"/>
      <c r="DT140" s="67"/>
      <c r="DU140" s="67"/>
      <c r="DV140" s="67"/>
      <c r="DW140" s="67"/>
      <c r="DX140" s="67"/>
      <c r="DY140" s="67"/>
      <c r="DZ140" s="67"/>
      <c r="EA140" s="67"/>
      <c r="EB140" s="67"/>
      <c r="EC140" s="67"/>
      <c r="ED140" s="67"/>
      <c r="EE140" s="67"/>
      <c r="EF140" s="67"/>
      <c r="EG140" s="67"/>
    </row>
    <row r="141" spans="1:137" ht="11.25" customHeight="1" x14ac:dyDescent="0.2">
      <c r="A141" s="2"/>
      <c r="B141" s="14"/>
      <c r="C141" s="14"/>
      <c r="D141" s="14"/>
      <c r="E141" s="67"/>
      <c r="F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67"/>
      <c r="BI141" s="67"/>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c r="DK141" s="67"/>
      <c r="DL141" s="67"/>
      <c r="DM141" s="67"/>
      <c r="DN141" s="67"/>
      <c r="DO141" s="67"/>
      <c r="DP141" s="67"/>
      <c r="DQ141" s="67"/>
      <c r="DR141" s="67"/>
      <c r="DS141" s="67"/>
      <c r="DT141" s="67"/>
      <c r="DU141" s="67"/>
      <c r="DV141" s="67"/>
      <c r="DW141" s="67"/>
      <c r="DX141" s="67"/>
      <c r="DY141" s="67"/>
      <c r="DZ141" s="67"/>
      <c r="EA141" s="67"/>
      <c r="EB141" s="67"/>
      <c r="EC141" s="67"/>
      <c r="ED141" s="67"/>
      <c r="EE141" s="67"/>
      <c r="EF141" s="67"/>
      <c r="EG141" s="67"/>
    </row>
    <row r="142" spans="1:137" ht="11.25" customHeight="1" x14ac:dyDescent="0.2">
      <c r="A142" s="2"/>
      <c r="B142" s="14"/>
      <c r="C142" s="14"/>
      <c r="D142" s="14"/>
      <c r="E142" s="67"/>
      <c r="F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67"/>
      <c r="BI142" s="67"/>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c r="DK142" s="67"/>
      <c r="DL142" s="67"/>
      <c r="DM142" s="67"/>
      <c r="DN142" s="67"/>
      <c r="DO142" s="67"/>
      <c r="DP142" s="67"/>
      <c r="DQ142" s="67"/>
      <c r="DR142" s="67"/>
      <c r="DS142" s="67"/>
      <c r="DT142" s="67"/>
      <c r="DU142" s="67"/>
      <c r="DV142" s="67"/>
      <c r="DW142" s="67"/>
      <c r="DX142" s="67"/>
      <c r="DY142" s="67"/>
      <c r="DZ142" s="67"/>
      <c r="EA142" s="67"/>
      <c r="EB142" s="67"/>
      <c r="EC142" s="67"/>
      <c r="ED142" s="67"/>
      <c r="EE142" s="67"/>
      <c r="EF142" s="67"/>
      <c r="EG142" s="67"/>
    </row>
    <row r="143" spans="1:137" ht="11.25" customHeight="1" x14ac:dyDescent="0.2">
      <c r="A143" s="2"/>
      <c r="B143" s="14"/>
      <c r="C143" s="14"/>
      <c r="D143" s="14"/>
      <c r="E143" s="67"/>
      <c r="F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67"/>
      <c r="BI143" s="67"/>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c r="DK143" s="67"/>
      <c r="DL143" s="67"/>
      <c r="DM143" s="67"/>
      <c r="DN143" s="67"/>
      <c r="DO143" s="67"/>
      <c r="DP143" s="67"/>
      <c r="DQ143" s="67"/>
      <c r="DR143" s="67"/>
      <c r="DS143" s="67"/>
      <c r="DT143" s="67"/>
      <c r="DU143" s="67"/>
      <c r="DV143" s="67"/>
      <c r="DW143" s="67"/>
      <c r="DX143" s="67"/>
      <c r="DY143" s="67"/>
      <c r="DZ143" s="67"/>
      <c r="EA143" s="67"/>
      <c r="EB143" s="67"/>
      <c r="EC143" s="67"/>
      <c r="ED143" s="67"/>
      <c r="EE143" s="67"/>
      <c r="EF143" s="67"/>
      <c r="EG143" s="67"/>
    </row>
    <row r="144" spans="1:137" ht="11.25" customHeight="1" x14ac:dyDescent="0.2">
      <c r="A144" s="2"/>
      <c r="B144" s="14"/>
      <c r="C144" s="14"/>
      <c r="D144" s="14"/>
      <c r="E144" s="67"/>
      <c r="F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67"/>
      <c r="BI144" s="67"/>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c r="DK144" s="67"/>
      <c r="DL144" s="67"/>
      <c r="DM144" s="67"/>
      <c r="DN144" s="67"/>
      <c r="DO144" s="67"/>
      <c r="DP144" s="67"/>
      <c r="DQ144" s="67"/>
      <c r="DR144" s="67"/>
      <c r="DS144" s="67"/>
      <c r="DT144" s="67"/>
      <c r="DU144" s="67"/>
      <c r="DV144" s="67"/>
      <c r="DW144" s="67"/>
      <c r="DX144" s="67"/>
      <c r="DY144" s="67"/>
      <c r="DZ144" s="67"/>
      <c r="EA144" s="67"/>
      <c r="EB144" s="67"/>
      <c r="EC144" s="67"/>
      <c r="ED144" s="67"/>
      <c r="EE144" s="67"/>
      <c r="EF144" s="67"/>
      <c r="EG144" s="67"/>
    </row>
    <row r="145" ht="11.25" customHeight="1" x14ac:dyDescent="0.2"/>
  </sheetData>
  <hyperlinks>
    <hyperlink ref="EG4" r:id="rId1"/>
  </hyperlinks>
  <pageMargins left="0" right="0" top="0" bottom="0" header="0" footer="0"/>
  <pageSetup scale="47" orientation="landscape" r:id="rId2"/>
  <ignoredErrors>
    <ignoredError sqref="AC44:CG46 EH79:EU144 CK79:DU144 EA44:EA46 EA35:EA36 CK35:DU36 EH35:EU36 AC35:CG36 EA37:EA43 CK37:DU43 EH37:EU43 AC37:CG43 CK44:DU46 EH44:EU46 EG35:EG47"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EP238"/>
  <sheetViews>
    <sheetView zoomScaleNormal="100" zoomScaleSheetLayoutView="70" workbookViewId="0">
      <pane xSplit="4" ySplit="8" topLeftCell="DD94" activePane="bottomRight" state="frozen"/>
      <selection activeCell="CE10" sqref="CE10"/>
      <selection pane="topRight" activeCell="CE10" sqref="CE10"/>
      <selection pane="bottomLeft" activeCell="CE10" sqref="CE10"/>
      <selection pane="bottomRight" sqref="A1:XFD1048576"/>
    </sheetView>
  </sheetViews>
  <sheetFormatPr defaultColWidth="8.7109375" defaultRowHeight="11.25" customHeight="1" outlineLevelRow="1" outlineLevelCol="1" x14ac:dyDescent="0.2"/>
  <cols>
    <col min="1" max="1" width="32.140625" style="45" bestFit="1" customWidth="1"/>
    <col min="2" max="3" width="0.85546875" style="45" hidden="1" customWidth="1"/>
    <col min="4" max="4" width="0.85546875" style="45" customWidth="1"/>
    <col min="5" max="5" width="8.140625" style="45" hidden="1" customWidth="1" outlineLevel="1"/>
    <col min="6" max="6" width="0.85546875" style="45" hidden="1" customWidth="1" outlineLevel="1"/>
    <col min="7" max="7" width="8.140625" style="45" hidden="1" customWidth="1" outlineLevel="1"/>
    <col min="8" max="8" width="0.85546875" style="45" hidden="1" customWidth="1" outlineLevel="1"/>
    <col min="9" max="9" width="8.140625" style="45" hidden="1" customWidth="1" outlineLevel="1"/>
    <col min="10" max="10" width="0.85546875" style="45" hidden="1" customWidth="1" outlineLevel="1"/>
    <col min="11" max="11" width="8.140625" style="45" hidden="1" customWidth="1" outlineLevel="1"/>
    <col min="12" max="12" width="0.85546875" style="45" hidden="1" customWidth="1" outlineLevel="1"/>
    <col min="13" max="17" width="8.140625" style="45" hidden="1" customWidth="1" outlineLevel="1"/>
    <col min="18" max="18" width="0.85546875" style="45" hidden="1" customWidth="1" outlineLevel="1"/>
    <col min="19" max="23" width="8.140625" style="45" hidden="1" customWidth="1" outlineLevel="1"/>
    <col min="24" max="24" width="0.85546875" style="45" hidden="1" customWidth="1" outlineLevel="1"/>
    <col min="25" max="29" width="8.140625" style="45" hidden="1" customWidth="1" outlineLevel="1"/>
    <col min="30" max="30" width="0.85546875" style="45" hidden="1" customWidth="1" outlineLevel="1"/>
    <col min="31" max="35" width="8.140625" style="45" hidden="1" customWidth="1" outlineLevel="1"/>
    <col min="36" max="36" width="0.85546875" style="45" hidden="1" customWidth="1" outlineLevel="1"/>
    <col min="37" max="41" width="8.140625" style="45" hidden="1" customWidth="1" outlineLevel="1"/>
    <col min="42" max="42" width="0.85546875" style="45" hidden="1" customWidth="1" outlineLevel="1"/>
    <col min="43" max="47" width="8.140625" style="45" hidden="1" customWidth="1" outlineLevel="1"/>
    <col min="48" max="48" width="0.85546875" style="45" hidden="1" customWidth="1" outlineLevel="1"/>
    <col min="49" max="53" width="8.140625" style="45" hidden="1" customWidth="1" outlineLevel="1"/>
    <col min="54" max="54" width="0.85546875" style="45" hidden="1" customWidth="1" outlineLevel="1"/>
    <col min="55" max="59" width="8.140625" style="45" hidden="1" customWidth="1" outlineLevel="1"/>
    <col min="60" max="60" width="0.85546875" style="45" hidden="1" customWidth="1" outlineLevel="1"/>
    <col min="61" max="65" width="8.140625" style="45" hidden="1" customWidth="1" outlineLevel="1"/>
    <col min="66" max="66" width="0.85546875" style="45" hidden="1" customWidth="1" outlineLevel="1"/>
    <col min="67" max="71" width="8.140625" style="45" hidden="1" customWidth="1" outlineLevel="1"/>
    <col min="72" max="72" width="0.85546875" style="45" hidden="1" customWidth="1" outlineLevel="1"/>
    <col min="73" max="77" width="8.140625" style="45" hidden="1" customWidth="1" outlineLevel="1"/>
    <col min="78" max="78" width="0.85546875" style="45" hidden="1" customWidth="1" outlineLevel="1"/>
    <col min="79" max="82" width="7.28515625" style="45" hidden="1" customWidth="1" outlineLevel="1"/>
    <col min="83" max="83" width="7.28515625" style="45" customWidth="1" collapsed="1"/>
    <col min="84" max="84" width="0.85546875" style="45" customWidth="1"/>
    <col min="85" max="88" width="7.28515625" style="45" hidden="1" customWidth="1" outlineLevel="1"/>
    <col min="89" max="89" width="7.28515625" style="45" customWidth="1" collapsed="1"/>
    <col min="90" max="90" width="0.85546875" style="45" customWidth="1"/>
    <col min="91" max="94" width="7.28515625" style="45" hidden="1" customWidth="1" outlineLevel="1"/>
    <col min="95" max="95" width="7.28515625" style="45" customWidth="1" collapsed="1"/>
    <col min="96" max="96" width="0.85546875" style="45" customWidth="1"/>
    <col min="97" max="100" width="7.28515625" style="45" hidden="1" customWidth="1" outlineLevel="1"/>
    <col min="101" max="101" width="7.28515625" style="45" customWidth="1" collapsed="1"/>
    <col min="102" max="102" width="0.85546875" style="45" customWidth="1"/>
    <col min="103" max="106" width="7.28515625" style="45" hidden="1" customWidth="1" outlineLevel="1"/>
    <col min="107" max="107" width="7.28515625" style="45" customWidth="1" collapsed="1"/>
    <col min="108" max="108" width="0.85546875" style="45" customWidth="1"/>
    <col min="109" max="112" width="7.28515625" style="45" customWidth="1" outlineLevel="1"/>
    <col min="113" max="113" width="7.28515625" style="45" customWidth="1"/>
    <col min="114" max="114" width="0.85546875" style="45" customWidth="1"/>
    <col min="115" max="118" width="7.28515625" style="45" customWidth="1" outlineLevel="1"/>
    <col min="119" max="119" width="7.28515625" style="45" customWidth="1"/>
    <col min="120" max="120" width="0.85546875" style="45" customWidth="1"/>
    <col min="121" max="124" width="7.28515625" style="45" customWidth="1" outlineLevel="1"/>
    <col min="125" max="125" width="7.28515625" style="45" customWidth="1"/>
    <col min="126" max="126" width="0.85546875" style="45" customWidth="1"/>
    <col min="127" max="130" width="7.28515625" style="45" customWidth="1" outlineLevel="1"/>
    <col min="131" max="131" width="7.28515625" style="45" customWidth="1"/>
    <col min="132" max="132" width="0.85546875" style="45" customWidth="1"/>
    <col min="133" max="136" width="7.28515625" style="45" customWidth="1" outlineLevel="1"/>
    <col min="137" max="137" width="7.28515625" style="45" customWidth="1"/>
    <col min="138" max="138" width="8.140625" style="45" customWidth="1"/>
    <col min="139" max="139" width="8.140625" style="481" customWidth="1"/>
    <col min="140" max="140" width="8.7109375" style="45" customWidth="1"/>
    <col min="141" max="141" width="26.28515625" customWidth="1" outlineLevel="1"/>
    <col min="142" max="146" width="8.7109375" customWidth="1" outlineLevel="1"/>
    <col min="147" max="273" width="8.7109375" style="45" customWidth="1"/>
    <col min="274" max="16384" width="8.7109375" style="45"/>
  </cols>
  <sheetData>
    <row r="1" spans="1:140" ht="12.75" customHeight="1" x14ac:dyDescent="0.2">
      <c r="A1" s="2"/>
      <c r="B1" s="2"/>
      <c r="C1" s="2"/>
      <c r="D1" s="2"/>
      <c r="E1" s="2"/>
      <c r="F1" s="2"/>
      <c r="G1" s="2"/>
      <c r="H1" s="2"/>
      <c r="I1" s="2"/>
      <c r="J1" s="2"/>
      <c r="K1" s="2"/>
      <c r="L1" s="2"/>
      <c r="M1" s="7"/>
      <c r="N1" s="7"/>
      <c r="O1" s="7"/>
      <c r="P1" s="7"/>
      <c r="Q1" s="2"/>
      <c r="R1" s="2"/>
      <c r="S1" s="7"/>
      <c r="T1" s="7"/>
      <c r="U1" s="7"/>
      <c r="V1" s="7"/>
      <c r="W1" s="7"/>
      <c r="X1" s="2"/>
      <c r="Y1" s="7"/>
      <c r="Z1" s="7"/>
      <c r="AA1" s="7"/>
      <c r="AB1" s="7"/>
      <c r="AC1" s="7"/>
      <c r="AD1" s="2"/>
      <c r="AE1" s="7"/>
      <c r="AF1" s="7"/>
      <c r="AG1" s="7"/>
      <c r="AH1" s="7"/>
      <c r="AI1" s="7"/>
      <c r="AJ1" s="2"/>
      <c r="AK1" s="7"/>
      <c r="AL1" s="7"/>
      <c r="AM1" s="7"/>
      <c r="AN1" s="7"/>
      <c r="AO1" s="7"/>
      <c r="AP1" s="2"/>
      <c r="AQ1" s="7"/>
      <c r="AR1" s="7"/>
      <c r="AS1" s="7"/>
      <c r="AT1" s="7"/>
      <c r="AU1" s="7"/>
      <c r="AV1" s="2"/>
      <c r="AW1" s="7"/>
      <c r="AX1" s="7"/>
      <c r="AY1" s="7"/>
      <c r="AZ1" s="7"/>
      <c r="BA1" s="7"/>
      <c r="BB1" s="2"/>
      <c r="BC1" s="7"/>
      <c r="BD1" s="7"/>
      <c r="BE1" s="7"/>
      <c r="BF1" s="7"/>
      <c r="BG1" s="7"/>
      <c r="BH1" s="2"/>
      <c r="BI1" s="7"/>
      <c r="BJ1" s="7"/>
      <c r="BK1" s="7"/>
      <c r="BL1" s="7"/>
      <c r="BM1" s="7"/>
      <c r="BN1" s="2"/>
      <c r="BO1" s="7"/>
      <c r="BP1" s="7"/>
      <c r="BQ1" s="7"/>
      <c r="BR1" s="7"/>
      <c r="BS1" s="7"/>
      <c r="BT1" s="2"/>
      <c r="BU1" s="7"/>
      <c r="BV1" s="7"/>
      <c r="BW1" s="7"/>
      <c r="BX1" s="7"/>
      <c r="BY1" s="7"/>
      <c r="BZ1" s="2"/>
      <c r="CA1" s="7"/>
      <c r="CB1" s="7"/>
      <c r="CC1" s="7"/>
      <c r="CD1" s="7"/>
      <c r="CE1" s="7"/>
      <c r="CF1" s="2"/>
      <c r="CG1" s="7"/>
      <c r="CH1" s="7"/>
      <c r="CI1" s="7"/>
      <c r="CJ1" s="7"/>
      <c r="CK1" s="7"/>
      <c r="CL1" s="2"/>
      <c r="CM1" s="7"/>
      <c r="CN1" s="7"/>
      <c r="CO1" s="7"/>
      <c r="CP1" s="7"/>
      <c r="CQ1" s="7"/>
      <c r="CR1" s="2"/>
      <c r="CS1" s="7"/>
      <c r="CT1" s="7"/>
      <c r="CU1" s="7"/>
      <c r="CV1" s="7"/>
      <c r="CW1" s="7"/>
      <c r="CX1" s="2"/>
      <c r="CY1" s="7"/>
      <c r="CZ1" s="7"/>
      <c r="DA1" s="7"/>
      <c r="DB1" s="7"/>
      <c r="DC1" s="7"/>
      <c r="DD1" s="2"/>
      <c r="DE1" s="7"/>
      <c r="DF1" s="7"/>
      <c r="DG1" s="7"/>
      <c r="DH1" s="7"/>
      <c r="DI1" s="7"/>
      <c r="DJ1" s="2"/>
      <c r="DK1" s="7"/>
      <c r="DL1" s="7"/>
      <c r="DM1" s="7"/>
      <c r="DN1" s="7"/>
      <c r="DO1" s="7"/>
      <c r="DP1" s="2"/>
      <c r="DQ1" s="7"/>
      <c r="DR1" s="7"/>
      <c r="DS1" s="7"/>
      <c r="DT1" s="7"/>
      <c r="DU1" s="7"/>
      <c r="DV1" s="2"/>
      <c r="DW1" s="7"/>
      <c r="DX1" s="7"/>
      <c r="DY1" s="7"/>
      <c r="DZ1" s="7"/>
      <c r="EA1" s="7"/>
      <c r="EB1" s="2"/>
      <c r="EC1" s="7"/>
      <c r="ED1" s="7"/>
      <c r="EE1" s="7"/>
      <c r="EF1" s="7"/>
      <c r="EG1" s="7"/>
      <c r="EH1" s="7"/>
      <c r="EI1" s="482"/>
      <c r="EJ1" s="7"/>
    </row>
    <row r="2" spans="1:140" ht="12.75" customHeight="1" x14ac:dyDescent="0.2">
      <c r="A2" s="3" t="s">
        <v>41</v>
      </c>
      <c r="B2" s="2"/>
      <c r="C2" s="2"/>
      <c r="D2" s="2"/>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c r="AJ2" s="30"/>
      <c r="AK2" s="7"/>
      <c r="AL2" s="7"/>
      <c r="AM2" s="7"/>
      <c r="AN2" s="7"/>
      <c r="AO2" s="30"/>
      <c r="AP2" s="30"/>
      <c r="AQ2" s="7"/>
      <c r="AR2" s="7"/>
      <c r="AS2" s="7"/>
      <c r="AT2" s="7"/>
      <c r="AU2" s="30"/>
      <c r="AV2" s="30"/>
      <c r="AW2" s="30"/>
      <c r="AX2" s="30"/>
      <c r="AY2" s="30"/>
      <c r="AZ2" s="7"/>
      <c r="BA2" s="7"/>
      <c r="BB2" s="30"/>
      <c r="BC2" s="7"/>
      <c r="BD2" s="7"/>
      <c r="BE2" s="7"/>
      <c r="BF2" s="7"/>
      <c r="BG2" s="7"/>
      <c r="BH2" s="30"/>
      <c r="BI2" s="7"/>
      <c r="BJ2" s="7"/>
      <c r="BK2" s="7"/>
      <c r="BL2" s="7"/>
      <c r="BM2" s="7"/>
      <c r="BN2" s="30"/>
      <c r="BO2" s="7"/>
      <c r="BP2" s="7"/>
      <c r="BQ2" s="7"/>
      <c r="BR2" s="7"/>
      <c r="BS2" s="7"/>
      <c r="BT2" s="30"/>
      <c r="BU2" s="2"/>
      <c r="BV2" s="2"/>
      <c r="BW2" s="2"/>
      <c r="BX2" s="2"/>
      <c r="BY2" s="2"/>
      <c r="BZ2" s="30"/>
      <c r="CA2" s="7"/>
      <c r="CB2" s="7"/>
      <c r="CC2" s="7"/>
      <c r="CD2" s="7"/>
      <c r="CE2" s="7"/>
      <c r="CF2" s="30"/>
      <c r="CG2" s="7"/>
      <c r="CH2" s="7"/>
      <c r="CI2" s="7"/>
      <c r="CJ2" s="7"/>
      <c r="CK2" s="7"/>
      <c r="CL2" s="30"/>
      <c r="CM2" s="7"/>
      <c r="CN2" s="7"/>
      <c r="CO2" s="7"/>
      <c r="CP2" s="7"/>
      <c r="CQ2" s="7"/>
      <c r="CR2" s="30"/>
      <c r="CS2" s="7"/>
      <c r="CT2" s="7"/>
      <c r="CU2" s="7"/>
      <c r="CV2" s="7"/>
      <c r="CW2" s="7"/>
      <c r="CX2" s="30"/>
      <c r="CY2" s="7"/>
      <c r="CZ2" s="7"/>
      <c r="DA2" s="7"/>
      <c r="DB2" s="7"/>
      <c r="DC2" s="7"/>
      <c r="DD2" s="30"/>
      <c r="DE2" s="7"/>
      <c r="DF2" s="7"/>
      <c r="DG2" s="7"/>
      <c r="DH2" s="7"/>
      <c r="DI2" s="7"/>
      <c r="DJ2" s="30"/>
      <c r="DK2" s="7"/>
      <c r="DL2" s="7"/>
      <c r="DM2" s="7"/>
      <c r="DN2" s="7"/>
      <c r="DO2" s="7"/>
      <c r="DP2" s="30"/>
      <c r="DQ2" s="7"/>
      <c r="DR2" s="7"/>
      <c r="DS2" s="7"/>
      <c r="DT2" s="7"/>
      <c r="DU2" s="7"/>
      <c r="DV2" s="30"/>
      <c r="DW2" s="7"/>
      <c r="DX2" s="7"/>
      <c r="DY2" s="7"/>
      <c r="DZ2" s="7"/>
      <c r="EA2" s="7"/>
      <c r="EB2" s="30"/>
      <c r="EC2" s="7"/>
      <c r="ED2" s="7"/>
      <c r="EE2" s="7"/>
      <c r="EF2" s="7"/>
      <c r="EG2" s="7" t="s">
        <v>222</v>
      </c>
      <c r="EH2" s="7"/>
      <c r="EI2" s="482"/>
      <c r="EJ2" s="7"/>
    </row>
    <row r="3" spans="1:140" ht="12.75" customHeight="1" x14ac:dyDescent="0.2">
      <c r="A3" s="3" t="s">
        <v>54</v>
      </c>
      <c r="B3" s="2"/>
      <c r="C3" s="2"/>
      <c r="D3" s="2"/>
      <c r="E3" s="2"/>
      <c r="F3" s="2"/>
      <c r="G3" s="2"/>
      <c r="H3" s="2"/>
      <c r="I3" s="2"/>
      <c r="J3" s="2"/>
      <c r="K3" s="2"/>
      <c r="L3" s="2"/>
      <c r="M3" s="7"/>
      <c r="N3" s="7"/>
      <c r="O3" s="7"/>
      <c r="P3" s="7"/>
      <c r="Q3" s="2"/>
      <c r="R3" s="2"/>
      <c r="S3" s="7"/>
      <c r="T3" s="7"/>
      <c r="U3" s="7"/>
      <c r="V3" s="7"/>
      <c r="W3" s="7"/>
      <c r="X3" s="2"/>
      <c r="Y3" s="7"/>
      <c r="Z3" s="7"/>
      <c r="AA3" s="7"/>
      <c r="AB3" s="7"/>
      <c r="AC3" s="7"/>
      <c r="AD3" s="2"/>
      <c r="AE3" s="7"/>
      <c r="AF3" s="7"/>
      <c r="AG3" s="7"/>
      <c r="AH3" s="7"/>
      <c r="AI3" s="7"/>
      <c r="AJ3" s="2"/>
      <c r="AK3" s="7"/>
      <c r="AL3" s="7"/>
      <c r="AM3" s="7"/>
      <c r="AN3" s="7"/>
      <c r="AO3" s="7"/>
      <c r="AP3" s="2"/>
      <c r="AQ3" s="7"/>
      <c r="AR3" s="7"/>
      <c r="AS3" s="7"/>
      <c r="AT3" s="7"/>
      <c r="AU3" s="7"/>
      <c r="AV3" s="2"/>
      <c r="AW3" s="7"/>
      <c r="AX3" s="7"/>
      <c r="AY3" s="7"/>
      <c r="AZ3" s="7"/>
      <c r="BA3" s="7"/>
      <c r="BB3" s="2"/>
      <c r="BC3" s="7"/>
      <c r="BD3" s="7"/>
      <c r="BE3" s="7"/>
      <c r="BF3" s="7"/>
      <c r="BG3" s="7"/>
      <c r="BH3" s="2"/>
      <c r="BI3" s="7"/>
      <c r="BJ3" s="7"/>
      <c r="BK3" s="7"/>
      <c r="BL3" s="7"/>
      <c r="BM3" s="7"/>
      <c r="BN3" s="2"/>
      <c r="BO3" s="7"/>
      <c r="BP3" s="7"/>
      <c r="BQ3" s="7"/>
      <c r="BR3" s="7"/>
      <c r="BS3" s="7"/>
      <c r="BT3" s="2"/>
      <c r="BU3" s="2"/>
      <c r="BV3" s="2"/>
      <c r="BW3" s="2"/>
      <c r="BX3" s="2"/>
      <c r="BY3" s="2"/>
      <c r="BZ3" s="2"/>
      <c r="CA3" s="7"/>
      <c r="CB3" s="7"/>
      <c r="CC3" s="7"/>
      <c r="CD3" s="7"/>
      <c r="CE3" s="7"/>
      <c r="CF3" s="2"/>
      <c r="CG3" s="7"/>
      <c r="CH3" s="7"/>
      <c r="CI3" s="7"/>
      <c r="CJ3" s="7"/>
      <c r="CK3" s="7"/>
      <c r="CL3" s="2"/>
      <c r="CM3" s="7"/>
      <c r="CN3" s="7"/>
      <c r="CO3" s="7"/>
      <c r="CP3" s="7"/>
      <c r="CQ3" s="7"/>
      <c r="CR3" s="2"/>
      <c r="CS3" s="7"/>
      <c r="CT3" s="7"/>
      <c r="CU3" s="7"/>
      <c r="CV3" s="7"/>
      <c r="CW3" s="7"/>
      <c r="CX3" s="2"/>
      <c r="CY3" s="7"/>
      <c r="CZ3" s="7"/>
      <c r="DA3" s="7"/>
      <c r="DB3" s="7"/>
      <c r="DC3" s="7"/>
      <c r="DD3" s="2"/>
      <c r="DE3" s="7"/>
      <c r="DF3" s="7"/>
      <c r="DG3" s="7"/>
      <c r="DH3" s="7"/>
      <c r="DI3" s="7"/>
      <c r="DJ3" s="2"/>
      <c r="DK3" s="7"/>
      <c r="DL3" s="7"/>
      <c r="DM3" s="7"/>
      <c r="DN3" s="7"/>
      <c r="DO3" s="7"/>
      <c r="DP3" s="2"/>
      <c r="DQ3" s="7"/>
      <c r="DR3" s="7"/>
      <c r="DS3" s="7"/>
      <c r="DT3" s="7"/>
      <c r="DU3" s="7"/>
      <c r="DV3" s="2"/>
      <c r="DW3" s="7"/>
      <c r="DX3" s="7"/>
      <c r="DY3" s="7"/>
      <c r="DZ3" s="7"/>
      <c r="EA3" s="7"/>
      <c r="EB3" s="2"/>
      <c r="EC3" s="7"/>
      <c r="ED3" s="7"/>
      <c r="EE3" s="7"/>
      <c r="EF3" s="7"/>
      <c r="EG3" s="7" t="s">
        <v>223</v>
      </c>
      <c r="EH3" s="7"/>
      <c r="EI3" s="482"/>
      <c r="EJ3" s="7"/>
    </row>
    <row r="4" spans="1:140" ht="12.75" customHeight="1" x14ac:dyDescent="0.2">
      <c r="A4" s="2" t="s">
        <v>228</v>
      </c>
      <c r="B4" s="2"/>
      <c r="C4" s="2"/>
      <c r="D4" s="2"/>
      <c r="E4" s="2"/>
      <c r="F4" s="2"/>
      <c r="G4" s="2"/>
      <c r="H4" s="2"/>
      <c r="I4" s="2"/>
      <c r="J4" s="2"/>
      <c r="K4" s="2"/>
      <c r="L4" s="2"/>
      <c r="M4" s="7"/>
      <c r="N4" s="7"/>
      <c r="O4" s="7"/>
      <c r="P4" s="7"/>
      <c r="Q4" s="2"/>
      <c r="R4" s="2"/>
      <c r="S4" s="7"/>
      <c r="T4" s="7"/>
      <c r="U4" s="7"/>
      <c r="V4" s="7"/>
      <c r="W4" s="7"/>
      <c r="X4" s="2"/>
      <c r="Y4" s="7"/>
      <c r="Z4" s="7"/>
      <c r="AA4" s="7"/>
      <c r="AB4" s="7"/>
      <c r="AC4" s="7"/>
      <c r="AD4" s="2"/>
      <c r="AE4" s="7"/>
      <c r="AF4" s="7"/>
      <c r="AG4" s="7"/>
      <c r="AH4" s="7"/>
      <c r="AI4" s="7"/>
      <c r="AJ4" s="2"/>
      <c r="AK4" s="7"/>
      <c r="AL4" s="7"/>
      <c r="AM4" s="7"/>
      <c r="AN4" s="7"/>
      <c r="AO4" s="7"/>
      <c r="AP4" s="2"/>
      <c r="AQ4" s="7"/>
      <c r="AR4" s="7"/>
      <c r="AS4" s="7"/>
      <c r="AT4" s="7"/>
      <c r="AU4" s="7"/>
      <c r="AV4" s="2"/>
      <c r="AW4" s="7"/>
      <c r="AX4" s="7"/>
      <c r="AY4" s="7"/>
      <c r="AZ4" s="7"/>
      <c r="BA4" s="7"/>
      <c r="BB4" s="2"/>
      <c r="BC4" s="7"/>
      <c r="BD4" s="7"/>
      <c r="BE4" s="7"/>
      <c r="BF4" s="7"/>
      <c r="BG4" s="7"/>
      <c r="BH4" s="2"/>
      <c r="BI4" s="7"/>
      <c r="BJ4" s="7"/>
      <c r="BK4" s="7"/>
      <c r="BL4" s="7"/>
      <c r="BM4" s="7"/>
      <c r="BN4" s="2"/>
      <c r="BO4" s="7"/>
      <c r="BP4" s="7"/>
      <c r="BQ4" s="7"/>
      <c r="BR4" s="7"/>
      <c r="BS4" s="7"/>
      <c r="BT4" s="2"/>
      <c r="BU4" s="2"/>
      <c r="BV4" s="2"/>
      <c r="BW4" s="2"/>
      <c r="BX4" s="2"/>
      <c r="BY4" s="2"/>
      <c r="BZ4" s="2"/>
      <c r="CA4" s="7"/>
      <c r="CB4" s="7"/>
      <c r="CC4" s="7"/>
      <c r="CD4" s="7"/>
      <c r="CE4" s="7"/>
      <c r="CF4" s="2"/>
      <c r="CG4" s="7"/>
      <c r="CH4" s="7"/>
      <c r="CI4" s="7"/>
      <c r="CJ4" s="7"/>
      <c r="CK4" s="7"/>
      <c r="CL4" s="2"/>
      <c r="CM4" s="7"/>
      <c r="CN4" s="7"/>
      <c r="CO4" s="7"/>
      <c r="CP4" s="7"/>
      <c r="CQ4" s="7"/>
      <c r="CR4" s="2"/>
      <c r="CS4" s="7"/>
      <c r="CT4" s="7"/>
      <c r="CU4" s="7"/>
      <c r="CV4" s="7"/>
      <c r="CW4" s="7"/>
      <c r="CX4" s="2"/>
      <c r="CY4" s="7"/>
      <c r="CZ4" s="7"/>
      <c r="DA4" s="7"/>
      <c r="DB4" s="7"/>
      <c r="DC4" s="7"/>
      <c r="DD4" s="2"/>
      <c r="DE4" s="7"/>
      <c r="DF4" s="7"/>
      <c r="DG4" s="7"/>
      <c r="DH4" s="7"/>
      <c r="DI4" s="7"/>
      <c r="DJ4" s="2"/>
      <c r="DK4" s="7"/>
      <c r="DL4" s="7"/>
      <c r="DM4" s="7"/>
      <c r="DN4" s="7"/>
      <c r="DO4" s="7"/>
      <c r="DP4" s="2"/>
      <c r="DQ4" s="7"/>
      <c r="DR4" s="7"/>
      <c r="DS4" s="7"/>
      <c r="DT4" s="7"/>
      <c r="DU4" s="64"/>
      <c r="DV4" s="2"/>
      <c r="DW4" s="7"/>
      <c r="DX4" s="7"/>
      <c r="DY4" s="7"/>
      <c r="DZ4" s="7"/>
      <c r="EA4" s="64"/>
      <c r="EB4" s="2"/>
      <c r="EC4" s="7"/>
      <c r="ED4" s="7"/>
      <c r="EE4" s="7"/>
      <c r="EF4" s="7"/>
      <c r="EG4" s="64" t="s">
        <v>232</v>
      </c>
      <c r="EH4" s="7"/>
      <c r="EI4" s="482"/>
      <c r="EJ4" s="7"/>
    </row>
    <row r="5" spans="1:140" ht="12.75" customHeight="1" x14ac:dyDescent="0.2">
      <c r="A5" s="2" t="s">
        <v>229</v>
      </c>
      <c r="B5" s="2"/>
      <c r="C5" s="2"/>
      <c r="D5" s="2"/>
      <c r="E5" s="4"/>
      <c r="F5" s="4"/>
      <c r="G5" s="4"/>
      <c r="H5" s="4"/>
      <c r="I5" s="4"/>
      <c r="J5" s="4"/>
      <c r="K5" s="4"/>
      <c r="L5" s="4"/>
      <c r="M5" s="7"/>
      <c r="N5" s="7"/>
      <c r="O5" s="7"/>
      <c r="P5" s="7"/>
      <c r="Q5" s="4"/>
      <c r="R5" s="4"/>
      <c r="S5" s="7"/>
      <c r="T5" s="7"/>
      <c r="U5" s="7"/>
      <c r="V5" s="7"/>
      <c r="W5" s="7"/>
      <c r="X5" s="4"/>
      <c r="Y5" s="7"/>
      <c r="Z5" s="7"/>
      <c r="AA5" s="7"/>
      <c r="AB5" s="7"/>
      <c r="AC5" s="7"/>
      <c r="AD5" s="4"/>
      <c r="AE5" s="7"/>
      <c r="AF5" s="7"/>
      <c r="AG5" s="7"/>
      <c r="AH5" s="7"/>
      <c r="AI5" s="7"/>
      <c r="AJ5" s="4"/>
      <c r="AK5" s="7"/>
      <c r="AL5" s="7"/>
      <c r="AM5" s="7"/>
      <c r="AN5" s="7"/>
      <c r="AO5" s="7"/>
      <c r="AP5" s="4"/>
      <c r="AQ5" s="7"/>
      <c r="AR5" s="7"/>
      <c r="AS5" s="7"/>
      <c r="AT5" s="7"/>
      <c r="AU5" s="7"/>
      <c r="AV5" s="4"/>
      <c r="AW5" s="7"/>
      <c r="AX5" s="7"/>
      <c r="AY5" s="7"/>
      <c r="AZ5" s="7"/>
      <c r="BA5" s="7"/>
      <c r="BB5" s="4"/>
      <c r="BC5" s="7"/>
      <c r="BD5" s="7"/>
      <c r="BE5" s="7"/>
      <c r="BF5" s="7"/>
      <c r="BG5" s="7"/>
      <c r="BH5" s="4"/>
      <c r="BI5" s="7"/>
      <c r="BJ5" s="7"/>
      <c r="BK5" s="7"/>
      <c r="BL5" s="7"/>
      <c r="BM5" s="7"/>
      <c r="BN5" s="4"/>
      <c r="BO5" s="7"/>
      <c r="BP5" s="7"/>
      <c r="BQ5" s="7"/>
      <c r="BR5" s="7"/>
      <c r="BS5" s="7"/>
      <c r="BT5" s="4"/>
      <c r="BU5" s="2"/>
      <c r="BV5" s="2"/>
      <c r="BW5" s="2"/>
      <c r="BX5" s="2"/>
      <c r="BY5" s="2"/>
      <c r="BZ5" s="4"/>
      <c r="CA5" s="7"/>
      <c r="CB5" s="7"/>
      <c r="CC5" s="7"/>
      <c r="CD5" s="7"/>
      <c r="CE5" s="7"/>
      <c r="CF5" s="4"/>
      <c r="CG5" s="7"/>
      <c r="CH5" s="7"/>
      <c r="CI5" s="7"/>
      <c r="CJ5" s="7"/>
      <c r="CK5" s="7"/>
      <c r="CL5" s="4"/>
      <c r="CM5" s="7"/>
      <c r="CN5" s="7"/>
      <c r="CO5" s="7"/>
      <c r="CP5" s="7"/>
      <c r="CQ5" s="7"/>
      <c r="CR5" s="4"/>
      <c r="CS5" s="7"/>
      <c r="CT5" s="7"/>
      <c r="CU5" s="7"/>
      <c r="CV5" s="7"/>
      <c r="CW5" s="7"/>
      <c r="CX5" s="4"/>
      <c r="CY5" s="7"/>
      <c r="CZ5" s="7"/>
      <c r="DA5" s="7"/>
      <c r="DB5" s="7"/>
      <c r="DC5" s="7"/>
      <c r="DD5" s="4"/>
      <c r="DE5" s="7"/>
      <c r="DF5" s="7"/>
      <c r="DG5" s="7"/>
      <c r="DH5" s="7"/>
      <c r="DI5" s="7"/>
      <c r="DJ5" s="4"/>
      <c r="DK5" s="7"/>
      <c r="DL5" s="7"/>
      <c r="DM5" s="7"/>
      <c r="DN5" s="7"/>
      <c r="DO5" s="7"/>
      <c r="DP5" s="4"/>
      <c r="DQ5" s="7"/>
      <c r="DR5" s="7"/>
      <c r="DS5" s="7"/>
      <c r="DT5" s="7"/>
      <c r="DU5" s="7"/>
      <c r="DV5" s="4"/>
      <c r="DW5" s="7"/>
      <c r="DX5" s="7"/>
      <c r="DY5" s="7"/>
      <c r="DZ5" s="7"/>
      <c r="EA5" s="7"/>
      <c r="EB5" s="4"/>
      <c r="EC5" s="7"/>
      <c r="ED5" s="7"/>
      <c r="EE5" s="7"/>
      <c r="EF5" s="7"/>
      <c r="EG5" s="7"/>
      <c r="EH5" s="7"/>
      <c r="EI5" s="482"/>
      <c r="EJ5" s="7"/>
    </row>
    <row r="6" spans="1:140" ht="12.75" customHeight="1" x14ac:dyDescent="0.2">
      <c r="A6" s="2"/>
      <c r="B6" s="2"/>
      <c r="C6" s="2"/>
      <c r="D6" s="2"/>
      <c r="E6" s="4"/>
      <c r="F6" s="4"/>
      <c r="G6" s="4"/>
      <c r="H6" s="4"/>
      <c r="I6" s="4"/>
      <c r="J6" s="4"/>
      <c r="K6" s="4"/>
      <c r="L6" s="4"/>
      <c r="M6" s="7"/>
      <c r="N6" s="7"/>
      <c r="O6" s="7"/>
      <c r="P6" s="7"/>
      <c r="Q6" s="4"/>
      <c r="R6" s="4"/>
      <c r="S6" s="7"/>
      <c r="T6" s="7"/>
      <c r="U6" s="7"/>
      <c r="V6" s="7"/>
      <c r="W6" s="7"/>
      <c r="X6" s="4"/>
      <c r="Y6" s="7"/>
      <c r="Z6" s="7"/>
      <c r="AA6" s="7"/>
      <c r="AB6" s="7"/>
      <c r="AC6" s="7"/>
      <c r="AD6" s="4"/>
      <c r="AE6" s="7"/>
      <c r="AF6" s="7"/>
      <c r="AG6" s="7"/>
      <c r="AH6" s="7"/>
      <c r="AI6" s="7"/>
      <c r="AJ6" s="4"/>
      <c r="AK6" s="7"/>
      <c r="AL6" s="7"/>
      <c r="AM6" s="7"/>
      <c r="AN6" s="7"/>
      <c r="AO6" s="7"/>
      <c r="AP6" s="4"/>
      <c r="AQ6" s="7"/>
      <c r="AR6" s="7"/>
      <c r="AS6" s="7"/>
      <c r="AT6" s="7"/>
      <c r="AU6" s="7"/>
      <c r="AV6" s="4"/>
      <c r="AW6" s="7"/>
      <c r="AX6" s="7"/>
      <c r="AY6" s="7"/>
      <c r="AZ6" s="7"/>
      <c r="BA6" s="7"/>
      <c r="BB6" s="4"/>
      <c r="BC6" s="7"/>
      <c r="BD6" s="7"/>
      <c r="BE6" s="7"/>
      <c r="BF6" s="7"/>
      <c r="BG6" s="7"/>
      <c r="BH6" s="4"/>
      <c r="BI6" s="7"/>
      <c r="BJ6" s="7"/>
      <c r="BK6" s="7"/>
      <c r="BL6" s="7"/>
      <c r="BM6" s="7"/>
      <c r="BN6" s="4"/>
      <c r="BO6" s="7"/>
      <c r="BP6" s="7"/>
      <c r="BQ6" s="7"/>
      <c r="BR6" s="7"/>
      <c r="BS6" s="7"/>
      <c r="BT6" s="4"/>
      <c r="BU6" s="7"/>
      <c r="BV6" s="7"/>
      <c r="BW6" s="7"/>
      <c r="BX6" s="7"/>
      <c r="BY6" s="7"/>
      <c r="BZ6" s="4"/>
      <c r="CA6" s="7"/>
      <c r="CB6" s="7"/>
      <c r="CC6" s="7"/>
      <c r="CD6" s="7"/>
      <c r="CE6" s="7"/>
      <c r="CF6" s="4"/>
      <c r="CG6" s="7"/>
      <c r="CH6" s="7"/>
      <c r="CI6" s="7"/>
      <c r="CJ6" s="7"/>
      <c r="CK6" s="7"/>
      <c r="CL6" s="4"/>
      <c r="CM6" s="7"/>
      <c r="CN6" s="7"/>
      <c r="CO6" s="7"/>
      <c r="CP6" s="7"/>
      <c r="CQ6" s="7"/>
      <c r="CR6" s="4"/>
      <c r="CS6" s="7"/>
      <c r="CT6" s="7"/>
      <c r="CU6" s="7"/>
      <c r="CV6" s="7"/>
      <c r="CW6" s="7"/>
      <c r="CX6" s="4"/>
      <c r="CY6" s="7"/>
      <c r="CZ6" s="7"/>
      <c r="DA6" s="7"/>
      <c r="DB6" s="7"/>
      <c r="DC6" s="18"/>
      <c r="DD6" s="4"/>
      <c r="DE6" s="7"/>
      <c r="DF6" s="7"/>
      <c r="DG6" s="7"/>
      <c r="DH6" s="7"/>
      <c r="DI6" s="18"/>
      <c r="DJ6" s="4"/>
      <c r="DK6" s="18"/>
      <c r="DL6" s="18"/>
      <c r="DM6" s="18"/>
      <c r="DN6" s="18"/>
      <c r="DO6" s="18"/>
      <c r="DP6" s="4"/>
      <c r="DQ6" s="18"/>
      <c r="DR6" s="18"/>
      <c r="DS6" s="18"/>
      <c r="DT6" s="18"/>
      <c r="DU6" s="18"/>
      <c r="DV6" s="4"/>
      <c r="DW6" s="18"/>
      <c r="DX6" s="18"/>
      <c r="DY6" s="18"/>
      <c r="DZ6" s="18"/>
      <c r="EA6" s="18"/>
      <c r="EB6" s="4"/>
      <c r="EC6" s="18"/>
      <c r="ED6" s="18"/>
      <c r="EE6" s="18"/>
      <c r="EF6" s="18"/>
      <c r="EG6" s="18"/>
      <c r="EH6" s="18"/>
      <c r="EI6" s="483"/>
      <c r="EJ6" s="18"/>
    </row>
    <row r="7" spans="1:140" ht="11.25" customHeight="1" x14ac:dyDescent="0.2">
      <c r="A7" s="129" t="s">
        <v>54</v>
      </c>
      <c r="B7" s="2"/>
      <c r="C7" s="2"/>
      <c r="D7" s="2"/>
      <c r="E7" s="46">
        <v>1997</v>
      </c>
      <c r="F7" s="63"/>
      <c r="G7" s="46">
        <v>1998</v>
      </c>
      <c r="H7" s="63"/>
      <c r="I7" s="46">
        <v>1999</v>
      </c>
      <c r="J7" s="63"/>
      <c r="K7" s="46">
        <f>2000</f>
        <v>2000</v>
      </c>
      <c r="L7" s="63"/>
      <c r="M7" s="78">
        <v>2001</v>
      </c>
      <c r="N7" s="48"/>
      <c r="O7" s="48"/>
      <c r="P7" s="48"/>
      <c r="Q7" s="46">
        <f>2000+1</f>
        <v>2001</v>
      </c>
      <c r="R7" s="63"/>
      <c r="S7" s="78">
        <f>M7+1</f>
        <v>2002</v>
      </c>
      <c r="T7" s="48"/>
      <c r="U7" s="48"/>
      <c r="V7" s="48"/>
      <c r="W7" s="46">
        <f>Q7+1</f>
        <v>2002</v>
      </c>
      <c r="X7" s="63"/>
      <c r="Y7" s="78">
        <f>S7+1</f>
        <v>2003</v>
      </c>
      <c r="Z7" s="48"/>
      <c r="AA7" s="48"/>
      <c r="AB7" s="48"/>
      <c r="AC7" s="46">
        <f>W7+1</f>
        <v>2003</v>
      </c>
      <c r="AD7" s="63"/>
      <c r="AE7" s="78">
        <f>Y7+1</f>
        <v>2004</v>
      </c>
      <c r="AF7" s="48"/>
      <c r="AG7" s="48"/>
      <c r="AH7" s="48"/>
      <c r="AI7" s="46">
        <f>AC7+1</f>
        <v>2004</v>
      </c>
      <c r="AJ7" s="63"/>
      <c r="AK7" s="78">
        <f>AE7+1</f>
        <v>2005</v>
      </c>
      <c r="AL7" s="48"/>
      <c r="AM7" s="48"/>
      <c r="AN7" s="48"/>
      <c r="AO7" s="46">
        <f>AI7+1</f>
        <v>2005</v>
      </c>
      <c r="AP7" s="63"/>
      <c r="AQ7" s="78">
        <f>AK7+1</f>
        <v>2006</v>
      </c>
      <c r="AR7" s="48"/>
      <c r="AS7" s="48"/>
      <c r="AT7" s="48"/>
      <c r="AU7" s="46">
        <f>AO7+1</f>
        <v>2006</v>
      </c>
      <c r="AV7" s="63"/>
      <c r="AW7" s="78">
        <f>AQ7+1</f>
        <v>2007</v>
      </c>
      <c r="AX7" s="48"/>
      <c r="AY7" s="48"/>
      <c r="AZ7" s="48"/>
      <c r="BA7" s="46">
        <f>AU7+1</f>
        <v>2007</v>
      </c>
      <c r="BB7" s="63"/>
      <c r="BC7" s="78">
        <f>AW7+1</f>
        <v>2008</v>
      </c>
      <c r="BD7" s="48"/>
      <c r="BE7" s="48"/>
      <c r="BF7" s="48"/>
      <c r="BG7" s="46">
        <f>BA7+1</f>
        <v>2008</v>
      </c>
      <c r="BH7" s="63"/>
      <c r="BI7" s="78">
        <f>BC7+1</f>
        <v>2009</v>
      </c>
      <c r="BJ7" s="48"/>
      <c r="BK7" s="48"/>
      <c r="BL7" s="48"/>
      <c r="BM7" s="46">
        <f>BG7+1</f>
        <v>2009</v>
      </c>
      <c r="BN7" s="63"/>
      <c r="BO7" s="78">
        <f>BI7+1</f>
        <v>2010</v>
      </c>
      <c r="BP7" s="48"/>
      <c r="BQ7" s="48"/>
      <c r="BR7" s="48"/>
      <c r="BS7" s="46">
        <f>BM7+1</f>
        <v>2010</v>
      </c>
      <c r="BT7" s="63"/>
      <c r="BU7" s="78">
        <f>BO7+1</f>
        <v>2011</v>
      </c>
      <c r="BV7" s="48"/>
      <c r="BW7" s="48"/>
      <c r="BX7" s="48"/>
      <c r="BY7" s="46">
        <f>BS7+1</f>
        <v>2011</v>
      </c>
      <c r="BZ7" s="63"/>
      <c r="CA7" s="78">
        <f>BU7+1</f>
        <v>2012</v>
      </c>
      <c r="CB7" s="48"/>
      <c r="CC7" s="48"/>
      <c r="CD7" s="48"/>
      <c r="CE7" s="46">
        <f>BY7+1</f>
        <v>2012</v>
      </c>
      <c r="CF7" s="63"/>
      <c r="CG7" s="78">
        <f>CA7+1</f>
        <v>2013</v>
      </c>
      <c r="CH7" s="48"/>
      <c r="CI7" s="48"/>
      <c r="CJ7" s="48"/>
      <c r="CK7" s="46">
        <f>CE7+1</f>
        <v>2013</v>
      </c>
      <c r="CL7" s="63"/>
      <c r="CM7" s="78">
        <f>CG7+1</f>
        <v>2014</v>
      </c>
      <c r="CN7" s="48"/>
      <c r="CO7" s="48"/>
      <c r="CP7" s="48"/>
      <c r="CQ7" s="46">
        <f>CK7+1</f>
        <v>2014</v>
      </c>
      <c r="CR7" s="63"/>
      <c r="CS7" s="78">
        <f>CM7+1</f>
        <v>2015</v>
      </c>
      <c r="CT7" s="48"/>
      <c r="CU7" s="48"/>
      <c r="CV7" s="48"/>
      <c r="CW7" s="46">
        <f>CQ7+1</f>
        <v>2015</v>
      </c>
      <c r="CX7" s="63"/>
      <c r="CY7" s="78">
        <f>CS7+1</f>
        <v>2016</v>
      </c>
      <c r="CZ7" s="48"/>
      <c r="DA7" s="48"/>
      <c r="DB7" s="48"/>
      <c r="DC7" s="46">
        <f>CW7+1</f>
        <v>2016</v>
      </c>
      <c r="DD7" s="63"/>
      <c r="DE7" s="78">
        <f>CY7+1</f>
        <v>2017</v>
      </c>
      <c r="DF7" s="48"/>
      <c r="DG7" s="48"/>
      <c r="DH7" s="48"/>
      <c r="DI7" s="46">
        <f>DC7+1</f>
        <v>2017</v>
      </c>
      <c r="DJ7" s="63"/>
      <c r="DK7" s="88">
        <f>DE7+1</f>
        <v>2018</v>
      </c>
      <c r="DL7" s="48"/>
      <c r="DM7" s="48"/>
      <c r="DN7" s="48"/>
      <c r="DO7" s="98">
        <f>DI7+1</f>
        <v>2018</v>
      </c>
      <c r="DP7" s="63"/>
      <c r="DQ7" s="88">
        <f>DK7+1</f>
        <v>2019</v>
      </c>
      <c r="DR7" s="48"/>
      <c r="DS7" s="48"/>
      <c r="DT7" s="48"/>
      <c r="DU7" s="98">
        <f>DO7+1</f>
        <v>2019</v>
      </c>
      <c r="DV7" s="63"/>
      <c r="DW7" s="88">
        <f>DQ7+1</f>
        <v>2020</v>
      </c>
      <c r="DX7" s="48"/>
      <c r="DY7" s="48"/>
      <c r="DZ7" s="48"/>
      <c r="EA7" s="98">
        <f>DU7+1</f>
        <v>2020</v>
      </c>
      <c r="EB7" s="63"/>
      <c r="EC7" s="88">
        <f>DW7+1</f>
        <v>2021</v>
      </c>
      <c r="ED7" s="48"/>
      <c r="EE7" s="48"/>
      <c r="EF7" s="48"/>
      <c r="EG7" s="98">
        <f>EA7+1</f>
        <v>2021</v>
      </c>
      <c r="EH7" s="7"/>
      <c r="EI7" s="489"/>
      <c r="EJ7" s="7"/>
    </row>
    <row r="8" spans="1:140" ht="11.25" customHeight="1" x14ac:dyDescent="0.2">
      <c r="A8" s="51"/>
      <c r="B8" s="2"/>
      <c r="C8" s="2"/>
      <c r="D8" s="2"/>
      <c r="E8" s="89"/>
      <c r="F8" s="58"/>
      <c r="G8" s="89"/>
      <c r="H8" s="58"/>
      <c r="I8" s="89"/>
      <c r="J8" s="58"/>
      <c r="K8" s="89"/>
      <c r="L8" s="58"/>
      <c r="M8" s="79">
        <v>36981</v>
      </c>
      <c r="N8" s="66">
        <f>M8+FLOOR(365/4,1)</f>
        <v>37072</v>
      </c>
      <c r="O8" s="66">
        <f>N8+FLOOR(365/4,1)+1</f>
        <v>37164</v>
      </c>
      <c r="P8" s="66">
        <f>O8+FLOOR(365/4,1)+1</f>
        <v>37256</v>
      </c>
      <c r="Q8" s="97"/>
      <c r="R8" s="58"/>
      <c r="S8" s="79">
        <f>M8+365</f>
        <v>37346</v>
      </c>
      <c r="T8" s="66">
        <f>S8+FLOOR(365/4,1)</f>
        <v>37437</v>
      </c>
      <c r="U8" s="66">
        <f>T8+FLOOR(365/4,1)+1</f>
        <v>37529</v>
      </c>
      <c r="V8" s="66">
        <f>U8+FLOOR(365/4,1)+1</f>
        <v>37621</v>
      </c>
      <c r="W8" s="97"/>
      <c r="X8" s="58"/>
      <c r="Y8" s="79">
        <f>S8+365</f>
        <v>37711</v>
      </c>
      <c r="Z8" s="66">
        <f>Y8+FLOOR(365/4,1)</f>
        <v>37802</v>
      </c>
      <c r="AA8" s="66">
        <f>Z8+FLOOR(365/4,1)+1</f>
        <v>37894</v>
      </c>
      <c r="AB8" s="66">
        <f>AA8+FLOOR(365/4,1)+1</f>
        <v>37986</v>
      </c>
      <c r="AC8" s="97"/>
      <c r="AD8" s="58"/>
      <c r="AE8" s="79">
        <f>Y8+365</f>
        <v>38076</v>
      </c>
      <c r="AF8" s="66">
        <f>AE8+FLOOR(365/4,1)</f>
        <v>38167</v>
      </c>
      <c r="AG8" s="66">
        <f>AF8+FLOOR(365/4,1)+1</f>
        <v>38259</v>
      </c>
      <c r="AH8" s="66">
        <f>AG8+FLOOR(365/4,1)+1</f>
        <v>38351</v>
      </c>
      <c r="AI8" s="97"/>
      <c r="AJ8" s="58"/>
      <c r="AK8" s="79">
        <f>AE8+365</f>
        <v>38441</v>
      </c>
      <c r="AL8" s="66">
        <f>AK8+FLOOR(365/4,1)</f>
        <v>38532</v>
      </c>
      <c r="AM8" s="66">
        <f>AL8+FLOOR(365/4,1)+1</f>
        <v>38624</v>
      </c>
      <c r="AN8" s="66">
        <f>AM8+FLOOR(365/4,1)+1</f>
        <v>38716</v>
      </c>
      <c r="AO8" s="97"/>
      <c r="AP8" s="58"/>
      <c r="AQ8" s="79">
        <f>AK8+365</f>
        <v>38806</v>
      </c>
      <c r="AR8" s="66">
        <f>AQ8+FLOOR(365/4,1)</f>
        <v>38897</v>
      </c>
      <c r="AS8" s="66">
        <f>AR8+FLOOR(365/4,1)+1</f>
        <v>38989</v>
      </c>
      <c r="AT8" s="66">
        <f>AS8+FLOOR(365/4,1)+1</f>
        <v>39081</v>
      </c>
      <c r="AU8" s="97"/>
      <c r="AV8" s="58"/>
      <c r="AW8" s="79">
        <f>AQ8+365</f>
        <v>39171</v>
      </c>
      <c r="AX8" s="66">
        <f>AW8+FLOOR(365/4,1)</f>
        <v>39262</v>
      </c>
      <c r="AY8" s="66">
        <f>AX8+FLOOR(365/4,1)+1</f>
        <v>39354</v>
      </c>
      <c r="AZ8" s="66">
        <f>AY8+FLOOR(365/4,1)+1</f>
        <v>39446</v>
      </c>
      <c r="BA8" s="97"/>
      <c r="BB8" s="58"/>
      <c r="BC8" s="79">
        <f>AW8+365</f>
        <v>39536</v>
      </c>
      <c r="BD8" s="66">
        <f>BC8+FLOOR(365/4,1)</f>
        <v>39627</v>
      </c>
      <c r="BE8" s="66">
        <f>BD8+FLOOR(365/4,1)+1</f>
        <v>39719</v>
      </c>
      <c r="BF8" s="66">
        <f>BE8+FLOOR(365/4,1)+1</f>
        <v>39811</v>
      </c>
      <c r="BG8" s="97"/>
      <c r="BH8" s="58"/>
      <c r="BI8" s="79">
        <f>BC8+365</f>
        <v>39901</v>
      </c>
      <c r="BJ8" s="66">
        <f>BI8+FLOOR(365/4,1)</f>
        <v>39992</v>
      </c>
      <c r="BK8" s="66">
        <f>BJ8+FLOOR(365/4,1)+1</f>
        <v>40084</v>
      </c>
      <c r="BL8" s="66">
        <f>BK8+FLOOR(365/4,1)+1</f>
        <v>40176</v>
      </c>
      <c r="BM8" s="97"/>
      <c r="BN8" s="58"/>
      <c r="BO8" s="79">
        <f>BI8+365</f>
        <v>40266</v>
      </c>
      <c r="BP8" s="66">
        <f>BO8+FLOOR(365/4,1)</f>
        <v>40357</v>
      </c>
      <c r="BQ8" s="66">
        <f>BP8+FLOOR(365/4,1)+1</f>
        <v>40449</v>
      </c>
      <c r="BR8" s="66">
        <f>BQ8+FLOOR(365/4,1)+1</f>
        <v>40541</v>
      </c>
      <c r="BS8" s="97"/>
      <c r="BT8" s="58"/>
      <c r="BU8" s="79">
        <f>BO8+365</f>
        <v>40631</v>
      </c>
      <c r="BV8" s="66">
        <f>BU8+FLOOR(365/4,1)</f>
        <v>40722</v>
      </c>
      <c r="BW8" s="66">
        <f>BV8+FLOOR(365/4,1)+1</f>
        <v>40814</v>
      </c>
      <c r="BX8" s="66">
        <f>BW8+FLOOR(365/4,1)+1</f>
        <v>40906</v>
      </c>
      <c r="BY8" s="97"/>
      <c r="BZ8" s="58"/>
      <c r="CA8" s="79">
        <f>BU8+365</f>
        <v>40996</v>
      </c>
      <c r="CB8" s="66">
        <f>CA8+FLOOR(365/4,1)</f>
        <v>41087</v>
      </c>
      <c r="CC8" s="66">
        <f>CB8+FLOOR(365/4,1)+1</f>
        <v>41179</v>
      </c>
      <c r="CD8" s="66">
        <f>CC8+FLOOR(365/4,1)+1</f>
        <v>41271</v>
      </c>
      <c r="CE8" s="97"/>
      <c r="CF8" s="58"/>
      <c r="CG8" s="79">
        <f>CA8+365</f>
        <v>41361</v>
      </c>
      <c r="CH8" s="66">
        <f>CG8+FLOOR(365/4,1)</f>
        <v>41452</v>
      </c>
      <c r="CI8" s="66">
        <f>CH8+FLOOR(365/4,1)+1</f>
        <v>41544</v>
      </c>
      <c r="CJ8" s="66">
        <f>CI8+FLOOR(365/4,1)+1</f>
        <v>41636</v>
      </c>
      <c r="CK8" s="97"/>
      <c r="CL8" s="58"/>
      <c r="CM8" s="79">
        <f>CG8+365</f>
        <v>41726</v>
      </c>
      <c r="CN8" s="66">
        <f>CM8+FLOOR(365/4,1)</f>
        <v>41817</v>
      </c>
      <c r="CO8" s="66">
        <f>CN8+FLOOR(365/4,1)+1</f>
        <v>41909</v>
      </c>
      <c r="CP8" s="66">
        <f>CO8+FLOOR(365/4,1)+1</f>
        <v>42001</v>
      </c>
      <c r="CQ8" s="97"/>
      <c r="CR8" s="58"/>
      <c r="CS8" s="79">
        <f>CM8+365</f>
        <v>42091</v>
      </c>
      <c r="CT8" s="66">
        <f>CS8+FLOOR(365/4,1)</f>
        <v>42182</v>
      </c>
      <c r="CU8" s="66">
        <f>CT8+FLOOR(365/4,1)+1</f>
        <v>42274</v>
      </c>
      <c r="CV8" s="66">
        <f>CU8+FLOOR(365/4,1)+1</f>
        <v>42366</v>
      </c>
      <c r="CW8" s="97"/>
      <c r="CX8" s="58"/>
      <c r="CY8" s="79">
        <f>CS8+365</f>
        <v>42456</v>
      </c>
      <c r="CZ8" s="66">
        <f>CY8+FLOOR(365/4,1)</f>
        <v>42547</v>
      </c>
      <c r="DA8" s="66">
        <f>CZ8+FLOOR(365/4,1)+1</f>
        <v>42639</v>
      </c>
      <c r="DB8" s="66">
        <f>DA8+FLOOR(365/4,1)+1</f>
        <v>42731</v>
      </c>
      <c r="DC8" s="97"/>
      <c r="DD8" s="58"/>
      <c r="DE8" s="79">
        <v>42825</v>
      </c>
      <c r="DF8" s="66">
        <v>42916</v>
      </c>
      <c r="DG8" s="66">
        <v>43008</v>
      </c>
      <c r="DH8" s="66">
        <v>43100</v>
      </c>
      <c r="DI8" s="97"/>
      <c r="DJ8" s="58"/>
      <c r="DK8" s="130">
        <f>DE8+365</f>
        <v>43190</v>
      </c>
      <c r="DL8" s="131">
        <f>DF8+365</f>
        <v>43281</v>
      </c>
      <c r="DM8" s="131">
        <f>DG8+365</f>
        <v>43373</v>
      </c>
      <c r="DN8" s="131">
        <f>DH8+365</f>
        <v>43465</v>
      </c>
      <c r="DO8" s="97"/>
      <c r="DP8" s="58"/>
      <c r="DQ8" s="130">
        <f>DK8+365</f>
        <v>43555</v>
      </c>
      <c r="DR8" s="131">
        <f>DL8+365</f>
        <v>43646</v>
      </c>
      <c r="DS8" s="131">
        <f>DM8+365</f>
        <v>43738</v>
      </c>
      <c r="DT8" s="131">
        <f>DN8+365</f>
        <v>43830</v>
      </c>
      <c r="DU8" s="97"/>
      <c r="DV8" s="58"/>
      <c r="DW8" s="130">
        <f>DQ8+365</f>
        <v>43920</v>
      </c>
      <c r="DX8" s="131">
        <f>DR8+365</f>
        <v>44011</v>
      </c>
      <c r="DY8" s="131">
        <f>DS8+365</f>
        <v>44103</v>
      </c>
      <c r="DZ8" s="131">
        <f>DT8+365</f>
        <v>44195</v>
      </c>
      <c r="EA8" s="97"/>
      <c r="EB8" s="58"/>
      <c r="EC8" s="130">
        <f>DW8+365</f>
        <v>44285</v>
      </c>
      <c r="ED8" s="131">
        <f>DX8+365</f>
        <v>44376</v>
      </c>
      <c r="EE8" s="131">
        <f>DY8+365</f>
        <v>44468</v>
      </c>
      <c r="EF8" s="131">
        <f>DZ8+365</f>
        <v>44560</v>
      </c>
      <c r="EG8" s="97"/>
      <c r="EH8" s="7"/>
      <c r="EI8" s="482"/>
      <c r="EJ8" s="7"/>
    </row>
    <row r="9" spans="1:140" ht="11.25" customHeight="1" outlineLevel="1" x14ac:dyDescent="0.2">
      <c r="A9" s="51"/>
      <c r="B9" s="2"/>
      <c r="C9" s="2"/>
      <c r="D9" s="2"/>
      <c r="E9" s="135"/>
      <c r="F9" s="6"/>
      <c r="G9" s="135"/>
      <c r="H9" s="6"/>
      <c r="I9" s="135"/>
      <c r="J9" s="6"/>
      <c r="K9" s="135"/>
      <c r="L9" s="6"/>
      <c r="M9" s="80"/>
      <c r="N9" s="7"/>
      <c r="O9" s="7"/>
      <c r="P9" s="7"/>
      <c r="Q9" s="135"/>
      <c r="R9" s="6"/>
      <c r="S9" s="80"/>
      <c r="T9" s="7"/>
      <c r="U9" s="7"/>
      <c r="V9" s="7"/>
      <c r="W9" s="135"/>
      <c r="X9" s="6"/>
      <c r="Y9" s="80"/>
      <c r="Z9" s="7"/>
      <c r="AA9" s="7"/>
      <c r="AB9" s="7"/>
      <c r="AC9" s="135"/>
      <c r="AD9" s="6"/>
      <c r="AE9" s="80"/>
      <c r="AF9" s="7"/>
      <c r="AG9" s="7"/>
      <c r="AH9" s="7"/>
      <c r="AI9" s="135"/>
      <c r="AJ9" s="6"/>
      <c r="AK9" s="80"/>
      <c r="AL9" s="7"/>
      <c r="AM9" s="7"/>
      <c r="AN9" s="7"/>
      <c r="AO9" s="135"/>
      <c r="AP9" s="6"/>
      <c r="AQ9" s="134"/>
      <c r="AR9" s="7"/>
      <c r="AS9" s="7"/>
      <c r="AT9" s="7"/>
      <c r="AU9" s="135"/>
      <c r="AV9" s="6"/>
      <c r="AW9" s="80"/>
      <c r="AX9" s="7"/>
      <c r="AY9" s="7"/>
      <c r="AZ9" s="7"/>
      <c r="BA9" s="135"/>
      <c r="BB9" s="6"/>
      <c r="BC9" s="80"/>
      <c r="BD9" s="7"/>
      <c r="BE9" s="7"/>
      <c r="BF9" s="7"/>
      <c r="BG9" s="135"/>
      <c r="BH9" s="6"/>
      <c r="BI9" s="80"/>
      <c r="BJ9" s="7"/>
      <c r="BK9" s="7"/>
      <c r="BL9" s="119"/>
      <c r="BM9" s="135"/>
      <c r="BN9" s="6"/>
      <c r="BO9" s="80"/>
      <c r="BP9" s="7"/>
      <c r="BQ9" s="7"/>
      <c r="BR9" s="7"/>
      <c r="BS9" s="135"/>
      <c r="BT9" s="6"/>
      <c r="BU9" s="80"/>
      <c r="BV9" s="7"/>
      <c r="BW9" s="7"/>
      <c r="BX9" s="7"/>
      <c r="BY9" s="135"/>
      <c r="BZ9" s="6"/>
      <c r="CA9" s="80"/>
      <c r="CB9" s="7"/>
      <c r="CC9" s="7"/>
      <c r="CD9" s="7"/>
      <c r="CE9" s="135"/>
      <c r="CF9" s="6"/>
      <c r="CG9" s="80"/>
      <c r="CH9" s="7"/>
      <c r="CI9" s="7"/>
      <c r="CJ9" s="7"/>
      <c r="CK9" s="135"/>
      <c r="CL9" s="6"/>
      <c r="CM9" s="80"/>
      <c r="CN9" s="7"/>
      <c r="CO9" s="7"/>
      <c r="CP9" s="7"/>
      <c r="CQ9" s="135"/>
      <c r="CR9" s="6"/>
      <c r="CS9" s="80"/>
      <c r="CT9" s="7"/>
      <c r="CU9" s="7"/>
      <c r="CV9" s="7"/>
      <c r="CW9" s="135"/>
      <c r="CX9" s="6"/>
      <c r="CY9" s="80"/>
      <c r="CZ9" s="7"/>
      <c r="DA9" s="7"/>
      <c r="DB9" s="7"/>
      <c r="DC9" s="135"/>
      <c r="DD9" s="6"/>
      <c r="DE9" s="80"/>
      <c r="DF9" s="7"/>
      <c r="DG9" s="7"/>
      <c r="DH9" s="7"/>
      <c r="DI9" s="135"/>
      <c r="DJ9" s="6"/>
      <c r="DK9" s="132"/>
      <c r="DL9" s="6"/>
      <c r="DM9" s="6"/>
      <c r="DN9" s="6"/>
      <c r="DO9" s="135"/>
      <c r="DP9" s="6"/>
      <c r="DQ9" s="132"/>
      <c r="DR9" s="6"/>
      <c r="DS9" s="6"/>
      <c r="DT9" s="6"/>
      <c r="DU9" s="135"/>
      <c r="DV9" s="6"/>
      <c r="DW9" s="132"/>
      <c r="DX9" s="6"/>
      <c r="DY9" s="6"/>
      <c r="DZ9" s="6"/>
      <c r="EA9" s="135"/>
      <c r="EB9" s="6"/>
      <c r="EC9" s="132"/>
      <c r="ED9" s="6"/>
      <c r="EE9" s="6"/>
      <c r="EF9" s="6"/>
      <c r="EG9" s="135"/>
      <c r="EH9" s="7"/>
      <c r="EI9" s="482"/>
      <c r="EJ9" s="7"/>
    </row>
    <row r="10" spans="1:140" ht="11.25" customHeight="1" x14ac:dyDescent="0.2">
      <c r="A10" s="50" t="s">
        <v>63</v>
      </c>
      <c r="B10" s="2"/>
      <c r="C10" s="2"/>
      <c r="D10" s="2"/>
      <c r="E10" s="136"/>
      <c r="F10" s="126"/>
      <c r="G10" s="136"/>
      <c r="H10" s="126"/>
      <c r="I10" s="136"/>
      <c r="J10" s="126"/>
      <c r="K10" s="136"/>
      <c r="L10" s="126"/>
      <c r="M10" s="82"/>
      <c r="N10" s="67"/>
      <c r="O10" s="67"/>
      <c r="P10" s="67"/>
      <c r="Q10" s="136"/>
      <c r="R10" s="126"/>
      <c r="S10" s="82"/>
      <c r="T10" s="67"/>
      <c r="U10" s="67"/>
      <c r="V10" s="67"/>
      <c r="W10" s="136"/>
      <c r="X10" s="126"/>
      <c r="Y10" s="82"/>
      <c r="Z10" s="67"/>
      <c r="AA10" s="67"/>
      <c r="AB10" s="67"/>
      <c r="AC10" s="136"/>
      <c r="AD10" s="126"/>
      <c r="AE10" s="82"/>
      <c r="AF10" s="67"/>
      <c r="AG10" s="67"/>
      <c r="AH10" s="67"/>
      <c r="AI10" s="136"/>
      <c r="AJ10" s="126"/>
      <c r="AK10" s="82"/>
      <c r="AL10" s="67"/>
      <c r="AM10" s="67"/>
      <c r="AN10" s="67"/>
      <c r="AO10" s="136"/>
      <c r="AP10" s="126"/>
      <c r="AQ10" s="82"/>
      <c r="AR10" s="67"/>
      <c r="AS10" s="67"/>
      <c r="AT10" s="67"/>
      <c r="AU10" s="136"/>
      <c r="AV10" s="126"/>
      <c r="AW10" s="82"/>
      <c r="AX10" s="67"/>
      <c r="AY10" s="67"/>
      <c r="AZ10" s="67"/>
      <c r="BA10" s="136"/>
      <c r="BB10" s="126"/>
      <c r="BC10" s="82"/>
      <c r="BD10" s="67"/>
      <c r="BE10" s="67"/>
      <c r="BF10" s="67"/>
      <c r="BG10" s="136"/>
      <c r="BH10" s="126"/>
      <c r="BI10" s="82"/>
      <c r="BJ10" s="67"/>
      <c r="BK10" s="67"/>
      <c r="BL10" s="67"/>
      <c r="BM10" s="136"/>
      <c r="BN10" s="126"/>
      <c r="BO10" s="82"/>
      <c r="BP10" s="67"/>
      <c r="BQ10" s="67"/>
      <c r="BR10" s="67"/>
      <c r="BS10" s="136"/>
      <c r="BT10" s="126"/>
      <c r="BU10" s="82"/>
      <c r="BV10" s="67"/>
      <c r="BW10" s="67"/>
      <c r="BX10" s="67"/>
      <c r="BY10" s="136"/>
      <c r="BZ10" s="126"/>
      <c r="CA10" s="82"/>
      <c r="CB10" s="67"/>
      <c r="CC10" s="67"/>
      <c r="CD10" s="67"/>
      <c r="CE10" s="136"/>
      <c r="CF10" s="126"/>
      <c r="CG10" s="82"/>
      <c r="CH10" s="67"/>
      <c r="CI10" s="67"/>
      <c r="CJ10" s="67"/>
      <c r="CK10" s="136"/>
      <c r="CL10" s="126"/>
      <c r="CM10" s="82"/>
      <c r="CN10" s="67"/>
      <c r="CO10" s="67"/>
      <c r="CP10" s="67"/>
      <c r="CQ10" s="136"/>
      <c r="CR10" s="126"/>
      <c r="CS10" s="82"/>
      <c r="CT10" s="67"/>
      <c r="CU10" s="67"/>
      <c r="CV10" s="67"/>
      <c r="CW10" s="136"/>
      <c r="CX10" s="126"/>
      <c r="CY10" s="82"/>
      <c r="CZ10" s="67"/>
      <c r="DA10" s="67"/>
      <c r="DB10" s="67"/>
      <c r="DC10" s="136"/>
      <c r="DD10" s="126"/>
      <c r="DE10" s="82"/>
      <c r="DF10" s="67"/>
      <c r="DG10" s="67"/>
      <c r="DH10" s="67"/>
      <c r="DI10" s="136"/>
      <c r="DJ10" s="126"/>
      <c r="DK10" s="133"/>
      <c r="DL10" s="127"/>
      <c r="DM10" s="127"/>
      <c r="DN10" s="127"/>
      <c r="DO10" s="136"/>
      <c r="DP10" s="126"/>
      <c r="DQ10" s="133"/>
      <c r="DR10" s="127"/>
      <c r="DS10" s="127"/>
      <c r="DT10" s="127"/>
      <c r="DU10" s="136"/>
      <c r="DV10" s="126"/>
      <c r="DW10" s="133"/>
      <c r="DX10" s="127"/>
      <c r="DY10" s="127"/>
      <c r="DZ10" s="127"/>
      <c r="EA10" s="136"/>
      <c r="EB10" s="126"/>
      <c r="EC10" s="133"/>
      <c r="ED10" s="127"/>
      <c r="EE10" s="127"/>
      <c r="EF10" s="127"/>
      <c r="EG10" s="136"/>
      <c r="EH10" s="10"/>
      <c r="EI10" s="484"/>
      <c r="EJ10" s="10"/>
    </row>
    <row r="11" spans="1:140" ht="11.25" customHeight="1" x14ac:dyDescent="0.2">
      <c r="A11" s="51" t="s">
        <v>100</v>
      </c>
      <c r="B11" s="2"/>
      <c r="C11" s="2"/>
      <c r="D11" s="2"/>
      <c r="E11" s="92">
        <v>70.820999999999998</v>
      </c>
      <c r="F11" s="126"/>
      <c r="G11" s="92">
        <v>47.798000000000002</v>
      </c>
      <c r="H11" s="126"/>
      <c r="I11" s="92">
        <v>260.28100000000001</v>
      </c>
      <c r="J11" s="126"/>
      <c r="K11" s="92">
        <v>176.92400000000001</v>
      </c>
      <c r="L11" s="126"/>
      <c r="M11" s="84">
        <v>669.23</v>
      </c>
      <c r="N11" s="71">
        <v>675.31</v>
      </c>
      <c r="O11" s="71">
        <v>646.46600000000001</v>
      </c>
      <c r="P11" s="71">
        <v>706.55899999999997</v>
      </c>
      <c r="Q11" s="136">
        <f t="shared" ref="Q11:Q16" si="0">P11</f>
        <v>706.55899999999997</v>
      </c>
      <c r="R11" s="126"/>
      <c r="S11" s="84">
        <v>571.452</v>
      </c>
      <c r="T11" s="71">
        <v>705.07500000000005</v>
      </c>
      <c r="U11" s="71">
        <v>803.178</v>
      </c>
      <c r="V11" s="71">
        <v>810.46299999999997</v>
      </c>
      <c r="W11" s="136">
        <f t="shared" ref="W11:W16" si="1">V11</f>
        <v>810.46299999999997</v>
      </c>
      <c r="X11" s="126"/>
      <c r="Y11" s="84">
        <v>911.63300000000004</v>
      </c>
      <c r="Z11" s="71">
        <v>1068.1099999999999</v>
      </c>
      <c r="AA11" s="71">
        <v>1104.7270000000001</v>
      </c>
      <c r="AB11" s="71">
        <v>1230.1559999999999</v>
      </c>
      <c r="AC11" s="136">
        <f t="shared" ref="AC11:AC16" si="2">AB11</f>
        <v>1230.1559999999999</v>
      </c>
      <c r="AD11" s="126"/>
      <c r="AE11" s="84">
        <v>642.48599999999999</v>
      </c>
      <c r="AF11" s="71">
        <v>303.28500000000003</v>
      </c>
      <c r="AG11" s="71">
        <v>531.61</v>
      </c>
      <c r="AH11" s="71">
        <v>609.11500000000001</v>
      </c>
      <c r="AI11" s="136">
        <f t="shared" ref="AI11:AI16" si="3">AH11</f>
        <v>609.11500000000001</v>
      </c>
      <c r="AJ11" s="126"/>
      <c r="AK11" s="84">
        <v>673.072</v>
      </c>
      <c r="AL11" s="71">
        <v>808.65499999999997</v>
      </c>
      <c r="AM11" s="71">
        <v>275.62099999999998</v>
      </c>
      <c r="AN11" s="71">
        <v>315.55099999999999</v>
      </c>
      <c r="AO11" s="136">
        <f t="shared" ref="AO11:AO16" si="4">AN11</f>
        <v>315.55099999999999</v>
      </c>
      <c r="AP11" s="126"/>
      <c r="AQ11" s="84">
        <v>260.82299999999998</v>
      </c>
      <c r="AR11" s="71">
        <v>284.733</v>
      </c>
      <c r="AS11" s="71">
        <v>263.952</v>
      </c>
      <c r="AT11" s="71">
        <v>317.81</v>
      </c>
      <c r="AU11" s="136">
        <f t="shared" ref="AU11:AU16" si="5">AT11</f>
        <v>317.81</v>
      </c>
      <c r="AV11" s="126"/>
      <c r="AW11" s="84">
        <v>197.56399999999999</v>
      </c>
      <c r="AX11" s="71">
        <v>174.14500000000001</v>
      </c>
      <c r="AY11" s="71">
        <v>209.28100000000001</v>
      </c>
      <c r="AZ11" s="71">
        <v>239.108</v>
      </c>
      <c r="BA11" s="136">
        <f t="shared" ref="BA11:BA16" si="6">AZ11</f>
        <v>239.108</v>
      </c>
      <c r="BB11" s="126"/>
      <c r="BC11" s="84">
        <v>233.81899999999999</v>
      </c>
      <c r="BD11" s="71">
        <v>284.10000000000002</v>
      </c>
      <c r="BE11" s="71">
        <v>286.51900000000001</v>
      </c>
      <c r="BF11" s="71">
        <v>392.85399999999998</v>
      </c>
      <c r="BG11" s="136">
        <f t="shared" ref="BG11:BG16" si="7">BF11</f>
        <v>392.85399999999998</v>
      </c>
      <c r="BH11" s="126"/>
      <c r="BI11" s="84">
        <v>975.94500000000005</v>
      </c>
      <c r="BJ11" s="71">
        <v>1258.4110000000001</v>
      </c>
      <c r="BK11" s="71">
        <v>1636.231</v>
      </c>
      <c r="BL11" s="71">
        <v>1721.92</v>
      </c>
      <c r="BM11" s="136">
        <f t="shared" ref="BM11:BM16" si="8">BL11</f>
        <v>1721.92</v>
      </c>
      <c r="BN11" s="126"/>
      <c r="BO11" s="84">
        <v>806.36800000000005</v>
      </c>
      <c r="BP11" s="71">
        <v>1232.9359999999999</v>
      </c>
      <c r="BQ11" s="71">
        <v>1635.0409999999999</v>
      </c>
      <c r="BR11" s="71">
        <v>1632.98</v>
      </c>
      <c r="BS11" s="136">
        <f t="shared" ref="BS11:BS16" si="9">BR11</f>
        <v>1632.98</v>
      </c>
      <c r="BT11" s="126"/>
      <c r="BU11" s="84">
        <v>1593.559</v>
      </c>
      <c r="BV11" s="71">
        <v>551.58299999999997</v>
      </c>
      <c r="BW11" s="71">
        <v>484.36799999999999</v>
      </c>
      <c r="BX11" s="71">
        <v>537.00099999999998</v>
      </c>
      <c r="BY11" s="136">
        <f t="shared" ref="BY11:BY16" si="10">BX11</f>
        <v>537.00099999999998</v>
      </c>
      <c r="BZ11" s="126"/>
      <c r="CA11" s="84">
        <v>1043.2829999999999</v>
      </c>
      <c r="CB11" s="71">
        <v>1118.24</v>
      </c>
      <c r="CC11" s="71">
        <v>1541.335</v>
      </c>
      <c r="CD11" s="71">
        <v>1678.7</v>
      </c>
      <c r="CE11" s="136">
        <f t="shared" ref="CE11:CE16" si="11">CD11</f>
        <v>1678.7</v>
      </c>
      <c r="CF11" s="126"/>
      <c r="CG11" s="84">
        <v>2150.6999999999998</v>
      </c>
      <c r="CH11" s="71">
        <v>2324.9</v>
      </c>
      <c r="CI11" s="71">
        <v>1995.6</v>
      </c>
      <c r="CJ11" s="71">
        <v>3115.2</v>
      </c>
      <c r="CK11" s="136">
        <f t="shared" ref="CK11:CK16" si="12">CJ11</f>
        <v>3115.2</v>
      </c>
      <c r="CL11" s="126"/>
      <c r="CM11" s="84">
        <v>3346.5</v>
      </c>
      <c r="CN11" s="71">
        <v>3321.1</v>
      </c>
      <c r="CO11" s="71">
        <v>4025.3</v>
      </c>
      <c r="CP11" s="71">
        <v>3005.6</v>
      </c>
      <c r="CQ11" s="136">
        <f t="shared" ref="CQ11:CQ16" si="13">CP11</f>
        <v>3005.6</v>
      </c>
      <c r="CR11" s="126"/>
      <c r="CS11" s="84">
        <v>2511</v>
      </c>
      <c r="CT11" s="71">
        <v>3342</v>
      </c>
      <c r="CU11" s="71">
        <v>1833.5</v>
      </c>
      <c r="CV11" s="71">
        <v>790.8</v>
      </c>
      <c r="CW11" s="136">
        <f t="shared" ref="CW11:CW16" si="14">CV11</f>
        <v>790.8</v>
      </c>
      <c r="CX11" s="126"/>
      <c r="CY11" s="84">
        <v>664.3</v>
      </c>
      <c r="CZ11" s="71">
        <v>4097.6000000000004</v>
      </c>
      <c r="DA11" s="71">
        <v>971.4</v>
      </c>
      <c r="DB11" s="71">
        <v>963.7</v>
      </c>
      <c r="DC11" s="136">
        <f t="shared" ref="DC11:DC16" si="15">DB11</f>
        <v>963.7</v>
      </c>
      <c r="DD11" s="126"/>
      <c r="DE11" s="84">
        <v>803.9</v>
      </c>
      <c r="DF11" s="71">
        <v>726.4</v>
      </c>
      <c r="DG11" s="71">
        <v>648.6</v>
      </c>
      <c r="DH11" s="71">
        <v>630.29999999999995</v>
      </c>
      <c r="DI11" s="136">
        <f t="shared" ref="DI11:DI16" si="16">DH11</f>
        <v>630.29999999999995</v>
      </c>
      <c r="DJ11" s="126"/>
      <c r="DK11" s="354">
        <f>CF!DK57</f>
        <v>1557.2442175485717</v>
      </c>
      <c r="DL11" s="355">
        <f>CF!DL57</f>
        <v>2632.2613277019454</v>
      </c>
      <c r="DM11" s="355">
        <f>CF!DM57</f>
        <v>3342.997046432678</v>
      </c>
      <c r="DN11" s="355">
        <f>CF!DN57</f>
        <v>4332.7964401465715</v>
      </c>
      <c r="DO11" s="136">
        <f t="shared" ref="DO11:DO16" si="17">DN11</f>
        <v>4332.7964401465715</v>
      </c>
      <c r="DP11" s="126"/>
      <c r="DQ11" s="354">
        <f>CF!DQ57</f>
        <v>5275.0535640558928</v>
      </c>
      <c r="DR11" s="355">
        <f>CF!DR57</f>
        <v>6442.3285810400466</v>
      </c>
      <c r="DS11" s="355">
        <f>CF!DS57</f>
        <v>7207.1879142372018</v>
      </c>
      <c r="DT11" s="355">
        <f>CF!DT57</f>
        <v>8265.9570668576089</v>
      </c>
      <c r="DU11" s="136">
        <f t="shared" ref="DU11:DU16" si="18">DT11</f>
        <v>8265.9570668576089</v>
      </c>
      <c r="DV11" s="126"/>
      <c r="DW11" s="354">
        <f>CF!DW57</f>
        <v>9409.2006644715584</v>
      </c>
      <c r="DX11" s="355">
        <f>CF!DX57</f>
        <v>10664.700785721901</v>
      </c>
      <c r="DY11" s="355">
        <f>CF!DY57</f>
        <v>11484.683335176287</v>
      </c>
      <c r="DZ11" s="355">
        <f>CF!DZ57</f>
        <v>12781.991948316689</v>
      </c>
      <c r="EA11" s="136">
        <f t="shared" ref="EA11:EA16" si="19">DZ11</f>
        <v>12781.991948316689</v>
      </c>
      <c r="EB11" s="126"/>
      <c r="EC11" s="354">
        <f>CF!EC57</f>
        <v>14143.502459574598</v>
      </c>
      <c r="ED11" s="355">
        <f>CF!ED57</f>
        <v>15670.492885724132</v>
      </c>
      <c r="EE11" s="355">
        <f>CF!EE57</f>
        <v>16746.039576696206</v>
      </c>
      <c r="EF11" s="355">
        <f>CF!EF57</f>
        <v>18208.562987428984</v>
      </c>
      <c r="EG11" s="136">
        <f t="shared" ref="EG11:EG16" si="20">EF11</f>
        <v>18208.562987428984</v>
      </c>
      <c r="EH11" s="391"/>
      <c r="EI11" s="485"/>
      <c r="EJ11" s="10"/>
    </row>
    <row r="12" spans="1:140" ht="11.25" customHeight="1" x14ac:dyDescent="0.2">
      <c r="A12" s="51" t="s">
        <v>101</v>
      </c>
      <c r="B12" s="2"/>
      <c r="C12" s="2"/>
      <c r="D12" s="2"/>
      <c r="E12" s="92">
        <v>0</v>
      </c>
      <c r="F12" s="126"/>
      <c r="G12" s="92">
        <v>0</v>
      </c>
      <c r="H12" s="126"/>
      <c r="I12" s="92">
        <v>0</v>
      </c>
      <c r="J12" s="126"/>
      <c r="K12" s="92">
        <v>0</v>
      </c>
      <c r="L12" s="126"/>
      <c r="M12" s="84">
        <v>0</v>
      </c>
      <c r="N12" s="71">
        <v>0</v>
      </c>
      <c r="O12" s="71">
        <v>0</v>
      </c>
      <c r="P12" s="71">
        <v>0</v>
      </c>
      <c r="Q12" s="136">
        <f t="shared" si="0"/>
        <v>0</v>
      </c>
      <c r="R12" s="126"/>
      <c r="S12" s="84">
        <v>0</v>
      </c>
      <c r="T12" s="71">
        <v>0</v>
      </c>
      <c r="U12" s="71">
        <v>0</v>
      </c>
      <c r="V12" s="71">
        <v>0</v>
      </c>
      <c r="W12" s="136">
        <f t="shared" si="1"/>
        <v>0</v>
      </c>
      <c r="X12" s="126"/>
      <c r="Y12" s="84">
        <v>0</v>
      </c>
      <c r="Z12" s="71">
        <v>0</v>
      </c>
      <c r="AA12" s="71">
        <v>0</v>
      </c>
      <c r="AB12" s="71">
        <v>0</v>
      </c>
      <c r="AC12" s="136">
        <f t="shared" si="2"/>
        <v>0</v>
      </c>
      <c r="AD12" s="126"/>
      <c r="AE12" s="84">
        <v>0</v>
      </c>
      <c r="AF12" s="71">
        <v>0</v>
      </c>
      <c r="AG12" s="71">
        <v>0</v>
      </c>
      <c r="AH12" s="71">
        <v>0</v>
      </c>
      <c r="AI12" s="136">
        <f t="shared" si="3"/>
        <v>0</v>
      </c>
      <c r="AJ12" s="126"/>
      <c r="AK12" s="84">
        <f>AI12-CF!AK33</f>
        <v>0</v>
      </c>
      <c r="AL12" s="71">
        <f>AK12-CF!AL33</f>
        <v>0</v>
      </c>
      <c r="AM12" s="71">
        <v>0</v>
      </c>
      <c r="AN12" s="71">
        <v>0</v>
      </c>
      <c r="AO12" s="136">
        <f t="shared" si="4"/>
        <v>0</v>
      </c>
      <c r="AP12" s="126"/>
      <c r="AQ12" s="84">
        <v>0</v>
      </c>
      <c r="AR12" s="71">
        <f>AQ12-CF!AR33</f>
        <v>0</v>
      </c>
      <c r="AS12" s="71">
        <f>AR12-CF!AS33</f>
        <v>0</v>
      </c>
      <c r="AT12" s="71">
        <v>0</v>
      </c>
      <c r="AU12" s="136">
        <f t="shared" si="5"/>
        <v>0</v>
      </c>
      <c r="AV12" s="126"/>
      <c r="AW12" s="84">
        <v>0</v>
      </c>
      <c r="AX12" s="71">
        <v>0</v>
      </c>
      <c r="AY12" s="71">
        <v>0</v>
      </c>
      <c r="AZ12" s="71">
        <v>0</v>
      </c>
      <c r="BA12" s="136">
        <f t="shared" si="6"/>
        <v>0</v>
      </c>
      <c r="BB12" s="126"/>
      <c r="BC12" s="84">
        <v>0</v>
      </c>
      <c r="BD12" s="71">
        <v>0</v>
      </c>
      <c r="BE12" s="71">
        <v>0</v>
      </c>
      <c r="BF12" s="71">
        <f>AZ12-CF!BG33</f>
        <v>0</v>
      </c>
      <c r="BG12" s="136">
        <f t="shared" si="7"/>
        <v>0</v>
      </c>
      <c r="BH12" s="126"/>
      <c r="BI12" s="84">
        <v>0</v>
      </c>
      <c r="BJ12" s="71">
        <v>0</v>
      </c>
      <c r="BK12" s="71">
        <v>0</v>
      </c>
      <c r="BL12" s="71">
        <v>0</v>
      </c>
      <c r="BM12" s="136">
        <f t="shared" si="8"/>
        <v>0</v>
      </c>
      <c r="BN12" s="126"/>
      <c r="BO12" s="84">
        <v>0</v>
      </c>
      <c r="BP12" s="71">
        <v>0</v>
      </c>
      <c r="BQ12" s="71">
        <v>0</v>
      </c>
      <c r="BR12" s="71">
        <v>0</v>
      </c>
      <c r="BS12" s="136">
        <f t="shared" si="9"/>
        <v>0</v>
      </c>
      <c r="BT12" s="126"/>
      <c r="BU12" s="84">
        <v>0</v>
      </c>
      <c r="BV12" s="71">
        <v>0</v>
      </c>
      <c r="BW12" s="71">
        <v>0</v>
      </c>
      <c r="BX12" s="71">
        <v>0</v>
      </c>
      <c r="BY12" s="136">
        <f t="shared" si="10"/>
        <v>0</v>
      </c>
      <c r="BZ12" s="126"/>
      <c r="CA12" s="84">
        <v>0</v>
      </c>
      <c r="CB12" s="71">
        <v>0</v>
      </c>
      <c r="CC12" s="71">
        <v>0</v>
      </c>
      <c r="CD12" s="71">
        <v>0</v>
      </c>
      <c r="CE12" s="136">
        <f t="shared" si="11"/>
        <v>0</v>
      </c>
      <c r="CF12" s="126"/>
      <c r="CG12" s="84">
        <v>0</v>
      </c>
      <c r="CH12" s="71">
        <v>0</v>
      </c>
      <c r="CI12" s="71">
        <v>0</v>
      </c>
      <c r="CJ12" s="71">
        <v>0</v>
      </c>
      <c r="CK12" s="136">
        <f t="shared" si="12"/>
        <v>0</v>
      </c>
      <c r="CL12" s="126"/>
      <c r="CM12" s="84">
        <v>0</v>
      </c>
      <c r="CN12" s="71">
        <v>0</v>
      </c>
      <c r="CO12" s="71">
        <v>0</v>
      </c>
      <c r="CP12" s="71">
        <v>0</v>
      </c>
      <c r="CQ12" s="136">
        <f t="shared" si="13"/>
        <v>0</v>
      </c>
      <c r="CR12" s="126"/>
      <c r="CS12" s="84">
        <v>0</v>
      </c>
      <c r="CT12" s="71">
        <v>0</v>
      </c>
      <c r="CU12" s="71">
        <v>0</v>
      </c>
      <c r="CV12" s="71">
        <v>0</v>
      </c>
      <c r="CW12" s="136">
        <f t="shared" si="14"/>
        <v>0</v>
      </c>
      <c r="CX12" s="126"/>
      <c r="CY12" s="84">
        <v>0</v>
      </c>
      <c r="CZ12" s="71">
        <v>0</v>
      </c>
      <c r="DA12" s="71">
        <v>0</v>
      </c>
      <c r="DB12" s="71">
        <v>0</v>
      </c>
      <c r="DC12" s="136">
        <f t="shared" si="15"/>
        <v>0</v>
      </c>
      <c r="DD12" s="126"/>
      <c r="DE12" s="84">
        <v>0</v>
      </c>
      <c r="DF12" s="71">
        <v>0</v>
      </c>
      <c r="DG12" s="71">
        <v>0</v>
      </c>
      <c r="DH12" s="71">
        <v>0</v>
      </c>
      <c r="DI12" s="136">
        <f t="shared" si="16"/>
        <v>0</v>
      </c>
      <c r="DJ12" s="126"/>
      <c r="DK12" s="82">
        <f>DH12-CF!DK19-CF!DK33-CF!DK34-CF!DK35</f>
        <v>0</v>
      </c>
      <c r="DL12" s="67">
        <f>DK12-CF!DL19-CF!DL33-CF!DL34-CF!DL35</f>
        <v>0</v>
      </c>
      <c r="DM12" s="67">
        <f>DL12-CF!DM19-CF!DM33-CF!DM34-CF!DM35</f>
        <v>0</v>
      </c>
      <c r="DN12" s="67">
        <f>DM12-CF!DN19-CF!DN33-CF!DN34-CF!DN35</f>
        <v>0</v>
      </c>
      <c r="DO12" s="136">
        <f t="shared" si="17"/>
        <v>0</v>
      </c>
      <c r="DP12" s="126"/>
      <c r="DQ12" s="82">
        <f>DN12-CF!DQ19-CF!DQ33-CF!DQ34-CF!DQ35</f>
        <v>0</v>
      </c>
      <c r="DR12" s="67">
        <f>DQ12-CF!DR19-CF!DR33-CF!DR34-CF!DR35</f>
        <v>0</v>
      </c>
      <c r="DS12" s="67">
        <f>DR12-CF!DS19-CF!DS33-CF!DS34-CF!DS35</f>
        <v>0</v>
      </c>
      <c r="DT12" s="67">
        <f>DS12-CF!DT19-CF!DT33-CF!DT34-CF!DT35</f>
        <v>0</v>
      </c>
      <c r="DU12" s="136">
        <f t="shared" si="18"/>
        <v>0</v>
      </c>
      <c r="DV12" s="126"/>
      <c r="DW12" s="82">
        <f>DT12-CF!DW19-CF!DW33-CF!DW34-CF!DW35</f>
        <v>0</v>
      </c>
      <c r="DX12" s="67">
        <f>DW12-CF!DX19-CF!DX33-CF!DX34-CF!DX35</f>
        <v>0</v>
      </c>
      <c r="DY12" s="67">
        <f>DX12-CF!DY19-CF!DY33-CF!DY34-CF!DY35</f>
        <v>0</v>
      </c>
      <c r="DZ12" s="67">
        <f>DY12-CF!DZ19-CF!DZ33-CF!DZ34-CF!DZ35</f>
        <v>0</v>
      </c>
      <c r="EA12" s="136">
        <f t="shared" si="19"/>
        <v>0</v>
      </c>
      <c r="EB12" s="126"/>
      <c r="EC12" s="82">
        <f>DZ12-CF!EC19-CF!EC33-CF!EC34-CF!EC35</f>
        <v>0</v>
      </c>
      <c r="ED12" s="67">
        <f>EC12-CF!ED19-CF!ED33-CF!ED34-CF!ED35</f>
        <v>0</v>
      </c>
      <c r="EE12" s="67">
        <f>ED12-CF!EE19-CF!EE33-CF!EE34-CF!EE35</f>
        <v>0</v>
      </c>
      <c r="EF12" s="67">
        <f>EE12-CF!EF19-CF!EF33-CF!EF34-CF!EF35</f>
        <v>0</v>
      </c>
      <c r="EG12" s="136">
        <f t="shared" si="20"/>
        <v>0</v>
      </c>
      <c r="EH12" s="391"/>
      <c r="EI12" s="485"/>
      <c r="EJ12" s="10"/>
    </row>
    <row r="13" spans="1:140" ht="11.25" customHeight="1" x14ac:dyDescent="0.2">
      <c r="A13" s="51" t="s">
        <v>116</v>
      </c>
      <c r="B13" s="2"/>
      <c r="C13" s="2"/>
      <c r="D13" s="2"/>
      <c r="E13" s="92">
        <v>403.858</v>
      </c>
      <c r="F13" s="126"/>
      <c r="G13" s="92">
        <v>485.54300000000001</v>
      </c>
      <c r="H13" s="126"/>
      <c r="I13" s="92">
        <v>544.73800000000006</v>
      </c>
      <c r="J13" s="126"/>
      <c r="K13" s="92">
        <v>704.21400000000006</v>
      </c>
      <c r="L13" s="126"/>
      <c r="M13" s="84">
        <v>647.774</v>
      </c>
      <c r="N13" s="71">
        <v>635.29499999999996</v>
      </c>
      <c r="O13" s="71">
        <v>632.81100000000004</v>
      </c>
      <c r="P13" s="71">
        <v>585.31799999999998</v>
      </c>
      <c r="Q13" s="136">
        <f t="shared" si="0"/>
        <v>585.31799999999998</v>
      </c>
      <c r="R13" s="126"/>
      <c r="S13" s="84">
        <v>721.20899999999995</v>
      </c>
      <c r="T13" s="71">
        <v>746.40499999999997</v>
      </c>
      <c r="U13" s="71">
        <v>757.00599999999997</v>
      </c>
      <c r="V13" s="71">
        <v>759.02800000000002</v>
      </c>
      <c r="W13" s="136">
        <f t="shared" si="1"/>
        <v>759.02800000000002</v>
      </c>
      <c r="X13" s="126"/>
      <c r="Y13" s="84">
        <v>770.33900000000006</v>
      </c>
      <c r="Z13" s="71">
        <v>784.06200000000001</v>
      </c>
      <c r="AA13" s="71">
        <v>836.58600000000001</v>
      </c>
      <c r="AB13" s="71">
        <v>868.09699999999998</v>
      </c>
      <c r="AC13" s="136">
        <f t="shared" si="2"/>
        <v>868.09699999999998</v>
      </c>
      <c r="AD13" s="126"/>
      <c r="AE13" s="84">
        <v>951.66099999999994</v>
      </c>
      <c r="AF13" s="71">
        <v>1094.029</v>
      </c>
      <c r="AG13" s="71">
        <v>1110.2809999999999</v>
      </c>
      <c r="AH13" s="71">
        <v>1231.0650000000001</v>
      </c>
      <c r="AI13" s="136">
        <f t="shared" si="3"/>
        <v>1231.0650000000001</v>
      </c>
      <c r="AJ13" s="126"/>
      <c r="AK13" s="84">
        <v>1164.672</v>
      </c>
      <c r="AL13" s="71">
        <v>1176.5820000000001</v>
      </c>
      <c r="AM13" s="71">
        <v>1364.32</v>
      </c>
      <c r="AN13" s="71">
        <v>1407.8579999999999</v>
      </c>
      <c r="AO13" s="136">
        <f t="shared" si="4"/>
        <v>1407.8579999999999</v>
      </c>
      <c r="AP13" s="126"/>
      <c r="AQ13" s="84">
        <v>1388.559</v>
      </c>
      <c r="AR13" s="71">
        <v>1561.3209999999999</v>
      </c>
      <c r="AS13" s="71">
        <v>1595.579</v>
      </c>
      <c r="AT13" s="71">
        <v>1674.97</v>
      </c>
      <c r="AU13" s="136">
        <f t="shared" si="5"/>
        <v>1674.97</v>
      </c>
      <c r="AV13" s="126"/>
      <c r="AW13" s="84">
        <v>1682.874</v>
      </c>
      <c r="AX13" s="71">
        <v>1732.1859999999999</v>
      </c>
      <c r="AY13" s="71">
        <v>1826.7090000000001</v>
      </c>
      <c r="AZ13" s="71">
        <v>1984.384</v>
      </c>
      <c r="BA13" s="136">
        <f t="shared" si="6"/>
        <v>1984.384</v>
      </c>
      <c r="BB13" s="126"/>
      <c r="BC13" s="84">
        <v>2099.5079999999998</v>
      </c>
      <c r="BD13" s="71">
        <v>2094.317</v>
      </c>
      <c r="BE13" s="71">
        <v>2100.7950000000001</v>
      </c>
      <c r="BF13" s="71">
        <v>1894.585</v>
      </c>
      <c r="BG13" s="136">
        <f t="shared" si="7"/>
        <v>1894.585</v>
      </c>
      <c r="BH13" s="126"/>
      <c r="BI13" s="84">
        <v>1707.133</v>
      </c>
      <c r="BJ13" s="71">
        <v>1750.114</v>
      </c>
      <c r="BK13" s="71">
        <v>1836.2550000000001</v>
      </c>
      <c r="BL13" s="71">
        <v>1916.8309999999999</v>
      </c>
      <c r="BM13" s="136">
        <f t="shared" si="8"/>
        <v>1916.8309999999999</v>
      </c>
      <c r="BN13" s="126"/>
      <c r="BO13" s="84">
        <v>1981.4110000000001</v>
      </c>
      <c r="BP13" s="71">
        <v>2025.9780000000001</v>
      </c>
      <c r="BQ13" s="71">
        <v>2032.6610000000001</v>
      </c>
      <c r="BR13" s="71">
        <v>2218.9749999999999</v>
      </c>
      <c r="BS13" s="136">
        <f t="shared" si="9"/>
        <v>2218.9749999999999</v>
      </c>
      <c r="BT13" s="126"/>
      <c r="BU13" s="84">
        <v>2210.2240000000002</v>
      </c>
      <c r="BV13" s="71">
        <v>3099.4180000000001</v>
      </c>
      <c r="BW13" s="71">
        <v>3007.192</v>
      </c>
      <c r="BX13" s="71">
        <v>3049.895</v>
      </c>
      <c r="BY13" s="136">
        <f t="shared" si="10"/>
        <v>3049.895</v>
      </c>
      <c r="BZ13" s="126"/>
      <c r="CA13" s="84">
        <v>2996.4569999999999</v>
      </c>
      <c r="CB13" s="71">
        <v>3094.25</v>
      </c>
      <c r="CC13" s="71">
        <v>2984.7280000000001</v>
      </c>
      <c r="CD13" s="71">
        <v>3267.3</v>
      </c>
      <c r="CE13" s="136">
        <f t="shared" si="11"/>
        <v>3267.3</v>
      </c>
      <c r="CF13" s="126"/>
      <c r="CG13" s="84">
        <v>3118.3</v>
      </c>
      <c r="CH13" s="71">
        <v>3281.4</v>
      </c>
      <c r="CI13" s="71">
        <v>3372.7</v>
      </c>
      <c r="CJ13" s="71">
        <v>3451.6</v>
      </c>
      <c r="CK13" s="136">
        <f t="shared" si="12"/>
        <v>3451.6</v>
      </c>
      <c r="CL13" s="126"/>
      <c r="CM13" s="84">
        <v>3467.6</v>
      </c>
      <c r="CN13" s="71">
        <v>3631.8</v>
      </c>
      <c r="CO13" s="71">
        <v>3498.1</v>
      </c>
      <c r="CP13" s="71">
        <v>3633.8</v>
      </c>
      <c r="CQ13" s="136">
        <f t="shared" si="13"/>
        <v>3633.8</v>
      </c>
      <c r="CR13" s="126"/>
      <c r="CS13" s="84">
        <v>3446.9</v>
      </c>
      <c r="CT13" s="71">
        <v>3565.2</v>
      </c>
      <c r="CU13" s="71">
        <v>3906.1</v>
      </c>
      <c r="CV13" s="71">
        <v>3964.1</v>
      </c>
      <c r="CW13" s="136">
        <f t="shared" si="14"/>
        <v>3964.1</v>
      </c>
      <c r="CX13" s="126"/>
      <c r="CY13" s="84">
        <v>3871.2</v>
      </c>
      <c r="CZ13" s="71">
        <v>3994.8</v>
      </c>
      <c r="DA13" s="71">
        <v>3081.8</v>
      </c>
      <c r="DB13" s="71">
        <v>3186.1</v>
      </c>
      <c r="DC13" s="136">
        <f t="shared" si="15"/>
        <v>3186.1</v>
      </c>
      <c r="DD13" s="126"/>
      <c r="DE13" s="84">
        <v>3034.9</v>
      </c>
      <c r="DF13" s="71">
        <v>3214.8</v>
      </c>
      <c r="DG13" s="71">
        <v>3254.6</v>
      </c>
      <c r="DH13" s="71">
        <v>3521.8</v>
      </c>
      <c r="DI13" s="136">
        <f t="shared" si="16"/>
        <v>3521.8</v>
      </c>
      <c r="DJ13" s="126"/>
      <c r="DK13" s="82">
        <f>+DK130</f>
        <v>3192.8719999999998</v>
      </c>
      <c r="DL13" s="67">
        <f t="shared" ref="DL13:DN13" si="21">+DL130</f>
        <v>3352.5309000000002</v>
      </c>
      <c r="DM13" s="67">
        <f t="shared" si="21"/>
        <v>3298.3828400000002</v>
      </c>
      <c r="DN13" s="67">
        <f t="shared" si="21"/>
        <v>3698.04502</v>
      </c>
      <c r="DO13" s="136">
        <f t="shared" si="17"/>
        <v>3698.04502</v>
      </c>
      <c r="DP13" s="126"/>
      <c r="DQ13" s="82">
        <f>+DQ130</f>
        <v>3292.1630875000005</v>
      </c>
      <c r="DR13" s="67">
        <f t="shared" ref="DR13:DT13" si="22">+DR130</f>
        <v>3462.8580964000002</v>
      </c>
      <c r="DS13" s="67">
        <f t="shared" si="22"/>
        <v>3377.5574886000009</v>
      </c>
      <c r="DT13" s="67">
        <f t="shared" si="22"/>
        <v>3786.0937104500008</v>
      </c>
      <c r="DU13" s="136">
        <f t="shared" si="18"/>
        <v>3786.0937104500008</v>
      </c>
      <c r="DV13" s="126"/>
      <c r="DW13" s="82">
        <f>+DW130</f>
        <v>3381.7893854250001</v>
      </c>
      <c r="DX13" s="67">
        <f t="shared" ref="DX13:DZ13" si="23">+DX130</f>
        <v>3557.1386795010003</v>
      </c>
      <c r="DY13" s="67">
        <f t="shared" si="23"/>
        <v>3469.5498863190005</v>
      </c>
      <c r="DZ13" s="67">
        <f t="shared" si="23"/>
        <v>3888.9821211945014</v>
      </c>
      <c r="EA13" s="136">
        <f t="shared" si="19"/>
        <v>3888.9821211945014</v>
      </c>
      <c r="EB13" s="126"/>
      <c r="EC13" s="82">
        <f t="shared" ref="EC13:EF13" si="24">+EC130</f>
        <v>3473.1948271515625</v>
      </c>
      <c r="ED13" s="67">
        <f t="shared" si="24"/>
        <v>3653.2936122414881</v>
      </c>
      <c r="EE13" s="67">
        <f t="shared" si="24"/>
        <v>3563.3711255000626</v>
      </c>
      <c r="EF13" s="67">
        <f t="shared" si="24"/>
        <v>3993.9085872017317</v>
      </c>
      <c r="EG13" s="136">
        <f t="shared" si="20"/>
        <v>3993.9085872017317</v>
      </c>
      <c r="EH13" s="391"/>
      <c r="EI13" s="485"/>
      <c r="EJ13" s="10"/>
    </row>
    <row r="14" spans="1:140" ht="11.25" customHeight="1" x14ac:dyDescent="0.2">
      <c r="A14" s="51" t="s">
        <v>103</v>
      </c>
      <c r="B14" s="2"/>
      <c r="C14" s="2"/>
      <c r="D14" s="2"/>
      <c r="E14" s="92">
        <v>265.12200000000001</v>
      </c>
      <c r="F14" s="126"/>
      <c r="G14" s="92">
        <v>337.48099999999999</v>
      </c>
      <c r="H14" s="126"/>
      <c r="I14" s="92">
        <v>324.673</v>
      </c>
      <c r="J14" s="126"/>
      <c r="K14" s="92">
        <v>460.61</v>
      </c>
      <c r="L14" s="126"/>
      <c r="M14" s="84">
        <v>460.86700000000002</v>
      </c>
      <c r="N14" s="71">
        <v>455.33300000000003</v>
      </c>
      <c r="O14" s="71">
        <v>462.77600000000001</v>
      </c>
      <c r="P14" s="71">
        <v>408.23599999999999</v>
      </c>
      <c r="Q14" s="136">
        <f t="shared" si="0"/>
        <v>408.23599999999999</v>
      </c>
      <c r="R14" s="126"/>
      <c r="S14" s="84">
        <v>487.07600000000002</v>
      </c>
      <c r="T14" s="71">
        <v>476.90899999999999</v>
      </c>
      <c r="U14" s="71">
        <v>486.44</v>
      </c>
      <c r="V14" s="71">
        <v>485.58699999999999</v>
      </c>
      <c r="W14" s="136">
        <f t="shared" si="1"/>
        <v>485.58699999999999</v>
      </c>
      <c r="X14" s="126"/>
      <c r="Y14" s="84">
        <v>527.81799999999998</v>
      </c>
      <c r="Z14" s="71">
        <v>527.05200000000002</v>
      </c>
      <c r="AA14" s="71">
        <v>539.78800000000001</v>
      </c>
      <c r="AB14" s="71">
        <v>536.22699999999998</v>
      </c>
      <c r="AC14" s="136">
        <f t="shared" si="2"/>
        <v>536.22699999999998</v>
      </c>
      <c r="AD14" s="126"/>
      <c r="AE14" s="84">
        <v>624.40599999999995</v>
      </c>
      <c r="AF14" s="71">
        <v>783.75300000000004</v>
      </c>
      <c r="AG14" s="71">
        <v>786.72400000000005</v>
      </c>
      <c r="AH14" s="71">
        <v>703.99599999999998</v>
      </c>
      <c r="AI14" s="136">
        <f t="shared" si="3"/>
        <v>703.99599999999998</v>
      </c>
      <c r="AJ14" s="126"/>
      <c r="AK14" s="84">
        <v>747.16800000000001</v>
      </c>
      <c r="AL14" s="71">
        <v>752.70600000000002</v>
      </c>
      <c r="AM14" s="71">
        <v>878.32799999999997</v>
      </c>
      <c r="AN14" s="71">
        <v>825.26300000000003</v>
      </c>
      <c r="AO14" s="136">
        <f t="shared" si="4"/>
        <v>825.26300000000003</v>
      </c>
      <c r="AP14" s="126"/>
      <c r="AQ14" s="84">
        <v>886.58100000000002</v>
      </c>
      <c r="AR14" s="71">
        <v>1009.847</v>
      </c>
      <c r="AS14" s="71">
        <v>1020.982</v>
      </c>
      <c r="AT14" s="71">
        <v>1005.36</v>
      </c>
      <c r="AU14" s="136">
        <f t="shared" si="5"/>
        <v>1005.36</v>
      </c>
      <c r="AV14" s="126"/>
      <c r="AW14" s="84">
        <v>1050.106</v>
      </c>
      <c r="AX14" s="71">
        <v>1048.8579999999999</v>
      </c>
      <c r="AY14" s="71">
        <v>1080.8320000000001</v>
      </c>
      <c r="AZ14" s="71">
        <v>1193.615</v>
      </c>
      <c r="BA14" s="136">
        <f t="shared" si="6"/>
        <v>1193.615</v>
      </c>
      <c r="BB14" s="126"/>
      <c r="BC14" s="84">
        <v>1292.297</v>
      </c>
      <c r="BD14" s="71">
        <v>1297.4559999999999</v>
      </c>
      <c r="BE14" s="71">
        <v>1274.8510000000001</v>
      </c>
      <c r="BF14" s="71">
        <v>1142.309</v>
      </c>
      <c r="BG14" s="136">
        <f t="shared" si="7"/>
        <v>1142.309</v>
      </c>
      <c r="BH14" s="126"/>
      <c r="BI14" s="84">
        <v>1133.8</v>
      </c>
      <c r="BJ14" s="71">
        <v>1067.075</v>
      </c>
      <c r="BK14" s="71">
        <v>1071.43</v>
      </c>
      <c r="BL14" s="71">
        <v>993.01599999999996</v>
      </c>
      <c r="BM14" s="136">
        <f t="shared" si="8"/>
        <v>993.01599999999996</v>
      </c>
      <c r="BN14" s="126"/>
      <c r="BO14" s="84">
        <v>1187.893</v>
      </c>
      <c r="BP14" s="71">
        <v>1238.693</v>
      </c>
      <c r="BQ14" s="71">
        <v>1244.895</v>
      </c>
      <c r="BR14" s="71">
        <v>1225.1510000000001</v>
      </c>
      <c r="BS14" s="136">
        <f t="shared" si="9"/>
        <v>1225.1510000000001</v>
      </c>
      <c r="BT14" s="126"/>
      <c r="BU14" s="84">
        <v>1284.932</v>
      </c>
      <c r="BV14" s="71">
        <v>2065.049</v>
      </c>
      <c r="BW14" s="71">
        <v>1970.896</v>
      </c>
      <c r="BX14" s="71">
        <v>1781.3520000000001</v>
      </c>
      <c r="BY14" s="136">
        <f t="shared" si="10"/>
        <v>1781.3520000000001</v>
      </c>
      <c r="BZ14" s="126"/>
      <c r="CA14" s="84">
        <v>1889.079</v>
      </c>
      <c r="CB14" s="71">
        <v>1855.8109999999999</v>
      </c>
      <c r="CC14" s="71">
        <v>1882.37</v>
      </c>
      <c r="CD14" s="71">
        <v>1813.4</v>
      </c>
      <c r="CE14" s="136">
        <f t="shared" si="11"/>
        <v>1813.4</v>
      </c>
      <c r="CF14" s="126"/>
      <c r="CG14" s="84">
        <v>1866.5</v>
      </c>
      <c r="CH14" s="71">
        <v>1911</v>
      </c>
      <c r="CI14" s="71">
        <v>1965.7</v>
      </c>
      <c r="CJ14" s="71">
        <v>1783.5</v>
      </c>
      <c r="CK14" s="136">
        <f t="shared" si="12"/>
        <v>1783.5</v>
      </c>
      <c r="CL14" s="126"/>
      <c r="CM14" s="84">
        <v>1871.3</v>
      </c>
      <c r="CN14" s="71">
        <v>1894.2</v>
      </c>
      <c r="CO14" s="71">
        <v>1874</v>
      </c>
      <c r="CP14" s="71">
        <v>1831.5</v>
      </c>
      <c r="CQ14" s="136">
        <f t="shared" si="13"/>
        <v>1831.5</v>
      </c>
      <c r="CR14" s="126"/>
      <c r="CS14" s="84">
        <v>1897.2</v>
      </c>
      <c r="CT14" s="71">
        <v>1912.2</v>
      </c>
      <c r="CU14" s="71">
        <v>2340.6</v>
      </c>
      <c r="CV14" s="71">
        <v>2095.4</v>
      </c>
      <c r="CW14" s="136">
        <f t="shared" si="14"/>
        <v>2095.4</v>
      </c>
      <c r="CX14" s="126"/>
      <c r="CY14" s="84">
        <v>2237.6999999999998</v>
      </c>
      <c r="CZ14" s="71">
        <f>1137.7+347+755.5</f>
        <v>2240.1999999999998</v>
      </c>
      <c r="DA14" s="71">
        <v>1712.2</v>
      </c>
      <c r="DB14" s="71">
        <v>1709.4</v>
      </c>
      <c r="DC14" s="136">
        <f t="shared" si="15"/>
        <v>1709.4</v>
      </c>
      <c r="DD14" s="126"/>
      <c r="DE14" s="84">
        <v>1764.9</v>
      </c>
      <c r="DF14" s="71">
        <v>1791.7</v>
      </c>
      <c r="DG14" s="71">
        <v>1892.3</v>
      </c>
      <c r="DH14" s="71">
        <v>1840.8</v>
      </c>
      <c r="DI14" s="136">
        <f t="shared" si="16"/>
        <v>1840.8</v>
      </c>
      <c r="DJ14" s="126"/>
      <c r="DK14" s="82">
        <f>+DK131</f>
        <v>1852.9615684514267</v>
      </c>
      <c r="DL14" s="67">
        <f t="shared" ref="DL14:DN14" si="25">+DL131</f>
        <v>1864.2709693891172</v>
      </c>
      <c r="DM14" s="67">
        <f t="shared" si="25"/>
        <v>1935.5502834121148</v>
      </c>
      <c r="DN14" s="67">
        <f t="shared" si="25"/>
        <v>1824.3811131851082</v>
      </c>
      <c r="DO14" s="136">
        <f t="shared" si="17"/>
        <v>1824.3811131851082</v>
      </c>
      <c r="DP14" s="126"/>
      <c r="DQ14" s="82">
        <f>+DQ131</f>
        <v>1821.9047791058451</v>
      </c>
      <c r="DR14" s="67">
        <f t="shared" ref="DR14:DT14" si="26">+DR131</f>
        <v>1837.4859333305237</v>
      </c>
      <c r="DS14" s="67">
        <f t="shared" si="26"/>
        <v>1902.7369538938394</v>
      </c>
      <c r="DT14" s="67">
        <f t="shared" si="26"/>
        <v>1784.7874345805039</v>
      </c>
      <c r="DU14" s="136">
        <f t="shared" si="18"/>
        <v>1784.7874345805039</v>
      </c>
      <c r="DV14" s="126"/>
      <c r="DW14" s="82">
        <f>+DW131</f>
        <v>1743.188071776616</v>
      </c>
      <c r="DX14" s="67">
        <f t="shared" ref="DX14:DZ14" si="27">+DX131</f>
        <v>1753.3190975516816</v>
      </c>
      <c r="DY14" s="67">
        <f t="shared" si="27"/>
        <v>1824.4931218870106</v>
      </c>
      <c r="DZ14" s="67">
        <f t="shared" si="27"/>
        <v>1694.1605698235742</v>
      </c>
      <c r="EA14" s="136">
        <f t="shared" si="19"/>
        <v>1694.1605698235742</v>
      </c>
      <c r="EB14" s="126"/>
      <c r="EC14" s="82">
        <f t="shared" ref="EC14:EF14" si="28">+EC131</f>
        <v>1664.0922222713691</v>
      </c>
      <c r="ED14" s="67">
        <f t="shared" si="28"/>
        <v>1667.5358767342875</v>
      </c>
      <c r="EE14" s="67">
        <f t="shared" si="28"/>
        <v>1745.4894173105915</v>
      </c>
      <c r="EF14" s="67">
        <f t="shared" si="28"/>
        <v>1604.0065380488386</v>
      </c>
      <c r="EG14" s="136">
        <f t="shared" si="20"/>
        <v>1604.0065380488386</v>
      </c>
      <c r="EH14" s="391"/>
      <c r="EI14" s="485"/>
      <c r="EJ14" s="10"/>
    </row>
    <row r="15" spans="1:140" ht="11.25" customHeight="1" x14ac:dyDescent="0.2">
      <c r="A15" s="51" t="s">
        <v>27</v>
      </c>
      <c r="B15" s="2"/>
      <c r="C15" s="2"/>
      <c r="D15" s="2"/>
      <c r="E15" s="92">
        <v>0</v>
      </c>
      <c r="F15" s="126"/>
      <c r="G15" s="92">
        <v>0</v>
      </c>
      <c r="H15" s="126"/>
      <c r="I15" s="92">
        <v>0</v>
      </c>
      <c r="J15" s="126"/>
      <c r="K15" s="92">
        <v>0</v>
      </c>
      <c r="L15" s="126"/>
      <c r="M15" s="84">
        <v>0</v>
      </c>
      <c r="N15" s="71">
        <v>0</v>
      </c>
      <c r="O15" s="71">
        <v>0</v>
      </c>
      <c r="P15" s="71">
        <v>0</v>
      </c>
      <c r="Q15" s="136">
        <f t="shared" si="0"/>
        <v>0</v>
      </c>
      <c r="R15" s="126"/>
      <c r="S15" s="84">
        <v>0</v>
      </c>
      <c r="T15" s="71">
        <v>0</v>
      </c>
      <c r="U15" s="71">
        <v>0</v>
      </c>
      <c r="V15" s="71">
        <v>0</v>
      </c>
      <c r="W15" s="136">
        <f t="shared" si="1"/>
        <v>0</v>
      </c>
      <c r="X15" s="126"/>
      <c r="Y15" s="84">
        <v>0</v>
      </c>
      <c r="Z15" s="71">
        <v>0</v>
      </c>
      <c r="AA15" s="71">
        <v>0</v>
      </c>
      <c r="AB15" s="71">
        <v>0</v>
      </c>
      <c r="AC15" s="136">
        <f t="shared" si="2"/>
        <v>0</v>
      </c>
      <c r="AD15" s="126"/>
      <c r="AE15" s="84">
        <v>0</v>
      </c>
      <c r="AF15" s="71">
        <v>0</v>
      </c>
      <c r="AG15" s="71">
        <v>0</v>
      </c>
      <c r="AH15" s="71">
        <v>0</v>
      </c>
      <c r="AI15" s="136">
        <f t="shared" si="3"/>
        <v>0</v>
      </c>
      <c r="AJ15" s="126"/>
      <c r="AK15" s="84">
        <v>0</v>
      </c>
      <c r="AL15" s="71">
        <f t="shared" ref="AL15:AS15" si="29">AK15</f>
        <v>0</v>
      </c>
      <c r="AM15" s="71">
        <v>0</v>
      </c>
      <c r="AN15" s="71">
        <v>0</v>
      </c>
      <c r="AO15" s="136">
        <f t="shared" si="4"/>
        <v>0</v>
      </c>
      <c r="AP15" s="126"/>
      <c r="AQ15" s="84">
        <f>AO15</f>
        <v>0</v>
      </c>
      <c r="AR15" s="71">
        <v>0</v>
      </c>
      <c r="AS15" s="71">
        <f t="shared" si="29"/>
        <v>0</v>
      </c>
      <c r="AT15" s="71">
        <v>0</v>
      </c>
      <c r="AU15" s="136">
        <f t="shared" si="5"/>
        <v>0</v>
      </c>
      <c r="AV15" s="126"/>
      <c r="AW15" s="84">
        <v>0</v>
      </c>
      <c r="AX15" s="71">
        <v>0</v>
      </c>
      <c r="AY15" s="71">
        <v>0</v>
      </c>
      <c r="AZ15" s="71">
        <v>0</v>
      </c>
      <c r="BA15" s="136">
        <f t="shared" si="6"/>
        <v>0</v>
      </c>
      <c r="BB15" s="126"/>
      <c r="BC15" s="84">
        <v>0</v>
      </c>
      <c r="BD15" s="71">
        <v>0</v>
      </c>
      <c r="BE15" s="71">
        <v>0</v>
      </c>
      <c r="BF15" s="71">
        <v>0</v>
      </c>
      <c r="BG15" s="136">
        <f t="shared" si="7"/>
        <v>0</v>
      </c>
      <c r="BH15" s="126"/>
      <c r="BI15" s="84">
        <v>0</v>
      </c>
      <c r="BJ15" s="71">
        <v>0</v>
      </c>
      <c r="BK15" s="71">
        <v>0</v>
      </c>
      <c r="BL15" s="71">
        <v>0</v>
      </c>
      <c r="BM15" s="136">
        <f t="shared" si="8"/>
        <v>0</v>
      </c>
      <c r="BN15" s="126"/>
      <c r="BO15" s="84">
        <v>0</v>
      </c>
      <c r="BP15" s="71">
        <v>0</v>
      </c>
      <c r="BQ15" s="71">
        <v>0</v>
      </c>
      <c r="BR15" s="71">
        <v>0</v>
      </c>
      <c r="BS15" s="136">
        <f t="shared" si="9"/>
        <v>0</v>
      </c>
      <c r="BT15" s="126"/>
      <c r="BU15" s="84">
        <v>0</v>
      </c>
      <c r="BV15" s="71">
        <v>0</v>
      </c>
      <c r="BW15" s="71">
        <v>0</v>
      </c>
      <c r="BX15" s="71">
        <v>0</v>
      </c>
      <c r="BY15" s="136">
        <f t="shared" si="10"/>
        <v>0</v>
      </c>
      <c r="BZ15" s="126"/>
      <c r="CA15" s="84">
        <v>0</v>
      </c>
      <c r="CB15" s="71">
        <v>0</v>
      </c>
      <c r="CC15" s="71">
        <v>0</v>
      </c>
      <c r="CD15" s="71">
        <v>0</v>
      </c>
      <c r="CE15" s="136">
        <f t="shared" si="11"/>
        <v>0</v>
      </c>
      <c r="CF15" s="126"/>
      <c r="CG15" s="84">
        <v>0</v>
      </c>
      <c r="CH15" s="71">
        <v>0</v>
      </c>
      <c r="CI15" s="71">
        <v>0</v>
      </c>
      <c r="CJ15" s="71">
        <v>0</v>
      </c>
      <c r="CK15" s="136">
        <f t="shared" si="12"/>
        <v>0</v>
      </c>
      <c r="CL15" s="126"/>
      <c r="CM15" s="84">
        <v>0</v>
      </c>
      <c r="CN15" s="71">
        <v>0</v>
      </c>
      <c r="CO15" s="71">
        <v>0</v>
      </c>
      <c r="CP15" s="71">
        <v>0</v>
      </c>
      <c r="CQ15" s="136">
        <f t="shared" si="13"/>
        <v>0</v>
      </c>
      <c r="CR15" s="126"/>
      <c r="CS15" s="84">
        <v>0</v>
      </c>
      <c r="CT15" s="71">
        <v>0</v>
      </c>
      <c r="CU15" s="71">
        <v>0</v>
      </c>
      <c r="CV15" s="71">
        <v>0</v>
      </c>
      <c r="CW15" s="136">
        <f t="shared" si="14"/>
        <v>0</v>
      </c>
      <c r="CX15" s="126"/>
      <c r="CY15" s="84">
        <v>0</v>
      </c>
      <c r="CZ15" s="71">
        <v>0</v>
      </c>
      <c r="DA15" s="71">
        <v>0</v>
      </c>
      <c r="DB15" s="71">
        <v>0</v>
      </c>
      <c r="DC15" s="136">
        <f t="shared" si="15"/>
        <v>0</v>
      </c>
      <c r="DD15" s="126"/>
      <c r="DE15" s="84">
        <v>0</v>
      </c>
      <c r="DF15" s="71">
        <v>0</v>
      </c>
      <c r="DG15" s="71">
        <v>0</v>
      </c>
      <c r="DH15" s="71">
        <v>0</v>
      </c>
      <c r="DI15" s="136">
        <f t="shared" si="16"/>
        <v>0</v>
      </c>
      <c r="DJ15" s="126"/>
      <c r="DK15" s="81">
        <f>DH15</f>
        <v>0</v>
      </c>
      <c r="DL15" s="69">
        <f t="shared" ref="DL15" si="30">DK15</f>
        <v>0</v>
      </c>
      <c r="DM15" s="69">
        <f t="shared" ref="DM15" si="31">DL15</f>
        <v>0</v>
      </c>
      <c r="DN15" s="69">
        <f t="shared" ref="DN15" si="32">DM15</f>
        <v>0</v>
      </c>
      <c r="DO15" s="136">
        <f t="shared" si="17"/>
        <v>0</v>
      </c>
      <c r="DP15" s="126"/>
      <c r="DQ15" s="81">
        <f>DN15</f>
        <v>0</v>
      </c>
      <c r="DR15" s="69">
        <f t="shared" ref="DR15" si="33">DQ15</f>
        <v>0</v>
      </c>
      <c r="DS15" s="69">
        <f t="shared" ref="DS15" si="34">DR15</f>
        <v>0</v>
      </c>
      <c r="DT15" s="69">
        <f t="shared" ref="DT15" si="35">DS15</f>
        <v>0</v>
      </c>
      <c r="DU15" s="136">
        <f t="shared" si="18"/>
        <v>0</v>
      </c>
      <c r="DV15" s="126"/>
      <c r="DW15" s="81">
        <f>DT15</f>
        <v>0</v>
      </c>
      <c r="DX15" s="69">
        <f t="shared" ref="DX15" si="36">DW15</f>
        <v>0</v>
      </c>
      <c r="DY15" s="69">
        <f t="shared" ref="DY15" si="37">DX15</f>
        <v>0</v>
      </c>
      <c r="DZ15" s="69">
        <f t="shared" ref="DZ15" si="38">DY15</f>
        <v>0</v>
      </c>
      <c r="EA15" s="136">
        <f t="shared" si="19"/>
        <v>0</v>
      </c>
      <c r="EB15" s="126"/>
      <c r="EC15" s="81">
        <f t="shared" ref="EC15" si="39">DZ15</f>
        <v>0</v>
      </c>
      <c r="ED15" s="69">
        <f t="shared" ref="ED15" si="40">EC15</f>
        <v>0</v>
      </c>
      <c r="EE15" s="69">
        <f t="shared" ref="EE15" si="41">ED15</f>
        <v>0</v>
      </c>
      <c r="EF15" s="69">
        <f t="shared" ref="EF15" si="42">EE15</f>
        <v>0</v>
      </c>
      <c r="EG15" s="136">
        <f t="shared" si="20"/>
        <v>0</v>
      </c>
      <c r="EH15" s="391"/>
      <c r="EI15" s="485"/>
      <c r="EJ15" s="10"/>
    </row>
    <row r="16" spans="1:140" ht="11.25" customHeight="1" x14ac:dyDescent="0.2">
      <c r="A16" s="51" t="s">
        <v>13</v>
      </c>
      <c r="B16" s="2"/>
      <c r="C16" s="2"/>
      <c r="D16" s="2"/>
      <c r="E16" s="92">
        <v>92.251999999999995</v>
      </c>
      <c r="F16" s="126"/>
      <c r="G16" s="92">
        <v>60.874000000000002</v>
      </c>
      <c r="H16" s="126"/>
      <c r="I16" s="92">
        <v>72.424999999999997</v>
      </c>
      <c r="J16" s="126"/>
      <c r="K16" s="92">
        <v>132.55799999999999</v>
      </c>
      <c r="L16" s="126"/>
      <c r="M16" s="84">
        <v>93.081000000000003</v>
      </c>
      <c r="N16" s="71">
        <v>123.17400000000001</v>
      </c>
      <c r="O16" s="71">
        <v>127.97799999999999</v>
      </c>
      <c r="P16" s="71">
        <v>174.50200000000001</v>
      </c>
      <c r="Q16" s="136">
        <f t="shared" si="0"/>
        <v>174.50200000000001</v>
      </c>
      <c r="R16" s="126"/>
      <c r="S16" s="84">
        <v>154.131</v>
      </c>
      <c r="T16" s="71">
        <v>202.59399999999999</v>
      </c>
      <c r="U16" s="71">
        <v>199.964</v>
      </c>
      <c r="V16" s="71">
        <v>332.18799999999999</v>
      </c>
      <c r="W16" s="136">
        <f t="shared" si="1"/>
        <v>332.18799999999999</v>
      </c>
      <c r="X16" s="126"/>
      <c r="Y16" s="84">
        <v>308.07</v>
      </c>
      <c r="Z16" s="71">
        <v>289.95400000000001</v>
      </c>
      <c r="AA16" s="71">
        <v>299.30599999999998</v>
      </c>
      <c r="AB16" s="71">
        <v>307.67099999999999</v>
      </c>
      <c r="AC16" s="136">
        <f t="shared" si="2"/>
        <v>307.67099999999999</v>
      </c>
      <c r="AD16" s="126"/>
      <c r="AE16" s="84">
        <v>297.61200000000002</v>
      </c>
      <c r="AF16" s="71">
        <v>280.57400000000001</v>
      </c>
      <c r="AG16" s="71">
        <v>260.798</v>
      </c>
      <c r="AH16" s="71">
        <v>374.51400000000001</v>
      </c>
      <c r="AI16" s="136">
        <f t="shared" si="3"/>
        <v>374.51400000000001</v>
      </c>
      <c r="AJ16" s="126"/>
      <c r="AK16" s="84">
        <v>332.04399999999998</v>
      </c>
      <c r="AL16" s="71">
        <v>302.20699999999999</v>
      </c>
      <c r="AM16" s="71">
        <v>281.67</v>
      </c>
      <c r="AN16" s="71">
        <v>396.34699999999998</v>
      </c>
      <c r="AO16" s="136">
        <f t="shared" si="4"/>
        <v>396.34699999999998</v>
      </c>
      <c r="AP16" s="126"/>
      <c r="AQ16" s="84">
        <v>465.16199999999998</v>
      </c>
      <c r="AR16" s="71">
        <v>388.32</v>
      </c>
      <c r="AS16" s="71">
        <v>347.77800000000002</v>
      </c>
      <c r="AT16" s="71">
        <v>396.762</v>
      </c>
      <c r="AU16" s="136">
        <f t="shared" si="5"/>
        <v>396.762</v>
      </c>
      <c r="AV16" s="126"/>
      <c r="AW16" s="84">
        <v>375.53</v>
      </c>
      <c r="AX16" s="71">
        <v>323.82299999999998</v>
      </c>
      <c r="AY16" s="71">
        <v>269.23099999999999</v>
      </c>
      <c r="AZ16" s="71">
        <v>632.66</v>
      </c>
      <c r="BA16" s="136">
        <f t="shared" si="6"/>
        <v>632.66</v>
      </c>
      <c r="BB16" s="126"/>
      <c r="BC16" s="84">
        <v>529.649</v>
      </c>
      <c r="BD16" s="71">
        <v>515.85400000000004</v>
      </c>
      <c r="BE16" s="71">
        <v>458.90100000000001</v>
      </c>
      <c r="BF16" s="71">
        <v>757.37099999999998</v>
      </c>
      <c r="BG16" s="136">
        <f t="shared" si="7"/>
        <v>757.37099999999998</v>
      </c>
      <c r="BH16" s="126"/>
      <c r="BI16" s="84">
        <v>680.40300000000002</v>
      </c>
      <c r="BJ16" s="71">
        <v>713.072</v>
      </c>
      <c r="BK16" s="71">
        <v>654.86800000000005</v>
      </c>
      <c r="BL16" s="71">
        <v>588.86099999999999</v>
      </c>
      <c r="BM16" s="136">
        <f t="shared" si="8"/>
        <v>588.86099999999999</v>
      </c>
      <c r="BN16" s="126"/>
      <c r="BO16" s="84">
        <v>565.40499999999997</v>
      </c>
      <c r="BP16" s="71">
        <v>547.32399999999996</v>
      </c>
      <c r="BQ16" s="71">
        <v>548.02599999999995</v>
      </c>
      <c r="BR16" s="71">
        <v>652.40700000000004</v>
      </c>
      <c r="BS16" s="136">
        <f t="shared" si="9"/>
        <v>652.40700000000004</v>
      </c>
      <c r="BT16" s="126"/>
      <c r="BU16" s="84">
        <v>1043.1769999999999</v>
      </c>
      <c r="BV16" s="71">
        <v>838.75</v>
      </c>
      <c r="BW16" s="71">
        <v>852.08199999999999</v>
      </c>
      <c r="BX16" s="71">
        <v>904.10900000000004</v>
      </c>
      <c r="BY16" s="136">
        <f t="shared" si="10"/>
        <v>904.10900000000004</v>
      </c>
      <c r="BZ16" s="126"/>
      <c r="CA16" s="84">
        <v>614.404</v>
      </c>
      <c r="CB16" s="71">
        <v>542.19399999999996</v>
      </c>
      <c r="CC16" s="71">
        <v>499.56700000000001</v>
      </c>
      <c r="CD16" s="71">
        <v>828.4</v>
      </c>
      <c r="CE16" s="136">
        <f t="shared" si="11"/>
        <v>828.4</v>
      </c>
      <c r="CF16" s="126"/>
      <c r="CG16" s="84">
        <v>774.5</v>
      </c>
      <c r="CH16" s="71">
        <v>713.7</v>
      </c>
      <c r="CI16" s="71">
        <v>689.7</v>
      </c>
      <c r="CJ16" s="71">
        <v>763.4</v>
      </c>
      <c r="CK16" s="136">
        <f t="shared" si="12"/>
        <v>763.4</v>
      </c>
      <c r="CL16" s="126"/>
      <c r="CM16" s="84">
        <v>718.9</v>
      </c>
      <c r="CN16" s="71">
        <v>660.2</v>
      </c>
      <c r="CO16" s="71">
        <v>592.1</v>
      </c>
      <c r="CP16" s="71">
        <v>960.4</v>
      </c>
      <c r="CQ16" s="136">
        <f t="shared" si="13"/>
        <v>960.4</v>
      </c>
      <c r="CR16" s="126"/>
      <c r="CS16" s="84">
        <v>919.3</v>
      </c>
      <c r="CT16" s="71">
        <v>835.1</v>
      </c>
      <c r="CU16" s="71">
        <v>851.6</v>
      </c>
      <c r="CV16" s="71">
        <v>986.4</v>
      </c>
      <c r="CW16" s="136">
        <f t="shared" si="14"/>
        <v>986.4</v>
      </c>
      <c r="CX16" s="126"/>
      <c r="CY16" s="84">
        <v>974</v>
      </c>
      <c r="CZ16" s="71">
        <v>898.4</v>
      </c>
      <c r="DA16" s="71">
        <v>727.8</v>
      </c>
      <c r="DB16" s="71">
        <v>805.9</v>
      </c>
      <c r="DC16" s="136">
        <f t="shared" si="15"/>
        <v>805.9</v>
      </c>
      <c r="DD16" s="126"/>
      <c r="DE16" s="84">
        <v>715.2</v>
      </c>
      <c r="DF16" s="71">
        <v>523.70000000000005</v>
      </c>
      <c r="DG16" s="71">
        <v>464.7</v>
      </c>
      <c r="DH16" s="71">
        <v>857.1</v>
      </c>
      <c r="DI16" s="136">
        <f t="shared" si="16"/>
        <v>857.1</v>
      </c>
      <c r="DJ16" s="126"/>
      <c r="DK16" s="82">
        <f>+DK132</f>
        <v>788.82719999999995</v>
      </c>
      <c r="DL16" s="67">
        <f t="shared" ref="DL16:DN16" si="43">+DL132</f>
        <v>828.2723400000001</v>
      </c>
      <c r="DM16" s="67">
        <f t="shared" si="43"/>
        <v>814.89458400000012</v>
      </c>
      <c r="DN16" s="67">
        <f t="shared" si="43"/>
        <v>913.63465199999996</v>
      </c>
      <c r="DO16" s="136">
        <f t="shared" si="17"/>
        <v>913.63465199999996</v>
      </c>
      <c r="DP16" s="126"/>
      <c r="DQ16" s="82">
        <f>+DQ132</f>
        <v>884.461725</v>
      </c>
      <c r="DR16" s="67">
        <f t="shared" ref="DR16:DT16" si="44">+DR132</f>
        <v>930.32008559999997</v>
      </c>
      <c r="DS16" s="67">
        <f t="shared" si="44"/>
        <v>907.40350440000009</v>
      </c>
      <c r="DT16" s="67">
        <f t="shared" si="44"/>
        <v>1017.1595043000001</v>
      </c>
      <c r="DU16" s="136">
        <f t="shared" si="18"/>
        <v>1017.1595043000001</v>
      </c>
      <c r="DV16" s="126"/>
      <c r="DW16" s="82">
        <f>+DW132</f>
        <v>922.30619602499985</v>
      </c>
      <c r="DX16" s="67">
        <f t="shared" ref="DX16:DZ16" si="45">+DX132</f>
        <v>970.12873077300003</v>
      </c>
      <c r="DY16" s="67">
        <f t="shared" si="45"/>
        <v>946.24087808700006</v>
      </c>
      <c r="DZ16" s="67">
        <f t="shared" si="45"/>
        <v>1060.6314875985001</v>
      </c>
      <c r="EA16" s="136">
        <f t="shared" si="19"/>
        <v>1060.6314875985001</v>
      </c>
      <c r="EB16" s="126"/>
      <c r="EC16" s="82">
        <f t="shared" ref="EC16:EF16" si="46">+EC132</f>
        <v>961.80779828812501</v>
      </c>
      <c r="ED16" s="67">
        <f t="shared" si="46"/>
        <v>1011.681308005335</v>
      </c>
      <c r="EE16" s="67">
        <f t="shared" si="46"/>
        <v>986.77969629232496</v>
      </c>
      <c r="EF16" s="67">
        <f t="shared" si="46"/>
        <v>1106.0054549174026</v>
      </c>
      <c r="EG16" s="136">
        <f t="shared" si="20"/>
        <v>1106.0054549174026</v>
      </c>
      <c r="EH16" s="391"/>
      <c r="EI16" s="485"/>
      <c r="EJ16" s="10"/>
    </row>
    <row r="17" spans="1:140" ht="11.25" customHeight="1" x14ac:dyDescent="0.2">
      <c r="A17" s="50" t="s">
        <v>133</v>
      </c>
      <c r="B17" s="3"/>
      <c r="C17" s="3"/>
      <c r="D17" s="3"/>
      <c r="E17" s="163">
        <f t="shared" ref="E17" si="47">SUM(E11:E16)</f>
        <v>832.05299999999988</v>
      </c>
      <c r="F17" s="166"/>
      <c r="G17" s="163">
        <f t="shared" ref="G17" si="48">SUM(G11:G16)</f>
        <v>931.69600000000003</v>
      </c>
      <c r="H17" s="166"/>
      <c r="I17" s="163">
        <f t="shared" ref="I17" si="49">SUM(I11:I16)</f>
        <v>1202.117</v>
      </c>
      <c r="J17" s="166"/>
      <c r="K17" s="163">
        <f t="shared" ref="K17:Q17" si="50">SUM(K11:K16)</f>
        <v>1474.306</v>
      </c>
      <c r="L17" s="166"/>
      <c r="M17" s="165">
        <f t="shared" si="50"/>
        <v>1870.9519999999998</v>
      </c>
      <c r="N17" s="164">
        <f t="shared" si="50"/>
        <v>1889.1120000000001</v>
      </c>
      <c r="O17" s="164">
        <f t="shared" si="50"/>
        <v>1870.0310000000002</v>
      </c>
      <c r="P17" s="164">
        <f t="shared" si="50"/>
        <v>1874.6149999999998</v>
      </c>
      <c r="Q17" s="163">
        <f t="shared" si="50"/>
        <v>1874.6149999999998</v>
      </c>
      <c r="R17" s="166"/>
      <c r="S17" s="165">
        <f t="shared" ref="S17:W17" si="51">SUM(S11:S16)</f>
        <v>1933.8680000000002</v>
      </c>
      <c r="T17" s="164">
        <f t="shared" si="51"/>
        <v>2130.9830000000002</v>
      </c>
      <c r="U17" s="164">
        <f t="shared" si="51"/>
        <v>2246.5880000000002</v>
      </c>
      <c r="V17" s="164">
        <f t="shared" si="51"/>
        <v>2387.2660000000001</v>
      </c>
      <c r="W17" s="163">
        <f t="shared" si="51"/>
        <v>2387.2660000000001</v>
      </c>
      <c r="X17" s="166"/>
      <c r="Y17" s="165">
        <f t="shared" ref="Y17:AC17" si="52">SUM(Y11:Y16)</f>
        <v>2517.86</v>
      </c>
      <c r="Z17" s="164">
        <f t="shared" si="52"/>
        <v>2669.1780000000003</v>
      </c>
      <c r="AA17" s="164">
        <f t="shared" si="52"/>
        <v>2780.4070000000002</v>
      </c>
      <c r="AB17" s="164">
        <f t="shared" si="52"/>
        <v>2942.1509999999994</v>
      </c>
      <c r="AC17" s="163">
        <f t="shared" si="52"/>
        <v>2942.1509999999994</v>
      </c>
      <c r="AD17" s="166"/>
      <c r="AE17" s="165">
        <f t="shared" ref="AE17:AI17" si="53">SUM(AE11:AE16)</f>
        <v>2516.165</v>
      </c>
      <c r="AF17" s="164">
        <f t="shared" si="53"/>
        <v>2461.6410000000001</v>
      </c>
      <c r="AG17" s="164">
        <f t="shared" si="53"/>
        <v>2689.4130000000005</v>
      </c>
      <c r="AH17" s="164">
        <f t="shared" si="53"/>
        <v>2918.69</v>
      </c>
      <c r="AI17" s="163">
        <f t="shared" si="53"/>
        <v>2918.69</v>
      </c>
      <c r="AJ17" s="166"/>
      <c r="AK17" s="165">
        <f t="shared" ref="AK17:AO17" si="54">SUM(AK11:AK16)</f>
        <v>2916.9560000000001</v>
      </c>
      <c r="AL17" s="164">
        <f t="shared" si="54"/>
        <v>3040.15</v>
      </c>
      <c r="AM17" s="164">
        <f t="shared" si="54"/>
        <v>2799.9389999999999</v>
      </c>
      <c r="AN17" s="164">
        <f t="shared" si="54"/>
        <v>2945.0190000000002</v>
      </c>
      <c r="AO17" s="163">
        <f t="shared" si="54"/>
        <v>2945.0190000000002</v>
      </c>
      <c r="AP17" s="166"/>
      <c r="AQ17" s="165">
        <f t="shared" ref="AQ17:AU17" si="55">SUM(AQ11:AQ16)</f>
        <v>3001.125</v>
      </c>
      <c r="AR17" s="164">
        <f t="shared" si="55"/>
        <v>3244.221</v>
      </c>
      <c r="AS17" s="164">
        <f t="shared" si="55"/>
        <v>3228.2910000000002</v>
      </c>
      <c r="AT17" s="164">
        <f t="shared" si="55"/>
        <v>3394.902</v>
      </c>
      <c r="AU17" s="163">
        <f t="shared" si="55"/>
        <v>3394.902</v>
      </c>
      <c r="AV17" s="166"/>
      <c r="AW17" s="165">
        <f t="shared" ref="AW17:BA17" si="56">SUM(AW11:AW16)</f>
        <v>3306.0739999999996</v>
      </c>
      <c r="AX17" s="164">
        <f t="shared" si="56"/>
        <v>3279.0119999999997</v>
      </c>
      <c r="AY17" s="164">
        <f t="shared" si="56"/>
        <v>3386.0529999999999</v>
      </c>
      <c r="AZ17" s="164">
        <f t="shared" si="56"/>
        <v>4049.7669999999998</v>
      </c>
      <c r="BA17" s="163">
        <f t="shared" si="56"/>
        <v>4049.7669999999998</v>
      </c>
      <c r="BB17" s="166"/>
      <c r="BC17" s="165">
        <f t="shared" ref="BC17:BG17" si="57">SUM(BC11:BC16)</f>
        <v>4155.2730000000001</v>
      </c>
      <c r="BD17" s="164">
        <f t="shared" si="57"/>
        <v>4191.7269999999999</v>
      </c>
      <c r="BE17" s="164">
        <f t="shared" si="57"/>
        <v>4121.0660000000007</v>
      </c>
      <c r="BF17" s="164">
        <f t="shared" si="57"/>
        <v>4187.1189999999997</v>
      </c>
      <c r="BG17" s="163">
        <f t="shared" si="57"/>
        <v>4187.1189999999997</v>
      </c>
      <c r="BH17" s="166"/>
      <c r="BI17" s="165">
        <f t="shared" ref="BI17:BM17" si="58">SUM(BI11:BI16)</f>
        <v>4497.2809999999999</v>
      </c>
      <c r="BJ17" s="164">
        <f t="shared" si="58"/>
        <v>4788.6720000000005</v>
      </c>
      <c r="BK17" s="164">
        <f t="shared" si="58"/>
        <v>5198.7840000000006</v>
      </c>
      <c r="BL17" s="164">
        <f t="shared" si="58"/>
        <v>5220.6279999999997</v>
      </c>
      <c r="BM17" s="163">
        <f t="shared" si="58"/>
        <v>5220.6279999999997</v>
      </c>
      <c r="BN17" s="166"/>
      <c r="BO17" s="165">
        <f t="shared" ref="BO17:BS17" si="59">SUM(BO11:BO16)</f>
        <v>4541.0770000000002</v>
      </c>
      <c r="BP17" s="164">
        <f t="shared" si="59"/>
        <v>5044.9309999999996</v>
      </c>
      <c r="BQ17" s="164">
        <f t="shared" si="59"/>
        <v>5460.6229999999996</v>
      </c>
      <c r="BR17" s="164">
        <f t="shared" si="59"/>
        <v>5729.5129999999999</v>
      </c>
      <c r="BS17" s="163">
        <f t="shared" si="59"/>
        <v>5729.5129999999999</v>
      </c>
      <c r="BT17" s="166"/>
      <c r="BU17" s="165">
        <f t="shared" ref="BU17:BY17" si="60">SUM(BU11:BU16)</f>
        <v>6131.8919999999998</v>
      </c>
      <c r="BV17" s="164">
        <f t="shared" si="60"/>
        <v>6554.8</v>
      </c>
      <c r="BW17" s="164">
        <f t="shared" si="60"/>
        <v>6314.5380000000005</v>
      </c>
      <c r="BX17" s="164">
        <f t="shared" si="60"/>
        <v>6272.357</v>
      </c>
      <c r="BY17" s="163">
        <f t="shared" si="60"/>
        <v>6272.357</v>
      </c>
      <c r="BZ17" s="166"/>
      <c r="CA17" s="165">
        <f t="shared" ref="CA17:CE17" si="61">SUM(CA11:CA16)</f>
        <v>6543.223</v>
      </c>
      <c r="CB17" s="164">
        <f t="shared" si="61"/>
        <v>6610.494999999999</v>
      </c>
      <c r="CC17" s="164">
        <f t="shared" si="61"/>
        <v>6908</v>
      </c>
      <c r="CD17" s="164">
        <f t="shared" si="61"/>
        <v>7587.7999999999993</v>
      </c>
      <c r="CE17" s="163">
        <f t="shared" si="61"/>
        <v>7587.7999999999993</v>
      </c>
      <c r="CF17" s="166"/>
      <c r="CG17" s="165">
        <f t="shared" ref="CG17:DH17" si="62">SUM(CG11:CG16)</f>
        <v>7910</v>
      </c>
      <c r="CH17" s="164">
        <f t="shared" si="62"/>
        <v>8231</v>
      </c>
      <c r="CI17" s="164">
        <f t="shared" si="62"/>
        <v>8023.6999999999989</v>
      </c>
      <c r="CJ17" s="164">
        <f t="shared" si="62"/>
        <v>9113.6999999999989</v>
      </c>
      <c r="CK17" s="163">
        <f t="shared" si="62"/>
        <v>9113.6999999999989</v>
      </c>
      <c r="CL17" s="166"/>
      <c r="CM17" s="165">
        <f t="shared" si="62"/>
        <v>9404.2999999999993</v>
      </c>
      <c r="CN17" s="164">
        <f t="shared" si="62"/>
        <v>9507.3000000000011</v>
      </c>
      <c r="CO17" s="164">
        <f t="shared" si="62"/>
        <v>9989.5</v>
      </c>
      <c r="CP17" s="164">
        <f t="shared" si="62"/>
        <v>9431.2999999999993</v>
      </c>
      <c r="CQ17" s="163">
        <f t="shared" si="62"/>
        <v>9431.2999999999993</v>
      </c>
      <c r="CR17" s="166"/>
      <c r="CS17" s="165">
        <f t="shared" si="62"/>
        <v>8774.4</v>
      </c>
      <c r="CT17" s="164">
        <f t="shared" si="62"/>
        <v>9654.5</v>
      </c>
      <c r="CU17" s="164">
        <f t="shared" si="62"/>
        <v>8931.8000000000011</v>
      </c>
      <c r="CV17" s="164">
        <f t="shared" si="62"/>
        <v>7836.6999999999989</v>
      </c>
      <c r="CW17" s="163">
        <f t="shared" si="62"/>
        <v>7836.6999999999989</v>
      </c>
      <c r="CX17" s="166"/>
      <c r="CY17" s="165">
        <f t="shared" si="62"/>
        <v>7747.2</v>
      </c>
      <c r="CZ17" s="164">
        <f t="shared" si="62"/>
        <v>11231</v>
      </c>
      <c r="DA17" s="164">
        <f t="shared" si="62"/>
        <v>6493.2000000000007</v>
      </c>
      <c r="DB17" s="164">
        <f t="shared" si="62"/>
        <v>6665.1</v>
      </c>
      <c r="DC17" s="163">
        <f t="shared" si="62"/>
        <v>6665.1</v>
      </c>
      <c r="DD17" s="166"/>
      <c r="DE17" s="165">
        <f t="shared" si="62"/>
        <v>6318.9000000000005</v>
      </c>
      <c r="DF17" s="164">
        <f t="shared" si="62"/>
        <v>6256.6</v>
      </c>
      <c r="DG17" s="164">
        <f t="shared" si="62"/>
        <v>6260.2</v>
      </c>
      <c r="DH17" s="164">
        <f t="shared" si="62"/>
        <v>6850.0000000000009</v>
      </c>
      <c r="DI17" s="163">
        <f t="shared" ref="DI17" si="63">SUM(DI11:DI16)</f>
        <v>6850.0000000000009</v>
      </c>
      <c r="DJ17" s="166"/>
      <c r="DK17" s="165">
        <f t="shared" ref="DK17:DO17" si="64">SUM(DK11:DK16)</f>
        <v>7391.9049859999977</v>
      </c>
      <c r="DL17" s="164">
        <f t="shared" si="64"/>
        <v>8677.3355370910631</v>
      </c>
      <c r="DM17" s="164">
        <f t="shared" si="64"/>
        <v>9391.8247538447922</v>
      </c>
      <c r="DN17" s="164">
        <f t="shared" si="64"/>
        <v>10768.857225331682</v>
      </c>
      <c r="DO17" s="163">
        <f t="shared" si="64"/>
        <v>10768.857225331682</v>
      </c>
      <c r="DP17" s="166"/>
      <c r="DQ17" s="165">
        <f t="shared" ref="DQ17:DU17" si="65">SUM(DQ11:DQ16)</f>
        <v>11273.583155661738</v>
      </c>
      <c r="DR17" s="164">
        <f t="shared" si="65"/>
        <v>12672.992696370571</v>
      </c>
      <c r="DS17" s="164">
        <f t="shared" si="65"/>
        <v>13394.885861131042</v>
      </c>
      <c r="DT17" s="164">
        <f t="shared" si="65"/>
        <v>14853.997716188112</v>
      </c>
      <c r="DU17" s="163">
        <f t="shared" si="65"/>
        <v>14853.997716188112</v>
      </c>
      <c r="DV17" s="166"/>
      <c r="DW17" s="165">
        <f t="shared" ref="DW17:EA17" si="66">SUM(DW11:DW16)</f>
        <v>15456.484317698174</v>
      </c>
      <c r="DX17" s="164">
        <f t="shared" si="66"/>
        <v>16945.287293547583</v>
      </c>
      <c r="DY17" s="164">
        <f t="shared" si="66"/>
        <v>17724.967221469298</v>
      </c>
      <c r="DZ17" s="164">
        <f t="shared" si="66"/>
        <v>19425.766126933264</v>
      </c>
      <c r="EA17" s="163">
        <f t="shared" si="66"/>
        <v>19425.766126933264</v>
      </c>
      <c r="EB17" s="166"/>
      <c r="EC17" s="165">
        <f t="shared" ref="EC17:EG17" si="67">SUM(EC11:EC16)</f>
        <v>20242.597307285658</v>
      </c>
      <c r="ED17" s="164">
        <f t="shared" si="67"/>
        <v>22003.003682705243</v>
      </c>
      <c r="EE17" s="164">
        <f t="shared" si="67"/>
        <v>23041.679815799187</v>
      </c>
      <c r="EF17" s="164">
        <f t="shared" si="67"/>
        <v>24912.483567596955</v>
      </c>
      <c r="EG17" s="163">
        <f t="shared" si="67"/>
        <v>24912.483567596955</v>
      </c>
      <c r="EH17" s="391"/>
      <c r="EI17" s="485"/>
      <c r="EJ17" s="10"/>
    </row>
    <row r="18" spans="1:140" ht="11.25" customHeight="1" x14ac:dyDescent="0.2">
      <c r="A18" s="51"/>
      <c r="B18" s="2"/>
      <c r="C18" s="2"/>
      <c r="D18" s="2"/>
      <c r="E18" s="93"/>
      <c r="F18" s="126"/>
      <c r="G18" s="93"/>
      <c r="H18" s="126"/>
      <c r="I18" s="93"/>
      <c r="J18" s="126"/>
      <c r="K18" s="93"/>
      <c r="L18" s="126"/>
      <c r="M18" s="82"/>
      <c r="N18" s="67"/>
      <c r="O18" s="67"/>
      <c r="P18" s="67"/>
      <c r="Q18" s="136"/>
      <c r="R18" s="126"/>
      <c r="S18" s="82"/>
      <c r="T18" s="67"/>
      <c r="U18" s="67"/>
      <c r="V18" s="67"/>
      <c r="W18" s="136"/>
      <c r="X18" s="126"/>
      <c r="Y18" s="82"/>
      <c r="Z18" s="67"/>
      <c r="AA18" s="67"/>
      <c r="AB18" s="67"/>
      <c r="AC18" s="136"/>
      <c r="AD18" s="126"/>
      <c r="AE18" s="82"/>
      <c r="AF18" s="67"/>
      <c r="AG18" s="67"/>
      <c r="AH18" s="67"/>
      <c r="AI18" s="136"/>
      <c r="AJ18" s="126"/>
      <c r="AK18" s="82"/>
      <c r="AL18" s="67"/>
      <c r="AM18" s="67"/>
      <c r="AN18" s="67"/>
      <c r="AO18" s="136"/>
      <c r="AP18" s="126"/>
      <c r="AQ18" s="82"/>
      <c r="AR18" s="67"/>
      <c r="AS18" s="67"/>
      <c r="AT18" s="67"/>
      <c r="AU18" s="136"/>
      <c r="AV18" s="126"/>
      <c r="AW18" s="82"/>
      <c r="AX18" s="67"/>
      <c r="AY18" s="67"/>
      <c r="AZ18" s="67"/>
      <c r="BA18" s="136"/>
      <c r="BB18" s="126"/>
      <c r="BC18" s="82"/>
      <c r="BD18" s="67"/>
      <c r="BE18" s="67"/>
      <c r="BF18" s="67"/>
      <c r="BG18" s="136"/>
      <c r="BH18" s="126"/>
      <c r="BI18" s="82"/>
      <c r="BJ18" s="67"/>
      <c r="BK18" s="67"/>
      <c r="BL18" s="67"/>
      <c r="BM18" s="136"/>
      <c r="BN18" s="126"/>
      <c r="BO18" s="82"/>
      <c r="BP18" s="67"/>
      <c r="BQ18" s="67"/>
      <c r="BR18" s="67"/>
      <c r="BS18" s="136"/>
      <c r="BT18" s="126"/>
      <c r="BU18" s="82"/>
      <c r="BV18" s="67"/>
      <c r="BW18" s="67"/>
      <c r="BX18" s="67"/>
      <c r="BY18" s="136"/>
      <c r="BZ18" s="126"/>
      <c r="CA18" s="82"/>
      <c r="CB18" s="67"/>
      <c r="CC18" s="67"/>
      <c r="CD18" s="67"/>
      <c r="CE18" s="136"/>
      <c r="CF18" s="126"/>
      <c r="CG18" s="82"/>
      <c r="CH18" s="67"/>
      <c r="CI18" s="67"/>
      <c r="CJ18" s="67"/>
      <c r="CK18" s="136"/>
      <c r="CL18" s="126"/>
      <c r="CM18" s="82"/>
      <c r="CN18" s="67"/>
      <c r="CO18" s="67"/>
      <c r="CP18" s="67"/>
      <c r="CQ18" s="136"/>
      <c r="CR18" s="126"/>
      <c r="CS18" s="82"/>
      <c r="CT18" s="67"/>
      <c r="CU18" s="67"/>
      <c r="CV18" s="67"/>
      <c r="CW18" s="136"/>
      <c r="CX18" s="126"/>
      <c r="CY18" s="82"/>
      <c r="CZ18" s="67"/>
      <c r="DA18" s="67"/>
      <c r="DB18" s="67"/>
      <c r="DC18" s="136"/>
      <c r="DD18" s="126"/>
      <c r="DE18" s="82"/>
      <c r="DF18" s="67"/>
      <c r="DG18" s="67"/>
      <c r="DH18" s="67"/>
      <c r="DI18" s="136"/>
      <c r="DJ18" s="126"/>
      <c r="DK18" s="82"/>
      <c r="DL18" s="67"/>
      <c r="DM18" s="67"/>
      <c r="DN18" s="67"/>
      <c r="DO18" s="136"/>
      <c r="DP18" s="126"/>
      <c r="DQ18" s="82"/>
      <c r="DR18" s="67"/>
      <c r="DS18" s="67"/>
      <c r="DT18" s="67"/>
      <c r="DU18" s="136"/>
      <c r="DV18" s="126"/>
      <c r="DW18" s="82"/>
      <c r="DX18" s="67"/>
      <c r="DY18" s="67"/>
      <c r="DZ18" s="67"/>
      <c r="EA18" s="136"/>
      <c r="EB18" s="126"/>
      <c r="EC18" s="82"/>
      <c r="ED18" s="67"/>
      <c r="EE18" s="67"/>
      <c r="EF18" s="67"/>
      <c r="EG18" s="136"/>
      <c r="EH18" s="391"/>
      <c r="EI18" s="485"/>
      <c r="EJ18" s="10"/>
    </row>
    <row r="19" spans="1:140" ht="11.25" customHeight="1" x14ac:dyDescent="0.2">
      <c r="A19" s="51" t="s">
        <v>9</v>
      </c>
      <c r="B19" s="2"/>
      <c r="C19" s="2"/>
      <c r="D19" s="2"/>
      <c r="E19" s="92">
        <v>403.488</v>
      </c>
      <c r="F19" s="126"/>
      <c r="G19" s="92">
        <v>510.19799999999998</v>
      </c>
      <c r="H19" s="126"/>
      <c r="I19" s="92">
        <v>500.18900000000002</v>
      </c>
      <c r="J19" s="126"/>
      <c r="K19" s="92">
        <v>575.53099999999995</v>
      </c>
      <c r="L19" s="126"/>
      <c r="M19" s="84">
        <v>549.57100000000003</v>
      </c>
      <c r="N19" s="71">
        <v>545.44799999999998</v>
      </c>
      <c r="O19" s="71">
        <v>536.99099999999999</v>
      </c>
      <c r="P19" s="71">
        <v>533.572</v>
      </c>
      <c r="Q19" s="136">
        <f t="shared" ref="Q19:Q24" si="68">P19</f>
        <v>533.572</v>
      </c>
      <c r="R19" s="126"/>
      <c r="S19" s="84">
        <v>600.70799999999997</v>
      </c>
      <c r="T19" s="71">
        <v>572.55499999999995</v>
      </c>
      <c r="U19" s="71">
        <v>558.38199999999995</v>
      </c>
      <c r="V19" s="71">
        <v>597.37900000000002</v>
      </c>
      <c r="W19" s="136">
        <f t="shared" ref="W19:W25" si="69">V19</f>
        <v>597.37900000000002</v>
      </c>
      <c r="X19" s="126"/>
      <c r="Y19" s="84">
        <v>593.63199999999995</v>
      </c>
      <c r="Z19" s="71">
        <v>577.49800000000005</v>
      </c>
      <c r="AA19" s="71">
        <v>570.72400000000005</v>
      </c>
      <c r="AB19" s="71">
        <v>573.36500000000001</v>
      </c>
      <c r="AC19" s="136">
        <f t="shared" ref="AC19:AC25" si="70">AB19</f>
        <v>573.36500000000001</v>
      </c>
      <c r="AD19" s="126"/>
      <c r="AE19" s="84">
        <v>638.12400000000002</v>
      </c>
      <c r="AF19" s="71">
        <v>727.15899999999999</v>
      </c>
      <c r="AG19" s="71">
        <v>715.30200000000002</v>
      </c>
      <c r="AH19" s="71">
        <v>752.96600000000001</v>
      </c>
      <c r="AI19" s="136">
        <f t="shared" ref="AI19:AI25" si="71">AH19</f>
        <v>752.96600000000001</v>
      </c>
      <c r="AJ19" s="126"/>
      <c r="AK19" s="84">
        <v>730.95299999999997</v>
      </c>
      <c r="AL19" s="71">
        <v>706.34400000000005</v>
      </c>
      <c r="AM19" s="71">
        <v>737.92200000000003</v>
      </c>
      <c r="AN19" s="71">
        <v>748.17200000000003</v>
      </c>
      <c r="AO19" s="136">
        <f t="shared" ref="AO19:AO25" si="72">AN19</f>
        <v>748.17200000000003</v>
      </c>
      <c r="AP19" s="126"/>
      <c r="AQ19" s="84">
        <v>753.14</v>
      </c>
      <c r="AR19" s="71">
        <v>855.82799999999997</v>
      </c>
      <c r="AS19" s="71">
        <v>846.447</v>
      </c>
      <c r="AT19" s="71">
        <v>874.36800000000005</v>
      </c>
      <c r="AU19" s="136">
        <f t="shared" ref="AU19:AU25" si="73">AT19</f>
        <v>874.36800000000005</v>
      </c>
      <c r="AV19" s="126"/>
      <c r="AW19" s="84">
        <v>888.70799999999997</v>
      </c>
      <c r="AX19" s="71">
        <v>887.70899999999995</v>
      </c>
      <c r="AY19" s="71">
        <v>902.41099999999994</v>
      </c>
      <c r="AZ19" s="71">
        <v>1108.634</v>
      </c>
      <c r="BA19" s="136">
        <f t="shared" ref="BA19:BA25" si="74">AZ19</f>
        <v>1108.634</v>
      </c>
      <c r="BB19" s="126"/>
      <c r="BC19" s="84">
        <v>1127.7349999999999</v>
      </c>
      <c r="BD19" s="71">
        <v>1131.8869999999999</v>
      </c>
      <c r="BE19" s="71">
        <v>1106.3130000000001</v>
      </c>
      <c r="BF19" s="71">
        <v>1108.653</v>
      </c>
      <c r="BG19" s="136">
        <f t="shared" ref="BG19:BG25" si="75">BF19</f>
        <v>1108.653</v>
      </c>
      <c r="BH19" s="126"/>
      <c r="BI19" s="84">
        <v>1077.692</v>
      </c>
      <c r="BJ19" s="71">
        <v>1096.721</v>
      </c>
      <c r="BK19" s="71">
        <v>1097.424</v>
      </c>
      <c r="BL19" s="71">
        <v>1143.3309999999999</v>
      </c>
      <c r="BM19" s="136">
        <f t="shared" ref="BM19:BM25" si="76">BL19</f>
        <v>1143.3309999999999</v>
      </c>
      <c r="BN19" s="126"/>
      <c r="BO19" s="84">
        <v>1179.0940000000001</v>
      </c>
      <c r="BP19" s="71">
        <v>1163.335</v>
      </c>
      <c r="BQ19" s="71">
        <v>1153.431</v>
      </c>
      <c r="BR19" s="71">
        <v>1192.3030000000001</v>
      </c>
      <c r="BS19" s="136">
        <f t="shared" ref="BS19:BS25" si="77">BR19</f>
        <v>1192.3030000000001</v>
      </c>
      <c r="BT19" s="126"/>
      <c r="BU19" s="84">
        <v>1177.703</v>
      </c>
      <c r="BV19" s="71">
        <v>2226.1190000000001</v>
      </c>
      <c r="BW19" s="71">
        <v>2151.0520000000001</v>
      </c>
      <c r="BX19" s="71">
        <v>2100.9899999999998</v>
      </c>
      <c r="BY19" s="136">
        <f t="shared" ref="BY19:BY25" si="78">BX19</f>
        <v>2100.9899999999998</v>
      </c>
      <c r="BZ19" s="126"/>
      <c r="CA19" s="84">
        <v>2104.8110000000001</v>
      </c>
      <c r="CB19" s="71">
        <v>2065.451</v>
      </c>
      <c r="CC19" s="71">
        <v>2062.9520000000002</v>
      </c>
      <c r="CD19" s="71">
        <v>2140.9</v>
      </c>
      <c r="CE19" s="136">
        <f t="shared" ref="CE19:CE25" si="79">CD19</f>
        <v>2140.9</v>
      </c>
      <c r="CF19" s="126"/>
      <c r="CG19" s="84">
        <v>2109.9</v>
      </c>
      <c r="CH19" s="71">
        <v>2148.9</v>
      </c>
      <c r="CI19" s="71">
        <v>2179.1999999999998</v>
      </c>
      <c r="CJ19" s="71">
        <v>2211.3000000000002</v>
      </c>
      <c r="CK19" s="136">
        <f t="shared" ref="CK19:CK25" si="80">CJ19</f>
        <v>2211.3000000000002</v>
      </c>
      <c r="CL19" s="126"/>
      <c r="CM19" s="84">
        <v>2182.6</v>
      </c>
      <c r="CN19" s="71">
        <v>2232.1</v>
      </c>
      <c r="CO19" s="71">
        <v>2161.6</v>
      </c>
      <c r="CP19" s="71">
        <v>2203</v>
      </c>
      <c r="CQ19" s="136">
        <f t="shared" ref="CQ19:CQ25" si="81">CP19</f>
        <v>2203</v>
      </c>
      <c r="CR19" s="126"/>
      <c r="CS19" s="84">
        <v>2135.9</v>
      </c>
      <c r="CT19" s="71">
        <v>2161.3000000000002</v>
      </c>
      <c r="CU19" s="71">
        <v>2791.6</v>
      </c>
      <c r="CV19" s="71">
        <v>2302.6999999999998</v>
      </c>
      <c r="CW19" s="136">
        <f t="shared" ref="CW19:CW25" si="82">CV19</f>
        <v>2302.6999999999998</v>
      </c>
      <c r="CX19" s="126"/>
      <c r="CY19" s="84">
        <v>2872.5</v>
      </c>
      <c r="CZ19" s="71">
        <v>2784.8</v>
      </c>
      <c r="DA19" s="71">
        <v>2255.1</v>
      </c>
      <c r="DB19" s="71">
        <v>2354</v>
      </c>
      <c r="DC19" s="136">
        <f t="shared" ref="DC19:DC25" si="83">DB19</f>
        <v>2354</v>
      </c>
      <c r="DD19" s="126"/>
      <c r="DE19" s="84">
        <v>2408.6999999999998</v>
      </c>
      <c r="DF19" s="71">
        <v>2422.8000000000002</v>
      </c>
      <c r="DG19" s="71">
        <v>2424.9</v>
      </c>
      <c r="DH19" s="71">
        <v>2454.6</v>
      </c>
      <c r="DI19" s="136">
        <f t="shared" ref="DI19:DI25" si="84">DH19</f>
        <v>2454.6</v>
      </c>
      <c r="DJ19" s="126"/>
      <c r="DK19" s="82">
        <f>DK154</f>
        <v>2455.0737639999998</v>
      </c>
      <c r="DL19" s="67">
        <f t="shared" ref="DL19:DN19" si="85">DL154</f>
        <v>2462.6016283700001</v>
      </c>
      <c r="DM19" s="67">
        <f t="shared" si="85"/>
        <v>2467.2950148187247</v>
      </c>
      <c r="DN19" s="67">
        <f t="shared" si="85"/>
        <v>2489.4447247066478</v>
      </c>
      <c r="DO19" s="136">
        <f t="shared" ref="DO19:DO25" si="86">DN19</f>
        <v>2489.4447247066478</v>
      </c>
      <c r="DP19" s="126"/>
      <c r="DQ19" s="82">
        <f>DQ154</f>
        <v>2494.4981287360151</v>
      </c>
      <c r="DR19" s="67">
        <f t="shared" ref="DR19:DT19" si="87">DR154</f>
        <v>2506.9447851208943</v>
      </c>
      <c r="DS19" s="67">
        <f t="shared" si="87"/>
        <v>2514.8359582692428</v>
      </c>
      <c r="DT19" s="67">
        <f t="shared" si="87"/>
        <v>2540.6636165003615</v>
      </c>
      <c r="DU19" s="136">
        <f t="shared" ref="DU19:DU25" si="88">DT19</f>
        <v>2540.6636165003615</v>
      </c>
      <c r="DV19" s="126"/>
      <c r="DW19" s="82">
        <f>DW154</f>
        <v>2549.1129856188909</v>
      </c>
      <c r="DX19" s="67">
        <f t="shared" ref="DX19:DZ19" si="89">DX154</f>
        <v>2565.0894473908807</v>
      </c>
      <c r="DY19" s="67">
        <f t="shared" si="89"/>
        <v>2576.1447201831493</v>
      </c>
      <c r="DZ19" s="67">
        <f t="shared" si="89"/>
        <v>2605.7310969169002</v>
      </c>
      <c r="EA19" s="136">
        <f t="shared" ref="EA19:EA25" si="90">DZ19</f>
        <v>2605.7310969169002</v>
      </c>
      <c r="EB19" s="126"/>
      <c r="EC19" s="82">
        <f t="shared" ref="EC19:EF19" si="91">EC154</f>
        <v>2617.0577988240111</v>
      </c>
      <c r="ED19" s="67">
        <f t="shared" si="91"/>
        <v>2636.0897989996351</v>
      </c>
      <c r="EE19" s="67">
        <f t="shared" si="91"/>
        <v>2649.8550557803592</v>
      </c>
      <c r="EF19" s="67">
        <f t="shared" si="91"/>
        <v>2682.8057485191489</v>
      </c>
      <c r="EG19" s="136">
        <f t="shared" ref="EG19:EG25" si="92">EF19</f>
        <v>2682.8057485191489</v>
      </c>
      <c r="EH19" s="391"/>
      <c r="EI19" s="485"/>
      <c r="EJ19" s="10"/>
    </row>
    <row r="20" spans="1:140" ht="11.25" customHeight="1" x14ac:dyDescent="0.2">
      <c r="A20" s="51" t="s">
        <v>10</v>
      </c>
      <c r="B20" s="2"/>
      <c r="C20" s="2"/>
      <c r="D20" s="2"/>
      <c r="E20" s="92">
        <v>0</v>
      </c>
      <c r="F20" s="126"/>
      <c r="G20" s="92">
        <v>0</v>
      </c>
      <c r="H20" s="126"/>
      <c r="I20" s="92">
        <v>0</v>
      </c>
      <c r="J20" s="126"/>
      <c r="K20" s="92">
        <v>0</v>
      </c>
      <c r="L20" s="126"/>
      <c r="M20" s="84">
        <v>0</v>
      </c>
      <c r="N20" s="71">
        <v>0</v>
      </c>
      <c r="O20" s="71">
        <v>0</v>
      </c>
      <c r="P20" s="71">
        <v>0</v>
      </c>
      <c r="Q20" s="136">
        <f t="shared" si="68"/>
        <v>0</v>
      </c>
      <c r="R20" s="126"/>
      <c r="S20" s="84">
        <v>0</v>
      </c>
      <c r="T20" s="71">
        <v>0</v>
      </c>
      <c r="U20" s="71">
        <v>0</v>
      </c>
      <c r="V20" s="71">
        <v>0</v>
      </c>
      <c r="W20" s="136">
        <f t="shared" si="69"/>
        <v>0</v>
      </c>
      <c r="X20" s="126"/>
      <c r="Y20" s="84">
        <v>0</v>
      </c>
      <c r="Z20" s="71">
        <v>0</v>
      </c>
      <c r="AA20" s="71">
        <v>0</v>
      </c>
      <c r="AB20" s="71">
        <v>0</v>
      </c>
      <c r="AC20" s="136">
        <f t="shared" si="70"/>
        <v>0</v>
      </c>
      <c r="AD20" s="126"/>
      <c r="AE20" s="84">
        <v>0</v>
      </c>
      <c r="AF20" s="71">
        <v>0</v>
      </c>
      <c r="AG20" s="71">
        <v>0</v>
      </c>
      <c r="AH20" s="71">
        <v>0</v>
      </c>
      <c r="AI20" s="136">
        <f t="shared" si="71"/>
        <v>0</v>
      </c>
      <c r="AJ20" s="126"/>
      <c r="AK20" s="84">
        <f>AI20</f>
        <v>0</v>
      </c>
      <c r="AL20" s="71">
        <f t="shared" ref="AL20:AS20" si="93">AK20</f>
        <v>0</v>
      </c>
      <c r="AM20" s="71">
        <v>0</v>
      </c>
      <c r="AN20" s="71">
        <v>0</v>
      </c>
      <c r="AO20" s="136">
        <f t="shared" si="72"/>
        <v>0</v>
      </c>
      <c r="AP20" s="126"/>
      <c r="AQ20" s="84">
        <f>AO20</f>
        <v>0</v>
      </c>
      <c r="AR20" s="71">
        <v>0</v>
      </c>
      <c r="AS20" s="71">
        <f t="shared" si="93"/>
        <v>0</v>
      </c>
      <c r="AT20" s="71">
        <v>0</v>
      </c>
      <c r="AU20" s="136">
        <f t="shared" si="73"/>
        <v>0</v>
      </c>
      <c r="AV20" s="126"/>
      <c r="AW20" s="84">
        <v>0</v>
      </c>
      <c r="AX20" s="71">
        <v>0</v>
      </c>
      <c r="AY20" s="71">
        <f>AX20</f>
        <v>0</v>
      </c>
      <c r="AZ20" s="71">
        <v>0</v>
      </c>
      <c r="BA20" s="136">
        <f t="shared" si="74"/>
        <v>0</v>
      </c>
      <c r="BB20" s="126"/>
      <c r="BC20" s="84">
        <v>0</v>
      </c>
      <c r="BD20" s="71">
        <v>0</v>
      </c>
      <c r="BE20" s="71">
        <v>0</v>
      </c>
      <c r="BF20" s="71">
        <f t="shared" ref="BF20:BF21" si="94">BE20</f>
        <v>0</v>
      </c>
      <c r="BG20" s="136">
        <f t="shared" si="75"/>
        <v>0</v>
      </c>
      <c r="BH20" s="126"/>
      <c r="BI20" s="84">
        <v>0</v>
      </c>
      <c r="BJ20" s="71">
        <v>0</v>
      </c>
      <c r="BK20" s="71">
        <v>0</v>
      </c>
      <c r="BL20" s="71">
        <v>0</v>
      </c>
      <c r="BM20" s="136">
        <f t="shared" si="76"/>
        <v>0</v>
      </c>
      <c r="BN20" s="126"/>
      <c r="BO20" s="84">
        <v>0</v>
      </c>
      <c r="BP20" s="71">
        <v>0</v>
      </c>
      <c r="BQ20" s="71">
        <v>498.5</v>
      </c>
      <c r="BR20" s="71">
        <v>511.28300000000002</v>
      </c>
      <c r="BS20" s="136">
        <f t="shared" si="77"/>
        <v>511.28300000000002</v>
      </c>
      <c r="BT20" s="126"/>
      <c r="BU20" s="84">
        <v>523.23099999999999</v>
      </c>
      <c r="BV20" s="71">
        <v>533.13599999999997</v>
      </c>
      <c r="BW20" s="71">
        <v>531.17899999999997</v>
      </c>
      <c r="BX20" s="71">
        <v>521.88199999999995</v>
      </c>
      <c r="BY20" s="136">
        <f t="shared" si="78"/>
        <v>521.88199999999995</v>
      </c>
      <c r="BZ20" s="126"/>
      <c r="CA20" s="84">
        <v>549.86500000000001</v>
      </c>
      <c r="CB20" s="71">
        <v>552.54</v>
      </c>
      <c r="CC20" s="71">
        <v>560.62900000000002</v>
      </c>
      <c r="CD20" s="71">
        <v>548.29999999999995</v>
      </c>
      <c r="CE20" s="136">
        <f t="shared" si="79"/>
        <v>548.29999999999995</v>
      </c>
      <c r="CF20" s="126"/>
      <c r="CG20" s="84">
        <v>0</v>
      </c>
      <c r="CH20" s="71">
        <v>0</v>
      </c>
      <c r="CI20" s="71">
        <v>0</v>
      </c>
      <c r="CJ20" s="71">
        <v>0</v>
      </c>
      <c r="CK20" s="136">
        <f t="shared" si="80"/>
        <v>0</v>
      </c>
      <c r="CL20" s="126"/>
      <c r="CM20" s="84">
        <v>0</v>
      </c>
      <c r="CN20" s="71">
        <v>0</v>
      </c>
      <c r="CO20" s="71">
        <v>0</v>
      </c>
      <c r="CP20" s="71">
        <v>0</v>
      </c>
      <c r="CQ20" s="136">
        <f t="shared" si="81"/>
        <v>0</v>
      </c>
      <c r="CR20" s="126"/>
      <c r="CS20" s="84">
        <v>0</v>
      </c>
      <c r="CT20" s="71">
        <v>0</v>
      </c>
      <c r="CU20" s="71">
        <v>0</v>
      </c>
      <c r="CV20" s="71">
        <v>0</v>
      </c>
      <c r="CW20" s="136">
        <f t="shared" si="82"/>
        <v>0</v>
      </c>
      <c r="CX20" s="126"/>
      <c r="CY20" s="84">
        <v>0</v>
      </c>
      <c r="CZ20" s="71">
        <v>0</v>
      </c>
      <c r="DA20" s="71">
        <v>0</v>
      </c>
      <c r="DB20" s="71">
        <v>0</v>
      </c>
      <c r="DC20" s="136">
        <f t="shared" si="83"/>
        <v>0</v>
      </c>
      <c r="DD20" s="126"/>
      <c r="DE20" s="84">
        <v>0</v>
      </c>
      <c r="DF20" s="71">
        <v>0</v>
      </c>
      <c r="DG20" s="71">
        <v>0</v>
      </c>
      <c r="DH20" s="71">
        <v>0</v>
      </c>
      <c r="DI20" s="136">
        <f t="shared" si="84"/>
        <v>0</v>
      </c>
      <c r="DJ20" s="126"/>
      <c r="DK20" s="82">
        <f>DH20-CF!DK17</f>
        <v>0</v>
      </c>
      <c r="DL20" s="67">
        <f>DK20-CF!DL17</f>
        <v>0</v>
      </c>
      <c r="DM20" s="67">
        <f>DL20-CF!DM17</f>
        <v>0</v>
      </c>
      <c r="DN20" s="67">
        <f>DM20-CF!DN17</f>
        <v>0</v>
      </c>
      <c r="DO20" s="136">
        <f t="shared" si="86"/>
        <v>0</v>
      </c>
      <c r="DP20" s="126"/>
      <c r="DQ20" s="82">
        <f>DN20-CF!DQ17</f>
        <v>0</v>
      </c>
      <c r="DR20" s="67">
        <f>DQ20-CF!DR17</f>
        <v>0</v>
      </c>
      <c r="DS20" s="67">
        <f>DR20-CF!DS17</f>
        <v>0</v>
      </c>
      <c r="DT20" s="67">
        <f>DS20-CF!DT17</f>
        <v>0</v>
      </c>
      <c r="DU20" s="136">
        <f t="shared" si="88"/>
        <v>0</v>
      </c>
      <c r="DV20" s="126"/>
      <c r="DW20" s="82">
        <f>DT20-CF!DW17</f>
        <v>0</v>
      </c>
      <c r="DX20" s="67">
        <f>DW20-CF!DX17</f>
        <v>0</v>
      </c>
      <c r="DY20" s="67">
        <f>DX20-CF!DY17</f>
        <v>0</v>
      </c>
      <c r="DZ20" s="67">
        <f>DY20-CF!DZ17</f>
        <v>0</v>
      </c>
      <c r="EA20" s="136">
        <f t="shared" si="90"/>
        <v>0</v>
      </c>
      <c r="EB20" s="126"/>
      <c r="EC20" s="82">
        <f>DZ20-CF!EC17</f>
        <v>0</v>
      </c>
      <c r="ED20" s="67">
        <f>EC20-CF!ED17</f>
        <v>0</v>
      </c>
      <c r="EE20" s="67">
        <f>ED20-CF!EE17</f>
        <v>0</v>
      </c>
      <c r="EF20" s="67">
        <f>EE20-CF!EF17</f>
        <v>0</v>
      </c>
      <c r="EG20" s="136">
        <f t="shared" si="92"/>
        <v>0</v>
      </c>
      <c r="EH20" s="391"/>
      <c r="EI20" s="485"/>
      <c r="EJ20" s="10"/>
    </row>
    <row r="21" spans="1:140" ht="11.25" customHeight="1" x14ac:dyDescent="0.2">
      <c r="A21" s="51" t="s">
        <v>27</v>
      </c>
      <c r="B21" s="2"/>
      <c r="C21" s="2"/>
      <c r="D21" s="2"/>
      <c r="E21" s="92">
        <v>0</v>
      </c>
      <c r="F21" s="126"/>
      <c r="G21" s="92">
        <v>0</v>
      </c>
      <c r="H21" s="126"/>
      <c r="I21" s="92">
        <v>0</v>
      </c>
      <c r="J21" s="126"/>
      <c r="K21" s="92">
        <v>0</v>
      </c>
      <c r="L21" s="126"/>
      <c r="M21" s="84">
        <v>0</v>
      </c>
      <c r="N21" s="71">
        <v>0</v>
      </c>
      <c r="O21" s="71">
        <v>0</v>
      </c>
      <c r="P21" s="71">
        <v>0</v>
      </c>
      <c r="Q21" s="136">
        <f t="shared" si="68"/>
        <v>0</v>
      </c>
      <c r="R21" s="126"/>
      <c r="S21" s="84">
        <v>0</v>
      </c>
      <c r="T21" s="71">
        <v>0</v>
      </c>
      <c r="U21" s="71">
        <v>0</v>
      </c>
      <c r="V21" s="71">
        <v>0</v>
      </c>
      <c r="W21" s="136">
        <f t="shared" si="69"/>
        <v>0</v>
      </c>
      <c r="X21" s="126"/>
      <c r="Y21" s="84">
        <v>0</v>
      </c>
      <c r="Z21" s="71">
        <v>0</v>
      </c>
      <c r="AA21" s="71">
        <v>0</v>
      </c>
      <c r="AB21" s="71">
        <v>0</v>
      </c>
      <c r="AC21" s="136">
        <f t="shared" si="70"/>
        <v>0</v>
      </c>
      <c r="AD21" s="126"/>
      <c r="AE21" s="84">
        <v>0</v>
      </c>
      <c r="AF21" s="71">
        <v>0</v>
      </c>
      <c r="AG21" s="71">
        <v>0</v>
      </c>
      <c r="AH21" s="71">
        <v>0</v>
      </c>
      <c r="AI21" s="136">
        <f t="shared" si="71"/>
        <v>0</v>
      </c>
      <c r="AJ21" s="126"/>
      <c r="AK21" s="84">
        <f>AI21</f>
        <v>0</v>
      </c>
      <c r="AL21" s="71">
        <f t="shared" ref="AL21:AS21" si="95">AK21</f>
        <v>0</v>
      </c>
      <c r="AM21" s="71">
        <v>0</v>
      </c>
      <c r="AN21" s="71">
        <v>0</v>
      </c>
      <c r="AO21" s="136">
        <f t="shared" si="72"/>
        <v>0</v>
      </c>
      <c r="AP21" s="126"/>
      <c r="AQ21" s="84">
        <f>AO21</f>
        <v>0</v>
      </c>
      <c r="AR21" s="71">
        <v>0</v>
      </c>
      <c r="AS21" s="71">
        <f t="shared" si="95"/>
        <v>0</v>
      </c>
      <c r="AT21" s="71">
        <v>0</v>
      </c>
      <c r="AU21" s="136">
        <f t="shared" si="73"/>
        <v>0</v>
      </c>
      <c r="AV21" s="126"/>
      <c r="AW21" s="84">
        <v>0</v>
      </c>
      <c r="AX21" s="71">
        <v>0</v>
      </c>
      <c r="AY21" s="71">
        <f>AX21</f>
        <v>0</v>
      </c>
      <c r="AZ21" s="71">
        <v>0</v>
      </c>
      <c r="BA21" s="136">
        <f t="shared" si="74"/>
        <v>0</v>
      </c>
      <c r="BB21" s="126"/>
      <c r="BC21" s="84">
        <v>0</v>
      </c>
      <c r="BD21" s="71">
        <v>0</v>
      </c>
      <c r="BE21" s="71">
        <v>0</v>
      </c>
      <c r="BF21" s="71">
        <f t="shared" si="94"/>
        <v>0</v>
      </c>
      <c r="BG21" s="136">
        <f t="shared" si="75"/>
        <v>0</v>
      </c>
      <c r="BH21" s="126"/>
      <c r="BI21" s="84">
        <v>0</v>
      </c>
      <c r="BJ21" s="71">
        <v>0</v>
      </c>
      <c r="BK21" s="71">
        <v>0</v>
      </c>
      <c r="BL21" s="71">
        <v>0</v>
      </c>
      <c r="BM21" s="136">
        <f t="shared" si="76"/>
        <v>0</v>
      </c>
      <c r="BN21" s="126"/>
      <c r="BO21" s="84">
        <v>0</v>
      </c>
      <c r="BP21" s="71">
        <v>0</v>
      </c>
      <c r="BQ21" s="71">
        <v>0</v>
      </c>
      <c r="BR21" s="71">
        <v>0</v>
      </c>
      <c r="BS21" s="136">
        <f t="shared" si="77"/>
        <v>0</v>
      </c>
      <c r="BT21" s="126"/>
      <c r="BU21" s="84">
        <v>0</v>
      </c>
      <c r="BV21" s="71">
        <v>0</v>
      </c>
      <c r="BW21" s="71">
        <v>0</v>
      </c>
      <c r="BX21" s="71">
        <v>0</v>
      </c>
      <c r="BY21" s="136">
        <f t="shared" si="78"/>
        <v>0</v>
      </c>
      <c r="BZ21" s="126"/>
      <c r="CA21" s="84">
        <v>0</v>
      </c>
      <c r="CB21" s="71">
        <v>0</v>
      </c>
      <c r="CC21" s="71">
        <v>0</v>
      </c>
      <c r="CD21" s="71">
        <v>0</v>
      </c>
      <c r="CE21" s="136">
        <f t="shared" si="79"/>
        <v>0</v>
      </c>
      <c r="CF21" s="126"/>
      <c r="CG21" s="84">
        <v>0</v>
      </c>
      <c r="CH21" s="71">
        <v>0</v>
      </c>
      <c r="CI21" s="71">
        <v>0</v>
      </c>
      <c r="CJ21" s="71">
        <v>0</v>
      </c>
      <c r="CK21" s="136">
        <f t="shared" si="80"/>
        <v>0</v>
      </c>
      <c r="CL21" s="126"/>
      <c r="CM21" s="84">
        <v>0</v>
      </c>
      <c r="CN21" s="71">
        <v>0</v>
      </c>
      <c r="CO21" s="71">
        <v>0</v>
      </c>
      <c r="CP21" s="71">
        <v>0</v>
      </c>
      <c r="CQ21" s="136">
        <f t="shared" si="81"/>
        <v>0</v>
      </c>
      <c r="CR21" s="126"/>
      <c r="CS21" s="84">
        <v>0</v>
      </c>
      <c r="CT21" s="71">
        <v>0</v>
      </c>
      <c r="CU21" s="71">
        <v>0</v>
      </c>
      <c r="CV21" s="71">
        <v>0</v>
      </c>
      <c r="CW21" s="136">
        <f t="shared" si="82"/>
        <v>0</v>
      </c>
      <c r="CX21" s="126"/>
      <c r="CY21" s="84">
        <v>0</v>
      </c>
      <c r="CZ21" s="71">
        <v>0</v>
      </c>
      <c r="DA21" s="71">
        <v>0</v>
      </c>
      <c r="DB21" s="67">
        <f>+DC140</f>
        <v>1637.3</v>
      </c>
      <c r="DC21" s="136">
        <f t="shared" si="83"/>
        <v>1637.3</v>
      </c>
      <c r="DD21" s="126"/>
      <c r="DE21" s="82">
        <v>1804</v>
      </c>
      <c r="DF21" s="67">
        <f>DE21</f>
        <v>1804</v>
      </c>
      <c r="DG21" s="67">
        <f>DF21</f>
        <v>1804</v>
      </c>
      <c r="DH21" s="67">
        <f>+DH140</f>
        <v>1150.4000000000001</v>
      </c>
      <c r="DI21" s="136">
        <f t="shared" si="84"/>
        <v>1150.4000000000001</v>
      </c>
      <c r="DJ21" s="126"/>
      <c r="DK21" s="82">
        <f>+DK140</f>
        <v>1220.8039999999999</v>
      </c>
      <c r="DL21" s="67">
        <f t="shared" ref="DL21:DN21" si="96">+DL140</f>
        <v>1262.1292800000001</v>
      </c>
      <c r="DM21" s="67">
        <f t="shared" si="96"/>
        <v>1222.341876</v>
      </c>
      <c r="DN21" s="67">
        <f t="shared" si="96"/>
        <v>1348.698772</v>
      </c>
      <c r="DO21" s="136">
        <f t="shared" si="86"/>
        <v>1348.698772</v>
      </c>
      <c r="DP21" s="126"/>
      <c r="DQ21" s="82">
        <f>+DQ140</f>
        <v>1297.2105300000003</v>
      </c>
      <c r="DR21" s="67">
        <f t="shared" ref="DR21:DT21" si="97">+DR140</f>
        <v>1364.46945888</v>
      </c>
      <c r="DS21" s="67">
        <f t="shared" si="97"/>
        <v>1330.8584731200003</v>
      </c>
      <c r="DT21" s="67">
        <f t="shared" si="97"/>
        <v>1491.8339396400002</v>
      </c>
      <c r="DU21" s="136">
        <f t="shared" si="88"/>
        <v>1491.8339396400002</v>
      </c>
      <c r="DV21" s="126"/>
      <c r="DW21" s="82">
        <f>+DW140</f>
        <v>1393.7071406600001</v>
      </c>
      <c r="DX21" s="67">
        <f t="shared" ref="DX21:DZ21" si="98">+DX140</f>
        <v>1465.9723042792002</v>
      </c>
      <c r="DY21" s="67">
        <f t="shared" si="98"/>
        <v>1429.8751046648003</v>
      </c>
      <c r="DZ21" s="67">
        <f t="shared" si="98"/>
        <v>1602.7320257044005</v>
      </c>
      <c r="EA21" s="136">
        <f t="shared" si="90"/>
        <v>1602.7320257044005</v>
      </c>
      <c r="EB21" s="126"/>
      <c r="EC21" s="82">
        <f t="shared" ref="EC21:EF21" si="99">+EC140</f>
        <v>1496.1454640037502</v>
      </c>
      <c r="ED21" s="67">
        <f t="shared" si="99"/>
        <v>1573.7264791194102</v>
      </c>
      <c r="EE21" s="67">
        <f t="shared" si="99"/>
        <v>1534.9906386769501</v>
      </c>
      <c r="EF21" s="67">
        <f t="shared" si="99"/>
        <v>1720.4529298715154</v>
      </c>
      <c r="EG21" s="136">
        <f t="shared" si="92"/>
        <v>1720.4529298715154</v>
      </c>
      <c r="EH21" s="391"/>
      <c r="EI21" s="485"/>
      <c r="EJ21" s="10"/>
    </row>
    <row r="22" spans="1:140" ht="11.25" customHeight="1" x14ac:dyDescent="0.2">
      <c r="A22" s="51" t="s">
        <v>28</v>
      </c>
      <c r="B22" s="2"/>
      <c r="C22" s="2"/>
      <c r="D22" s="2"/>
      <c r="E22" s="92">
        <v>84.981999999999999</v>
      </c>
      <c r="F22" s="126"/>
      <c r="G22" s="92">
        <v>111.203</v>
      </c>
      <c r="H22" s="126"/>
      <c r="I22" s="92">
        <v>52.475999999999999</v>
      </c>
      <c r="J22" s="126"/>
      <c r="K22" s="92">
        <v>117.94199999999999</v>
      </c>
      <c r="L22" s="126"/>
      <c r="M22" s="84">
        <v>112.506</v>
      </c>
      <c r="N22" s="71">
        <v>116.48099999999999</v>
      </c>
      <c r="O22" s="71">
        <v>133.041</v>
      </c>
      <c r="P22" s="71">
        <v>119.639</v>
      </c>
      <c r="Q22" s="136">
        <f t="shared" si="68"/>
        <v>119.639</v>
      </c>
      <c r="R22" s="126"/>
      <c r="S22" s="84">
        <v>73.546999999999997</v>
      </c>
      <c r="T22" s="71">
        <v>71.290999999999997</v>
      </c>
      <c r="U22" s="71">
        <v>66.164000000000001</v>
      </c>
      <c r="V22" s="71">
        <v>36.795999999999999</v>
      </c>
      <c r="W22" s="136">
        <f t="shared" si="69"/>
        <v>36.795999999999999</v>
      </c>
      <c r="X22" s="126"/>
      <c r="Y22" s="84">
        <v>35.835000000000001</v>
      </c>
      <c r="Z22" s="71">
        <v>38.573</v>
      </c>
      <c r="AA22" s="71">
        <v>31.048999999999999</v>
      </c>
      <c r="AB22" s="71">
        <v>32.561999999999998</v>
      </c>
      <c r="AC22" s="136">
        <f t="shared" si="70"/>
        <v>32.561999999999998</v>
      </c>
      <c r="AD22" s="126"/>
      <c r="AE22" s="84">
        <v>73.962000000000003</v>
      </c>
      <c r="AF22" s="71">
        <v>81.021000000000001</v>
      </c>
      <c r="AG22" s="71">
        <v>77.298000000000002</v>
      </c>
      <c r="AH22" s="71">
        <v>91.704999999999998</v>
      </c>
      <c r="AI22" s="136">
        <f t="shared" si="71"/>
        <v>91.704999999999998</v>
      </c>
      <c r="AJ22" s="126"/>
      <c r="AK22" s="84">
        <v>111.336</v>
      </c>
      <c r="AL22" s="71">
        <v>124.86799999999999</v>
      </c>
      <c r="AM22" s="71">
        <v>157.62</v>
      </c>
      <c r="AN22" s="71">
        <v>160.78</v>
      </c>
      <c r="AO22" s="136">
        <f t="shared" si="72"/>
        <v>160.78</v>
      </c>
      <c r="AP22" s="126"/>
      <c r="AQ22" s="84">
        <v>156.50200000000001</v>
      </c>
      <c r="AR22" s="71">
        <v>176.14500000000001</v>
      </c>
      <c r="AS22" s="71">
        <v>206.245</v>
      </c>
      <c r="AT22" s="71">
        <v>300.43400000000003</v>
      </c>
      <c r="AU22" s="136">
        <f t="shared" si="73"/>
        <v>300.43400000000003</v>
      </c>
      <c r="AV22" s="126"/>
      <c r="AW22" s="84">
        <v>295.346</v>
      </c>
      <c r="AX22" s="71">
        <v>339.81</v>
      </c>
      <c r="AY22" s="71">
        <v>305.63</v>
      </c>
      <c r="AZ22" s="71">
        <v>356.17599999999999</v>
      </c>
      <c r="BA22" s="136">
        <f t="shared" si="74"/>
        <v>356.17599999999999</v>
      </c>
      <c r="BB22" s="126"/>
      <c r="BC22" s="84">
        <v>504.13299999999998</v>
      </c>
      <c r="BD22" s="71">
        <v>509.60599999999999</v>
      </c>
      <c r="BE22" s="71">
        <v>501.92099999999999</v>
      </c>
      <c r="BF22" s="71">
        <v>432.25700000000001</v>
      </c>
      <c r="BG22" s="136">
        <f t="shared" si="75"/>
        <v>432.25700000000001</v>
      </c>
      <c r="BH22" s="126"/>
      <c r="BI22" s="84">
        <f>500.178</f>
        <v>500.178</v>
      </c>
      <c r="BJ22" s="71">
        <v>543.72799999999995</v>
      </c>
      <c r="BK22" s="71">
        <v>678.33799999999997</v>
      </c>
      <c r="BL22" s="71">
        <v>758.03499999999997</v>
      </c>
      <c r="BM22" s="136">
        <f t="shared" si="76"/>
        <v>758.03499999999997</v>
      </c>
      <c r="BN22" s="126"/>
      <c r="BO22" s="84">
        <v>853.99199999999996</v>
      </c>
      <c r="BP22" s="71">
        <v>737.06899999999996</v>
      </c>
      <c r="BQ22" s="71">
        <v>837.51300000000003</v>
      </c>
      <c r="BR22" s="71">
        <v>701.12699999999995</v>
      </c>
      <c r="BS22" s="136">
        <f t="shared" si="77"/>
        <v>701.12699999999995</v>
      </c>
      <c r="BT22" s="126"/>
      <c r="BU22" s="84">
        <v>727.65800000000002</v>
      </c>
      <c r="BV22" s="71">
        <v>1247.548</v>
      </c>
      <c r="BW22" s="71">
        <v>1150.9690000000001</v>
      </c>
      <c r="BX22" s="71">
        <v>739.68600000000004</v>
      </c>
      <c r="BY22" s="136">
        <f t="shared" si="78"/>
        <v>739.68600000000004</v>
      </c>
      <c r="BZ22" s="126"/>
      <c r="CA22" s="84">
        <v>787.90200000000004</v>
      </c>
      <c r="CB22" s="71">
        <v>837.94299999999998</v>
      </c>
      <c r="CC22" s="71">
        <v>893.16200000000003</v>
      </c>
      <c r="CD22" s="71">
        <v>858</v>
      </c>
      <c r="CE22" s="136">
        <f t="shared" si="79"/>
        <v>858</v>
      </c>
      <c r="CF22" s="126"/>
      <c r="CG22" s="84">
        <v>941.6</v>
      </c>
      <c r="CH22" s="71">
        <v>998.4</v>
      </c>
      <c r="CI22" s="71">
        <v>1149.4000000000001</v>
      </c>
      <c r="CJ22" s="71">
        <v>1061.3</v>
      </c>
      <c r="CK22" s="136">
        <f t="shared" si="80"/>
        <v>1061.3</v>
      </c>
      <c r="CL22" s="126"/>
      <c r="CM22" s="84">
        <v>1094.8</v>
      </c>
      <c r="CN22" s="71">
        <v>1145.2</v>
      </c>
      <c r="CO22" s="71">
        <v>1192.2</v>
      </c>
      <c r="CP22" s="71">
        <v>1024</v>
      </c>
      <c r="CQ22" s="136">
        <f t="shared" si="81"/>
        <v>1024</v>
      </c>
      <c r="CR22" s="126"/>
      <c r="CS22" s="84">
        <v>1092.0999999999999</v>
      </c>
      <c r="CT22" s="71">
        <v>1138.5999999999999</v>
      </c>
      <c r="CU22" s="71">
        <v>1165.3</v>
      </c>
      <c r="CV22" s="71">
        <v>845.3</v>
      </c>
      <c r="CW22" s="136">
        <f t="shared" si="82"/>
        <v>845.3</v>
      </c>
      <c r="CX22" s="126"/>
      <c r="CY22" s="84">
        <v>1016.7</v>
      </c>
      <c r="CZ22" s="71">
        <v>1026.0999999999999</v>
      </c>
      <c r="DA22" s="71">
        <v>660.4</v>
      </c>
      <c r="DB22" s="71">
        <v>631.29999999999995</v>
      </c>
      <c r="DC22" s="136">
        <f t="shared" si="83"/>
        <v>631.29999999999995</v>
      </c>
      <c r="DD22" s="126"/>
      <c r="DE22" s="84">
        <v>685.7</v>
      </c>
      <c r="DF22" s="71">
        <v>693.9</v>
      </c>
      <c r="DG22" s="71">
        <v>689.1</v>
      </c>
      <c r="DH22" s="71">
        <v>538.29999999999995</v>
      </c>
      <c r="DI22" s="136">
        <f t="shared" si="84"/>
        <v>538.29999999999995</v>
      </c>
      <c r="DJ22" s="126"/>
      <c r="DK22" s="81">
        <f t="shared" ref="DK22" si="100">DH22</f>
        <v>538.29999999999995</v>
      </c>
      <c r="DL22" s="69">
        <f t="shared" ref="DL22" si="101">DK22</f>
        <v>538.29999999999995</v>
      </c>
      <c r="DM22" s="69">
        <f t="shared" ref="DM22" si="102">DL22</f>
        <v>538.29999999999995</v>
      </c>
      <c r="DN22" s="69">
        <f t="shared" ref="DN22" si="103">DM22</f>
        <v>538.29999999999995</v>
      </c>
      <c r="DO22" s="136">
        <f t="shared" si="86"/>
        <v>538.29999999999995</v>
      </c>
      <c r="DP22" s="126"/>
      <c r="DQ22" s="81">
        <f t="shared" ref="DQ22" si="104">DN22</f>
        <v>538.29999999999995</v>
      </c>
      <c r="DR22" s="69">
        <f t="shared" ref="DR22" si="105">DQ22</f>
        <v>538.29999999999995</v>
      </c>
      <c r="DS22" s="69">
        <f t="shared" ref="DS22" si="106">DR22</f>
        <v>538.29999999999995</v>
      </c>
      <c r="DT22" s="69">
        <f t="shared" ref="DT22" si="107">DS22</f>
        <v>538.29999999999995</v>
      </c>
      <c r="DU22" s="136">
        <f t="shared" si="88"/>
        <v>538.29999999999995</v>
      </c>
      <c r="DV22" s="126"/>
      <c r="DW22" s="81">
        <f t="shared" ref="DW22" si="108">DT22</f>
        <v>538.29999999999995</v>
      </c>
      <c r="DX22" s="69">
        <f t="shared" ref="DX22" si="109">DW22</f>
        <v>538.29999999999995</v>
      </c>
      <c r="DY22" s="69">
        <f t="shared" ref="DY22" si="110">DX22</f>
        <v>538.29999999999995</v>
      </c>
      <c r="DZ22" s="69">
        <f t="shared" ref="DZ22" si="111">DY22</f>
        <v>538.29999999999995</v>
      </c>
      <c r="EA22" s="136">
        <f t="shared" si="90"/>
        <v>538.29999999999995</v>
      </c>
      <c r="EB22" s="126"/>
      <c r="EC22" s="81">
        <f t="shared" ref="EC22" si="112">DZ22</f>
        <v>538.29999999999995</v>
      </c>
      <c r="ED22" s="69">
        <f t="shared" ref="ED22" si="113">EC22</f>
        <v>538.29999999999995</v>
      </c>
      <c r="EE22" s="69">
        <f t="shared" ref="EE22" si="114">ED22</f>
        <v>538.29999999999995</v>
      </c>
      <c r="EF22" s="69">
        <f t="shared" ref="EF22" si="115">EE22</f>
        <v>538.29999999999995</v>
      </c>
      <c r="EG22" s="136">
        <f t="shared" si="92"/>
        <v>538.29999999999995</v>
      </c>
      <c r="EH22" s="391"/>
      <c r="EI22" s="485"/>
      <c r="EJ22" s="10"/>
    </row>
    <row r="23" spans="1:140" ht="11.25" customHeight="1" x14ac:dyDescent="0.2">
      <c r="A23" s="51" t="s">
        <v>694</v>
      </c>
      <c r="B23" s="2"/>
      <c r="C23" s="2"/>
      <c r="D23" s="2"/>
      <c r="E23" s="92"/>
      <c r="F23" s="126"/>
      <c r="G23" s="92"/>
      <c r="H23" s="126"/>
      <c r="I23" s="92"/>
      <c r="J23" s="126"/>
      <c r="K23" s="92"/>
      <c r="L23" s="126"/>
      <c r="M23" s="84"/>
      <c r="N23" s="71"/>
      <c r="O23" s="71"/>
      <c r="P23" s="71"/>
      <c r="Q23" s="136"/>
      <c r="R23" s="126"/>
      <c r="S23" s="84"/>
      <c r="T23" s="71"/>
      <c r="U23" s="71"/>
      <c r="V23" s="71"/>
      <c r="W23" s="136"/>
      <c r="X23" s="126"/>
      <c r="Y23" s="84"/>
      <c r="Z23" s="71"/>
      <c r="AA23" s="71"/>
      <c r="AB23" s="71"/>
      <c r="AC23" s="136"/>
      <c r="AD23" s="126"/>
      <c r="AE23" s="84">
        <f>3685.258</f>
        <v>3685.2579999999998</v>
      </c>
      <c r="AF23" s="71">
        <f>3856.559</f>
        <v>3856.5590000000002</v>
      </c>
      <c r="AG23" s="71">
        <f>3786.036</f>
        <v>3786.0360000000001</v>
      </c>
      <c r="AH23" s="71">
        <f>4730.532-AH24</f>
        <v>4070.5320000000002</v>
      </c>
      <c r="AI23" s="136">
        <f t="shared" ref="AI23" si="116">AH23</f>
        <v>4070.5320000000002</v>
      </c>
      <c r="AJ23" s="126"/>
      <c r="AK23" s="84">
        <f>4098.052</f>
        <v>4098.0519999999997</v>
      </c>
      <c r="AL23" s="71">
        <f>4052.283</f>
        <v>4052.2829999999999</v>
      </c>
      <c r="AM23" s="71">
        <f>4474.696</f>
        <v>4474.6959999999999</v>
      </c>
      <c r="AN23" s="71">
        <f>4474.991</f>
        <v>4474.991</v>
      </c>
      <c r="AO23" s="136">
        <f t="shared" ref="AO23" si="117">AN23</f>
        <v>4474.991</v>
      </c>
      <c r="AP23" s="126"/>
      <c r="AQ23" s="84">
        <f>4561.312</f>
        <v>4561.3119999999999</v>
      </c>
      <c r="AR23" s="71">
        <f>6361.364</f>
        <v>6361.3639999999996</v>
      </c>
      <c r="AS23" s="71">
        <f>6157.212</f>
        <v>6157.2120000000004</v>
      </c>
      <c r="AT23" s="71">
        <f>6596.123</f>
        <v>6596.1229999999996</v>
      </c>
      <c r="AU23" s="136">
        <f t="shared" ref="AU23" si="118">AT23</f>
        <v>6596.1229999999996</v>
      </c>
      <c r="AV23" s="126"/>
      <c r="AW23" s="84">
        <f>6855.949</f>
        <v>6855.9489999999996</v>
      </c>
      <c r="AX23" s="71">
        <f>6879.815</f>
        <v>6879.8149999999996</v>
      </c>
      <c r="AY23" s="71">
        <f>7336.697</f>
        <v>7336.6970000000001</v>
      </c>
      <c r="AZ23" s="71">
        <f>9241.011</f>
        <v>9241.0110000000004</v>
      </c>
      <c r="BA23" s="136">
        <f t="shared" ref="BA23" si="119">AZ23</f>
        <v>9241.0110000000004</v>
      </c>
      <c r="BB23" s="126"/>
      <c r="BC23" s="84">
        <f>9480.869</f>
        <v>9480.8690000000006</v>
      </c>
      <c r="BD23" s="71">
        <f>9463.471</f>
        <v>9463.4709999999995</v>
      </c>
      <c r="BE23" s="71">
        <f>9266.686</f>
        <v>9266.6859999999997</v>
      </c>
      <c r="BF23" s="71">
        <f>9210.581</f>
        <v>9210.5810000000001</v>
      </c>
      <c r="BG23" s="136">
        <f t="shared" ref="BG23" si="120">BF23</f>
        <v>9210.5810000000001</v>
      </c>
      <c r="BH23" s="126"/>
      <c r="BI23" s="84">
        <f>9123.05</f>
        <v>9123.0499999999993</v>
      </c>
      <c r="BJ23" s="71">
        <f>9357.679</f>
        <v>9357.6790000000001</v>
      </c>
      <c r="BK23" s="71">
        <f>9633.448</f>
        <v>9633.4480000000003</v>
      </c>
      <c r="BL23" s="71">
        <f>9817.923</f>
        <v>9817.9230000000007</v>
      </c>
      <c r="BM23" s="136">
        <f t="shared" ref="BM23" si="121">BL23</f>
        <v>9817.9230000000007</v>
      </c>
      <c r="BN23" s="126"/>
      <c r="BO23" s="84">
        <f>10351.84</f>
        <v>10351.84</v>
      </c>
      <c r="BP23" s="71">
        <f>10230.541</f>
        <v>10230.540999999999</v>
      </c>
      <c r="BQ23" s="71">
        <f>10476.778</f>
        <v>10476.778</v>
      </c>
      <c r="BR23" s="71">
        <f>10758.402</f>
        <v>10758.402</v>
      </c>
      <c r="BS23" s="136">
        <f t="shared" ref="BS23" si="122">BR23</f>
        <v>10758.402</v>
      </c>
      <c r="BT23" s="126"/>
      <c r="BU23" s="84">
        <f>10934.931</f>
        <v>10934.931</v>
      </c>
      <c r="BV23" s="71">
        <f>14741.004</f>
        <v>14741.004000000001</v>
      </c>
      <c r="BW23" s="71">
        <f>14433.079</f>
        <v>14433.079</v>
      </c>
      <c r="BX23" s="71">
        <f>14474.323</f>
        <v>14474.323</v>
      </c>
      <c r="BY23" s="136">
        <f t="shared" ref="BY23" si="123">BX23</f>
        <v>14474.323</v>
      </c>
      <c r="BZ23" s="126"/>
      <c r="CA23" s="84">
        <f>14573.31</f>
        <v>14573.31</v>
      </c>
      <c r="CB23" s="71">
        <f>14927.272</f>
        <v>14927.272000000001</v>
      </c>
      <c r="CC23" s="71">
        <f>15056.604</f>
        <v>15056.603999999999</v>
      </c>
      <c r="CD23" s="71">
        <f>15462</f>
        <v>15462</v>
      </c>
      <c r="CE23" s="136">
        <f t="shared" ref="CE23" si="124">CD23</f>
        <v>15462</v>
      </c>
      <c r="CF23" s="126"/>
      <c r="CG23" s="84">
        <f>15359.4</f>
        <v>15359.4</v>
      </c>
      <c r="CH23" s="71">
        <f>15535.2</f>
        <v>15535.2</v>
      </c>
      <c r="CI23" s="71">
        <f>16024.4</f>
        <v>16024.4</v>
      </c>
      <c r="CJ23" s="71">
        <f>16038.2</f>
        <v>16038.2</v>
      </c>
      <c r="CK23" s="136">
        <f t="shared" ref="CK23" si="125">CJ23</f>
        <v>16038.2</v>
      </c>
      <c r="CL23" s="126"/>
      <c r="CM23" s="84">
        <f>16148.3</f>
        <v>16148.3</v>
      </c>
      <c r="CN23" s="71">
        <f>16398.4</f>
        <v>16398.400000000001</v>
      </c>
      <c r="CO23" s="71">
        <f>15978.7</f>
        <v>15978.7</v>
      </c>
      <c r="CP23" s="71">
        <f>16964.2</f>
        <v>16964.2</v>
      </c>
      <c r="CQ23" s="136">
        <f t="shared" ref="CQ23" si="126">CP23</f>
        <v>16964.2</v>
      </c>
      <c r="CR23" s="126"/>
      <c r="CS23" s="84">
        <f>16711.5</f>
        <v>16711.5</v>
      </c>
      <c r="CT23" s="71">
        <f>16935.1</f>
        <v>16935.099999999999</v>
      </c>
      <c r="CU23" s="71">
        <f>25128.7</f>
        <v>25128.7</v>
      </c>
      <c r="CV23" s="71">
        <f>21014.9</f>
        <v>21014.9</v>
      </c>
      <c r="CW23" s="136">
        <f t="shared" ref="CW23" si="127">CV23</f>
        <v>21014.9</v>
      </c>
      <c r="CX23" s="126"/>
      <c r="CY23" s="84">
        <f>25485.4</f>
        <v>25485.4</v>
      </c>
      <c r="CZ23" s="71">
        <f>25378.3</f>
        <v>25378.3</v>
      </c>
      <c r="DA23" s="71">
        <f>21580.9</f>
        <v>21580.9</v>
      </c>
      <c r="DB23" s="71">
        <f>23826.9-DB20</f>
        <v>23826.9</v>
      </c>
      <c r="DC23" s="136">
        <f t="shared" ref="DC23" si="128">DB23</f>
        <v>23826.9</v>
      </c>
      <c r="DD23" s="126"/>
      <c r="DE23" s="84">
        <f>24015</f>
        <v>24015</v>
      </c>
      <c r="DF23" s="71">
        <f>24523.6+-DF20</f>
        <v>24523.599999999999</v>
      </c>
      <c r="DG23" s="71">
        <v>24783.8</v>
      </c>
      <c r="DH23" s="71">
        <v>25138.6</v>
      </c>
      <c r="DI23" s="136">
        <f t="shared" ref="DI23" si="129">DH23</f>
        <v>25138.6</v>
      </c>
      <c r="DJ23" s="126"/>
      <c r="DK23" s="82">
        <f>+DH23</f>
        <v>25138.6</v>
      </c>
      <c r="DL23" s="67">
        <f>+DK23</f>
        <v>25138.6</v>
      </c>
      <c r="DM23" s="67">
        <f>+DL23</f>
        <v>25138.6</v>
      </c>
      <c r="DN23" s="67">
        <f>+DM23</f>
        <v>25138.6</v>
      </c>
      <c r="DO23" s="136">
        <f t="shared" ref="DO23" si="130">DN23</f>
        <v>25138.6</v>
      </c>
      <c r="DP23" s="126"/>
      <c r="DQ23" s="82">
        <f t="shared" ref="DQ23" si="131">+DN23</f>
        <v>25138.6</v>
      </c>
      <c r="DR23" s="67">
        <f t="shared" ref="DR23:DT23" si="132">+DQ23</f>
        <v>25138.6</v>
      </c>
      <c r="DS23" s="67">
        <f t="shared" si="132"/>
        <v>25138.6</v>
      </c>
      <c r="DT23" s="67">
        <f t="shared" si="132"/>
        <v>25138.6</v>
      </c>
      <c r="DU23" s="136">
        <f t="shared" si="88"/>
        <v>25138.6</v>
      </c>
      <c r="DV23" s="126"/>
      <c r="DW23" s="82">
        <f t="shared" ref="DW23" si="133">+DT23</f>
        <v>25138.6</v>
      </c>
      <c r="DX23" s="67">
        <f t="shared" ref="DX23:DZ23" si="134">+DW23</f>
        <v>25138.6</v>
      </c>
      <c r="DY23" s="67">
        <f t="shared" si="134"/>
        <v>25138.6</v>
      </c>
      <c r="DZ23" s="67">
        <f t="shared" si="134"/>
        <v>25138.6</v>
      </c>
      <c r="EA23" s="136">
        <f t="shared" si="90"/>
        <v>25138.6</v>
      </c>
      <c r="EB23" s="126"/>
      <c r="EC23" s="82">
        <f t="shared" ref="EC23" si="135">+DZ23</f>
        <v>25138.6</v>
      </c>
      <c r="ED23" s="67">
        <f t="shared" ref="ED23" si="136">+EC23</f>
        <v>25138.6</v>
      </c>
      <c r="EE23" s="67">
        <f t="shared" ref="EE23" si="137">+ED23</f>
        <v>25138.6</v>
      </c>
      <c r="EF23" s="67">
        <f t="shared" ref="EF23" si="138">+EE23</f>
        <v>25138.6</v>
      </c>
      <c r="EG23" s="136">
        <f t="shared" si="92"/>
        <v>25138.6</v>
      </c>
      <c r="EH23" s="391"/>
      <c r="EI23" s="485"/>
      <c r="EJ23" s="10"/>
    </row>
    <row r="24" spans="1:140" ht="11.25" customHeight="1" x14ac:dyDescent="0.2">
      <c r="A24" s="51" t="s">
        <v>695</v>
      </c>
      <c r="B24" s="2"/>
      <c r="C24" s="2"/>
      <c r="D24" s="2"/>
      <c r="E24" s="92">
        <v>863.35199999999998</v>
      </c>
      <c r="F24" s="126"/>
      <c r="G24" s="92">
        <v>1287.7619999999999</v>
      </c>
      <c r="H24" s="126"/>
      <c r="I24" s="92">
        <v>1292.289</v>
      </c>
      <c r="J24" s="126"/>
      <c r="K24" s="92">
        <v>1863.9</v>
      </c>
      <c r="L24" s="126"/>
      <c r="M24" s="84">
        <v>1976.3489999999999</v>
      </c>
      <c r="N24" s="71">
        <v>2068.8539999999998</v>
      </c>
      <c r="O24" s="71">
        <v>2174.9490000000001</v>
      </c>
      <c r="P24" s="71">
        <v>2292.6570000000002</v>
      </c>
      <c r="Q24" s="136">
        <f t="shared" si="68"/>
        <v>2292.6570000000002</v>
      </c>
      <c r="R24" s="126"/>
      <c r="S24" s="84">
        <v>2825.3890000000001</v>
      </c>
      <c r="T24" s="71">
        <v>2869.9720000000002</v>
      </c>
      <c r="U24" s="71">
        <v>3023.6669999999999</v>
      </c>
      <c r="V24" s="71">
        <v>3007.7040000000002</v>
      </c>
      <c r="W24" s="136">
        <f t="shared" si="69"/>
        <v>3007.7040000000002</v>
      </c>
      <c r="X24" s="126"/>
      <c r="Y24" s="84">
        <v>3145.3850000000002</v>
      </c>
      <c r="Z24" s="71">
        <v>3179.5509999999999</v>
      </c>
      <c r="AA24" s="71">
        <f>2946.052+261.99</f>
        <v>3208.0420000000004</v>
      </c>
      <c r="AB24" s="71">
        <v>3341.9719999999998</v>
      </c>
      <c r="AC24" s="136">
        <f t="shared" si="70"/>
        <v>3341.9719999999998</v>
      </c>
      <c r="AD24" s="126"/>
      <c r="AE24" s="84">
        <f>371.618</f>
        <v>371.61799999999999</v>
      </c>
      <c r="AF24" s="71">
        <v>556.82600000000002</v>
      </c>
      <c r="AG24" s="71">
        <v>654.42499999999995</v>
      </c>
      <c r="AH24" s="71">
        <v>660</v>
      </c>
      <c r="AI24" s="136">
        <f t="shared" si="71"/>
        <v>660</v>
      </c>
      <c r="AJ24" s="126"/>
      <c r="AK24" s="84">
        <f>765.405</f>
        <v>765.40499999999997</v>
      </c>
      <c r="AL24" s="71">
        <f>742.493</f>
        <v>742.49300000000005</v>
      </c>
      <c r="AM24" s="71">
        <f>852.898</f>
        <v>852.89800000000002</v>
      </c>
      <c r="AN24" s="71">
        <f>834.147</f>
        <v>834.14700000000005</v>
      </c>
      <c r="AO24" s="136">
        <f t="shared" si="72"/>
        <v>834.14700000000005</v>
      </c>
      <c r="AP24" s="126"/>
      <c r="AQ24" s="84">
        <f>882.099</f>
        <v>882.09900000000005</v>
      </c>
      <c r="AR24" s="71">
        <f>1274.703</f>
        <v>1274.703</v>
      </c>
      <c r="AS24" s="71">
        <v>1584.373</v>
      </c>
      <c r="AT24" s="71">
        <v>1698.3240000000001</v>
      </c>
      <c r="AU24" s="136">
        <f t="shared" si="73"/>
        <v>1698.3240000000001</v>
      </c>
      <c r="AV24" s="126"/>
      <c r="AW24" s="84">
        <f>1742.141</f>
        <v>1742.1410000000001</v>
      </c>
      <c r="AX24" s="71">
        <v>1760.348</v>
      </c>
      <c r="AY24" s="71">
        <v>1844.2470000000001</v>
      </c>
      <c r="AZ24" s="71">
        <v>2564.973</v>
      </c>
      <c r="BA24" s="136">
        <f t="shared" si="74"/>
        <v>2564.973</v>
      </c>
      <c r="BB24" s="126"/>
      <c r="BC24" s="84">
        <v>2585.0120000000002</v>
      </c>
      <c r="BD24" s="71">
        <f>2697.923</f>
        <v>2697.9229999999998</v>
      </c>
      <c r="BE24" s="71">
        <v>2624.6619999999998</v>
      </c>
      <c r="BF24" s="71">
        <v>2519.422</v>
      </c>
      <c r="BG24" s="136">
        <f t="shared" si="75"/>
        <v>2519.422</v>
      </c>
      <c r="BH24" s="126"/>
      <c r="BI24" s="84">
        <f>2474.913</f>
        <v>2474.913</v>
      </c>
      <c r="BJ24" s="71">
        <v>2535.5970000000002</v>
      </c>
      <c r="BK24" s="71">
        <v>2553.913</v>
      </c>
      <c r="BL24" s="71">
        <v>2655.5030000000002</v>
      </c>
      <c r="BM24" s="136">
        <f t="shared" si="76"/>
        <v>2655.5030000000002</v>
      </c>
      <c r="BN24" s="126"/>
      <c r="BO24" s="84">
        <v>2954.643</v>
      </c>
      <c r="BP24" s="71">
        <v>2903.0810000000001</v>
      </c>
      <c r="BQ24" s="71">
        <v>3070.99</v>
      </c>
      <c r="BR24" s="71">
        <v>3324.502</v>
      </c>
      <c r="BS24" s="136">
        <f t="shared" si="77"/>
        <v>3324.502</v>
      </c>
      <c r="BT24" s="126"/>
      <c r="BU24" s="84">
        <v>3539.4659999999999</v>
      </c>
      <c r="BV24" s="71">
        <v>6210.7690000000002</v>
      </c>
      <c r="BW24" s="71">
        <v>6037.607</v>
      </c>
      <c r="BX24" s="71">
        <v>5840.2089999999998</v>
      </c>
      <c r="BY24" s="136">
        <f t="shared" si="78"/>
        <v>5840.2089999999998</v>
      </c>
      <c r="BZ24" s="126"/>
      <c r="CA24" s="84">
        <v>5861.848</v>
      </c>
      <c r="CB24" s="71">
        <v>6176.8819999999996</v>
      </c>
      <c r="CC24" s="71">
        <v>6104.0730000000003</v>
      </c>
      <c r="CD24" s="71">
        <v>6344</v>
      </c>
      <c r="CE24" s="136">
        <f t="shared" si="79"/>
        <v>6344</v>
      </c>
      <c r="CF24" s="126"/>
      <c r="CG24" s="84">
        <v>6148.4</v>
      </c>
      <c r="CH24" s="71">
        <v>6195.5</v>
      </c>
      <c r="CI24" s="71">
        <v>6344.5</v>
      </c>
      <c r="CJ24" s="71">
        <v>6247.7</v>
      </c>
      <c r="CK24" s="136">
        <f t="shared" si="80"/>
        <v>6247.7</v>
      </c>
      <c r="CL24" s="126"/>
      <c r="CM24" s="84">
        <v>6212.6</v>
      </c>
      <c r="CN24" s="71">
        <v>6369.1</v>
      </c>
      <c r="CO24" s="71">
        <v>6213.9</v>
      </c>
      <c r="CP24" s="71">
        <v>7369.2</v>
      </c>
      <c r="CQ24" s="136">
        <f t="shared" si="81"/>
        <v>7369.2</v>
      </c>
      <c r="CR24" s="126"/>
      <c r="CS24" s="84">
        <v>7358.4</v>
      </c>
      <c r="CT24" s="71">
        <v>7097.3</v>
      </c>
      <c r="CU24" s="71">
        <v>11690.5</v>
      </c>
      <c r="CV24" s="71">
        <v>10545.3</v>
      </c>
      <c r="CW24" s="136">
        <f t="shared" si="82"/>
        <v>10545.3</v>
      </c>
      <c r="CX24" s="126"/>
      <c r="CY24" s="84">
        <v>11263.8</v>
      </c>
      <c r="CZ24" s="71">
        <v>11083.5</v>
      </c>
      <c r="DA24" s="71">
        <v>10307.9</v>
      </c>
      <c r="DB24" s="71">
        <f>11818-DB21</f>
        <v>10180.700000000001</v>
      </c>
      <c r="DC24" s="136">
        <f t="shared" si="83"/>
        <v>10180.700000000001</v>
      </c>
      <c r="DD24" s="126"/>
      <c r="DE24" s="84">
        <f>11816.8-DE21</f>
        <v>10012.799999999999</v>
      </c>
      <c r="DF24" s="71">
        <f>11749.9-DF21</f>
        <v>9945.9</v>
      </c>
      <c r="DG24" s="71">
        <f>11693.3-DG21</f>
        <v>9889.2999999999993</v>
      </c>
      <c r="DH24" s="71">
        <f>11667.1-DH21</f>
        <v>10516.7</v>
      </c>
      <c r="DI24" s="136">
        <f t="shared" si="84"/>
        <v>10516.7</v>
      </c>
      <c r="DJ24" s="126"/>
      <c r="DK24" s="82">
        <f>DK163</f>
        <v>10343.17445</v>
      </c>
      <c r="DL24" s="67">
        <f t="shared" ref="DL24:DN24" si="139">DL163</f>
        <v>10168.633381156251</v>
      </c>
      <c r="DM24" s="67">
        <f t="shared" si="139"/>
        <v>9997.0376928492387</v>
      </c>
      <c r="DN24" s="67">
        <f t="shared" si="139"/>
        <v>9828.3376817824083</v>
      </c>
      <c r="DO24" s="136">
        <f t="shared" si="86"/>
        <v>9828.3376817824083</v>
      </c>
      <c r="DP24" s="126"/>
      <c r="DQ24" s="82">
        <f>DQ163</f>
        <v>9653.8846879307712</v>
      </c>
      <c r="DR24" s="67">
        <f t="shared" ref="DR24:DT24" si="140">DR163</f>
        <v>9482.5282347199991</v>
      </c>
      <c r="DS24" s="67">
        <f t="shared" si="140"/>
        <v>9314.2133585537194</v>
      </c>
      <c r="DT24" s="67">
        <f t="shared" si="140"/>
        <v>9148.8860714393904</v>
      </c>
      <c r="DU24" s="136">
        <f t="shared" si="88"/>
        <v>9148.8860714393904</v>
      </c>
      <c r="DV24" s="126"/>
      <c r="DW24" s="82">
        <f>DW163</f>
        <v>8975.0572360820424</v>
      </c>
      <c r="DX24" s="67">
        <f t="shared" ref="DX24:DZ24" si="141">DX163</f>
        <v>8804.531148596483</v>
      </c>
      <c r="DY24" s="67">
        <f t="shared" si="141"/>
        <v>8637.2450567731503</v>
      </c>
      <c r="DZ24" s="67">
        <f t="shared" si="141"/>
        <v>8473.1374006944607</v>
      </c>
      <c r="EA24" s="136">
        <f t="shared" si="90"/>
        <v>8473.1374006944607</v>
      </c>
      <c r="EB24" s="126"/>
      <c r="EC24" s="82">
        <f t="shared" ref="EC24:EF24" si="142">EC163</f>
        <v>8301.5563683303972</v>
      </c>
      <c r="ED24" s="67">
        <f t="shared" si="142"/>
        <v>8133.4498518717064</v>
      </c>
      <c r="EE24" s="67">
        <f t="shared" si="142"/>
        <v>7968.7474923713044</v>
      </c>
      <c r="EF24" s="67">
        <f t="shared" si="142"/>
        <v>7807.3803556507855</v>
      </c>
      <c r="EG24" s="136">
        <f t="shared" si="92"/>
        <v>7807.3803556507855</v>
      </c>
      <c r="EH24" s="391"/>
      <c r="EI24" s="485"/>
      <c r="EJ24" s="10"/>
    </row>
    <row r="25" spans="1:140" ht="11.25" customHeight="1" x14ac:dyDescent="0.2">
      <c r="A25" s="51" t="s">
        <v>409</v>
      </c>
      <c r="B25" s="2"/>
      <c r="C25" s="2"/>
      <c r="D25" s="2"/>
      <c r="E25" s="92">
        <v>0</v>
      </c>
      <c r="F25" s="126"/>
      <c r="G25" s="92">
        <v>0</v>
      </c>
      <c r="H25" s="126"/>
      <c r="I25" s="92">
        <v>0</v>
      </c>
      <c r="J25" s="126"/>
      <c r="K25" s="92">
        <v>0</v>
      </c>
      <c r="L25" s="126"/>
      <c r="M25" s="84">
        <v>0</v>
      </c>
      <c r="N25" s="71">
        <v>0</v>
      </c>
      <c r="O25" s="71">
        <v>0</v>
      </c>
      <c r="P25" s="71">
        <v>0</v>
      </c>
      <c r="Q25" s="136">
        <f t="shared" ref="Q25" si="143">P25</f>
        <v>0</v>
      </c>
      <c r="R25" s="126"/>
      <c r="S25" s="84">
        <v>0</v>
      </c>
      <c r="T25" s="71">
        <v>0</v>
      </c>
      <c r="U25" s="71">
        <v>0</v>
      </c>
      <c r="V25" s="71">
        <v>0</v>
      </c>
      <c r="W25" s="136">
        <f t="shared" si="69"/>
        <v>0</v>
      </c>
      <c r="X25" s="126"/>
      <c r="Y25" s="84">
        <v>0</v>
      </c>
      <c r="Z25" s="71">
        <v>0</v>
      </c>
      <c r="AA25" s="71">
        <v>0</v>
      </c>
      <c r="AB25" s="71">
        <v>0</v>
      </c>
      <c r="AC25" s="136">
        <f t="shared" si="70"/>
        <v>0</v>
      </c>
      <c r="AD25" s="126"/>
      <c r="AE25" s="84">
        <v>0</v>
      </c>
      <c r="AF25" s="71">
        <v>0</v>
      </c>
      <c r="AG25" s="71">
        <v>0</v>
      </c>
      <c r="AH25" s="71">
        <v>0</v>
      </c>
      <c r="AI25" s="136">
        <f t="shared" si="71"/>
        <v>0</v>
      </c>
      <c r="AJ25" s="126"/>
      <c r="AK25" s="84">
        <v>0</v>
      </c>
      <c r="AL25" s="71">
        <v>0</v>
      </c>
      <c r="AM25" s="71">
        <v>0</v>
      </c>
      <c r="AN25" s="71">
        <v>0</v>
      </c>
      <c r="AO25" s="136">
        <f t="shared" si="72"/>
        <v>0</v>
      </c>
      <c r="AP25" s="126"/>
      <c r="AQ25" s="84">
        <v>0</v>
      </c>
      <c r="AR25" s="71">
        <v>0</v>
      </c>
      <c r="AS25" s="71">
        <v>0</v>
      </c>
      <c r="AT25" s="71">
        <v>0</v>
      </c>
      <c r="AU25" s="136">
        <f t="shared" si="73"/>
        <v>0</v>
      </c>
      <c r="AV25" s="126"/>
      <c r="AW25" s="84">
        <v>0</v>
      </c>
      <c r="AX25" s="71">
        <v>0</v>
      </c>
      <c r="AY25" s="71">
        <v>0</v>
      </c>
      <c r="AZ25" s="71">
        <v>0</v>
      </c>
      <c r="BA25" s="136">
        <f t="shared" si="74"/>
        <v>0</v>
      </c>
      <c r="BB25" s="126"/>
      <c r="BC25" s="84">
        <v>0</v>
      </c>
      <c r="BD25" s="71">
        <v>0</v>
      </c>
      <c r="BE25" s="71">
        <v>0</v>
      </c>
      <c r="BF25" s="71">
        <v>0</v>
      </c>
      <c r="BG25" s="136">
        <f t="shared" si="75"/>
        <v>0</v>
      </c>
      <c r="BH25" s="126"/>
      <c r="BI25" s="84">
        <v>0</v>
      </c>
      <c r="BJ25" s="71">
        <v>0</v>
      </c>
      <c r="BK25" s="71">
        <v>0</v>
      </c>
      <c r="BL25" s="71">
        <v>0</v>
      </c>
      <c r="BM25" s="136">
        <f t="shared" si="76"/>
        <v>0</v>
      </c>
      <c r="BN25" s="126"/>
      <c r="BO25" s="84">
        <v>0</v>
      </c>
      <c r="BP25" s="71">
        <v>0</v>
      </c>
      <c r="BQ25" s="71">
        <v>0</v>
      </c>
      <c r="BR25" s="71">
        <v>0</v>
      </c>
      <c r="BS25" s="136">
        <f t="shared" si="77"/>
        <v>0</v>
      </c>
      <c r="BT25" s="126"/>
      <c r="BU25" s="84">
        <v>0</v>
      </c>
      <c r="BV25" s="71">
        <v>0</v>
      </c>
      <c r="BW25" s="71">
        <v>0</v>
      </c>
      <c r="BX25" s="71">
        <v>0</v>
      </c>
      <c r="BY25" s="136">
        <f t="shared" si="78"/>
        <v>0</v>
      </c>
      <c r="BZ25" s="126"/>
      <c r="CA25" s="84">
        <v>0</v>
      </c>
      <c r="CB25" s="71">
        <v>0</v>
      </c>
      <c r="CC25" s="71">
        <v>0</v>
      </c>
      <c r="CD25" s="71">
        <v>0</v>
      </c>
      <c r="CE25" s="136">
        <f t="shared" si="79"/>
        <v>0</v>
      </c>
      <c r="CF25" s="126"/>
      <c r="CG25" s="84">
        <v>0</v>
      </c>
      <c r="CH25" s="71">
        <v>0</v>
      </c>
      <c r="CI25" s="71">
        <v>0</v>
      </c>
      <c r="CJ25" s="71">
        <v>0</v>
      </c>
      <c r="CK25" s="136">
        <f t="shared" si="80"/>
        <v>0</v>
      </c>
      <c r="CL25" s="126"/>
      <c r="CM25" s="84">
        <v>0</v>
      </c>
      <c r="CN25" s="71">
        <v>0</v>
      </c>
      <c r="CO25" s="71">
        <v>0</v>
      </c>
      <c r="CP25" s="71">
        <v>0</v>
      </c>
      <c r="CQ25" s="136">
        <f t="shared" si="81"/>
        <v>0</v>
      </c>
      <c r="CR25" s="126"/>
      <c r="CS25" s="84">
        <v>0</v>
      </c>
      <c r="CT25" s="71">
        <v>0</v>
      </c>
      <c r="CU25" s="71">
        <v>0</v>
      </c>
      <c r="CV25" s="71">
        <v>5677.3</v>
      </c>
      <c r="CW25" s="136">
        <f t="shared" si="82"/>
        <v>5677.3</v>
      </c>
      <c r="CX25" s="126"/>
      <c r="CY25" s="84">
        <v>0</v>
      </c>
      <c r="CZ25" s="71">
        <v>0</v>
      </c>
      <c r="DA25" s="71">
        <v>0</v>
      </c>
      <c r="DB25" s="71">
        <v>0</v>
      </c>
      <c r="DC25" s="136">
        <f t="shared" si="83"/>
        <v>0</v>
      </c>
      <c r="DD25" s="126"/>
      <c r="DE25" s="84">
        <v>0</v>
      </c>
      <c r="DF25" s="71">
        <v>0</v>
      </c>
      <c r="DG25" s="71">
        <v>0</v>
      </c>
      <c r="DH25" s="71">
        <v>0</v>
      </c>
      <c r="DI25" s="136">
        <f t="shared" si="84"/>
        <v>0</v>
      </c>
      <c r="DJ25" s="126"/>
      <c r="DK25" s="82">
        <f>DH25-CF!DK28</f>
        <v>0</v>
      </c>
      <c r="DL25" s="67">
        <f>DK25-CF!DL28</f>
        <v>0</v>
      </c>
      <c r="DM25" s="67">
        <f>DL25-CF!DM28</f>
        <v>0</v>
      </c>
      <c r="DN25" s="67">
        <f>DM25-CF!DN28</f>
        <v>0</v>
      </c>
      <c r="DO25" s="136">
        <f t="shared" si="86"/>
        <v>0</v>
      </c>
      <c r="DP25" s="126"/>
      <c r="DQ25" s="82">
        <f>DN25-CF!DQ28</f>
        <v>0</v>
      </c>
      <c r="DR25" s="67">
        <f>DQ25-CF!DR28</f>
        <v>0</v>
      </c>
      <c r="DS25" s="67">
        <f>DR25-CF!DS28</f>
        <v>0</v>
      </c>
      <c r="DT25" s="67">
        <f>DS25-CF!DT28</f>
        <v>0</v>
      </c>
      <c r="DU25" s="136">
        <f t="shared" si="88"/>
        <v>0</v>
      </c>
      <c r="DV25" s="126"/>
      <c r="DW25" s="82">
        <f>DT25-CF!DW28</f>
        <v>0</v>
      </c>
      <c r="DX25" s="67">
        <f>DW25-CF!DX28</f>
        <v>0</v>
      </c>
      <c r="DY25" s="67">
        <f>DX25-CF!DY28</f>
        <v>0</v>
      </c>
      <c r="DZ25" s="67">
        <f>DY25-CF!DZ28</f>
        <v>0</v>
      </c>
      <c r="EA25" s="136">
        <f t="shared" si="90"/>
        <v>0</v>
      </c>
      <c r="EB25" s="126"/>
      <c r="EC25" s="82">
        <f>DZ25-CF!EC28</f>
        <v>0</v>
      </c>
      <c r="ED25" s="67">
        <f>EC25-CF!ED28</f>
        <v>0</v>
      </c>
      <c r="EE25" s="67">
        <f>ED25-CF!EE28</f>
        <v>0</v>
      </c>
      <c r="EF25" s="67">
        <f>EE25-CF!EF28</f>
        <v>0</v>
      </c>
      <c r="EG25" s="136">
        <f t="shared" si="92"/>
        <v>0</v>
      </c>
      <c r="EH25" s="391"/>
      <c r="EI25" s="485"/>
      <c r="EJ25" s="10"/>
    </row>
    <row r="26" spans="1:140" ht="11.25" customHeight="1" x14ac:dyDescent="0.2">
      <c r="A26" s="50" t="s">
        <v>30</v>
      </c>
      <c r="B26" s="3"/>
      <c r="C26" s="3"/>
      <c r="D26" s="3"/>
      <c r="E26" s="163">
        <f>+SUM(E19:E25)</f>
        <v>1351.8220000000001</v>
      </c>
      <c r="F26" s="166"/>
      <c r="G26" s="163">
        <f>+SUM(G19:G25)</f>
        <v>1909.163</v>
      </c>
      <c r="H26" s="166"/>
      <c r="I26" s="163">
        <f>+SUM(I19:I25)</f>
        <v>1844.954</v>
      </c>
      <c r="J26" s="166"/>
      <c r="K26" s="163">
        <f>+SUM(K19:K25)</f>
        <v>2557.373</v>
      </c>
      <c r="L26" s="166"/>
      <c r="M26" s="165">
        <f>+SUM(M19:M25)</f>
        <v>2638.4259999999999</v>
      </c>
      <c r="N26" s="164">
        <f>+SUM(N19:N25)</f>
        <v>2730.7829999999999</v>
      </c>
      <c r="O26" s="164">
        <f>+SUM(O19:O25)</f>
        <v>2844.9809999999998</v>
      </c>
      <c r="P26" s="164">
        <f>+SUM(P19:P25)</f>
        <v>2945.8680000000004</v>
      </c>
      <c r="Q26" s="163">
        <f>+SUM(Q19:Q25)</f>
        <v>2945.8680000000004</v>
      </c>
      <c r="R26" s="166"/>
      <c r="S26" s="165">
        <f>+SUM(S19:S25)</f>
        <v>3499.6440000000002</v>
      </c>
      <c r="T26" s="164">
        <f>+SUM(T19:T25)</f>
        <v>3513.8180000000002</v>
      </c>
      <c r="U26" s="164">
        <f>+SUM(U19:U25)</f>
        <v>3648.2129999999997</v>
      </c>
      <c r="V26" s="164">
        <f>+SUM(V19:V25)</f>
        <v>3641.8790000000004</v>
      </c>
      <c r="W26" s="163">
        <f>+SUM(W19:W25)</f>
        <v>3641.8790000000004</v>
      </c>
      <c r="X26" s="166"/>
      <c r="Y26" s="165">
        <f>+SUM(Y19:Y25)</f>
        <v>3774.8520000000003</v>
      </c>
      <c r="Z26" s="164">
        <f>+SUM(Z19:Z25)</f>
        <v>3795.6219999999998</v>
      </c>
      <c r="AA26" s="164">
        <f>+SUM(AA19:AA25)</f>
        <v>3809.8150000000005</v>
      </c>
      <c r="AB26" s="164">
        <f>+SUM(AB19:AB25)</f>
        <v>3947.8989999999999</v>
      </c>
      <c r="AC26" s="163">
        <f>+SUM(AC19:AC25)</f>
        <v>3947.8989999999999</v>
      </c>
      <c r="AD26" s="166"/>
      <c r="AE26" s="165">
        <f>+SUM(AE19:AE25)</f>
        <v>4768.9620000000004</v>
      </c>
      <c r="AF26" s="164">
        <f>+SUM(AF19:AF25)</f>
        <v>5221.5650000000005</v>
      </c>
      <c r="AG26" s="164">
        <f>+SUM(AG19:AG25)</f>
        <v>5233.0610000000006</v>
      </c>
      <c r="AH26" s="164">
        <f>+SUM(AH19:AH25)</f>
        <v>5575.2030000000004</v>
      </c>
      <c r="AI26" s="163">
        <f>+SUM(AI19:AI25)</f>
        <v>5575.2030000000004</v>
      </c>
      <c r="AJ26" s="166"/>
      <c r="AK26" s="165">
        <f>+SUM(AK19:AK25)</f>
        <v>5705.7459999999992</v>
      </c>
      <c r="AL26" s="164">
        <f>+SUM(AL19:AL25)</f>
        <v>5625.9880000000003</v>
      </c>
      <c r="AM26" s="164">
        <f>+SUM(AM19:AM25)</f>
        <v>6223.1360000000004</v>
      </c>
      <c r="AN26" s="164">
        <f>+SUM(AN19:AN25)</f>
        <v>6218.09</v>
      </c>
      <c r="AO26" s="163">
        <f>+SUM(AO19:AO25)</f>
        <v>6218.09</v>
      </c>
      <c r="AP26" s="166"/>
      <c r="AQ26" s="165">
        <f>+SUM(AQ19:AQ25)</f>
        <v>6353.0529999999999</v>
      </c>
      <c r="AR26" s="164">
        <f>+SUM(AR19:AR25)</f>
        <v>8668.0399999999991</v>
      </c>
      <c r="AS26" s="164">
        <f>+SUM(AS19:AS25)</f>
        <v>8794.277</v>
      </c>
      <c r="AT26" s="164">
        <f>+SUM(AT19:AT25)</f>
        <v>9469.2489999999998</v>
      </c>
      <c r="AU26" s="163">
        <f>+SUM(AU19:AU25)</f>
        <v>9469.2489999999998</v>
      </c>
      <c r="AV26" s="166"/>
      <c r="AW26" s="165">
        <f>+SUM(AW19:AW25)</f>
        <v>9782.1440000000002</v>
      </c>
      <c r="AX26" s="164">
        <f>+SUM(AX19:AX25)</f>
        <v>9867.6820000000007</v>
      </c>
      <c r="AY26" s="164">
        <f>+SUM(AY19:AY25)</f>
        <v>10388.984999999999</v>
      </c>
      <c r="AZ26" s="164">
        <f>+SUM(AZ19:AZ25)</f>
        <v>13270.794</v>
      </c>
      <c r="BA26" s="163">
        <f>+SUM(BA19:BA25)</f>
        <v>13270.794</v>
      </c>
      <c r="BB26" s="166"/>
      <c r="BC26" s="165">
        <f>+SUM(BC19:BC25)</f>
        <v>13697.749000000002</v>
      </c>
      <c r="BD26" s="164">
        <f>+SUM(BD19:BD25)</f>
        <v>13802.886999999999</v>
      </c>
      <c r="BE26" s="164">
        <f>+SUM(BE19:BE25)</f>
        <v>13499.582</v>
      </c>
      <c r="BF26" s="164">
        <f>+SUM(BF19:BF25)</f>
        <v>13270.913</v>
      </c>
      <c r="BG26" s="163">
        <f>+SUM(BG19:BG25)</f>
        <v>13270.913</v>
      </c>
      <c r="BH26" s="166"/>
      <c r="BI26" s="165">
        <f>+SUM(BI19:BI25)</f>
        <v>13175.832999999999</v>
      </c>
      <c r="BJ26" s="164">
        <f>+SUM(BJ19:BJ25)</f>
        <v>13533.725</v>
      </c>
      <c r="BK26" s="164">
        <f>+SUM(BK19:BK25)</f>
        <v>13963.123000000001</v>
      </c>
      <c r="BL26" s="164">
        <f>+SUM(BL19:BL25)</f>
        <v>14374.792000000001</v>
      </c>
      <c r="BM26" s="163">
        <f>+SUM(BM19:BM25)</f>
        <v>14374.792000000001</v>
      </c>
      <c r="BN26" s="166"/>
      <c r="BO26" s="165">
        <f>+SUM(BO19:BO25)</f>
        <v>15339.569</v>
      </c>
      <c r="BP26" s="164">
        <f>+SUM(BP19:BP25)</f>
        <v>15034.026</v>
      </c>
      <c r="BQ26" s="164">
        <f>+SUM(BQ19:BQ25)</f>
        <v>16037.212</v>
      </c>
      <c r="BR26" s="164">
        <f>+SUM(BR19:BR25)</f>
        <v>16487.616999999998</v>
      </c>
      <c r="BS26" s="163">
        <f>+SUM(BS19:BS25)</f>
        <v>16487.616999999998</v>
      </c>
      <c r="BT26" s="166"/>
      <c r="BU26" s="165">
        <f>+SUM(BU19:BU25)</f>
        <v>16902.989000000001</v>
      </c>
      <c r="BV26" s="164">
        <f>+SUM(BV19:BV25)</f>
        <v>24958.576000000001</v>
      </c>
      <c r="BW26" s="164">
        <f>+SUM(BW19:BW25)</f>
        <v>24303.885999999999</v>
      </c>
      <c r="BX26" s="164">
        <f>+SUM(BX19:BX25)</f>
        <v>23677.09</v>
      </c>
      <c r="BY26" s="163">
        <f>+SUM(BY19:BY25)</f>
        <v>23677.09</v>
      </c>
      <c r="BZ26" s="166"/>
      <c r="CA26" s="165">
        <f>+SUM(CA19:CA25)</f>
        <v>23877.735999999997</v>
      </c>
      <c r="CB26" s="164">
        <f>+SUM(CB19:CB25)</f>
        <v>24560.088000000003</v>
      </c>
      <c r="CC26" s="164">
        <f>+SUM(CC19:CC25)</f>
        <v>24677.420000000002</v>
      </c>
      <c r="CD26" s="164">
        <f>+SUM(CD19:CD25)</f>
        <v>25353.200000000001</v>
      </c>
      <c r="CE26" s="163">
        <f>+SUM(CE19:CE25)</f>
        <v>25353.200000000001</v>
      </c>
      <c r="CF26" s="166"/>
      <c r="CG26" s="165">
        <f>+SUM(CG19:CG25)</f>
        <v>24559.300000000003</v>
      </c>
      <c r="CH26" s="164">
        <f>+SUM(CH19:CH25)</f>
        <v>24878</v>
      </c>
      <c r="CI26" s="164">
        <f>+SUM(CI19:CI25)</f>
        <v>25697.5</v>
      </c>
      <c r="CJ26" s="164">
        <f>+SUM(CJ19:CJ25)</f>
        <v>25558.500000000004</v>
      </c>
      <c r="CK26" s="163">
        <f>+SUM(CK19:CK25)</f>
        <v>25558.500000000004</v>
      </c>
      <c r="CL26" s="166"/>
      <c r="CM26" s="165">
        <f>+SUM(CM19:CM25)</f>
        <v>25638.299999999996</v>
      </c>
      <c r="CN26" s="164">
        <f>+SUM(CN19:CN25)</f>
        <v>26144.800000000003</v>
      </c>
      <c r="CO26" s="164">
        <f>+SUM(CO19:CO25)</f>
        <v>25546.400000000001</v>
      </c>
      <c r="CP26" s="164">
        <f>+SUM(CP19:CP25)</f>
        <v>27560.400000000001</v>
      </c>
      <c r="CQ26" s="163">
        <f>+SUM(CQ19:CQ25)</f>
        <v>27560.400000000001</v>
      </c>
      <c r="CR26" s="166"/>
      <c r="CS26" s="165">
        <f>+SUM(CS19:CS25)</f>
        <v>27297.9</v>
      </c>
      <c r="CT26" s="164">
        <f>+SUM(CT19:CT25)</f>
        <v>27332.3</v>
      </c>
      <c r="CU26" s="164">
        <f>+SUM(CU19:CU25)</f>
        <v>40776.1</v>
      </c>
      <c r="CV26" s="164">
        <f>+SUM(CV19:CV25)</f>
        <v>40385.5</v>
      </c>
      <c r="CW26" s="163">
        <f>+SUM(CW19:CW25)</f>
        <v>40385.5</v>
      </c>
      <c r="CX26" s="166"/>
      <c r="CY26" s="165">
        <f>+SUM(CY19:CY25)</f>
        <v>40638.400000000001</v>
      </c>
      <c r="CZ26" s="164">
        <f>+SUM(CZ19:CZ25)</f>
        <v>40272.699999999997</v>
      </c>
      <c r="DA26" s="164">
        <f>+SUM(DA19:DA25)</f>
        <v>34804.300000000003</v>
      </c>
      <c r="DB26" s="164">
        <f>+SUM(DB19:DB25)</f>
        <v>38630.199999999997</v>
      </c>
      <c r="DC26" s="163">
        <f>+SUM(DC19:DC25)</f>
        <v>38630.199999999997</v>
      </c>
      <c r="DD26" s="166"/>
      <c r="DE26" s="165">
        <f>+SUM(DE19:DE25)</f>
        <v>38926.199999999997</v>
      </c>
      <c r="DF26" s="164">
        <f>+SUM(DF19:DF25)</f>
        <v>39390.199999999997</v>
      </c>
      <c r="DG26" s="164">
        <f>+SUM(DG19:DG25)</f>
        <v>39591.1</v>
      </c>
      <c r="DH26" s="164">
        <f>+SUM(DH19:DH25)</f>
        <v>39798.6</v>
      </c>
      <c r="DI26" s="163">
        <f>+SUM(DI19:DI25)</f>
        <v>39798.6</v>
      </c>
      <c r="DJ26" s="166"/>
      <c r="DK26" s="165">
        <f>+SUM(DK19:DK25)</f>
        <v>39695.952213999997</v>
      </c>
      <c r="DL26" s="164">
        <f>+SUM(DL19:DL25)</f>
        <v>39570.264289526254</v>
      </c>
      <c r="DM26" s="164">
        <f>+SUM(DM19:DM25)</f>
        <v>39363.574583667963</v>
      </c>
      <c r="DN26" s="164">
        <f>+SUM(DN19:DN25)</f>
        <v>39343.381178489057</v>
      </c>
      <c r="DO26" s="163">
        <f>+SUM(DO19:DO25)</f>
        <v>39343.381178489057</v>
      </c>
      <c r="DP26" s="166"/>
      <c r="DQ26" s="165">
        <f>+SUM(DQ19:DQ25)</f>
        <v>39122.493346666786</v>
      </c>
      <c r="DR26" s="164">
        <f>+SUM(DR19:DR25)</f>
        <v>39030.842478720893</v>
      </c>
      <c r="DS26" s="164">
        <f>+SUM(DS19:DS25)</f>
        <v>38836.807789942963</v>
      </c>
      <c r="DT26" s="164">
        <f>+SUM(DT19:DT25)</f>
        <v>38858.283627579753</v>
      </c>
      <c r="DU26" s="163">
        <f>+SUM(DU19:DU25)</f>
        <v>38858.283627579753</v>
      </c>
      <c r="DV26" s="166"/>
      <c r="DW26" s="165">
        <f>+SUM(DW19:DW25)</f>
        <v>38594.777362360932</v>
      </c>
      <c r="DX26" s="164">
        <f>+SUM(DX19:DX25)</f>
        <v>38512.492900266559</v>
      </c>
      <c r="DY26" s="164">
        <f>+SUM(DY19:DY25)</f>
        <v>38320.164881621095</v>
      </c>
      <c r="DZ26" s="164">
        <f>+SUM(DZ19:DZ25)</f>
        <v>38358.500523315757</v>
      </c>
      <c r="EA26" s="163">
        <f>+SUM(EA19:EA25)</f>
        <v>38358.500523315757</v>
      </c>
      <c r="EB26" s="166"/>
      <c r="EC26" s="165">
        <f t="shared" ref="EC26:EG26" si="144">+SUM(EC19:EC25)</f>
        <v>38091.65963115816</v>
      </c>
      <c r="ED26" s="164">
        <f t="shared" si="144"/>
        <v>38020.16612999075</v>
      </c>
      <c r="EE26" s="164">
        <f t="shared" si="144"/>
        <v>37830.493186828608</v>
      </c>
      <c r="EF26" s="164">
        <f t="shared" si="144"/>
        <v>37887.539034041452</v>
      </c>
      <c r="EG26" s="163">
        <f t="shared" si="144"/>
        <v>37887.539034041452</v>
      </c>
      <c r="EH26" s="391"/>
      <c r="EI26" s="485"/>
      <c r="EJ26" s="10"/>
    </row>
    <row r="27" spans="1:140" ht="11.25" customHeight="1" x14ac:dyDescent="0.2">
      <c r="A27" s="51"/>
      <c r="B27" s="2"/>
      <c r="C27" s="2"/>
      <c r="D27" s="2"/>
      <c r="E27" s="93"/>
      <c r="F27" s="126"/>
      <c r="G27" s="93"/>
      <c r="H27" s="126"/>
      <c r="I27" s="93"/>
      <c r="J27" s="126"/>
      <c r="K27" s="93"/>
      <c r="L27" s="126"/>
      <c r="M27" s="82"/>
      <c r="N27" s="67"/>
      <c r="O27" s="67"/>
      <c r="P27" s="67"/>
      <c r="Q27" s="136"/>
      <c r="R27" s="126"/>
      <c r="S27" s="82"/>
      <c r="T27" s="67"/>
      <c r="U27" s="67"/>
      <c r="V27" s="67"/>
      <c r="W27" s="136"/>
      <c r="X27" s="126"/>
      <c r="Y27" s="82"/>
      <c r="Z27" s="67"/>
      <c r="AA27" s="67"/>
      <c r="AB27" s="67"/>
      <c r="AC27" s="136"/>
      <c r="AD27" s="126"/>
      <c r="AE27" s="82"/>
      <c r="AF27" s="67"/>
      <c r="AG27" s="67"/>
      <c r="AH27" s="67"/>
      <c r="AI27" s="136"/>
      <c r="AJ27" s="126"/>
      <c r="AK27" s="82"/>
      <c r="AL27" s="67"/>
      <c r="AM27" s="67"/>
      <c r="AN27" s="67"/>
      <c r="AO27" s="136"/>
      <c r="AP27" s="126"/>
      <c r="AQ27" s="82"/>
      <c r="AR27" s="67"/>
      <c r="AS27" s="67"/>
      <c r="AT27" s="67"/>
      <c r="AU27" s="136"/>
      <c r="AV27" s="126"/>
      <c r="AW27" s="82"/>
      <c r="AX27" s="67"/>
      <c r="AY27" s="67"/>
      <c r="AZ27" s="67"/>
      <c r="BA27" s="136"/>
      <c r="BB27" s="126"/>
      <c r="BC27" s="82"/>
      <c r="BD27" s="67"/>
      <c r="BE27" s="67"/>
      <c r="BF27" s="67"/>
      <c r="BG27" s="136"/>
      <c r="BH27" s="126"/>
      <c r="BI27" s="82"/>
      <c r="BJ27" s="67"/>
      <c r="BK27" s="67"/>
      <c r="BL27" s="67"/>
      <c r="BM27" s="136"/>
      <c r="BN27" s="126"/>
      <c r="BO27" s="82"/>
      <c r="BP27" s="67"/>
      <c r="BQ27" s="67"/>
      <c r="BR27" s="67"/>
      <c r="BS27" s="136"/>
      <c r="BT27" s="126"/>
      <c r="BU27" s="82"/>
      <c r="BV27" s="67"/>
      <c r="BW27" s="67"/>
      <c r="BX27" s="67"/>
      <c r="BY27" s="136"/>
      <c r="BZ27" s="126"/>
      <c r="CA27" s="82"/>
      <c r="CB27" s="67"/>
      <c r="CC27" s="67"/>
      <c r="CD27" s="67"/>
      <c r="CE27" s="136"/>
      <c r="CF27" s="126"/>
      <c r="CG27" s="82"/>
      <c r="CH27" s="67"/>
      <c r="CI27" s="67"/>
      <c r="CJ27" s="67"/>
      <c r="CK27" s="136"/>
      <c r="CL27" s="126"/>
      <c r="CM27" s="82"/>
      <c r="CN27" s="67"/>
      <c r="CO27" s="67"/>
      <c r="CP27" s="67"/>
      <c r="CQ27" s="136"/>
      <c r="CR27" s="126"/>
      <c r="CS27" s="82"/>
      <c r="CT27" s="67"/>
      <c r="CU27" s="67"/>
      <c r="CV27" s="67"/>
      <c r="CW27" s="136"/>
      <c r="CX27" s="126"/>
      <c r="CY27" s="82"/>
      <c r="CZ27" s="67"/>
      <c r="DA27" s="67"/>
      <c r="DB27" s="67"/>
      <c r="DC27" s="136"/>
      <c r="DD27" s="126"/>
      <c r="DE27" s="82"/>
      <c r="DF27" s="67"/>
      <c r="DG27" s="67"/>
      <c r="DH27" s="67"/>
      <c r="DI27" s="136"/>
      <c r="DJ27" s="126"/>
      <c r="DK27" s="82"/>
      <c r="DL27" s="67"/>
      <c r="DM27" s="67"/>
      <c r="DN27" s="67"/>
      <c r="DO27" s="136"/>
      <c r="DP27" s="126"/>
      <c r="DQ27" s="82"/>
      <c r="DR27" s="67"/>
      <c r="DS27" s="67"/>
      <c r="DT27" s="67"/>
      <c r="DU27" s="136"/>
      <c r="DV27" s="126"/>
      <c r="DW27" s="82"/>
      <c r="DX27" s="67"/>
      <c r="DY27" s="67"/>
      <c r="DZ27" s="67"/>
      <c r="EA27" s="136"/>
      <c r="EB27" s="126"/>
      <c r="EC27" s="82"/>
      <c r="ED27" s="67"/>
      <c r="EE27" s="67"/>
      <c r="EF27" s="67"/>
      <c r="EG27" s="136"/>
      <c r="EH27" s="391"/>
      <c r="EI27" s="485"/>
      <c r="EJ27" s="10"/>
    </row>
    <row r="28" spans="1:140" ht="11.25" customHeight="1" x14ac:dyDescent="0.2">
      <c r="A28" s="200" t="s">
        <v>31</v>
      </c>
      <c r="B28" s="201"/>
      <c r="C28" s="201"/>
      <c r="D28" s="201"/>
      <c r="E28" s="202">
        <f>E17+E26</f>
        <v>2183.875</v>
      </c>
      <c r="F28" s="203"/>
      <c r="G28" s="202">
        <f>G17+G26</f>
        <v>2840.8589999999999</v>
      </c>
      <c r="H28" s="203"/>
      <c r="I28" s="202">
        <f>I17+I26</f>
        <v>3047.0709999999999</v>
      </c>
      <c r="J28" s="203"/>
      <c r="K28" s="202">
        <f>K17+K26</f>
        <v>4031.6790000000001</v>
      </c>
      <c r="L28" s="203"/>
      <c r="M28" s="204">
        <f>M17+M26</f>
        <v>4509.3779999999997</v>
      </c>
      <c r="N28" s="205">
        <f>N17+N26</f>
        <v>4619.8950000000004</v>
      </c>
      <c r="O28" s="205">
        <f>O17+O26</f>
        <v>4715.0119999999997</v>
      </c>
      <c r="P28" s="205">
        <f>P17+P26</f>
        <v>4820.4830000000002</v>
      </c>
      <c r="Q28" s="202">
        <f>Q17+Q26</f>
        <v>4820.4830000000002</v>
      </c>
      <c r="R28" s="203"/>
      <c r="S28" s="204">
        <f>S17+S26</f>
        <v>5433.5120000000006</v>
      </c>
      <c r="T28" s="205">
        <f>T17+T26</f>
        <v>5644.8010000000004</v>
      </c>
      <c r="U28" s="205">
        <f>U17+U26</f>
        <v>5894.8009999999995</v>
      </c>
      <c r="V28" s="205">
        <f>V17+V26</f>
        <v>6029.1450000000004</v>
      </c>
      <c r="W28" s="202">
        <f>W17+W26</f>
        <v>6029.1450000000004</v>
      </c>
      <c r="X28" s="203"/>
      <c r="Y28" s="204">
        <f>Y17+Y26</f>
        <v>6292.7120000000004</v>
      </c>
      <c r="Z28" s="205">
        <f>Z17+Z26</f>
        <v>6464.8</v>
      </c>
      <c r="AA28" s="205">
        <f>AA17+AA26</f>
        <v>6590.2220000000007</v>
      </c>
      <c r="AB28" s="205">
        <f>AB17+AB26</f>
        <v>6890.0499999999993</v>
      </c>
      <c r="AC28" s="202">
        <f>AC17+AC26</f>
        <v>6890.0499999999993</v>
      </c>
      <c r="AD28" s="203"/>
      <c r="AE28" s="204">
        <f>AE17+AE26</f>
        <v>7285.1270000000004</v>
      </c>
      <c r="AF28" s="205">
        <f>AF17+AF26</f>
        <v>7683.2060000000001</v>
      </c>
      <c r="AG28" s="205">
        <f>AG17+AG26</f>
        <v>7922.4740000000011</v>
      </c>
      <c r="AH28" s="205">
        <f>AH17+AH26</f>
        <v>8493.893</v>
      </c>
      <c r="AI28" s="202">
        <f>AI17+AI26</f>
        <v>8493.893</v>
      </c>
      <c r="AJ28" s="203"/>
      <c r="AK28" s="204">
        <f>AK17+AK26</f>
        <v>8622.7019999999993</v>
      </c>
      <c r="AL28" s="205">
        <f>AL17+AL26</f>
        <v>8666.1380000000008</v>
      </c>
      <c r="AM28" s="205">
        <f>AM17+AM26</f>
        <v>9023.0750000000007</v>
      </c>
      <c r="AN28" s="205">
        <f>AN17+AN26</f>
        <v>9163.1090000000004</v>
      </c>
      <c r="AO28" s="202">
        <f>AO17+AO26</f>
        <v>9163.1090000000004</v>
      </c>
      <c r="AP28" s="203"/>
      <c r="AQ28" s="204">
        <f>AQ17+AQ26</f>
        <v>9354.1779999999999</v>
      </c>
      <c r="AR28" s="205">
        <f>AR17+AR26</f>
        <v>11912.260999999999</v>
      </c>
      <c r="AS28" s="205">
        <f>AS17+AS26</f>
        <v>12022.567999999999</v>
      </c>
      <c r="AT28" s="205">
        <f>AT17+AT26</f>
        <v>12864.151</v>
      </c>
      <c r="AU28" s="202">
        <f>AU17+AU26</f>
        <v>12864.151</v>
      </c>
      <c r="AV28" s="203"/>
      <c r="AW28" s="204">
        <f>AW17+AW26</f>
        <v>13088.218000000001</v>
      </c>
      <c r="AX28" s="205">
        <f>AX17+AX26</f>
        <v>13146.694</v>
      </c>
      <c r="AY28" s="205">
        <f>AY17+AY26</f>
        <v>13775.037999999999</v>
      </c>
      <c r="AZ28" s="205">
        <f>AZ17+AZ26</f>
        <v>17320.561000000002</v>
      </c>
      <c r="BA28" s="202">
        <f>BA17+BA26</f>
        <v>17320.561000000002</v>
      </c>
      <c r="BB28" s="203"/>
      <c r="BC28" s="204">
        <f>BC17+BC26</f>
        <v>17853.022000000001</v>
      </c>
      <c r="BD28" s="205">
        <f>BD17+BD26</f>
        <v>17994.613999999998</v>
      </c>
      <c r="BE28" s="205">
        <f>BE17+BE26</f>
        <v>17620.648000000001</v>
      </c>
      <c r="BF28" s="205">
        <f>BF17+BF26</f>
        <v>17458.031999999999</v>
      </c>
      <c r="BG28" s="202">
        <f>BG17+BG26</f>
        <v>17458.031999999999</v>
      </c>
      <c r="BH28" s="203"/>
      <c r="BI28" s="204">
        <f>BI17+BI26</f>
        <v>17673.113999999998</v>
      </c>
      <c r="BJ28" s="205">
        <f>BJ17+BJ26</f>
        <v>18322.397000000001</v>
      </c>
      <c r="BK28" s="205">
        <f>BK17+BK26</f>
        <v>19161.907000000003</v>
      </c>
      <c r="BL28" s="205">
        <f>BL17+BL26</f>
        <v>19595.420000000002</v>
      </c>
      <c r="BM28" s="202">
        <f>BM17+BM26</f>
        <v>19595.420000000002</v>
      </c>
      <c r="BN28" s="203"/>
      <c r="BO28" s="204">
        <f>BO17+BO26</f>
        <v>19880.646000000001</v>
      </c>
      <c r="BP28" s="205">
        <f>BP17+BP26</f>
        <v>20078.956999999999</v>
      </c>
      <c r="BQ28" s="205">
        <f>BQ17+BQ26</f>
        <v>21497.834999999999</v>
      </c>
      <c r="BR28" s="205">
        <f>BR17+BR26</f>
        <v>22217.129999999997</v>
      </c>
      <c r="BS28" s="202">
        <f>BS17+BS26</f>
        <v>22217.129999999997</v>
      </c>
      <c r="BT28" s="203"/>
      <c r="BU28" s="204">
        <f>BU17+BU26</f>
        <v>23034.881000000001</v>
      </c>
      <c r="BV28" s="205">
        <f>BV17+BV26</f>
        <v>31513.376</v>
      </c>
      <c r="BW28" s="205">
        <f>BW17+BW26</f>
        <v>30618.423999999999</v>
      </c>
      <c r="BX28" s="205">
        <f>BX17+BX26</f>
        <v>29949.447</v>
      </c>
      <c r="BY28" s="202">
        <f>BY17+BY26</f>
        <v>29949.447</v>
      </c>
      <c r="BZ28" s="203"/>
      <c r="CA28" s="204">
        <f>CA17+CA26</f>
        <v>30420.958999999995</v>
      </c>
      <c r="CB28" s="205">
        <f>CB17+CB26</f>
        <v>31170.583000000002</v>
      </c>
      <c r="CC28" s="205">
        <f>CC17+CC26</f>
        <v>31585.420000000002</v>
      </c>
      <c r="CD28" s="205">
        <f>CD17+CD26</f>
        <v>32941</v>
      </c>
      <c r="CE28" s="202">
        <f>CE17+CE26</f>
        <v>32941</v>
      </c>
      <c r="CF28" s="205"/>
      <c r="CG28" s="204">
        <f>CG17+CG26</f>
        <v>32469.300000000003</v>
      </c>
      <c r="CH28" s="205">
        <f>CH17+CH26</f>
        <v>33109</v>
      </c>
      <c r="CI28" s="205">
        <f>CI17+CI26</f>
        <v>33721.199999999997</v>
      </c>
      <c r="CJ28" s="205">
        <f>CJ17+CJ26</f>
        <v>34672.200000000004</v>
      </c>
      <c r="CK28" s="202">
        <f>CK17+CK26</f>
        <v>34672.200000000004</v>
      </c>
      <c r="CL28" s="205"/>
      <c r="CM28" s="204">
        <f>CM17+CM26</f>
        <v>35042.599999999991</v>
      </c>
      <c r="CN28" s="205">
        <f>CN17+CN26</f>
        <v>35652.100000000006</v>
      </c>
      <c r="CO28" s="205">
        <f>CO17+CO26</f>
        <v>35535.9</v>
      </c>
      <c r="CP28" s="205">
        <f>CP17+CP26</f>
        <v>36991.699999999997</v>
      </c>
      <c r="CQ28" s="202">
        <f>CQ17+CQ26</f>
        <v>36991.699999999997</v>
      </c>
      <c r="CR28" s="205"/>
      <c r="CS28" s="204">
        <f>CS17+CS26</f>
        <v>36072.300000000003</v>
      </c>
      <c r="CT28" s="205">
        <f>CT17+CT26</f>
        <v>36986.800000000003</v>
      </c>
      <c r="CU28" s="205">
        <f>CU17+CU26</f>
        <v>49707.9</v>
      </c>
      <c r="CV28" s="205">
        <f>CV17+CV26</f>
        <v>48222.2</v>
      </c>
      <c r="CW28" s="202">
        <f>CW17+CW26</f>
        <v>48222.2</v>
      </c>
      <c r="CX28" s="205"/>
      <c r="CY28" s="204">
        <f>CY17+CY26</f>
        <v>48385.599999999999</v>
      </c>
      <c r="CZ28" s="205">
        <f>CZ17+CZ26</f>
        <v>51503.7</v>
      </c>
      <c r="DA28" s="205">
        <f>DA17+DA26</f>
        <v>41297.5</v>
      </c>
      <c r="DB28" s="205">
        <f>DB17+DB26</f>
        <v>45295.299999999996</v>
      </c>
      <c r="DC28" s="202">
        <f>DC17+DC26</f>
        <v>45295.299999999996</v>
      </c>
      <c r="DD28" s="205"/>
      <c r="DE28" s="204">
        <f>DE17+DE26</f>
        <v>45245.1</v>
      </c>
      <c r="DF28" s="205">
        <f>DF17+DF26</f>
        <v>45646.799999999996</v>
      </c>
      <c r="DG28" s="205">
        <f>DG17+DG26</f>
        <v>45851.299999999996</v>
      </c>
      <c r="DH28" s="205">
        <f>DH17+DH26</f>
        <v>46648.6</v>
      </c>
      <c r="DI28" s="202">
        <f>DI17+DI26</f>
        <v>46648.6</v>
      </c>
      <c r="DJ28" s="205"/>
      <c r="DK28" s="204">
        <f>DK17+DK26</f>
        <v>47087.857199999999</v>
      </c>
      <c r="DL28" s="205">
        <f>DL17+DL26</f>
        <v>48247.599826617319</v>
      </c>
      <c r="DM28" s="205">
        <f>DM17+DM26</f>
        <v>48755.399337512754</v>
      </c>
      <c r="DN28" s="205">
        <f>DN17+DN26</f>
        <v>50112.238403820738</v>
      </c>
      <c r="DO28" s="202">
        <f>DO17+DO26</f>
        <v>50112.238403820738</v>
      </c>
      <c r="DP28" s="205"/>
      <c r="DQ28" s="204">
        <f>DQ17+DQ26</f>
        <v>50396.07650232852</v>
      </c>
      <c r="DR28" s="205">
        <f>DR17+DR26</f>
        <v>51703.835175091466</v>
      </c>
      <c r="DS28" s="205">
        <f>DS17+DS26</f>
        <v>52231.693651074005</v>
      </c>
      <c r="DT28" s="205">
        <f>DT17+DT26</f>
        <v>53712.281343767863</v>
      </c>
      <c r="DU28" s="202">
        <f>DU17+DU26</f>
        <v>53712.281343767863</v>
      </c>
      <c r="DV28" s="205"/>
      <c r="DW28" s="204">
        <f>DW17+DW26</f>
        <v>54051.261680059106</v>
      </c>
      <c r="DX28" s="205">
        <f>DX17+DX26</f>
        <v>55457.780193814142</v>
      </c>
      <c r="DY28" s="205">
        <f>DY17+DY26</f>
        <v>56045.132103090393</v>
      </c>
      <c r="DZ28" s="205">
        <f>DZ17+DZ26</f>
        <v>57784.266650249017</v>
      </c>
      <c r="EA28" s="202">
        <f>EA17+EA26</f>
        <v>57784.266650249017</v>
      </c>
      <c r="EB28" s="205"/>
      <c r="EC28" s="204">
        <f t="shared" ref="EC28:EG28" si="145">EC17+EC26</f>
        <v>58334.256938443817</v>
      </c>
      <c r="ED28" s="205">
        <f t="shared" si="145"/>
        <v>60023.169812695996</v>
      </c>
      <c r="EE28" s="205">
        <f t="shared" si="145"/>
        <v>60872.173002627795</v>
      </c>
      <c r="EF28" s="205">
        <f t="shared" si="145"/>
        <v>62800.022601638411</v>
      </c>
      <c r="EG28" s="202">
        <f t="shared" si="145"/>
        <v>62800.022601638411</v>
      </c>
      <c r="EH28" s="391"/>
      <c r="EI28" s="485"/>
      <c r="EJ28" s="10"/>
    </row>
    <row r="29" spans="1:140" ht="11.25" customHeight="1" x14ac:dyDescent="0.2">
      <c r="A29" s="51"/>
      <c r="B29" s="2"/>
      <c r="C29" s="2"/>
      <c r="D29" s="2"/>
      <c r="E29" s="93"/>
      <c r="F29" s="126"/>
      <c r="G29" s="93"/>
      <c r="H29" s="126"/>
      <c r="I29" s="93"/>
      <c r="J29" s="126"/>
      <c r="K29" s="93"/>
      <c r="L29" s="126"/>
      <c r="M29" s="82"/>
      <c r="N29" s="67"/>
      <c r="O29" s="67"/>
      <c r="P29" s="67"/>
      <c r="Q29" s="136"/>
      <c r="R29" s="126"/>
      <c r="S29" s="82"/>
      <c r="T29" s="67"/>
      <c r="U29" s="67"/>
      <c r="V29" s="67"/>
      <c r="W29" s="136"/>
      <c r="X29" s="126"/>
      <c r="Y29" s="82"/>
      <c r="Z29" s="67"/>
      <c r="AA29" s="67"/>
      <c r="AB29" s="67"/>
      <c r="AC29" s="136"/>
      <c r="AD29" s="126"/>
      <c r="AE29" s="82"/>
      <c r="AF29" s="67"/>
      <c r="AG29" s="67"/>
      <c r="AH29" s="67"/>
      <c r="AI29" s="136"/>
      <c r="AJ29" s="126"/>
      <c r="AK29" s="82"/>
      <c r="AL29" s="67"/>
      <c r="AM29" s="67"/>
      <c r="AN29" s="67"/>
      <c r="AO29" s="136"/>
      <c r="AP29" s="126"/>
      <c r="AQ29" s="82"/>
      <c r="AR29" s="67"/>
      <c r="AS29" s="67"/>
      <c r="AT29" s="67"/>
      <c r="AU29" s="136"/>
      <c r="AV29" s="126"/>
      <c r="AW29" s="82"/>
      <c r="AX29" s="67"/>
      <c r="AY29" s="67"/>
      <c r="AZ29" s="67"/>
      <c r="BA29" s="136"/>
      <c r="BB29" s="126"/>
      <c r="BC29" s="82"/>
      <c r="BD29" s="67"/>
      <c r="BE29" s="67"/>
      <c r="BF29" s="67"/>
      <c r="BG29" s="136"/>
      <c r="BH29" s="126"/>
      <c r="BI29" s="82"/>
      <c r="BJ29" s="67"/>
      <c r="BK29" s="67"/>
      <c r="BL29" s="67"/>
      <c r="BM29" s="136"/>
      <c r="BN29" s="126"/>
      <c r="BO29" s="82"/>
      <c r="BP29" s="67"/>
      <c r="BQ29" s="67"/>
      <c r="BR29" s="67"/>
      <c r="BS29" s="136"/>
      <c r="BT29" s="126"/>
      <c r="BU29" s="82"/>
      <c r="BV29" s="67"/>
      <c r="BW29" s="67"/>
      <c r="BX29" s="67"/>
      <c r="BY29" s="136"/>
      <c r="BZ29" s="126"/>
      <c r="CA29" s="82"/>
      <c r="CB29" s="67"/>
      <c r="CC29" s="67"/>
      <c r="CD29" s="67"/>
      <c r="CE29" s="136"/>
      <c r="CF29" s="126"/>
      <c r="CG29" s="82"/>
      <c r="CH29" s="67"/>
      <c r="CI29" s="67"/>
      <c r="CJ29" s="67"/>
      <c r="CK29" s="136"/>
      <c r="CL29" s="126"/>
      <c r="CM29" s="82"/>
      <c r="CN29" s="67"/>
      <c r="CO29" s="67"/>
      <c r="CP29" s="67"/>
      <c r="CQ29" s="136"/>
      <c r="CR29" s="126"/>
      <c r="CS29" s="82"/>
      <c r="CT29" s="67"/>
      <c r="CU29" s="67"/>
      <c r="CV29" s="67"/>
      <c r="CW29" s="136"/>
      <c r="CX29" s="126"/>
      <c r="CY29" s="82"/>
      <c r="CZ29" s="67"/>
      <c r="DA29" s="67"/>
      <c r="DB29" s="67"/>
      <c r="DC29" s="136"/>
      <c r="DD29" s="126"/>
      <c r="DE29" s="82"/>
      <c r="DF29" s="67"/>
      <c r="DG29" s="67"/>
      <c r="DH29" s="67"/>
      <c r="DI29" s="136"/>
      <c r="DJ29" s="126"/>
      <c r="DK29" s="82"/>
      <c r="DL29" s="67"/>
      <c r="DM29" s="67"/>
      <c r="DN29" s="67"/>
      <c r="DO29" s="136"/>
      <c r="DP29" s="126"/>
      <c r="DQ29" s="82"/>
      <c r="DR29" s="67"/>
      <c r="DS29" s="67"/>
      <c r="DT29" s="67"/>
      <c r="DU29" s="136"/>
      <c r="DV29" s="126"/>
      <c r="DW29" s="82"/>
      <c r="DX29" s="67"/>
      <c r="DY29" s="67"/>
      <c r="DZ29" s="67"/>
      <c r="EA29" s="136"/>
      <c r="EB29" s="126"/>
      <c r="EC29" s="82"/>
      <c r="ED29" s="67"/>
      <c r="EE29" s="67"/>
      <c r="EF29" s="67"/>
      <c r="EG29" s="136"/>
      <c r="EH29" s="391"/>
      <c r="EI29" s="485"/>
      <c r="EJ29" s="10"/>
    </row>
    <row r="30" spans="1:140" ht="11.25" customHeight="1" x14ac:dyDescent="0.2">
      <c r="A30" s="50" t="s">
        <v>32</v>
      </c>
      <c r="B30" s="2"/>
      <c r="C30" s="2"/>
      <c r="D30" s="2"/>
      <c r="E30" s="93"/>
      <c r="F30" s="126"/>
      <c r="G30" s="93"/>
      <c r="H30" s="126"/>
      <c r="I30" s="93"/>
      <c r="J30" s="126"/>
      <c r="K30" s="93"/>
      <c r="L30" s="126"/>
      <c r="M30" s="82"/>
      <c r="N30" s="67"/>
      <c r="O30" s="67"/>
      <c r="P30" s="67"/>
      <c r="Q30" s="136"/>
      <c r="R30" s="126"/>
      <c r="S30" s="82"/>
      <c r="T30" s="67"/>
      <c r="U30" s="67"/>
      <c r="V30" s="67"/>
      <c r="W30" s="136"/>
      <c r="X30" s="126"/>
      <c r="Y30" s="82"/>
      <c r="Z30" s="67"/>
      <c r="AA30" s="67"/>
      <c r="AB30" s="67"/>
      <c r="AC30" s="136"/>
      <c r="AD30" s="126"/>
      <c r="AE30" s="82"/>
      <c r="AF30" s="67"/>
      <c r="AG30" s="67"/>
      <c r="AH30" s="67"/>
      <c r="AI30" s="136"/>
      <c r="AJ30" s="126"/>
      <c r="AK30" s="82"/>
      <c r="AL30" s="67"/>
      <c r="AM30" s="67"/>
      <c r="AN30" s="67"/>
      <c r="AO30" s="136"/>
      <c r="AP30" s="126"/>
      <c r="AQ30" s="82"/>
      <c r="AR30" s="67"/>
      <c r="AS30" s="67"/>
      <c r="AT30" s="67"/>
      <c r="AU30" s="136"/>
      <c r="AV30" s="126"/>
      <c r="AW30" s="82"/>
      <c r="AX30" s="67"/>
      <c r="AY30" s="67"/>
      <c r="AZ30" s="67"/>
      <c r="BA30" s="136"/>
      <c r="BB30" s="126"/>
      <c r="BC30" s="82"/>
      <c r="BD30" s="67"/>
      <c r="BE30" s="67"/>
      <c r="BF30" s="67"/>
      <c r="BG30" s="136"/>
      <c r="BH30" s="126"/>
      <c r="BI30" s="82"/>
      <c r="BJ30" s="67"/>
      <c r="BK30" s="67"/>
      <c r="BL30" s="67"/>
      <c r="BM30" s="136"/>
      <c r="BN30" s="126"/>
      <c r="BO30" s="82"/>
      <c r="BP30" s="67"/>
      <c r="BQ30" s="67"/>
      <c r="BR30" s="67"/>
      <c r="BS30" s="136"/>
      <c r="BT30" s="126"/>
      <c r="BU30" s="82"/>
      <c r="BV30" s="67"/>
      <c r="BW30" s="67"/>
      <c r="BX30" s="67"/>
      <c r="BY30" s="136"/>
      <c r="BZ30" s="126"/>
      <c r="CA30" s="82"/>
      <c r="CB30" s="67"/>
      <c r="CC30" s="67"/>
      <c r="CD30" s="67"/>
      <c r="CE30" s="136"/>
      <c r="CF30" s="126"/>
      <c r="CG30" s="82"/>
      <c r="CH30" s="67"/>
      <c r="CI30" s="67"/>
      <c r="CJ30" s="67"/>
      <c r="CK30" s="136"/>
      <c r="CL30" s="126"/>
      <c r="CM30" s="82"/>
      <c r="CN30" s="67"/>
      <c r="CO30" s="67"/>
      <c r="CP30" s="67"/>
      <c r="CQ30" s="136"/>
      <c r="CR30" s="126"/>
      <c r="CS30" s="82"/>
      <c r="CT30" s="67"/>
      <c r="CU30" s="67"/>
      <c r="CV30" s="67"/>
      <c r="CW30" s="136"/>
      <c r="CX30" s="126"/>
      <c r="CY30" s="82"/>
      <c r="CZ30" s="67"/>
      <c r="DA30" s="67"/>
      <c r="DB30" s="67"/>
      <c r="DC30" s="136"/>
      <c r="DD30" s="126"/>
      <c r="DE30" s="82"/>
      <c r="DF30" s="67"/>
      <c r="DG30" s="67"/>
      <c r="DH30" s="67"/>
      <c r="DI30" s="136"/>
      <c r="DJ30" s="126"/>
      <c r="DK30" s="82"/>
      <c r="DL30" s="67"/>
      <c r="DM30" s="67"/>
      <c r="DN30" s="67"/>
      <c r="DO30" s="136"/>
      <c r="DP30" s="126"/>
      <c r="DQ30" s="82"/>
      <c r="DR30" s="67"/>
      <c r="DS30" s="67"/>
      <c r="DT30" s="67"/>
      <c r="DU30" s="136"/>
      <c r="DV30" s="126"/>
      <c r="DW30" s="82"/>
      <c r="DX30" s="67"/>
      <c r="DY30" s="67"/>
      <c r="DZ30" s="67"/>
      <c r="EA30" s="136"/>
      <c r="EB30" s="126"/>
      <c r="EC30" s="82"/>
      <c r="ED30" s="67"/>
      <c r="EE30" s="67"/>
      <c r="EF30" s="67"/>
      <c r="EG30" s="136"/>
      <c r="EH30" s="391"/>
      <c r="EI30" s="485"/>
      <c r="EJ30" s="10"/>
    </row>
    <row r="31" spans="1:140" ht="11.25" customHeight="1" x14ac:dyDescent="0.2">
      <c r="A31" s="51" t="s">
        <v>96</v>
      </c>
      <c r="B31" s="2"/>
      <c r="C31" s="2"/>
      <c r="D31" s="2"/>
      <c r="E31" s="92">
        <v>35.909999999999997</v>
      </c>
      <c r="F31" s="126"/>
      <c r="G31" s="92">
        <v>59.720999999999997</v>
      </c>
      <c r="H31" s="126"/>
      <c r="I31" s="92">
        <v>33.597000000000001</v>
      </c>
      <c r="J31" s="126"/>
      <c r="K31" s="92">
        <v>81.632999999999996</v>
      </c>
      <c r="L31" s="126"/>
      <c r="M31" s="84">
        <v>75.19</v>
      </c>
      <c r="N31" s="71">
        <v>72.981999999999999</v>
      </c>
      <c r="O31" s="71">
        <v>74.405000000000001</v>
      </c>
      <c r="P31" s="71">
        <v>72.355999999999995</v>
      </c>
      <c r="Q31" s="136">
        <f t="shared" ref="Q31:Q35" si="146">P31</f>
        <v>72.355999999999995</v>
      </c>
      <c r="R31" s="126"/>
      <c r="S31" s="84">
        <v>81.248999999999995</v>
      </c>
      <c r="T31" s="71">
        <v>108.83199999999999</v>
      </c>
      <c r="U31" s="71">
        <v>110.19199999999999</v>
      </c>
      <c r="V31" s="71">
        <v>112.542</v>
      </c>
      <c r="W31" s="136">
        <f t="shared" ref="W31:W35" si="147">V31</f>
        <v>112.542</v>
      </c>
      <c r="X31" s="126"/>
      <c r="Y31" s="84">
        <v>152.47999999999999</v>
      </c>
      <c r="Z31" s="71">
        <v>76.418000000000006</v>
      </c>
      <c r="AA31" s="71">
        <v>10.298999999999999</v>
      </c>
      <c r="AB31" s="71">
        <v>14.385</v>
      </c>
      <c r="AC31" s="136">
        <f t="shared" ref="AC31:AC35" si="148">AB31</f>
        <v>14.385</v>
      </c>
      <c r="AD31" s="126"/>
      <c r="AE31" s="84">
        <v>67.271000000000001</v>
      </c>
      <c r="AF31" s="71">
        <v>18.317</v>
      </c>
      <c r="AG31" s="71">
        <v>389.75200000000001</v>
      </c>
      <c r="AH31" s="71">
        <v>424.76299999999998</v>
      </c>
      <c r="AI31" s="136">
        <f t="shared" ref="AI31:AI35" si="149">AH31</f>
        <v>424.76299999999998</v>
      </c>
      <c r="AJ31" s="126"/>
      <c r="AK31" s="84">
        <v>396.39499999999998</v>
      </c>
      <c r="AL31" s="71">
        <v>371.71499999999997</v>
      </c>
      <c r="AM31" s="71">
        <v>118.806</v>
      </c>
      <c r="AN31" s="71">
        <v>183.95099999999999</v>
      </c>
      <c r="AO31" s="136">
        <f t="shared" ref="AO31:AO35" si="150">AN31</f>
        <v>183.95099999999999</v>
      </c>
      <c r="AP31" s="126"/>
      <c r="AQ31" s="84">
        <v>6.5880000000000001</v>
      </c>
      <c r="AR31" s="71">
        <v>280.34199999999998</v>
      </c>
      <c r="AS31" s="71">
        <v>13.811999999999999</v>
      </c>
      <c r="AT31" s="71">
        <v>10.855</v>
      </c>
      <c r="AU31" s="136">
        <f t="shared" ref="AU31:AU35" si="151">AT31</f>
        <v>10.855</v>
      </c>
      <c r="AV31" s="126"/>
      <c r="AW31" s="84">
        <v>30.51</v>
      </c>
      <c r="AX31" s="71">
        <v>25.373000000000001</v>
      </c>
      <c r="AY31" s="71">
        <v>20.36</v>
      </c>
      <c r="AZ31" s="71">
        <v>330.48</v>
      </c>
      <c r="BA31" s="136">
        <f t="shared" ref="BA31:BA35" si="152">AZ31</f>
        <v>330.48</v>
      </c>
      <c r="BB31" s="126"/>
      <c r="BC31" s="84">
        <v>301.12200000000001</v>
      </c>
      <c r="BD31" s="71">
        <v>312.64699999999999</v>
      </c>
      <c r="BE31" s="71">
        <v>316.38</v>
      </c>
      <c r="BF31" s="71">
        <v>66.159000000000006</v>
      </c>
      <c r="BG31" s="136">
        <f t="shared" ref="BG31:BG35" si="153">BF31</f>
        <v>66.159000000000006</v>
      </c>
      <c r="BH31" s="126"/>
      <c r="BI31" s="84">
        <v>77.180000000000007</v>
      </c>
      <c r="BJ31" s="71">
        <v>41.398000000000003</v>
      </c>
      <c r="BK31" s="71">
        <v>50.713999999999999</v>
      </c>
      <c r="BL31" s="71">
        <v>44.186</v>
      </c>
      <c r="BM31" s="136">
        <f t="shared" ref="BM31:BM35" si="154">BL31</f>
        <v>44.186</v>
      </c>
      <c r="BN31" s="126"/>
      <c r="BO31" s="84">
        <v>63.551000000000002</v>
      </c>
      <c r="BP31" s="71">
        <v>69.963999999999999</v>
      </c>
      <c r="BQ31" s="71">
        <v>39.482999999999997</v>
      </c>
      <c r="BR31" s="71">
        <v>40.761000000000003</v>
      </c>
      <c r="BS31" s="136">
        <f t="shared" ref="BS31:BS35" si="155">BR31</f>
        <v>40.761000000000003</v>
      </c>
      <c r="BT31" s="126"/>
      <c r="BU31" s="84">
        <v>58.921999999999997</v>
      </c>
      <c r="BV31" s="71">
        <v>47.932000000000002</v>
      </c>
      <c r="BW31" s="71">
        <v>82.284000000000006</v>
      </c>
      <c r="BX31" s="71">
        <v>98.391999999999996</v>
      </c>
      <c r="BY31" s="136">
        <f t="shared" ref="BY31:BY35" si="156">BX31</f>
        <v>98.391999999999996</v>
      </c>
      <c r="BZ31" s="126"/>
      <c r="CA31" s="84">
        <v>63.107999999999997</v>
      </c>
      <c r="CB31" s="71">
        <v>55.406999999999996</v>
      </c>
      <c r="CC31" s="71">
        <v>55.063000000000002</v>
      </c>
      <c r="CD31" s="71">
        <v>55.5</v>
      </c>
      <c r="CE31" s="136">
        <f t="shared" ref="CE31:CE35" si="157">CD31</f>
        <v>55.5</v>
      </c>
      <c r="CF31" s="126"/>
      <c r="CG31" s="84">
        <v>67</v>
      </c>
      <c r="CH31" s="71">
        <v>53.9</v>
      </c>
      <c r="CI31" s="71">
        <v>56.5</v>
      </c>
      <c r="CJ31" s="71">
        <v>62.3</v>
      </c>
      <c r="CK31" s="136">
        <f t="shared" ref="CK31:CK35" si="158">CJ31</f>
        <v>62.3</v>
      </c>
      <c r="CL31" s="126"/>
      <c r="CM31" s="84">
        <v>64.099999999999994</v>
      </c>
      <c r="CN31" s="71">
        <v>49</v>
      </c>
      <c r="CO31" s="71">
        <v>71.400000000000006</v>
      </c>
      <c r="CP31" s="71">
        <v>71.900000000000006</v>
      </c>
      <c r="CQ31" s="136">
        <f t="shared" ref="CQ31:CQ35" si="159">CP31</f>
        <v>71.900000000000006</v>
      </c>
      <c r="CR31" s="126"/>
      <c r="CS31" s="84">
        <v>123.7</v>
      </c>
      <c r="CT31" s="71">
        <v>110.1</v>
      </c>
      <c r="CU31" s="71">
        <v>3489.3</v>
      </c>
      <c r="CV31" s="71">
        <v>845.2</v>
      </c>
      <c r="CW31" s="136">
        <f t="shared" ref="CW31:CW35" si="160">CV31</f>
        <v>845.2</v>
      </c>
      <c r="CX31" s="126"/>
      <c r="CY31" s="84">
        <v>197</v>
      </c>
      <c r="CZ31" s="71">
        <v>2644.5</v>
      </c>
      <c r="DA31" s="71">
        <v>809.1</v>
      </c>
      <c r="DB31" s="71">
        <v>2594.8000000000002</v>
      </c>
      <c r="DC31" s="136">
        <f t="shared" ref="DC31:DC35" si="161">DB31</f>
        <v>2594.8000000000002</v>
      </c>
      <c r="DD31" s="126"/>
      <c r="DE31" s="84">
        <v>2221</v>
      </c>
      <c r="DF31" s="71">
        <v>169.5</v>
      </c>
      <c r="DG31" s="71">
        <v>182.2</v>
      </c>
      <c r="DH31" s="71">
        <v>194.7</v>
      </c>
      <c r="DI31" s="136">
        <f t="shared" ref="DI31:DI35" si="162">DH31</f>
        <v>194.7</v>
      </c>
      <c r="DJ31" s="126"/>
      <c r="DK31" s="354">
        <f>+Debt!DK57</f>
        <v>194.7</v>
      </c>
      <c r="DL31" s="355">
        <f>+Debt!DL57</f>
        <v>194.7</v>
      </c>
      <c r="DM31" s="355">
        <f>+Debt!DM57</f>
        <v>194.7</v>
      </c>
      <c r="DN31" s="355">
        <f>+Debt!DN57</f>
        <v>194.7</v>
      </c>
      <c r="DO31" s="136">
        <f t="shared" ref="DO31:DO35" si="163">DN31</f>
        <v>194.7</v>
      </c>
      <c r="DP31" s="126"/>
      <c r="DQ31" s="354">
        <f>+Debt!DQ57</f>
        <v>194.7</v>
      </c>
      <c r="DR31" s="355">
        <f>+Debt!DR57</f>
        <v>194.7</v>
      </c>
      <c r="DS31" s="355">
        <f>+Debt!DS57</f>
        <v>194.7</v>
      </c>
      <c r="DT31" s="355">
        <f>+Debt!DT57</f>
        <v>194.7</v>
      </c>
      <c r="DU31" s="136">
        <f t="shared" ref="DU31:DU35" si="164">DT31</f>
        <v>194.7</v>
      </c>
      <c r="DV31" s="126"/>
      <c r="DW31" s="354">
        <f>+Debt!DW57</f>
        <v>194.7</v>
      </c>
      <c r="DX31" s="355">
        <f>+Debt!DX57</f>
        <v>194.7</v>
      </c>
      <c r="DY31" s="355">
        <f>+Debt!DY57</f>
        <v>194.7</v>
      </c>
      <c r="DZ31" s="355">
        <f>+Debt!DZ57</f>
        <v>194.7</v>
      </c>
      <c r="EA31" s="136">
        <f t="shared" ref="EA31:EA35" si="165">DZ31</f>
        <v>194.7</v>
      </c>
      <c r="EB31" s="126"/>
      <c r="EC31" s="354">
        <f>+Debt!EC57</f>
        <v>194.7</v>
      </c>
      <c r="ED31" s="355">
        <f>+Debt!ED57</f>
        <v>194.7</v>
      </c>
      <c r="EE31" s="355">
        <f>+Debt!EE57</f>
        <v>194.7</v>
      </c>
      <c r="EF31" s="355">
        <f>+Debt!EF57</f>
        <v>194.7</v>
      </c>
      <c r="EG31" s="136">
        <f t="shared" ref="EG31:EG35" si="166">EF31</f>
        <v>194.7</v>
      </c>
      <c r="EH31" s="391"/>
      <c r="EI31" s="485"/>
      <c r="EJ31" s="10"/>
    </row>
    <row r="32" spans="1:140" ht="11.25" customHeight="1" x14ac:dyDescent="0.2">
      <c r="A32" s="51" t="s">
        <v>44</v>
      </c>
      <c r="B32" s="2"/>
      <c r="C32" s="2"/>
      <c r="D32" s="2"/>
      <c r="E32" s="92">
        <v>152.066</v>
      </c>
      <c r="F32" s="126"/>
      <c r="G32" s="92">
        <v>161.78200000000001</v>
      </c>
      <c r="H32" s="126"/>
      <c r="I32" s="92">
        <v>213.209</v>
      </c>
      <c r="J32" s="126"/>
      <c r="K32" s="92">
        <v>262.09500000000003</v>
      </c>
      <c r="L32" s="126"/>
      <c r="M32" s="84">
        <v>253.86799999999999</v>
      </c>
      <c r="N32" s="71">
        <v>270.73500000000001</v>
      </c>
      <c r="O32" s="71">
        <v>252.41</v>
      </c>
      <c r="P32" s="71">
        <v>235.501</v>
      </c>
      <c r="Q32" s="136">
        <f t="shared" si="146"/>
        <v>235.501</v>
      </c>
      <c r="R32" s="126"/>
      <c r="S32" s="84">
        <v>303.25200000000001</v>
      </c>
      <c r="T32" s="71">
        <v>328.11700000000002</v>
      </c>
      <c r="U32" s="71">
        <v>358.69400000000002</v>
      </c>
      <c r="V32" s="71">
        <v>366.58699999999999</v>
      </c>
      <c r="W32" s="136">
        <f t="shared" si="147"/>
        <v>366.58699999999999</v>
      </c>
      <c r="X32" s="126"/>
      <c r="Y32" s="84">
        <v>395.17700000000002</v>
      </c>
      <c r="Z32" s="71">
        <v>415.08800000000002</v>
      </c>
      <c r="AA32" s="71">
        <v>439.49400000000003</v>
      </c>
      <c r="AB32" s="71">
        <v>472.99400000000003</v>
      </c>
      <c r="AC32" s="136">
        <f t="shared" si="148"/>
        <v>472.99400000000003</v>
      </c>
      <c r="AD32" s="126"/>
      <c r="AE32" s="84">
        <v>559.66700000000003</v>
      </c>
      <c r="AF32" s="71">
        <v>586.99199999999996</v>
      </c>
      <c r="AG32" s="71">
        <v>578.61300000000006</v>
      </c>
      <c r="AH32" s="71">
        <v>612.06600000000003</v>
      </c>
      <c r="AI32" s="136">
        <f t="shared" si="149"/>
        <v>612.06600000000003</v>
      </c>
      <c r="AJ32" s="126"/>
      <c r="AK32" s="84">
        <v>647.05100000000004</v>
      </c>
      <c r="AL32" s="71">
        <v>654.37599999999998</v>
      </c>
      <c r="AM32" s="71">
        <v>719.82500000000005</v>
      </c>
      <c r="AN32" s="71">
        <v>782.85400000000004</v>
      </c>
      <c r="AO32" s="136">
        <f t="shared" si="150"/>
        <v>782.85400000000004</v>
      </c>
      <c r="AP32" s="126"/>
      <c r="AQ32" s="84">
        <v>807.25400000000002</v>
      </c>
      <c r="AR32" s="71">
        <v>820.96</v>
      </c>
      <c r="AS32" s="71">
        <v>844.46900000000005</v>
      </c>
      <c r="AT32" s="71">
        <v>952.33699999999999</v>
      </c>
      <c r="AU32" s="136">
        <f t="shared" si="151"/>
        <v>952.33699999999999</v>
      </c>
      <c r="AV32" s="126"/>
      <c r="AW32" s="84">
        <v>949.34400000000005</v>
      </c>
      <c r="AX32" s="71">
        <v>987.80399999999997</v>
      </c>
      <c r="AY32" s="71">
        <v>1016.023</v>
      </c>
      <c r="AZ32" s="71">
        <v>1125.5999999999999</v>
      </c>
      <c r="BA32" s="136">
        <f t="shared" si="152"/>
        <v>1125.5999999999999</v>
      </c>
      <c r="BB32" s="126"/>
      <c r="BC32" s="84">
        <v>1144.6489999999999</v>
      </c>
      <c r="BD32" s="71">
        <v>1193.576</v>
      </c>
      <c r="BE32" s="71">
        <v>1148.4880000000001</v>
      </c>
      <c r="BF32" s="71">
        <v>1108.961</v>
      </c>
      <c r="BG32" s="136">
        <f t="shared" si="153"/>
        <v>1108.961</v>
      </c>
      <c r="BH32" s="126"/>
      <c r="BI32" s="84">
        <v>930.81899999999996</v>
      </c>
      <c r="BJ32" s="71">
        <v>906.54200000000003</v>
      </c>
      <c r="BK32" s="71">
        <v>973.15499999999997</v>
      </c>
      <c r="BL32" s="71">
        <v>1051.4870000000001</v>
      </c>
      <c r="BM32" s="136">
        <f t="shared" si="154"/>
        <v>1051.4870000000001</v>
      </c>
      <c r="BN32" s="126"/>
      <c r="BO32" s="84">
        <v>1161.7909999999999</v>
      </c>
      <c r="BP32" s="71">
        <v>1223.8900000000001</v>
      </c>
      <c r="BQ32" s="71">
        <v>1178.865</v>
      </c>
      <c r="BR32" s="71">
        <v>1215.818</v>
      </c>
      <c r="BS32" s="136">
        <f t="shared" si="155"/>
        <v>1215.818</v>
      </c>
      <c r="BT32" s="126"/>
      <c r="BU32" s="84">
        <v>1239.1369999999999</v>
      </c>
      <c r="BV32" s="71">
        <v>1515.1130000000001</v>
      </c>
      <c r="BW32" s="71">
        <v>1467.3489999999999</v>
      </c>
      <c r="BX32" s="71">
        <v>1422.4380000000001</v>
      </c>
      <c r="BY32" s="136">
        <f t="shared" si="156"/>
        <v>1422.4380000000001</v>
      </c>
      <c r="BZ32" s="126"/>
      <c r="CA32" s="84">
        <v>1465.982</v>
      </c>
      <c r="CB32" s="71">
        <v>1511.0609999999999</v>
      </c>
      <c r="CC32" s="71">
        <v>1492.6320000000001</v>
      </c>
      <c r="CD32" s="71">
        <v>1546.3</v>
      </c>
      <c r="CE32" s="136">
        <f t="shared" si="157"/>
        <v>1546.3</v>
      </c>
      <c r="CF32" s="126"/>
      <c r="CG32" s="84">
        <v>1534.5</v>
      </c>
      <c r="CH32" s="71">
        <v>1621.4</v>
      </c>
      <c r="CI32" s="71">
        <v>1683.6</v>
      </c>
      <c r="CJ32" s="71">
        <v>1778.2</v>
      </c>
      <c r="CK32" s="136">
        <f t="shared" si="158"/>
        <v>1778.2</v>
      </c>
      <c r="CL32" s="126"/>
      <c r="CM32" s="84">
        <v>1685.4</v>
      </c>
      <c r="CN32" s="71">
        <v>1734.8</v>
      </c>
      <c r="CO32" s="71">
        <v>1684</v>
      </c>
      <c r="CP32" s="71">
        <v>1875</v>
      </c>
      <c r="CQ32" s="136">
        <f t="shared" si="159"/>
        <v>1875</v>
      </c>
      <c r="CR32" s="126"/>
      <c r="CS32" s="84">
        <v>1732.3</v>
      </c>
      <c r="CT32" s="71">
        <v>1744.1</v>
      </c>
      <c r="CU32" s="71">
        <v>1819.4</v>
      </c>
      <c r="CV32" s="71">
        <v>1391.9</v>
      </c>
      <c r="CW32" s="136">
        <f t="shared" si="160"/>
        <v>1391.9</v>
      </c>
      <c r="CX32" s="126"/>
      <c r="CY32" s="84">
        <v>1918.8</v>
      </c>
      <c r="CZ32" s="71">
        <v>1993.2</v>
      </c>
      <c r="DA32" s="71">
        <v>1354.5</v>
      </c>
      <c r="DB32" s="71">
        <v>1485</v>
      </c>
      <c r="DC32" s="136">
        <f t="shared" si="161"/>
        <v>1485</v>
      </c>
      <c r="DD32" s="126"/>
      <c r="DE32" s="84">
        <v>1402.2</v>
      </c>
      <c r="DF32" s="71">
        <v>1427</v>
      </c>
      <c r="DG32" s="71">
        <v>1501.8</v>
      </c>
      <c r="DH32" s="71">
        <v>1509.9</v>
      </c>
      <c r="DI32" s="136">
        <f t="shared" si="162"/>
        <v>1509.9</v>
      </c>
      <c r="DJ32" s="126"/>
      <c r="DK32" s="82">
        <f>-DK133</f>
        <v>1395.2240000000002</v>
      </c>
      <c r="DL32" s="67">
        <f t="shared" ref="DL32:DN32" si="167">-DL133</f>
        <v>1486.4948495242891</v>
      </c>
      <c r="DM32" s="67">
        <f t="shared" si="167"/>
        <v>1445.9702442305729</v>
      </c>
      <c r="DN32" s="67">
        <f t="shared" si="167"/>
        <v>1591.768707730912</v>
      </c>
      <c r="DO32" s="136">
        <f t="shared" si="163"/>
        <v>1591.768707730912</v>
      </c>
      <c r="DP32" s="126"/>
      <c r="DQ32" s="82">
        <f>-DQ133</f>
        <v>1435.4171591546628</v>
      </c>
      <c r="DR32" s="67">
        <f t="shared" ref="DR32:DT32" si="168">-DR133</f>
        <v>1537.2394818676039</v>
      </c>
      <c r="DS32" s="67">
        <f t="shared" si="168"/>
        <v>1486.7933601324712</v>
      </c>
      <c r="DT32" s="67">
        <f t="shared" si="168"/>
        <v>1641.4690912611984</v>
      </c>
      <c r="DU32" s="136">
        <f t="shared" si="164"/>
        <v>1641.4690912611984</v>
      </c>
      <c r="DV32" s="126"/>
      <c r="DW32" s="82">
        <f>-DW133</f>
        <v>1476.0074276969631</v>
      </c>
      <c r="DX32" s="67">
        <f t="shared" ref="DX32:DZ32" si="169">-DX133</f>
        <v>1583.7329059362423</v>
      </c>
      <c r="DY32" s="67">
        <f t="shared" si="169"/>
        <v>1531.2270747327182</v>
      </c>
      <c r="DZ32" s="67">
        <f t="shared" si="169"/>
        <v>1695.7278844669227</v>
      </c>
      <c r="EA32" s="136">
        <f t="shared" si="165"/>
        <v>1695.7278844669227</v>
      </c>
      <c r="EB32" s="126"/>
      <c r="EC32" s="82">
        <f t="shared" ref="EC32:EF32" si="170">-EC133</f>
        <v>1522.8055727919027</v>
      </c>
      <c r="ED32" s="67">
        <f t="shared" si="170"/>
        <v>1636.6928076964275</v>
      </c>
      <c r="EE32" s="67">
        <f t="shared" si="170"/>
        <v>1582.0792127481379</v>
      </c>
      <c r="EF32" s="67">
        <f t="shared" si="170"/>
        <v>1761.0181534041126</v>
      </c>
      <c r="EG32" s="136">
        <f t="shared" si="166"/>
        <v>1761.0181534041126</v>
      </c>
      <c r="EH32" s="391"/>
      <c r="EI32" s="485"/>
      <c r="EJ32" s="10"/>
    </row>
    <row r="33" spans="1:140" ht="11.25" customHeight="1" x14ac:dyDescent="0.2">
      <c r="A33" s="51" t="s">
        <v>125</v>
      </c>
      <c r="B33" s="2"/>
      <c r="C33" s="2"/>
      <c r="D33" s="2"/>
      <c r="E33" s="92">
        <v>392.32100000000003</v>
      </c>
      <c r="F33" s="126"/>
      <c r="G33" s="92">
        <v>479.74299999999999</v>
      </c>
      <c r="H33" s="126"/>
      <c r="I33" s="92">
        <v>461.98</v>
      </c>
      <c r="J33" s="126"/>
      <c r="K33" s="92">
        <v>674.81200000000001</v>
      </c>
      <c r="L33" s="126"/>
      <c r="M33" s="84">
        <v>670.17600000000004</v>
      </c>
      <c r="N33" s="71">
        <v>629.68399999999997</v>
      </c>
      <c r="O33" s="71">
        <v>645.43600000000004</v>
      </c>
      <c r="P33" s="71">
        <v>709.43700000000001</v>
      </c>
      <c r="Q33" s="136">
        <f t="shared" si="146"/>
        <v>709.43700000000001</v>
      </c>
      <c r="R33" s="126"/>
      <c r="S33" s="84">
        <v>857.73</v>
      </c>
      <c r="T33" s="71">
        <v>881.35699999999997</v>
      </c>
      <c r="U33" s="71">
        <v>904.10199999999998</v>
      </c>
      <c r="V33" s="71">
        <v>786.18299999999999</v>
      </c>
      <c r="W33" s="136">
        <f t="shared" si="147"/>
        <v>786.18299999999999</v>
      </c>
      <c r="X33" s="126"/>
      <c r="Y33" s="84">
        <v>821.16899999999998</v>
      </c>
      <c r="Z33" s="71">
        <v>820.98099999999999</v>
      </c>
      <c r="AA33" s="71">
        <v>827.88699999999994</v>
      </c>
      <c r="AB33" s="71">
        <v>892.62400000000002</v>
      </c>
      <c r="AC33" s="136">
        <f t="shared" si="148"/>
        <v>892.62400000000002</v>
      </c>
      <c r="AD33" s="126"/>
      <c r="AE33" s="84">
        <v>980.16700000000003</v>
      </c>
      <c r="AF33" s="71">
        <v>1098.3689999999999</v>
      </c>
      <c r="AG33" s="71">
        <v>1110.0930000000001</v>
      </c>
      <c r="AH33" s="71">
        <v>1165.4570000000001</v>
      </c>
      <c r="AI33" s="136">
        <f t="shared" si="149"/>
        <v>1165.4570000000001</v>
      </c>
      <c r="AJ33" s="126"/>
      <c r="AK33" s="84">
        <v>1163.4849999999999</v>
      </c>
      <c r="AL33" s="71">
        <v>1206.106</v>
      </c>
      <c r="AM33" s="71">
        <v>1360.933</v>
      </c>
      <c r="AN33" s="71">
        <v>1301.7809999999999</v>
      </c>
      <c r="AO33" s="136">
        <f t="shared" si="150"/>
        <v>1301.7809999999999</v>
      </c>
      <c r="AP33" s="126"/>
      <c r="AQ33" s="84">
        <v>1341.365</v>
      </c>
      <c r="AR33" s="71">
        <v>1435.7919999999999</v>
      </c>
      <c r="AS33" s="71">
        <v>1506.396</v>
      </c>
      <c r="AT33" s="71">
        <v>1496.364</v>
      </c>
      <c r="AU33" s="136">
        <f t="shared" si="151"/>
        <v>1496.364</v>
      </c>
      <c r="AV33" s="126"/>
      <c r="AW33" s="84">
        <v>1118.6410000000001</v>
      </c>
      <c r="AX33" s="71">
        <v>1015.615</v>
      </c>
      <c r="AY33" s="71">
        <v>1056.0350000000001</v>
      </c>
      <c r="AZ33" s="71">
        <v>1358.7729999999999</v>
      </c>
      <c r="BA33" s="136">
        <f t="shared" si="152"/>
        <v>1358.7729999999999</v>
      </c>
      <c r="BB33" s="126"/>
      <c r="BC33" s="84">
        <v>1535.673</v>
      </c>
      <c r="BD33" s="71">
        <v>1587.298</v>
      </c>
      <c r="BE33" s="71">
        <v>1546.75</v>
      </c>
      <c r="BF33" s="71">
        <v>1534.575</v>
      </c>
      <c r="BG33" s="136">
        <f t="shared" si="153"/>
        <v>1534.575</v>
      </c>
      <c r="BH33" s="126"/>
      <c r="BI33" s="84">
        <v>1466.7560000000001</v>
      </c>
      <c r="BJ33" s="71">
        <v>1560.1859999999999</v>
      </c>
      <c r="BK33" s="71">
        <v>1654.482</v>
      </c>
      <c r="BL33" s="71">
        <v>1665.287</v>
      </c>
      <c r="BM33" s="136">
        <f t="shared" si="154"/>
        <v>1665.287</v>
      </c>
      <c r="BN33" s="126"/>
      <c r="BO33" s="84">
        <v>1632.4639999999999</v>
      </c>
      <c r="BP33" s="71">
        <v>1698.047</v>
      </c>
      <c r="BQ33" s="71">
        <v>1861.079</v>
      </c>
      <c r="BR33" s="71">
        <v>2048.1750000000002</v>
      </c>
      <c r="BS33" s="136">
        <f t="shared" si="155"/>
        <v>2048.1750000000002</v>
      </c>
      <c r="BT33" s="126"/>
      <c r="BU33" s="84">
        <v>2025.796</v>
      </c>
      <c r="BV33" s="71">
        <v>2718.2510000000002</v>
      </c>
      <c r="BW33" s="71">
        <v>2574.0619999999999</v>
      </c>
      <c r="BX33" s="71">
        <v>2651.1979999999999</v>
      </c>
      <c r="BY33" s="136">
        <f t="shared" si="156"/>
        <v>2651.1979999999999</v>
      </c>
      <c r="BZ33" s="126"/>
      <c r="CA33" s="84">
        <v>2383.4760000000001</v>
      </c>
      <c r="CB33" s="71">
        <v>2463.2330000000002</v>
      </c>
      <c r="CC33" s="71">
        <v>2386.9940000000001</v>
      </c>
      <c r="CD33" s="71">
        <v>2604.3000000000002</v>
      </c>
      <c r="CE33" s="136">
        <f t="shared" si="157"/>
        <v>2604.3000000000002</v>
      </c>
      <c r="CF33" s="126"/>
      <c r="CG33" s="84">
        <v>2325</v>
      </c>
      <c r="CH33" s="71">
        <v>2457.1999999999998</v>
      </c>
      <c r="CI33" s="71">
        <v>2539.3000000000002</v>
      </c>
      <c r="CJ33" s="71">
        <v>2716.9</v>
      </c>
      <c r="CK33" s="136">
        <f t="shared" si="158"/>
        <v>2716.9</v>
      </c>
      <c r="CL33" s="126"/>
      <c r="CM33" s="84">
        <v>2554.9</v>
      </c>
      <c r="CN33" s="71">
        <v>2622.9</v>
      </c>
      <c r="CO33" s="71">
        <v>2715.7</v>
      </c>
      <c r="CP33" s="71">
        <v>3449.5</v>
      </c>
      <c r="CQ33" s="136">
        <f t="shared" si="159"/>
        <v>3449.5</v>
      </c>
      <c r="CR33" s="126"/>
      <c r="CS33" s="84">
        <v>3096.7</v>
      </c>
      <c r="CT33" s="71">
        <v>3201.4</v>
      </c>
      <c r="CU33" s="71">
        <v>3274.5</v>
      </c>
      <c r="CV33" s="71">
        <v>2609.4</v>
      </c>
      <c r="CW33" s="136">
        <f t="shared" si="160"/>
        <v>2609.4</v>
      </c>
      <c r="CX33" s="126"/>
      <c r="CY33" s="84">
        <v>3205.5</v>
      </c>
      <c r="CZ33" s="71">
        <v>3388.2</v>
      </c>
      <c r="DA33" s="71">
        <v>2599.8000000000002</v>
      </c>
      <c r="DB33" s="71">
        <v>2794.2</v>
      </c>
      <c r="DC33" s="136">
        <f t="shared" si="161"/>
        <v>2794.2</v>
      </c>
      <c r="DD33" s="126"/>
      <c r="DE33" s="84">
        <v>2379.9</v>
      </c>
      <c r="DF33" s="71">
        <v>2606.1</v>
      </c>
      <c r="DG33" s="71">
        <v>2703.5</v>
      </c>
      <c r="DH33" s="71">
        <v>3087.7</v>
      </c>
      <c r="DI33" s="136">
        <f t="shared" si="162"/>
        <v>3087.7</v>
      </c>
      <c r="DJ33" s="126"/>
      <c r="DK33" s="82">
        <f>-DK134</f>
        <v>2749.4120000000003</v>
      </c>
      <c r="DL33" s="67">
        <f t="shared" ref="DL33:DN33" si="171">-DL134</f>
        <v>2929.2692622978634</v>
      </c>
      <c r="DM33" s="67">
        <f t="shared" si="171"/>
        <v>2849.4119518661291</v>
      </c>
      <c r="DN33" s="67">
        <f t="shared" si="171"/>
        <v>3136.7206887638558</v>
      </c>
      <c r="DO33" s="136">
        <f t="shared" si="163"/>
        <v>3136.7206887638558</v>
      </c>
      <c r="DP33" s="126"/>
      <c r="DQ33" s="82">
        <f>-DQ134</f>
        <v>2828.6161665694826</v>
      </c>
      <c r="DR33" s="67">
        <f t="shared" ref="DR33:DT33" si="172">-DR134</f>
        <v>3029.266037797925</v>
      </c>
      <c r="DS33" s="67">
        <f t="shared" si="172"/>
        <v>2929.8575037904579</v>
      </c>
      <c r="DT33" s="67">
        <f t="shared" si="172"/>
        <v>3234.6596798382438</v>
      </c>
      <c r="DU33" s="136">
        <f t="shared" si="164"/>
        <v>3234.6596798382438</v>
      </c>
      <c r="DV33" s="126"/>
      <c r="DW33" s="82">
        <f>-DW134</f>
        <v>2908.6028722263686</v>
      </c>
      <c r="DX33" s="67">
        <f t="shared" ref="DX33:DZ33" si="173">-DX134</f>
        <v>3120.8854322861248</v>
      </c>
      <c r="DY33" s="67">
        <f t="shared" si="173"/>
        <v>3017.4180590321212</v>
      </c>
      <c r="DZ33" s="67">
        <f t="shared" si="173"/>
        <v>3341.5814193907004</v>
      </c>
      <c r="EA33" s="136">
        <f t="shared" si="165"/>
        <v>3341.5814193907004</v>
      </c>
      <c r="EB33" s="126"/>
      <c r="EC33" s="82">
        <f t="shared" ref="EC33:EF33" si="174">-EC134</f>
        <v>3000.8227463840435</v>
      </c>
      <c r="ED33" s="67">
        <f t="shared" si="174"/>
        <v>3225.2475916370777</v>
      </c>
      <c r="EE33" s="67">
        <f t="shared" si="174"/>
        <v>3117.6266839448599</v>
      </c>
      <c r="EF33" s="67">
        <f t="shared" si="174"/>
        <v>3470.2416552375162</v>
      </c>
      <c r="EG33" s="136">
        <f t="shared" si="166"/>
        <v>3470.2416552375162</v>
      </c>
      <c r="EH33" s="391"/>
      <c r="EI33" s="485"/>
      <c r="EJ33" s="10"/>
    </row>
    <row r="34" spans="1:140" ht="11.25" customHeight="1" x14ac:dyDescent="0.2">
      <c r="A34" s="51" t="s">
        <v>80</v>
      </c>
      <c r="B34" s="2"/>
      <c r="C34" s="2"/>
      <c r="D34" s="2"/>
      <c r="E34" s="92">
        <v>0</v>
      </c>
      <c r="F34" s="126"/>
      <c r="G34" s="92">
        <v>0</v>
      </c>
      <c r="H34" s="126"/>
      <c r="I34" s="92">
        <v>0</v>
      </c>
      <c r="J34" s="126"/>
      <c r="K34" s="92">
        <v>0</v>
      </c>
      <c r="L34" s="126"/>
      <c r="M34" s="84">
        <v>0</v>
      </c>
      <c r="N34" s="71">
        <v>0</v>
      </c>
      <c r="O34" s="71">
        <v>0</v>
      </c>
      <c r="P34" s="71">
        <v>0</v>
      </c>
      <c r="Q34" s="136">
        <f t="shared" si="146"/>
        <v>0</v>
      </c>
      <c r="R34" s="126"/>
      <c r="S34" s="84">
        <v>0</v>
      </c>
      <c r="T34" s="71">
        <v>0</v>
      </c>
      <c r="U34" s="71">
        <v>0</v>
      </c>
      <c r="V34" s="71">
        <v>0</v>
      </c>
      <c r="W34" s="136">
        <f t="shared" si="147"/>
        <v>0</v>
      </c>
      <c r="X34" s="126"/>
      <c r="Y34" s="84">
        <v>0</v>
      </c>
      <c r="Z34" s="71">
        <v>0</v>
      </c>
      <c r="AA34" s="71">
        <v>0</v>
      </c>
      <c r="AB34" s="71">
        <v>0</v>
      </c>
      <c r="AC34" s="136">
        <f t="shared" si="148"/>
        <v>0</v>
      </c>
      <c r="AD34" s="126"/>
      <c r="AE34" s="84">
        <v>0</v>
      </c>
      <c r="AF34" s="71">
        <v>0</v>
      </c>
      <c r="AG34" s="71">
        <v>0</v>
      </c>
      <c r="AH34" s="71">
        <v>0</v>
      </c>
      <c r="AI34" s="136">
        <f t="shared" si="149"/>
        <v>0</v>
      </c>
      <c r="AJ34" s="126"/>
      <c r="AK34" s="84">
        <f>AI34</f>
        <v>0</v>
      </c>
      <c r="AL34" s="71">
        <f>AK34</f>
        <v>0</v>
      </c>
      <c r="AM34" s="71">
        <v>0</v>
      </c>
      <c r="AN34" s="71">
        <v>0</v>
      </c>
      <c r="AO34" s="136">
        <f t="shared" si="150"/>
        <v>0</v>
      </c>
      <c r="AP34" s="126"/>
      <c r="AQ34" s="84">
        <f>AO34</f>
        <v>0</v>
      </c>
      <c r="AR34" s="71">
        <v>0</v>
      </c>
      <c r="AS34" s="71">
        <v>0</v>
      </c>
      <c r="AT34" s="71">
        <v>0</v>
      </c>
      <c r="AU34" s="136">
        <f t="shared" si="151"/>
        <v>0</v>
      </c>
      <c r="AV34" s="126"/>
      <c r="AW34" s="84">
        <v>0</v>
      </c>
      <c r="AX34" s="71">
        <v>0</v>
      </c>
      <c r="AY34" s="71">
        <v>0</v>
      </c>
      <c r="AZ34" s="71">
        <v>0</v>
      </c>
      <c r="BA34" s="136">
        <f t="shared" si="152"/>
        <v>0</v>
      </c>
      <c r="BB34" s="126"/>
      <c r="BC34" s="84">
        <v>0</v>
      </c>
      <c r="BD34" s="71">
        <v>0</v>
      </c>
      <c r="BE34" s="71">
        <v>0</v>
      </c>
      <c r="BF34" s="71">
        <v>0</v>
      </c>
      <c r="BG34" s="136">
        <f t="shared" si="153"/>
        <v>0</v>
      </c>
      <c r="BH34" s="126"/>
      <c r="BI34" s="84">
        <v>0</v>
      </c>
      <c r="BJ34" s="71">
        <v>0</v>
      </c>
      <c r="BK34" s="71">
        <v>0</v>
      </c>
      <c r="BL34" s="71">
        <v>0</v>
      </c>
      <c r="BM34" s="136">
        <f t="shared" si="154"/>
        <v>0</v>
      </c>
      <c r="BN34" s="126"/>
      <c r="BO34" s="84">
        <v>0</v>
      </c>
      <c r="BP34" s="71">
        <v>0</v>
      </c>
      <c r="BQ34" s="71">
        <v>0</v>
      </c>
      <c r="BR34" s="71">
        <v>0</v>
      </c>
      <c r="BS34" s="136">
        <f t="shared" si="155"/>
        <v>0</v>
      </c>
      <c r="BT34" s="126"/>
      <c r="BU34" s="84">
        <v>0</v>
      </c>
      <c r="BV34" s="71">
        <v>0</v>
      </c>
      <c r="BW34" s="71">
        <v>0</v>
      </c>
      <c r="BX34" s="71">
        <v>0</v>
      </c>
      <c r="BY34" s="136">
        <f t="shared" si="156"/>
        <v>0</v>
      </c>
      <c r="BZ34" s="126"/>
      <c r="CA34" s="84">
        <v>0</v>
      </c>
      <c r="CB34" s="71">
        <v>0</v>
      </c>
      <c r="CC34" s="71">
        <v>0</v>
      </c>
      <c r="CD34" s="71">
        <v>0</v>
      </c>
      <c r="CE34" s="136">
        <f t="shared" si="157"/>
        <v>0</v>
      </c>
      <c r="CF34" s="126"/>
      <c r="CG34" s="84">
        <v>0</v>
      </c>
      <c r="CH34" s="71">
        <v>0</v>
      </c>
      <c r="CI34" s="71">
        <v>0</v>
      </c>
      <c r="CJ34" s="71">
        <v>0</v>
      </c>
      <c r="CK34" s="136">
        <f t="shared" si="158"/>
        <v>0</v>
      </c>
      <c r="CL34" s="126"/>
      <c r="CM34" s="84">
        <v>0</v>
      </c>
      <c r="CN34" s="71">
        <v>0</v>
      </c>
      <c r="CO34" s="71">
        <v>0</v>
      </c>
      <c r="CP34" s="71">
        <v>0</v>
      </c>
      <c r="CQ34" s="136">
        <f t="shared" si="159"/>
        <v>0</v>
      </c>
      <c r="CR34" s="126"/>
      <c r="CS34" s="84">
        <v>0</v>
      </c>
      <c r="CT34" s="71">
        <v>0</v>
      </c>
      <c r="CU34" s="71">
        <v>42.4</v>
      </c>
      <c r="CV34" s="71">
        <v>0</v>
      </c>
      <c r="CW34" s="136">
        <f t="shared" si="160"/>
        <v>0</v>
      </c>
      <c r="CX34" s="126"/>
      <c r="CY34" s="84">
        <v>0</v>
      </c>
      <c r="CZ34" s="71">
        <v>0</v>
      </c>
      <c r="DA34" s="71">
        <v>0</v>
      </c>
      <c r="DB34" s="71">
        <v>0</v>
      </c>
      <c r="DC34" s="136">
        <f t="shared" si="161"/>
        <v>0</v>
      </c>
      <c r="DD34" s="126"/>
      <c r="DE34" s="84">
        <v>0</v>
      </c>
      <c r="DF34" s="71">
        <v>0</v>
      </c>
      <c r="DG34" s="71">
        <v>0</v>
      </c>
      <c r="DH34" s="71">
        <v>0</v>
      </c>
      <c r="DI34" s="136">
        <f t="shared" si="162"/>
        <v>0</v>
      </c>
      <c r="DJ34" s="126"/>
      <c r="DK34" s="82">
        <f>-DK135</f>
        <v>0</v>
      </c>
      <c r="DL34" s="67">
        <f t="shared" ref="DL34:DN34" si="175">-DL135</f>
        <v>0</v>
      </c>
      <c r="DM34" s="67">
        <f t="shared" si="175"/>
        <v>0</v>
      </c>
      <c r="DN34" s="67">
        <f t="shared" si="175"/>
        <v>0</v>
      </c>
      <c r="DO34" s="136">
        <f t="shared" si="163"/>
        <v>0</v>
      </c>
      <c r="DP34" s="126"/>
      <c r="DQ34" s="82">
        <f>-DQ135</f>
        <v>0</v>
      </c>
      <c r="DR34" s="67">
        <f t="shared" ref="DR34:DT34" si="176">-DR135</f>
        <v>0</v>
      </c>
      <c r="DS34" s="67">
        <f t="shared" si="176"/>
        <v>0</v>
      </c>
      <c r="DT34" s="67">
        <f t="shared" si="176"/>
        <v>0</v>
      </c>
      <c r="DU34" s="136">
        <f t="shared" si="164"/>
        <v>0</v>
      </c>
      <c r="DV34" s="126"/>
      <c r="DW34" s="82">
        <f>-DW135</f>
        <v>0</v>
      </c>
      <c r="DX34" s="67">
        <f t="shared" ref="DX34:DZ34" si="177">-DX135</f>
        <v>0</v>
      </c>
      <c r="DY34" s="67">
        <f t="shared" si="177"/>
        <v>0</v>
      </c>
      <c r="DZ34" s="67">
        <f t="shared" si="177"/>
        <v>0</v>
      </c>
      <c r="EA34" s="136">
        <f t="shared" si="165"/>
        <v>0</v>
      </c>
      <c r="EB34" s="126"/>
      <c r="EC34" s="82">
        <f t="shared" ref="EC34:EF34" si="178">-EC135</f>
        <v>0</v>
      </c>
      <c r="ED34" s="67">
        <f t="shared" si="178"/>
        <v>0</v>
      </c>
      <c r="EE34" s="67">
        <f t="shared" si="178"/>
        <v>0</v>
      </c>
      <c r="EF34" s="67">
        <f t="shared" si="178"/>
        <v>0</v>
      </c>
      <c r="EG34" s="136">
        <f t="shared" si="166"/>
        <v>0</v>
      </c>
      <c r="EH34" s="391"/>
      <c r="EI34" s="485"/>
      <c r="EJ34" s="10"/>
    </row>
    <row r="35" spans="1:140" ht="11.25" customHeight="1" x14ac:dyDescent="0.2">
      <c r="A35" s="51" t="s">
        <v>410</v>
      </c>
      <c r="B35" s="2"/>
      <c r="C35" s="2"/>
      <c r="D35" s="2"/>
      <c r="E35" s="92">
        <v>0</v>
      </c>
      <c r="F35" s="126"/>
      <c r="G35" s="92">
        <v>0</v>
      </c>
      <c r="H35" s="126"/>
      <c r="I35" s="92">
        <v>0</v>
      </c>
      <c r="J35" s="126"/>
      <c r="K35" s="92">
        <v>0</v>
      </c>
      <c r="L35" s="126"/>
      <c r="M35" s="84">
        <v>0</v>
      </c>
      <c r="N35" s="71">
        <v>0</v>
      </c>
      <c r="O35" s="71">
        <v>0</v>
      </c>
      <c r="P35" s="71">
        <v>0</v>
      </c>
      <c r="Q35" s="136">
        <f t="shared" si="146"/>
        <v>0</v>
      </c>
      <c r="R35" s="126"/>
      <c r="S35" s="84">
        <v>0</v>
      </c>
      <c r="T35" s="71">
        <v>0</v>
      </c>
      <c r="U35" s="71">
        <v>0</v>
      </c>
      <c r="V35" s="71">
        <v>0</v>
      </c>
      <c r="W35" s="136">
        <f t="shared" si="147"/>
        <v>0</v>
      </c>
      <c r="X35" s="126"/>
      <c r="Y35" s="84">
        <v>0</v>
      </c>
      <c r="Z35" s="71">
        <v>0</v>
      </c>
      <c r="AA35" s="71">
        <v>0</v>
      </c>
      <c r="AB35" s="71">
        <v>0</v>
      </c>
      <c r="AC35" s="136">
        <f t="shared" si="148"/>
        <v>0</v>
      </c>
      <c r="AD35" s="126"/>
      <c r="AE35" s="84">
        <v>0</v>
      </c>
      <c r="AF35" s="71">
        <v>0</v>
      </c>
      <c r="AG35" s="71">
        <v>0</v>
      </c>
      <c r="AH35" s="71">
        <v>0</v>
      </c>
      <c r="AI35" s="136">
        <f t="shared" si="149"/>
        <v>0</v>
      </c>
      <c r="AJ35" s="126"/>
      <c r="AK35" s="84">
        <v>0</v>
      </c>
      <c r="AL35" s="71">
        <v>0</v>
      </c>
      <c r="AM35" s="71">
        <v>0</v>
      </c>
      <c r="AN35" s="71">
        <v>0</v>
      </c>
      <c r="AO35" s="136">
        <f t="shared" si="150"/>
        <v>0</v>
      </c>
      <c r="AP35" s="126"/>
      <c r="AQ35" s="84">
        <v>0</v>
      </c>
      <c r="AR35" s="71">
        <v>0</v>
      </c>
      <c r="AS35" s="71">
        <v>0</v>
      </c>
      <c r="AT35" s="71">
        <v>0</v>
      </c>
      <c r="AU35" s="136">
        <f t="shared" si="151"/>
        <v>0</v>
      </c>
      <c r="AV35" s="126"/>
      <c r="AW35" s="84">
        <v>0</v>
      </c>
      <c r="AX35" s="71">
        <v>0</v>
      </c>
      <c r="AY35" s="71">
        <v>0</v>
      </c>
      <c r="AZ35" s="71">
        <v>0</v>
      </c>
      <c r="BA35" s="136">
        <f t="shared" si="152"/>
        <v>0</v>
      </c>
      <c r="BB35" s="126"/>
      <c r="BC35" s="84">
        <v>0</v>
      </c>
      <c r="BD35" s="71">
        <v>0</v>
      </c>
      <c r="BE35" s="71">
        <v>0</v>
      </c>
      <c r="BF35" s="71">
        <v>0</v>
      </c>
      <c r="BG35" s="136">
        <f t="shared" si="153"/>
        <v>0</v>
      </c>
      <c r="BH35" s="126"/>
      <c r="BI35" s="84">
        <v>0</v>
      </c>
      <c r="BJ35" s="71">
        <v>0</v>
      </c>
      <c r="BK35" s="71">
        <v>0</v>
      </c>
      <c r="BL35" s="71">
        <v>0</v>
      </c>
      <c r="BM35" s="136">
        <f t="shared" si="154"/>
        <v>0</v>
      </c>
      <c r="BN35" s="126"/>
      <c r="BO35" s="84">
        <v>0</v>
      </c>
      <c r="BP35" s="71">
        <v>0</v>
      </c>
      <c r="BQ35" s="71">
        <v>0</v>
      </c>
      <c r="BR35" s="71">
        <v>0</v>
      </c>
      <c r="BS35" s="136">
        <f t="shared" si="155"/>
        <v>0</v>
      </c>
      <c r="BT35" s="126"/>
      <c r="BU35" s="84">
        <v>0</v>
      </c>
      <c r="BV35" s="71">
        <v>0</v>
      </c>
      <c r="BW35" s="71">
        <v>0</v>
      </c>
      <c r="BX35" s="71">
        <v>0</v>
      </c>
      <c r="BY35" s="136">
        <f t="shared" si="156"/>
        <v>0</v>
      </c>
      <c r="BZ35" s="126"/>
      <c r="CA35" s="84">
        <v>0</v>
      </c>
      <c r="CB35" s="71">
        <v>0</v>
      </c>
      <c r="CC35" s="71">
        <v>0</v>
      </c>
      <c r="CD35" s="71">
        <v>0</v>
      </c>
      <c r="CE35" s="136">
        <f t="shared" si="157"/>
        <v>0</v>
      </c>
      <c r="CF35" s="126"/>
      <c r="CG35" s="84">
        <v>0</v>
      </c>
      <c r="CH35" s="71">
        <v>0</v>
      </c>
      <c r="CI35" s="71">
        <v>0</v>
      </c>
      <c r="CJ35" s="71">
        <v>0</v>
      </c>
      <c r="CK35" s="136">
        <f t="shared" si="158"/>
        <v>0</v>
      </c>
      <c r="CL35" s="126"/>
      <c r="CM35" s="84">
        <v>0</v>
      </c>
      <c r="CN35" s="71">
        <v>0</v>
      </c>
      <c r="CO35" s="71">
        <v>0</v>
      </c>
      <c r="CP35" s="71">
        <v>0</v>
      </c>
      <c r="CQ35" s="136">
        <f t="shared" si="159"/>
        <v>0</v>
      </c>
      <c r="CR35" s="126"/>
      <c r="CS35" s="84">
        <v>0</v>
      </c>
      <c r="CT35" s="71">
        <v>0</v>
      </c>
      <c r="CU35" s="71">
        <v>0</v>
      </c>
      <c r="CV35" s="71">
        <v>1323.9</v>
      </c>
      <c r="CW35" s="136">
        <f t="shared" si="160"/>
        <v>1323.9</v>
      </c>
      <c r="CX35" s="126"/>
      <c r="CY35" s="84">
        <v>0</v>
      </c>
      <c r="CZ35" s="71">
        <v>0</v>
      </c>
      <c r="DA35" s="71">
        <v>0</v>
      </c>
      <c r="DB35" s="71">
        <v>0</v>
      </c>
      <c r="DC35" s="136">
        <f t="shared" si="161"/>
        <v>0</v>
      </c>
      <c r="DD35" s="126"/>
      <c r="DE35" s="84">
        <v>0</v>
      </c>
      <c r="DF35" s="71">
        <v>0</v>
      </c>
      <c r="DG35" s="71">
        <v>0</v>
      </c>
      <c r="DH35" s="71">
        <v>0</v>
      </c>
      <c r="DI35" s="136">
        <f t="shared" si="162"/>
        <v>0</v>
      </c>
      <c r="DJ35" s="126"/>
      <c r="DK35" s="81">
        <f t="shared" ref="DK35" si="179">DH35</f>
        <v>0</v>
      </c>
      <c r="DL35" s="69">
        <f t="shared" ref="DL35" si="180">DK35</f>
        <v>0</v>
      </c>
      <c r="DM35" s="69">
        <f t="shared" ref="DM35" si="181">DL35</f>
        <v>0</v>
      </c>
      <c r="DN35" s="69">
        <f t="shared" ref="DN35" si="182">DM35</f>
        <v>0</v>
      </c>
      <c r="DO35" s="136">
        <f t="shared" si="163"/>
        <v>0</v>
      </c>
      <c r="DP35" s="126"/>
      <c r="DQ35" s="81">
        <f t="shared" ref="DQ35" si="183">DN35</f>
        <v>0</v>
      </c>
      <c r="DR35" s="69">
        <f t="shared" ref="DR35" si="184">DQ35</f>
        <v>0</v>
      </c>
      <c r="DS35" s="69">
        <f t="shared" ref="DS35" si="185">DR35</f>
        <v>0</v>
      </c>
      <c r="DT35" s="69">
        <f t="shared" ref="DT35" si="186">DS35</f>
        <v>0</v>
      </c>
      <c r="DU35" s="136">
        <f t="shared" si="164"/>
        <v>0</v>
      </c>
      <c r="DV35" s="126"/>
      <c r="DW35" s="81">
        <f t="shared" ref="DW35" si="187">DT35</f>
        <v>0</v>
      </c>
      <c r="DX35" s="69">
        <f t="shared" ref="DX35" si="188">DW35</f>
        <v>0</v>
      </c>
      <c r="DY35" s="69">
        <f t="shared" ref="DY35" si="189">DX35</f>
        <v>0</v>
      </c>
      <c r="DZ35" s="69">
        <f t="shared" ref="DZ35" si="190">DY35</f>
        <v>0</v>
      </c>
      <c r="EA35" s="136">
        <f t="shared" si="165"/>
        <v>0</v>
      </c>
      <c r="EB35" s="126"/>
      <c r="EC35" s="81">
        <f t="shared" ref="EC35" si="191">DZ35</f>
        <v>0</v>
      </c>
      <c r="ED35" s="69">
        <f t="shared" ref="ED35" si="192">EC35</f>
        <v>0</v>
      </c>
      <c r="EE35" s="69">
        <f t="shared" ref="EE35" si="193">ED35</f>
        <v>0</v>
      </c>
      <c r="EF35" s="69">
        <f t="shared" ref="EF35" si="194">EE35</f>
        <v>0</v>
      </c>
      <c r="EG35" s="136">
        <f t="shared" si="166"/>
        <v>0</v>
      </c>
      <c r="EH35" s="391"/>
      <c r="EI35" s="485"/>
      <c r="EJ35" s="10"/>
    </row>
    <row r="36" spans="1:140" ht="11.25" customHeight="1" x14ac:dyDescent="0.2">
      <c r="A36" s="50" t="s">
        <v>81</v>
      </c>
      <c r="B36" s="3"/>
      <c r="C36" s="3"/>
      <c r="D36" s="3"/>
      <c r="E36" s="163">
        <f>SUM(E31:E35)</f>
        <v>580.29700000000003</v>
      </c>
      <c r="F36" s="166"/>
      <c r="G36" s="163">
        <f>SUM(G31:G35)</f>
        <v>701.24599999999998</v>
      </c>
      <c r="H36" s="166"/>
      <c r="I36" s="163">
        <f>SUM(I31:I35)</f>
        <v>708.78600000000006</v>
      </c>
      <c r="J36" s="166"/>
      <c r="K36" s="163">
        <f>SUM(K31:K35)</f>
        <v>1018.54</v>
      </c>
      <c r="L36" s="166"/>
      <c r="M36" s="165">
        <f>SUM(M31:M35)</f>
        <v>999.23400000000004</v>
      </c>
      <c r="N36" s="164">
        <f>SUM(N31:N35)</f>
        <v>973.40099999999995</v>
      </c>
      <c r="O36" s="164">
        <f>SUM(O31:O35)</f>
        <v>972.25099999999998</v>
      </c>
      <c r="P36" s="164">
        <f>SUM(P31:P35)</f>
        <v>1017.294</v>
      </c>
      <c r="Q36" s="163">
        <f>SUM(Q31:Q35)</f>
        <v>1017.294</v>
      </c>
      <c r="R36" s="166"/>
      <c r="S36" s="165">
        <f>SUM(S31:S35)</f>
        <v>1242.231</v>
      </c>
      <c r="T36" s="164">
        <f>SUM(T31:T35)</f>
        <v>1318.306</v>
      </c>
      <c r="U36" s="164">
        <f>SUM(U31:U35)</f>
        <v>1372.9880000000001</v>
      </c>
      <c r="V36" s="164">
        <f>SUM(V31:V35)</f>
        <v>1265.3119999999999</v>
      </c>
      <c r="W36" s="163">
        <f>SUM(W31:W35)</f>
        <v>1265.3119999999999</v>
      </c>
      <c r="X36" s="166"/>
      <c r="Y36" s="165">
        <f>SUM(Y31:Y35)</f>
        <v>1368.826</v>
      </c>
      <c r="Z36" s="164">
        <f>SUM(Z31:Z35)</f>
        <v>1312.4870000000001</v>
      </c>
      <c r="AA36" s="164">
        <f>SUM(AA31:AA35)</f>
        <v>1277.6799999999998</v>
      </c>
      <c r="AB36" s="164">
        <f>SUM(AB31:AB35)</f>
        <v>1380.0030000000002</v>
      </c>
      <c r="AC36" s="163">
        <f>SUM(AC31:AC35)</f>
        <v>1380.0030000000002</v>
      </c>
      <c r="AD36" s="166"/>
      <c r="AE36" s="165">
        <f>SUM(AE31:AE35)</f>
        <v>1607.105</v>
      </c>
      <c r="AF36" s="164">
        <f>SUM(AF31:AF35)</f>
        <v>1703.6779999999999</v>
      </c>
      <c r="AG36" s="164">
        <f>SUM(AG31:AG35)</f>
        <v>2078.4580000000001</v>
      </c>
      <c r="AH36" s="164">
        <f>SUM(AH31:AH35)</f>
        <v>2202.2860000000001</v>
      </c>
      <c r="AI36" s="163">
        <f>SUM(AI31:AI35)</f>
        <v>2202.2860000000001</v>
      </c>
      <c r="AJ36" s="166"/>
      <c r="AK36" s="165">
        <f>SUM(AK31:AK35)</f>
        <v>2206.9309999999996</v>
      </c>
      <c r="AL36" s="164">
        <f>SUM(AL31:AL35)</f>
        <v>2232.1970000000001</v>
      </c>
      <c r="AM36" s="164">
        <f>SUM(AM31:AM35)</f>
        <v>2199.5640000000003</v>
      </c>
      <c r="AN36" s="164">
        <f>SUM(AN31:AN35)</f>
        <v>2268.5860000000002</v>
      </c>
      <c r="AO36" s="163">
        <f>SUM(AO31:AO35)</f>
        <v>2268.5860000000002</v>
      </c>
      <c r="AP36" s="166"/>
      <c r="AQ36" s="165">
        <f>SUM(AQ31:AQ35)</f>
        <v>2155.2069999999999</v>
      </c>
      <c r="AR36" s="164">
        <f>SUM(AR31:AR35)</f>
        <v>2537.0940000000001</v>
      </c>
      <c r="AS36" s="164">
        <f>SUM(AS31:AS35)</f>
        <v>2364.6770000000001</v>
      </c>
      <c r="AT36" s="164">
        <f>SUM(AT31:AT35)</f>
        <v>2459.556</v>
      </c>
      <c r="AU36" s="163">
        <f>SUM(AU31:AU35)</f>
        <v>2459.556</v>
      </c>
      <c r="AV36" s="166"/>
      <c r="AW36" s="165">
        <f>SUM(AW31:AW35)</f>
        <v>2098.4949999999999</v>
      </c>
      <c r="AX36" s="164">
        <f>SUM(AX31:AX35)</f>
        <v>2028.7919999999999</v>
      </c>
      <c r="AY36" s="164">
        <f>SUM(AY31:AY35)</f>
        <v>2092.4180000000001</v>
      </c>
      <c r="AZ36" s="164">
        <f>SUM(AZ31:AZ35)</f>
        <v>2814.8530000000001</v>
      </c>
      <c r="BA36" s="163">
        <f>SUM(BA31:BA35)</f>
        <v>2814.8530000000001</v>
      </c>
      <c r="BB36" s="166"/>
      <c r="BC36" s="165">
        <f>SUM(BC31:BC35)</f>
        <v>2981.444</v>
      </c>
      <c r="BD36" s="164">
        <f>SUM(BD31:BD35)</f>
        <v>3093.5209999999997</v>
      </c>
      <c r="BE36" s="164">
        <f>SUM(BE31:BE35)</f>
        <v>3011.6179999999999</v>
      </c>
      <c r="BF36" s="164">
        <f>SUM(BF31:BF35)</f>
        <v>2709.6950000000002</v>
      </c>
      <c r="BG36" s="163">
        <f>SUM(BG31:BG35)</f>
        <v>2709.6950000000002</v>
      </c>
      <c r="BH36" s="166"/>
      <c r="BI36" s="165">
        <f>SUM(BI31:BI35)</f>
        <v>2474.7550000000001</v>
      </c>
      <c r="BJ36" s="164">
        <f>SUM(BJ31:BJ35)</f>
        <v>2508.1260000000002</v>
      </c>
      <c r="BK36" s="164">
        <f>SUM(BK31:BK35)</f>
        <v>2678.3509999999997</v>
      </c>
      <c r="BL36" s="164">
        <f>SUM(BL31:BL35)</f>
        <v>2760.96</v>
      </c>
      <c r="BM36" s="163">
        <f>SUM(BM31:BM35)</f>
        <v>2760.96</v>
      </c>
      <c r="BN36" s="166"/>
      <c r="BO36" s="165">
        <f>SUM(BO31:BO35)</f>
        <v>2857.8059999999996</v>
      </c>
      <c r="BP36" s="164">
        <f>SUM(BP31:BP35)</f>
        <v>2991.9009999999998</v>
      </c>
      <c r="BQ36" s="164">
        <f>SUM(BQ31:BQ35)</f>
        <v>3079.4269999999997</v>
      </c>
      <c r="BR36" s="164">
        <f>SUM(BR31:BR35)</f>
        <v>3304.7539999999999</v>
      </c>
      <c r="BS36" s="163">
        <f>SUM(BS31:BS35)</f>
        <v>3304.7539999999999</v>
      </c>
      <c r="BT36" s="166"/>
      <c r="BU36" s="165">
        <f>SUM(BU31:BU35)</f>
        <v>3323.855</v>
      </c>
      <c r="BV36" s="164">
        <f>SUM(BV31:BV35)</f>
        <v>4281.2960000000003</v>
      </c>
      <c r="BW36" s="164">
        <f>SUM(BW31:BW35)</f>
        <v>4123.6949999999997</v>
      </c>
      <c r="BX36" s="164">
        <f>SUM(BX31:BX35)</f>
        <v>4172.0280000000002</v>
      </c>
      <c r="BY36" s="163">
        <f>SUM(BY31:BY35)</f>
        <v>4172.0280000000002</v>
      </c>
      <c r="BZ36" s="166"/>
      <c r="CA36" s="165">
        <f>SUM(CA31:CA35)</f>
        <v>3912.5659999999998</v>
      </c>
      <c r="CB36" s="164">
        <f>SUM(CB31:CB35)</f>
        <v>4029.701</v>
      </c>
      <c r="CC36" s="164">
        <f>SUM(CC31:CC35)</f>
        <v>3934.6890000000003</v>
      </c>
      <c r="CD36" s="164">
        <f>SUM(CD31:CD35)</f>
        <v>4206.1000000000004</v>
      </c>
      <c r="CE36" s="163">
        <f>SUM(CE31:CE35)</f>
        <v>4206.1000000000004</v>
      </c>
      <c r="CF36" s="166"/>
      <c r="CG36" s="165">
        <f>SUM(CG31:CG35)</f>
        <v>3926.5</v>
      </c>
      <c r="CH36" s="164">
        <f>SUM(CH31:CH35)</f>
        <v>4132.5</v>
      </c>
      <c r="CI36" s="164">
        <f>SUM(CI31:CI35)</f>
        <v>4279.3999999999996</v>
      </c>
      <c r="CJ36" s="164">
        <f>SUM(CJ31:CJ35)</f>
        <v>4557.3999999999996</v>
      </c>
      <c r="CK36" s="163">
        <f>SUM(CK31:CK35)</f>
        <v>4557.3999999999996</v>
      </c>
      <c r="CL36" s="166"/>
      <c r="CM36" s="165">
        <f>SUM(CM31:CM35)</f>
        <v>4304.3999999999996</v>
      </c>
      <c r="CN36" s="164">
        <f>SUM(CN31:CN35)</f>
        <v>4406.7</v>
      </c>
      <c r="CO36" s="164">
        <f>SUM(CO31:CO35)</f>
        <v>4471.1000000000004</v>
      </c>
      <c r="CP36" s="164">
        <f>SUM(CP31:CP35)</f>
        <v>5396.4</v>
      </c>
      <c r="CQ36" s="163">
        <f>SUM(CQ31:CQ35)</f>
        <v>5396.4</v>
      </c>
      <c r="CR36" s="166"/>
      <c r="CS36" s="165">
        <f>SUM(CS31:CS35)</f>
        <v>4952.7</v>
      </c>
      <c r="CT36" s="164">
        <f>SUM(CT31:CT35)</f>
        <v>5055.6000000000004</v>
      </c>
      <c r="CU36" s="164">
        <f>SUM(CU31:CU35)</f>
        <v>8625.6</v>
      </c>
      <c r="CV36" s="164">
        <f>SUM(CV31:CV35)</f>
        <v>6170.4</v>
      </c>
      <c r="CW36" s="163">
        <f>SUM(CW31:CW35)</f>
        <v>6170.4</v>
      </c>
      <c r="CX36" s="166"/>
      <c r="CY36" s="165">
        <f>SUM(CY31:CY35)</f>
        <v>5321.3</v>
      </c>
      <c r="CZ36" s="164">
        <f>SUM(CZ31:CZ35)</f>
        <v>8025.9</v>
      </c>
      <c r="DA36" s="164">
        <f>SUM(DA31:DA35)</f>
        <v>4763.3999999999996</v>
      </c>
      <c r="DB36" s="164">
        <f>SUM(DB31:DB35)</f>
        <v>6874</v>
      </c>
      <c r="DC36" s="163">
        <f>SUM(DC31:DC35)</f>
        <v>6874</v>
      </c>
      <c r="DD36" s="166"/>
      <c r="DE36" s="165">
        <f>SUM(DE31:DE35)</f>
        <v>6003.1</v>
      </c>
      <c r="DF36" s="164">
        <f>SUM(DF31:DF35)</f>
        <v>4202.6000000000004</v>
      </c>
      <c r="DG36" s="164">
        <f>SUM(DG31:DG35)</f>
        <v>4387.5</v>
      </c>
      <c r="DH36" s="164">
        <f>SUM(DH31:DH35)</f>
        <v>4792.3</v>
      </c>
      <c r="DI36" s="163">
        <f>SUM(DI31:DI35)</f>
        <v>4792.3</v>
      </c>
      <c r="DJ36" s="166"/>
      <c r="DK36" s="165">
        <f>SUM(DK31:DK35)</f>
        <v>4339.3360000000002</v>
      </c>
      <c r="DL36" s="164">
        <f>SUM(DL31:DL35)</f>
        <v>4610.4641118221525</v>
      </c>
      <c r="DM36" s="164">
        <f>SUM(DM31:DM35)</f>
        <v>4490.0821960967023</v>
      </c>
      <c r="DN36" s="164">
        <f>SUM(DN31:DN35)</f>
        <v>4923.1893964947676</v>
      </c>
      <c r="DO36" s="163">
        <f>SUM(DO31:DO35)</f>
        <v>4923.1893964947676</v>
      </c>
      <c r="DP36" s="166"/>
      <c r="DQ36" s="165">
        <f>SUM(DQ31:DQ35)</f>
        <v>4458.7333257241453</v>
      </c>
      <c r="DR36" s="164">
        <f>SUM(DR31:DR35)</f>
        <v>4761.2055196655292</v>
      </c>
      <c r="DS36" s="164">
        <f>SUM(DS31:DS35)</f>
        <v>4611.3508639229294</v>
      </c>
      <c r="DT36" s="164">
        <f>SUM(DT31:DT35)</f>
        <v>5070.8287710994427</v>
      </c>
      <c r="DU36" s="163">
        <f>SUM(DU31:DU35)</f>
        <v>5070.8287710994427</v>
      </c>
      <c r="DV36" s="166"/>
      <c r="DW36" s="165">
        <f>SUM(DW31:DW35)</f>
        <v>4579.3102999233315</v>
      </c>
      <c r="DX36" s="164">
        <f>SUM(DX31:DX35)</f>
        <v>4899.3183382223669</v>
      </c>
      <c r="DY36" s="164">
        <f>SUM(DY31:DY35)</f>
        <v>4743.3451337648394</v>
      </c>
      <c r="DZ36" s="164">
        <f>SUM(DZ31:DZ35)</f>
        <v>5232.0093038576233</v>
      </c>
      <c r="EA36" s="163">
        <f>SUM(EA31:EA35)</f>
        <v>5232.0093038576233</v>
      </c>
      <c r="EB36" s="166"/>
      <c r="EC36" s="165">
        <f t="shared" ref="EC36:EG36" si="195">SUM(EC31:EC35)</f>
        <v>4718.3283191759465</v>
      </c>
      <c r="ED36" s="164">
        <f t="shared" si="195"/>
        <v>5056.6403993335052</v>
      </c>
      <c r="EE36" s="164">
        <f t="shared" si="195"/>
        <v>4894.4058966929979</v>
      </c>
      <c r="EF36" s="164">
        <f t="shared" si="195"/>
        <v>5425.959808641629</v>
      </c>
      <c r="EG36" s="163">
        <f t="shared" si="195"/>
        <v>5425.959808641629</v>
      </c>
      <c r="EH36" s="391"/>
      <c r="EI36" s="485"/>
      <c r="EJ36" s="10"/>
    </row>
    <row r="37" spans="1:140" ht="11.25" customHeight="1" x14ac:dyDescent="0.2">
      <c r="A37" s="51"/>
      <c r="B37" s="2"/>
      <c r="C37" s="2"/>
      <c r="D37" s="2"/>
      <c r="E37" s="93"/>
      <c r="F37" s="126"/>
      <c r="G37" s="93"/>
      <c r="H37" s="126"/>
      <c r="I37" s="93"/>
      <c r="J37" s="126"/>
      <c r="K37" s="93"/>
      <c r="L37" s="126"/>
      <c r="M37" s="82"/>
      <c r="N37" s="67"/>
      <c r="O37" s="67"/>
      <c r="P37" s="67"/>
      <c r="Q37" s="136"/>
      <c r="R37" s="126"/>
      <c r="S37" s="82"/>
      <c r="T37" s="67"/>
      <c r="U37" s="67"/>
      <c r="V37" s="67"/>
      <c r="W37" s="136"/>
      <c r="X37" s="126"/>
      <c r="Y37" s="82"/>
      <c r="Z37" s="67"/>
      <c r="AA37" s="67"/>
      <c r="AB37" s="67"/>
      <c r="AC37" s="136"/>
      <c r="AD37" s="126"/>
      <c r="AE37" s="82"/>
      <c r="AF37" s="67"/>
      <c r="AG37" s="67"/>
      <c r="AH37" s="67"/>
      <c r="AI37" s="136"/>
      <c r="AJ37" s="126"/>
      <c r="AK37" s="82"/>
      <c r="AL37" s="67"/>
      <c r="AM37" s="67"/>
      <c r="AN37" s="67"/>
      <c r="AO37" s="136"/>
      <c r="AP37" s="126"/>
      <c r="AQ37" s="82"/>
      <c r="AR37" s="67"/>
      <c r="AS37" s="67"/>
      <c r="AT37" s="67"/>
      <c r="AU37" s="136"/>
      <c r="AV37" s="126"/>
      <c r="AW37" s="82"/>
      <c r="AX37" s="67"/>
      <c r="AY37" s="67"/>
      <c r="AZ37" s="67"/>
      <c r="BA37" s="136"/>
      <c r="BB37" s="126"/>
      <c r="BC37" s="82"/>
      <c r="BD37" s="67"/>
      <c r="BE37" s="67"/>
      <c r="BF37" s="67"/>
      <c r="BG37" s="136"/>
      <c r="BH37" s="126"/>
      <c r="BI37" s="82"/>
      <c r="BJ37" s="67"/>
      <c r="BK37" s="67"/>
      <c r="BL37" s="67"/>
      <c r="BM37" s="136"/>
      <c r="BN37" s="126"/>
      <c r="BO37" s="82"/>
      <c r="BP37" s="67"/>
      <c r="BQ37" s="67"/>
      <c r="BR37" s="67"/>
      <c r="BS37" s="136"/>
      <c r="BT37" s="126"/>
      <c r="BU37" s="82"/>
      <c r="BV37" s="67"/>
      <c r="BW37" s="67"/>
      <c r="BX37" s="67"/>
      <c r="BY37" s="136"/>
      <c r="BZ37" s="126"/>
      <c r="CA37" s="82"/>
      <c r="CB37" s="67"/>
      <c r="CC37" s="67"/>
      <c r="CD37" s="67"/>
      <c r="CE37" s="136"/>
      <c r="CF37" s="126"/>
      <c r="CG37" s="82"/>
      <c r="CH37" s="67"/>
      <c r="CI37" s="67"/>
      <c r="CJ37" s="67"/>
      <c r="CK37" s="136"/>
      <c r="CL37" s="126"/>
      <c r="CM37" s="82"/>
      <c r="CN37" s="67"/>
      <c r="CO37" s="67"/>
      <c r="CP37" s="67"/>
      <c r="CQ37" s="136"/>
      <c r="CR37" s="126"/>
      <c r="CS37" s="82"/>
      <c r="CT37" s="67"/>
      <c r="CU37" s="67"/>
      <c r="CV37" s="67"/>
      <c r="CW37" s="136"/>
      <c r="CX37" s="126"/>
      <c r="CY37" s="82"/>
      <c r="CZ37" s="67"/>
      <c r="DA37" s="67"/>
      <c r="DB37" s="67"/>
      <c r="DC37" s="136"/>
      <c r="DD37" s="126"/>
      <c r="DE37" s="82"/>
      <c r="DF37" s="67"/>
      <c r="DG37" s="67"/>
      <c r="DH37" s="67"/>
      <c r="DI37" s="136"/>
      <c r="DJ37" s="126"/>
      <c r="DK37" s="82"/>
      <c r="DL37" s="67"/>
      <c r="DM37" s="67"/>
      <c r="DN37" s="67"/>
      <c r="DO37" s="136"/>
      <c r="DP37" s="126"/>
      <c r="DQ37" s="82"/>
      <c r="DR37" s="67"/>
      <c r="DS37" s="67"/>
      <c r="DT37" s="67"/>
      <c r="DU37" s="136"/>
      <c r="DV37" s="126"/>
      <c r="DW37" s="82"/>
      <c r="DX37" s="67"/>
      <c r="DY37" s="67"/>
      <c r="DZ37" s="67"/>
      <c r="EA37" s="136"/>
      <c r="EB37" s="126"/>
      <c r="EC37" s="82"/>
      <c r="ED37" s="67"/>
      <c r="EE37" s="67"/>
      <c r="EF37" s="67"/>
      <c r="EG37" s="136"/>
      <c r="EH37" s="391"/>
      <c r="EI37" s="485"/>
      <c r="EJ37" s="10"/>
    </row>
    <row r="38" spans="1:140" ht="11.25" customHeight="1" x14ac:dyDescent="0.2">
      <c r="A38" s="50" t="s">
        <v>33</v>
      </c>
      <c r="B38" s="2"/>
      <c r="C38" s="2"/>
      <c r="D38" s="2"/>
      <c r="E38" s="93"/>
      <c r="F38" s="126"/>
      <c r="G38" s="93"/>
      <c r="H38" s="126"/>
      <c r="I38" s="93"/>
      <c r="J38" s="126"/>
      <c r="K38" s="93"/>
      <c r="L38" s="126"/>
      <c r="M38" s="82"/>
      <c r="N38" s="67"/>
      <c r="O38" s="67"/>
      <c r="P38" s="67"/>
      <c r="Q38" s="136"/>
      <c r="R38" s="126"/>
      <c r="S38" s="82"/>
      <c r="T38" s="67"/>
      <c r="U38" s="67"/>
      <c r="V38" s="67"/>
      <c r="W38" s="136"/>
      <c r="X38" s="126"/>
      <c r="Y38" s="82"/>
      <c r="Z38" s="67"/>
      <c r="AA38" s="67"/>
      <c r="AB38" s="67"/>
      <c r="AC38" s="136"/>
      <c r="AD38" s="126"/>
      <c r="AE38" s="82"/>
      <c r="AF38" s="67"/>
      <c r="AG38" s="67"/>
      <c r="AH38" s="67"/>
      <c r="AI38" s="136"/>
      <c r="AJ38" s="126"/>
      <c r="AK38" s="82"/>
      <c r="AL38" s="67"/>
      <c r="AM38" s="67"/>
      <c r="AN38" s="67"/>
      <c r="AO38" s="136"/>
      <c r="AP38" s="126"/>
      <c r="AQ38" s="82"/>
      <c r="AR38" s="67"/>
      <c r="AS38" s="67"/>
      <c r="AT38" s="67"/>
      <c r="AU38" s="136"/>
      <c r="AV38" s="126"/>
      <c r="AW38" s="82"/>
      <c r="AX38" s="67"/>
      <c r="AY38" s="67"/>
      <c r="AZ38" s="67"/>
      <c r="BA38" s="136"/>
      <c r="BB38" s="126"/>
      <c r="BC38" s="82"/>
      <c r="BD38" s="67"/>
      <c r="BE38" s="67"/>
      <c r="BF38" s="67"/>
      <c r="BG38" s="136"/>
      <c r="BH38" s="126"/>
      <c r="BI38" s="82"/>
      <c r="BJ38" s="67"/>
      <c r="BK38" s="67"/>
      <c r="BL38" s="67"/>
      <c r="BM38" s="136"/>
      <c r="BN38" s="126"/>
      <c r="BO38" s="82"/>
      <c r="BP38" s="67"/>
      <c r="BQ38" s="67"/>
      <c r="BR38" s="67"/>
      <c r="BS38" s="136"/>
      <c r="BT38" s="126"/>
      <c r="BU38" s="82"/>
      <c r="BV38" s="67"/>
      <c r="BW38" s="67"/>
      <c r="BX38" s="67"/>
      <c r="BY38" s="136"/>
      <c r="BZ38" s="126"/>
      <c r="CA38" s="82"/>
      <c r="CB38" s="67"/>
      <c r="CC38" s="67"/>
      <c r="CD38" s="67"/>
      <c r="CE38" s="136"/>
      <c r="CF38" s="126"/>
      <c r="CG38" s="82"/>
      <c r="CH38" s="67"/>
      <c r="CI38" s="67"/>
      <c r="CJ38" s="67"/>
      <c r="CK38" s="136"/>
      <c r="CL38" s="126"/>
      <c r="CM38" s="82"/>
      <c r="CN38" s="67"/>
      <c r="CO38" s="67"/>
      <c r="CP38" s="67"/>
      <c r="CQ38" s="136"/>
      <c r="CR38" s="126"/>
      <c r="CS38" s="82"/>
      <c r="CT38" s="67"/>
      <c r="CU38" s="67"/>
      <c r="CV38" s="67"/>
      <c r="CW38" s="136"/>
      <c r="CX38" s="126"/>
      <c r="CY38" s="82"/>
      <c r="CZ38" s="67"/>
      <c r="DA38" s="67"/>
      <c r="DB38" s="67"/>
      <c r="DC38" s="136"/>
      <c r="DD38" s="126"/>
      <c r="DE38" s="82"/>
      <c r="DF38" s="67"/>
      <c r="DG38" s="67"/>
      <c r="DH38" s="67"/>
      <c r="DI38" s="136"/>
      <c r="DJ38" s="126"/>
      <c r="DK38" s="82"/>
      <c r="DL38" s="67"/>
      <c r="DM38" s="67"/>
      <c r="DN38" s="67"/>
      <c r="DO38" s="136"/>
      <c r="DP38" s="126"/>
      <c r="DQ38" s="82"/>
      <c r="DR38" s="67"/>
      <c r="DS38" s="67"/>
      <c r="DT38" s="67"/>
      <c r="DU38" s="136"/>
      <c r="DV38" s="126"/>
      <c r="DW38" s="82"/>
      <c r="DX38" s="67"/>
      <c r="DY38" s="67"/>
      <c r="DZ38" s="67"/>
      <c r="EA38" s="136"/>
      <c r="EB38" s="126"/>
      <c r="EC38" s="82"/>
      <c r="ED38" s="67"/>
      <c r="EE38" s="67"/>
      <c r="EF38" s="67"/>
      <c r="EG38" s="136"/>
      <c r="EH38" s="391"/>
      <c r="EI38" s="485"/>
      <c r="EJ38" s="10"/>
    </row>
    <row r="39" spans="1:140" ht="11.25" customHeight="1" x14ac:dyDescent="0.2">
      <c r="A39" s="51" t="s">
        <v>82</v>
      </c>
      <c r="B39" s="2"/>
      <c r="C39" s="2"/>
      <c r="D39" s="2"/>
      <c r="E39" s="92">
        <v>163.10900000000001</v>
      </c>
      <c r="F39" s="126"/>
      <c r="G39" s="92">
        <v>443.91800000000001</v>
      </c>
      <c r="H39" s="126"/>
      <c r="I39" s="92">
        <v>341.03699999999998</v>
      </c>
      <c r="J39" s="126"/>
      <c r="K39" s="92">
        <v>713.55700000000002</v>
      </c>
      <c r="L39" s="126"/>
      <c r="M39" s="84">
        <v>1106.902</v>
      </c>
      <c r="N39" s="71">
        <v>1101.1099999999999</v>
      </c>
      <c r="O39" s="71">
        <v>1121.6969999999999</v>
      </c>
      <c r="P39" s="71">
        <v>1119.3330000000001</v>
      </c>
      <c r="Q39" s="136">
        <f t="shared" ref="Q39:Q42" si="196">P39</f>
        <v>1119.3330000000001</v>
      </c>
      <c r="R39" s="126"/>
      <c r="S39" s="84">
        <v>1103.8440000000001</v>
      </c>
      <c r="T39" s="71">
        <v>1112.6489999999999</v>
      </c>
      <c r="U39" s="71">
        <v>1143.223</v>
      </c>
      <c r="V39" s="71">
        <v>1197.422</v>
      </c>
      <c r="W39" s="136">
        <f t="shared" ref="W39:W42" si="197">V39</f>
        <v>1197.422</v>
      </c>
      <c r="X39" s="126"/>
      <c r="Y39" s="84">
        <v>1217.508</v>
      </c>
      <c r="Z39" s="71">
        <v>1249.6410000000001</v>
      </c>
      <c r="AA39" s="71">
        <v>1246.008</v>
      </c>
      <c r="AB39" s="71">
        <v>1284.498</v>
      </c>
      <c r="AC39" s="136">
        <f t="shared" ref="AC39:AC42" si="198">AB39</f>
        <v>1284.498</v>
      </c>
      <c r="AD39" s="126"/>
      <c r="AE39" s="84">
        <v>1274.393</v>
      </c>
      <c r="AF39" s="71">
        <v>1282.309</v>
      </c>
      <c r="AG39" s="71">
        <v>918.39</v>
      </c>
      <c r="AH39" s="71">
        <v>925.53499999999997</v>
      </c>
      <c r="AI39" s="136">
        <f t="shared" ref="AI39:AI42" si="199">AH39</f>
        <v>925.53499999999997</v>
      </c>
      <c r="AJ39" s="126"/>
      <c r="AK39" s="84">
        <v>927.53599999999994</v>
      </c>
      <c r="AL39" s="71">
        <v>931.48199999999997</v>
      </c>
      <c r="AM39" s="71">
        <v>935.65099999999995</v>
      </c>
      <c r="AN39" s="71">
        <v>857.77099999999996</v>
      </c>
      <c r="AO39" s="136">
        <f t="shared" ref="AO39:AO42" si="200">AN39</f>
        <v>857.77099999999996</v>
      </c>
      <c r="AP39" s="126"/>
      <c r="AQ39" s="84">
        <v>863.95100000000002</v>
      </c>
      <c r="AR39" s="71">
        <v>2382.7170000000001</v>
      </c>
      <c r="AS39" s="71">
        <v>2261.5430000000001</v>
      </c>
      <c r="AT39" s="71">
        <v>2422.8609999999999</v>
      </c>
      <c r="AU39" s="136">
        <f t="shared" ref="AU39:AU42" si="201">AT39</f>
        <v>2422.8609999999999</v>
      </c>
      <c r="AV39" s="126"/>
      <c r="AW39" s="84">
        <v>2294.8339999999998</v>
      </c>
      <c r="AX39" s="71">
        <v>2133.2040000000002</v>
      </c>
      <c r="AY39" s="71">
        <v>1926.846</v>
      </c>
      <c r="AZ39" s="71">
        <v>3395.7640000000001</v>
      </c>
      <c r="BA39" s="136">
        <f t="shared" ref="BA39:BA42" si="202">AZ39</f>
        <v>3395.7640000000001</v>
      </c>
      <c r="BB39" s="126"/>
      <c r="BC39" s="84">
        <v>3204.1439999999998</v>
      </c>
      <c r="BD39" s="71">
        <v>2740.056</v>
      </c>
      <c r="BE39" s="71">
        <v>2391.3020000000001</v>
      </c>
      <c r="BF39" s="71">
        <v>2553.17</v>
      </c>
      <c r="BG39" s="136">
        <f t="shared" ref="BG39:BG42" si="203">BF39</f>
        <v>2553.17</v>
      </c>
      <c r="BH39" s="126"/>
      <c r="BI39" s="84">
        <v>2840.79</v>
      </c>
      <c r="BJ39" s="71">
        <v>2863.393</v>
      </c>
      <c r="BK39" s="71">
        <v>2899.4969999999998</v>
      </c>
      <c r="BL39" s="71">
        <v>2889.0230000000001</v>
      </c>
      <c r="BM39" s="136">
        <f t="shared" ref="BM39:BM42" si="204">BL39</f>
        <v>2889.0230000000001</v>
      </c>
      <c r="BN39" s="126"/>
      <c r="BO39" s="84">
        <v>2822.2979999999998</v>
      </c>
      <c r="BP39" s="71">
        <v>2754.9659999999999</v>
      </c>
      <c r="BQ39" s="71">
        <v>2822.259</v>
      </c>
      <c r="BR39" s="71">
        <v>2783.9070000000002</v>
      </c>
      <c r="BS39" s="136">
        <f t="shared" ref="BS39:BS42" si="205">BR39</f>
        <v>2783.9070000000002</v>
      </c>
      <c r="BT39" s="126"/>
      <c r="BU39" s="84">
        <v>2668.0390000000002</v>
      </c>
      <c r="BV39" s="71">
        <v>6524.9309999999996</v>
      </c>
      <c r="BW39" s="71">
        <v>5813.4059999999999</v>
      </c>
      <c r="BX39" s="71">
        <v>5206.8</v>
      </c>
      <c r="BY39" s="136">
        <f t="shared" ref="BY39:BY42" si="206">BX39</f>
        <v>5206.8</v>
      </c>
      <c r="BZ39" s="126"/>
      <c r="CA39" s="84">
        <v>4862.7160000000003</v>
      </c>
      <c r="CB39" s="71">
        <v>4847.62</v>
      </c>
      <c r="CC39" s="71">
        <v>4659.1580000000004</v>
      </c>
      <c r="CD39" s="71">
        <v>5287.6</v>
      </c>
      <c r="CE39" s="136">
        <f t="shared" ref="CE39:CE42" si="207">CD39</f>
        <v>5287.6</v>
      </c>
      <c r="CF39" s="126"/>
      <c r="CG39" s="84">
        <v>4389.3</v>
      </c>
      <c r="CH39" s="71">
        <v>4100.8999999999996</v>
      </c>
      <c r="CI39" s="71">
        <v>3445.5</v>
      </c>
      <c r="CJ39" s="71">
        <v>3436.7</v>
      </c>
      <c r="CK39" s="136">
        <f t="shared" ref="CK39:CK42" si="208">CJ39</f>
        <v>3436.7</v>
      </c>
      <c r="CL39" s="126"/>
      <c r="CM39" s="84">
        <v>3422.9</v>
      </c>
      <c r="CN39" s="71">
        <v>3020</v>
      </c>
      <c r="CO39" s="71">
        <v>2964.7</v>
      </c>
      <c r="CP39" s="71">
        <v>3401.5</v>
      </c>
      <c r="CQ39" s="136">
        <f t="shared" ref="CQ39:CQ42" si="209">CP39</f>
        <v>3401.5</v>
      </c>
      <c r="CR39" s="126"/>
      <c r="CS39" s="84">
        <v>3053.8</v>
      </c>
      <c r="CT39" s="71">
        <v>3052.7</v>
      </c>
      <c r="CU39" s="71">
        <v>11522.7</v>
      </c>
      <c r="CV39" s="71">
        <v>12025.2</v>
      </c>
      <c r="CW39" s="136">
        <f t="shared" ref="CW39:CW42" si="210">CV39</f>
        <v>12025.2</v>
      </c>
      <c r="CX39" s="126"/>
      <c r="CY39" s="84">
        <v>12194.7</v>
      </c>
      <c r="CZ39" s="71">
        <v>12007.7</v>
      </c>
      <c r="DA39" s="71">
        <v>7503.1</v>
      </c>
      <c r="DB39" s="71">
        <v>9674.2000000000007</v>
      </c>
      <c r="DC39" s="136">
        <f t="shared" ref="DC39:DC42" si="211">DB39</f>
        <v>9674.2000000000007</v>
      </c>
      <c r="DD39" s="126"/>
      <c r="DE39" s="84">
        <v>9729.2999999999993</v>
      </c>
      <c r="DF39" s="71">
        <v>11422.5</v>
      </c>
      <c r="DG39" s="71">
        <v>10726.8</v>
      </c>
      <c r="DH39" s="71">
        <v>10327.4</v>
      </c>
      <c r="DI39" s="136">
        <f t="shared" ref="DI39:DI42" si="212">DH39</f>
        <v>10327.4</v>
      </c>
      <c r="DJ39" s="126"/>
      <c r="DK39" s="354">
        <f>+Debt!DK62</f>
        <v>10327.4</v>
      </c>
      <c r="DL39" s="355">
        <f>+Debt!DL62</f>
        <v>10327.4</v>
      </c>
      <c r="DM39" s="355">
        <f>+Debt!DM62</f>
        <v>10327.4</v>
      </c>
      <c r="DN39" s="355">
        <f>+Debt!DN62</f>
        <v>10327.4</v>
      </c>
      <c r="DO39" s="136">
        <f t="shared" ref="DO39:DO42" si="213">DN39</f>
        <v>10327.4</v>
      </c>
      <c r="DP39" s="126"/>
      <c r="DQ39" s="354">
        <f>+Debt!DQ62</f>
        <v>10327.4</v>
      </c>
      <c r="DR39" s="355">
        <f>+Debt!DR62</f>
        <v>10327.4</v>
      </c>
      <c r="DS39" s="355">
        <f>+Debt!DS62</f>
        <v>10327.4</v>
      </c>
      <c r="DT39" s="355">
        <f>+Debt!DT62</f>
        <v>10327.4</v>
      </c>
      <c r="DU39" s="136">
        <f t="shared" ref="DU39:DU42" si="214">DT39</f>
        <v>10327.4</v>
      </c>
      <c r="DV39" s="126"/>
      <c r="DW39" s="354">
        <f>+Debt!DW62</f>
        <v>10327.4</v>
      </c>
      <c r="DX39" s="355">
        <f>+Debt!DX62</f>
        <v>10327.4</v>
      </c>
      <c r="DY39" s="355">
        <f>+Debt!DY62</f>
        <v>10327.4</v>
      </c>
      <c r="DZ39" s="355">
        <f>+Debt!DZ62</f>
        <v>10327.4</v>
      </c>
      <c r="EA39" s="136">
        <f t="shared" ref="EA39:EA42" si="215">DZ39</f>
        <v>10327.4</v>
      </c>
      <c r="EB39" s="126"/>
      <c r="EC39" s="354">
        <f>+Debt!EC62</f>
        <v>10327.4</v>
      </c>
      <c r="ED39" s="355">
        <f>+Debt!ED62</f>
        <v>10327.4</v>
      </c>
      <c r="EE39" s="355">
        <f>+Debt!EE62</f>
        <v>10327.4</v>
      </c>
      <c r="EF39" s="355">
        <f>+Debt!EF62</f>
        <v>10327.4</v>
      </c>
      <c r="EG39" s="136">
        <f t="shared" ref="EG39:EG42" si="216">EF39</f>
        <v>10327.4</v>
      </c>
      <c r="EH39" s="391"/>
      <c r="EI39" s="485"/>
      <c r="EJ39" s="10"/>
    </row>
    <row r="40" spans="1:140" ht="11.25" customHeight="1" x14ac:dyDescent="0.2">
      <c r="A40" s="51" t="s">
        <v>27</v>
      </c>
      <c r="B40" s="2"/>
      <c r="C40" s="2"/>
      <c r="D40" s="2"/>
      <c r="E40" s="92">
        <v>0</v>
      </c>
      <c r="F40" s="126"/>
      <c r="G40" s="92">
        <v>0</v>
      </c>
      <c r="H40" s="126"/>
      <c r="I40" s="92">
        <v>0</v>
      </c>
      <c r="J40" s="126"/>
      <c r="K40" s="92">
        <v>0</v>
      </c>
      <c r="L40" s="126"/>
      <c r="M40" s="84">
        <v>0</v>
      </c>
      <c r="N40" s="71">
        <v>0</v>
      </c>
      <c r="O40" s="71">
        <v>0</v>
      </c>
      <c r="P40" s="71">
        <v>0</v>
      </c>
      <c r="Q40" s="136">
        <f t="shared" si="196"/>
        <v>0</v>
      </c>
      <c r="R40" s="126"/>
      <c r="S40" s="84">
        <v>0</v>
      </c>
      <c r="T40" s="71">
        <v>0</v>
      </c>
      <c r="U40" s="71">
        <v>0</v>
      </c>
      <c r="V40" s="71">
        <v>0</v>
      </c>
      <c r="W40" s="136">
        <f t="shared" si="197"/>
        <v>0</v>
      </c>
      <c r="X40" s="126"/>
      <c r="Y40" s="84">
        <v>0</v>
      </c>
      <c r="Z40" s="71">
        <v>0</v>
      </c>
      <c r="AA40" s="71">
        <v>0</v>
      </c>
      <c r="AB40" s="71">
        <v>0</v>
      </c>
      <c r="AC40" s="136">
        <f t="shared" si="198"/>
        <v>0</v>
      </c>
      <c r="AD40" s="126"/>
      <c r="AE40" s="84">
        <v>0</v>
      </c>
      <c r="AF40" s="71">
        <v>0</v>
      </c>
      <c r="AG40" s="71">
        <v>0</v>
      </c>
      <c r="AH40" s="71">
        <v>0</v>
      </c>
      <c r="AI40" s="136">
        <f t="shared" si="199"/>
        <v>0</v>
      </c>
      <c r="AJ40" s="126"/>
      <c r="AK40" s="84">
        <v>0</v>
      </c>
      <c r="AL40" s="71">
        <f t="shared" ref="AL40:AS40" si="217">AK40</f>
        <v>0</v>
      </c>
      <c r="AM40" s="71">
        <v>0</v>
      </c>
      <c r="AN40" s="71">
        <v>0</v>
      </c>
      <c r="AO40" s="136">
        <f t="shared" si="200"/>
        <v>0</v>
      </c>
      <c r="AP40" s="126"/>
      <c r="AQ40" s="84">
        <f>AO40</f>
        <v>0</v>
      </c>
      <c r="AR40" s="71">
        <v>0</v>
      </c>
      <c r="AS40" s="71">
        <f t="shared" si="217"/>
        <v>0</v>
      </c>
      <c r="AT40" s="71">
        <v>0</v>
      </c>
      <c r="AU40" s="136">
        <f t="shared" si="201"/>
        <v>0</v>
      </c>
      <c r="AV40" s="126"/>
      <c r="AW40" s="84">
        <v>0</v>
      </c>
      <c r="AX40" s="71">
        <v>0</v>
      </c>
      <c r="AY40" s="71">
        <v>0</v>
      </c>
      <c r="AZ40" s="71">
        <v>0</v>
      </c>
      <c r="BA40" s="136">
        <f t="shared" si="202"/>
        <v>0</v>
      </c>
      <c r="BB40" s="126"/>
      <c r="BC40" s="84">
        <v>0</v>
      </c>
      <c r="BD40" s="71">
        <v>0</v>
      </c>
      <c r="BE40" s="71">
        <v>0</v>
      </c>
      <c r="BF40" s="71">
        <f>BE40</f>
        <v>0</v>
      </c>
      <c r="BG40" s="136">
        <f t="shared" si="203"/>
        <v>0</v>
      </c>
      <c r="BH40" s="126"/>
      <c r="BI40" s="84">
        <v>0</v>
      </c>
      <c r="BJ40" s="71">
        <v>0</v>
      </c>
      <c r="BK40" s="71">
        <v>0</v>
      </c>
      <c r="BL40" s="71">
        <v>0</v>
      </c>
      <c r="BM40" s="136">
        <f t="shared" si="204"/>
        <v>0</v>
      </c>
      <c r="BN40" s="126"/>
      <c r="BO40" s="84">
        <v>0</v>
      </c>
      <c r="BP40" s="71">
        <v>0</v>
      </c>
      <c r="BQ40" s="71">
        <v>0</v>
      </c>
      <c r="BR40" s="71">
        <v>0</v>
      </c>
      <c r="BS40" s="136">
        <f t="shared" si="205"/>
        <v>0</v>
      </c>
      <c r="BT40" s="126"/>
      <c r="BU40" s="84">
        <v>0</v>
      </c>
      <c r="BV40" s="71">
        <v>0</v>
      </c>
      <c r="BW40" s="71">
        <v>0</v>
      </c>
      <c r="BX40" s="71">
        <v>0</v>
      </c>
      <c r="BY40" s="136">
        <f t="shared" si="206"/>
        <v>0</v>
      </c>
      <c r="BZ40" s="126"/>
      <c r="CA40" s="84">
        <v>0</v>
      </c>
      <c r="CB40" s="71">
        <v>0</v>
      </c>
      <c r="CC40" s="71">
        <v>0</v>
      </c>
      <c r="CD40" s="71">
        <v>0</v>
      </c>
      <c r="CE40" s="136">
        <f t="shared" si="207"/>
        <v>0</v>
      </c>
      <c r="CF40" s="126"/>
      <c r="CG40" s="84">
        <v>0</v>
      </c>
      <c r="CH40" s="71">
        <v>0</v>
      </c>
      <c r="CI40" s="71">
        <v>0</v>
      </c>
      <c r="CJ40" s="71">
        <v>0</v>
      </c>
      <c r="CK40" s="136">
        <f t="shared" si="208"/>
        <v>0</v>
      </c>
      <c r="CL40" s="126"/>
      <c r="CM40" s="84">
        <v>0</v>
      </c>
      <c r="CN40" s="71">
        <v>0</v>
      </c>
      <c r="CO40" s="71">
        <v>0</v>
      </c>
      <c r="CP40" s="71">
        <v>0</v>
      </c>
      <c r="CQ40" s="136">
        <f t="shared" si="209"/>
        <v>0</v>
      </c>
      <c r="CR40" s="126"/>
      <c r="CS40" s="84">
        <v>0</v>
      </c>
      <c r="CT40" s="71">
        <v>0</v>
      </c>
      <c r="CU40" s="71">
        <v>0</v>
      </c>
      <c r="CV40" s="71">
        <v>0</v>
      </c>
      <c r="CW40" s="136">
        <f t="shared" si="210"/>
        <v>0</v>
      </c>
      <c r="CX40" s="126"/>
      <c r="CY40" s="84">
        <v>0</v>
      </c>
      <c r="CZ40" s="71">
        <v>0</v>
      </c>
      <c r="DA40" s="71">
        <v>0</v>
      </c>
      <c r="DB40" s="67">
        <f>+DC142</f>
        <v>4489.1000000000004</v>
      </c>
      <c r="DC40" s="136">
        <f t="shared" si="211"/>
        <v>4489.1000000000004</v>
      </c>
      <c r="DD40" s="126"/>
      <c r="DE40" s="82">
        <v>4510.1000000000004</v>
      </c>
      <c r="DF40" s="67">
        <f>DE40</f>
        <v>4510.1000000000004</v>
      </c>
      <c r="DG40" s="67">
        <f>DF40</f>
        <v>4510.1000000000004</v>
      </c>
      <c r="DH40" s="67">
        <f>+DH142</f>
        <v>3483.7</v>
      </c>
      <c r="DI40" s="136">
        <f>DH40</f>
        <v>3483.7</v>
      </c>
      <c r="DJ40" s="126"/>
      <c r="DK40" s="82">
        <f>+DK142</f>
        <v>3756.3199999999997</v>
      </c>
      <c r="DL40" s="67">
        <f t="shared" ref="DL40:DN40" si="218">+DL142</f>
        <v>3944.1540000000005</v>
      </c>
      <c r="DM40" s="67">
        <f t="shared" si="218"/>
        <v>3880.4504000000002</v>
      </c>
      <c r="DN40" s="67">
        <f t="shared" si="218"/>
        <v>3915.5770799999996</v>
      </c>
      <c r="DO40" s="136">
        <f t="shared" si="213"/>
        <v>3915.5770799999996</v>
      </c>
      <c r="DP40" s="126"/>
      <c r="DQ40" s="82">
        <f>+DQ142</f>
        <v>3950.5957050000006</v>
      </c>
      <c r="DR40" s="67">
        <f t="shared" ref="DR40:DT40" si="219">+DR142</f>
        <v>4155.4297156800003</v>
      </c>
      <c r="DS40" s="67">
        <f t="shared" si="219"/>
        <v>4053.0689863200009</v>
      </c>
      <c r="DT40" s="67">
        <f t="shared" si="219"/>
        <v>4091.2415617400002</v>
      </c>
      <c r="DU40" s="136">
        <f t="shared" si="214"/>
        <v>4091.2415617400002</v>
      </c>
      <c r="DV40" s="126"/>
      <c r="DW40" s="82">
        <f>+DW142</f>
        <v>4140.1300354900004</v>
      </c>
      <c r="DX40" s="67">
        <f t="shared" ref="DX40:DZ40" si="220">+DX142</f>
        <v>4354.8000803588002</v>
      </c>
      <c r="DY40" s="67">
        <f t="shared" si="220"/>
        <v>4247.5701638572009</v>
      </c>
      <c r="DZ40" s="67">
        <f t="shared" si="220"/>
        <v>4289.6651276206012</v>
      </c>
      <c r="EA40" s="136">
        <f t="shared" si="215"/>
        <v>4289.6651276206012</v>
      </c>
      <c r="EB40" s="126"/>
      <c r="EC40" s="82">
        <f t="shared" ref="EC40:EF40" si="221">+EC142</f>
        <v>4338.8218456108752</v>
      </c>
      <c r="ED40" s="67">
        <f t="shared" si="221"/>
        <v>4563.8067894462893</v>
      </c>
      <c r="EE40" s="67">
        <f t="shared" si="221"/>
        <v>4451.472852163155</v>
      </c>
      <c r="EF40" s="67">
        <f t="shared" si="221"/>
        <v>4497.7555166641041</v>
      </c>
      <c r="EG40" s="136">
        <f t="shared" si="216"/>
        <v>4497.7555166641041</v>
      </c>
      <c r="EH40" s="391"/>
      <c r="EI40" s="485"/>
      <c r="EJ40" s="10"/>
    </row>
    <row r="41" spans="1:140" ht="11.25" customHeight="1" x14ac:dyDescent="0.2">
      <c r="A41" s="51" t="s">
        <v>5</v>
      </c>
      <c r="B41" s="2"/>
      <c r="C41" s="2"/>
      <c r="D41" s="2"/>
      <c r="E41" s="92">
        <v>301.25</v>
      </c>
      <c r="F41" s="126"/>
      <c r="G41" s="92">
        <v>294.90699999999998</v>
      </c>
      <c r="H41" s="126"/>
      <c r="I41" s="92">
        <v>288.49400000000003</v>
      </c>
      <c r="J41" s="126"/>
      <c r="K41" s="92">
        <v>357.24900000000002</v>
      </c>
      <c r="L41" s="126"/>
      <c r="M41" s="84">
        <v>367.14499999999998</v>
      </c>
      <c r="N41" s="71">
        <v>425.78300000000002</v>
      </c>
      <c r="O41" s="71">
        <v>417.65600000000001</v>
      </c>
      <c r="P41" s="71">
        <v>455.27</v>
      </c>
      <c r="Q41" s="136">
        <f t="shared" si="196"/>
        <v>455.27</v>
      </c>
      <c r="R41" s="126"/>
      <c r="S41" s="84">
        <v>469.83800000000002</v>
      </c>
      <c r="T41" s="71">
        <v>476.05599999999998</v>
      </c>
      <c r="U41" s="71">
        <v>494.54</v>
      </c>
      <c r="V41" s="71">
        <v>556.81200000000001</v>
      </c>
      <c r="W41" s="136">
        <f t="shared" si="197"/>
        <v>556.81200000000001</v>
      </c>
      <c r="X41" s="126"/>
      <c r="Y41" s="84">
        <v>586.85599999999999</v>
      </c>
      <c r="Z41" s="71">
        <v>627.95600000000002</v>
      </c>
      <c r="AA41" s="71">
        <v>606.37</v>
      </c>
      <c r="AB41" s="71">
        <v>578.84</v>
      </c>
      <c r="AC41" s="136">
        <f t="shared" si="198"/>
        <v>578.84</v>
      </c>
      <c r="AD41" s="126"/>
      <c r="AE41" s="84">
        <v>621.39499999999998</v>
      </c>
      <c r="AF41" s="71">
        <v>713.81799999999998</v>
      </c>
      <c r="AG41" s="71">
        <v>740.94399999999996</v>
      </c>
      <c r="AH41" s="71">
        <v>746.39</v>
      </c>
      <c r="AI41" s="136">
        <f t="shared" si="199"/>
        <v>746.39</v>
      </c>
      <c r="AJ41" s="126"/>
      <c r="AK41" s="84">
        <v>749.30700000000002</v>
      </c>
      <c r="AL41" s="71">
        <v>701.11900000000003</v>
      </c>
      <c r="AM41" s="71">
        <v>893.71199999999999</v>
      </c>
      <c r="AN41" s="71">
        <v>956.40200000000004</v>
      </c>
      <c r="AO41" s="136">
        <f t="shared" si="200"/>
        <v>956.40200000000004</v>
      </c>
      <c r="AP41" s="126"/>
      <c r="AQ41" s="84">
        <v>960.68899999999996</v>
      </c>
      <c r="AR41" s="71">
        <v>1132.9280000000001</v>
      </c>
      <c r="AS41" s="71">
        <v>1244.951</v>
      </c>
      <c r="AT41" s="71">
        <v>1337.0740000000001</v>
      </c>
      <c r="AU41" s="136">
        <f t="shared" si="201"/>
        <v>1337.0740000000001</v>
      </c>
      <c r="AV41" s="126"/>
      <c r="AW41" s="84">
        <v>1648.146</v>
      </c>
      <c r="AX41" s="71">
        <v>1650.64</v>
      </c>
      <c r="AY41" s="71">
        <v>1702.423</v>
      </c>
      <c r="AZ41" s="71">
        <v>2024.2560000000001</v>
      </c>
      <c r="BA41" s="136">
        <f t="shared" si="202"/>
        <v>2024.2560000000001</v>
      </c>
      <c r="BB41" s="126"/>
      <c r="BC41" s="84">
        <v>2092.8389999999999</v>
      </c>
      <c r="BD41" s="71">
        <v>2086.7559999999999</v>
      </c>
      <c r="BE41" s="71">
        <v>2045.491</v>
      </c>
      <c r="BF41" s="71">
        <v>2386.605</v>
      </c>
      <c r="BG41" s="136">
        <f t="shared" si="203"/>
        <v>2386.605</v>
      </c>
      <c r="BH41" s="126"/>
      <c r="BI41" s="84">
        <v>2354.6129999999998</v>
      </c>
      <c r="BJ41" s="71">
        <v>2348.3510000000001</v>
      </c>
      <c r="BK41" s="71">
        <v>2373.5300000000002</v>
      </c>
      <c r="BL41" s="71">
        <v>2315.261</v>
      </c>
      <c r="BM41" s="136">
        <f t="shared" si="204"/>
        <v>2315.261</v>
      </c>
      <c r="BN41" s="126"/>
      <c r="BO41" s="84">
        <v>2347.364</v>
      </c>
      <c r="BP41" s="71">
        <v>2274.08</v>
      </c>
      <c r="BQ41" s="71">
        <v>2424.2159999999999</v>
      </c>
      <c r="BR41" s="71">
        <v>2355.703</v>
      </c>
      <c r="BS41" s="136">
        <f t="shared" si="205"/>
        <v>2355.703</v>
      </c>
      <c r="BT41" s="126"/>
      <c r="BU41" s="84">
        <v>2319.2979999999998</v>
      </c>
      <c r="BV41" s="71">
        <v>4151.63</v>
      </c>
      <c r="BW41" s="71">
        <v>4119.1719999999996</v>
      </c>
      <c r="BX41" s="71">
        <v>3598.8510000000001</v>
      </c>
      <c r="BY41" s="136">
        <f t="shared" si="206"/>
        <v>3598.8510000000001</v>
      </c>
      <c r="BZ41" s="126"/>
      <c r="CA41" s="84">
        <v>3754.4749999999999</v>
      </c>
      <c r="CB41" s="71">
        <v>3925.538</v>
      </c>
      <c r="CC41" s="71">
        <v>4038.8069999999998</v>
      </c>
      <c r="CD41" s="71">
        <v>4363.3999999999996</v>
      </c>
      <c r="CE41" s="136">
        <f t="shared" si="207"/>
        <v>4363.3999999999996</v>
      </c>
      <c r="CF41" s="126"/>
      <c r="CG41" s="84">
        <v>4404.3</v>
      </c>
      <c r="CH41" s="71">
        <v>4511</v>
      </c>
      <c r="CI41" s="71">
        <v>4625.5</v>
      </c>
      <c r="CJ41" s="71">
        <v>4226.7</v>
      </c>
      <c r="CK41" s="136">
        <f t="shared" si="208"/>
        <v>4226.7</v>
      </c>
      <c r="CL41" s="126"/>
      <c r="CM41" s="84">
        <v>4286.5</v>
      </c>
      <c r="CN41" s="71">
        <v>4436.5</v>
      </c>
      <c r="CO41" s="71">
        <v>4290</v>
      </c>
      <c r="CP41" s="71">
        <v>4744</v>
      </c>
      <c r="CQ41" s="136">
        <f t="shared" si="209"/>
        <v>4744</v>
      </c>
      <c r="CR41" s="126"/>
      <c r="CS41" s="84">
        <v>4675.1000000000004</v>
      </c>
      <c r="CT41" s="71">
        <v>4706.5</v>
      </c>
      <c r="CU41" s="71">
        <v>6375.8</v>
      </c>
      <c r="CV41" s="71">
        <v>5750</v>
      </c>
      <c r="CW41" s="136">
        <f t="shared" si="210"/>
        <v>5750</v>
      </c>
      <c r="CX41" s="126"/>
      <c r="CY41" s="84">
        <v>6292.5</v>
      </c>
      <c r="CZ41" s="71">
        <v>6349.8</v>
      </c>
      <c r="DA41" s="71">
        <v>5766.6</v>
      </c>
      <c r="DB41" s="71">
        <f>5670.3-DB40</f>
        <v>1181.1999999999998</v>
      </c>
      <c r="DC41" s="136">
        <f t="shared" si="211"/>
        <v>1181.1999999999998</v>
      </c>
      <c r="DD41" s="126"/>
      <c r="DE41" s="84">
        <f>5721.6-DE40</f>
        <v>1211.5</v>
      </c>
      <c r="DF41" s="71">
        <f>5426.5-DF40</f>
        <v>916.39999999999964</v>
      </c>
      <c r="DG41" s="71">
        <f>5356.4-DG40</f>
        <v>846.29999999999927</v>
      </c>
      <c r="DH41" s="71">
        <f>5161.1-DH40</f>
        <v>1677.4000000000005</v>
      </c>
      <c r="DI41" s="136">
        <f t="shared" si="212"/>
        <v>1677.4000000000005</v>
      </c>
      <c r="DJ41" s="126"/>
      <c r="DK41" s="81">
        <f t="shared" ref="DK41:DK42" si="222">DH41</f>
        <v>1677.4000000000005</v>
      </c>
      <c r="DL41" s="69">
        <f t="shared" ref="DL41:DL42" si="223">DK41</f>
        <v>1677.4000000000005</v>
      </c>
      <c r="DM41" s="69">
        <f t="shared" ref="DM41:DM42" si="224">DL41</f>
        <v>1677.4000000000005</v>
      </c>
      <c r="DN41" s="69">
        <f t="shared" ref="DN41:DN42" si="225">DM41</f>
        <v>1677.4000000000005</v>
      </c>
      <c r="DO41" s="136">
        <f t="shared" si="213"/>
        <v>1677.4000000000005</v>
      </c>
      <c r="DP41" s="126"/>
      <c r="DQ41" s="81">
        <f t="shared" ref="DQ41:DQ42" si="226">DN41</f>
        <v>1677.4000000000005</v>
      </c>
      <c r="DR41" s="69">
        <f t="shared" ref="DR41:DR42" si="227">DQ41</f>
        <v>1677.4000000000005</v>
      </c>
      <c r="DS41" s="69">
        <f t="shared" ref="DS41:DS42" si="228">DR41</f>
        <v>1677.4000000000005</v>
      </c>
      <c r="DT41" s="69">
        <f t="shared" ref="DT41:DT42" si="229">DS41</f>
        <v>1677.4000000000005</v>
      </c>
      <c r="DU41" s="136">
        <f t="shared" si="214"/>
        <v>1677.4000000000005</v>
      </c>
      <c r="DV41" s="126"/>
      <c r="DW41" s="81">
        <f t="shared" ref="DW41:DW42" si="230">DT41</f>
        <v>1677.4000000000005</v>
      </c>
      <c r="DX41" s="69">
        <f t="shared" ref="DX41:DX42" si="231">DW41</f>
        <v>1677.4000000000005</v>
      </c>
      <c r="DY41" s="69">
        <f t="shared" ref="DY41:DY42" si="232">DX41</f>
        <v>1677.4000000000005</v>
      </c>
      <c r="DZ41" s="69">
        <f t="shared" ref="DZ41:DZ42" si="233">DY41</f>
        <v>1677.4000000000005</v>
      </c>
      <c r="EA41" s="136">
        <f t="shared" si="215"/>
        <v>1677.4000000000005</v>
      </c>
      <c r="EB41" s="126"/>
      <c r="EC41" s="81">
        <f t="shared" ref="EC41:EC42" si="234">DZ41</f>
        <v>1677.4000000000005</v>
      </c>
      <c r="ED41" s="69">
        <f t="shared" ref="ED41:ED42" si="235">EC41</f>
        <v>1677.4000000000005</v>
      </c>
      <c r="EE41" s="69">
        <f t="shared" ref="EE41:EE42" si="236">ED41</f>
        <v>1677.4000000000005</v>
      </c>
      <c r="EF41" s="69">
        <f t="shared" ref="EF41:EF42" si="237">EE41</f>
        <v>1677.4000000000005</v>
      </c>
      <c r="EG41" s="136">
        <f t="shared" si="216"/>
        <v>1677.4000000000005</v>
      </c>
      <c r="EH41" s="391"/>
      <c r="EI41" s="485"/>
      <c r="EJ41" s="20"/>
    </row>
    <row r="42" spans="1:140" ht="11.25" customHeight="1" x14ac:dyDescent="0.2">
      <c r="A42" s="51" t="s">
        <v>411</v>
      </c>
      <c r="B42" s="2"/>
      <c r="C42" s="2"/>
      <c r="D42" s="2"/>
      <c r="E42" s="92">
        <v>0</v>
      </c>
      <c r="F42" s="126"/>
      <c r="G42" s="92">
        <v>0</v>
      </c>
      <c r="H42" s="126"/>
      <c r="I42" s="92">
        <v>0</v>
      </c>
      <c r="J42" s="126"/>
      <c r="K42" s="92">
        <v>0</v>
      </c>
      <c r="L42" s="126"/>
      <c r="M42" s="84">
        <v>0</v>
      </c>
      <c r="N42" s="71">
        <v>0</v>
      </c>
      <c r="O42" s="71">
        <v>0</v>
      </c>
      <c r="P42" s="71">
        <v>0</v>
      </c>
      <c r="Q42" s="136">
        <f t="shared" si="196"/>
        <v>0</v>
      </c>
      <c r="R42" s="126"/>
      <c r="S42" s="84">
        <v>0</v>
      </c>
      <c r="T42" s="71">
        <v>0</v>
      </c>
      <c r="U42" s="71">
        <v>0</v>
      </c>
      <c r="V42" s="71">
        <v>0</v>
      </c>
      <c r="W42" s="136">
        <f t="shared" si="197"/>
        <v>0</v>
      </c>
      <c r="X42" s="126"/>
      <c r="Y42" s="84">
        <v>0</v>
      </c>
      <c r="Z42" s="71">
        <v>0</v>
      </c>
      <c r="AA42" s="71">
        <v>0</v>
      </c>
      <c r="AB42" s="71">
        <v>0</v>
      </c>
      <c r="AC42" s="136">
        <f t="shared" si="198"/>
        <v>0</v>
      </c>
      <c r="AD42" s="126"/>
      <c r="AE42" s="84">
        <v>0</v>
      </c>
      <c r="AF42" s="71">
        <v>0</v>
      </c>
      <c r="AG42" s="71">
        <v>0</v>
      </c>
      <c r="AH42" s="71">
        <v>0</v>
      </c>
      <c r="AI42" s="136">
        <f t="shared" si="199"/>
        <v>0</v>
      </c>
      <c r="AJ42" s="126"/>
      <c r="AK42" s="84">
        <v>0</v>
      </c>
      <c r="AL42" s="71">
        <v>0</v>
      </c>
      <c r="AM42" s="71">
        <v>0</v>
      </c>
      <c r="AN42" s="71">
        <v>0</v>
      </c>
      <c r="AO42" s="136">
        <f t="shared" si="200"/>
        <v>0</v>
      </c>
      <c r="AP42" s="126"/>
      <c r="AQ42" s="84">
        <v>0</v>
      </c>
      <c r="AR42" s="71">
        <v>0</v>
      </c>
      <c r="AS42" s="71">
        <v>0</v>
      </c>
      <c r="AT42" s="71">
        <v>0</v>
      </c>
      <c r="AU42" s="136">
        <f t="shared" si="201"/>
        <v>0</v>
      </c>
      <c r="AV42" s="126"/>
      <c r="AW42" s="84">
        <v>0</v>
      </c>
      <c r="AX42" s="71">
        <v>0</v>
      </c>
      <c r="AY42" s="71">
        <v>0</v>
      </c>
      <c r="AZ42" s="71">
        <v>0</v>
      </c>
      <c r="BA42" s="136">
        <f t="shared" si="202"/>
        <v>0</v>
      </c>
      <c r="BB42" s="126"/>
      <c r="BC42" s="84">
        <v>0</v>
      </c>
      <c r="BD42" s="71">
        <v>0</v>
      </c>
      <c r="BE42" s="71">
        <v>0</v>
      </c>
      <c r="BF42" s="71">
        <v>0</v>
      </c>
      <c r="BG42" s="136">
        <f t="shared" si="203"/>
        <v>0</v>
      </c>
      <c r="BH42" s="126"/>
      <c r="BI42" s="84">
        <v>0</v>
      </c>
      <c r="BJ42" s="71">
        <v>0</v>
      </c>
      <c r="BK42" s="71">
        <v>0</v>
      </c>
      <c r="BL42" s="71">
        <v>0</v>
      </c>
      <c r="BM42" s="136">
        <f t="shared" si="204"/>
        <v>0</v>
      </c>
      <c r="BN42" s="126"/>
      <c r="BO42" s="84">
        <v>0</v>
      </c>
      <c r="BP42" s="71">
        <v>0</v>
      </c>
      <c r="BQ42" s="71">
        <v>0</v>
      </c>
      <c r="BR42" s="71">
        <v>0</v>
      </c>
      <c r="BS42" s="136">
        <f t="shared" si="205"/>
        <v>0</v>
      </c>
      <c r="BT42" s="126"/>
      <c r="BU42" s="84">
        <v>0</v>
      </c>
      <c r="BV42" s="71">
        <v>0</v>
      </c>
      <c r="BW42" s="71">
        <v>0</v>
      </c>
      <c r="BX42" s="71">
        <v>0</v>
      </c>
      <c r="BY42" s="136">
        <f t="shared" si="206"/>
        <v>0</v>
      </c>
      <c r="BZ42" s="126"/>
      <c r="CA42" s="84">
        <v>0</v>
      </c>
      <c r="CB42" s="71">
        <v>0</v>
      </c>
      <c r="CC42" s="71">
        <v>0</v>
      </c>
      <c r="CD42" s="71">
        <v>0</v>
      </c>
      <c r="CE42" s="136">
        <f t="shared" si="207"/>
        <v>0</v>
      </c>
      <c r="CF42" s="126"/>
      <c r="CG42" s="84">
        <v>0</v>
      </c>
      <c r="CH42" s="71">
        <v>0</v>
      </c>
      <c r="CI42" s="71">
        <v>0</v>
      </c>
      <c r="CJ42" s="71">
        <v>0</v>
      </c>
      <c r="CK42" s="136">
        <f t="shared" si="208"/>
        <v>0</v>
      </c>
      <c r="CL42" s="126"/>
      <c r="CM42" s="84">
        <v>0</v>
      </c>
      <c r="CN42" s="71">
        <v>0</v>
      </c>
      <c r="CO42" s="71">
        <v>0</v>
      </c>
      <c r="CP42" s="71">
        <v>0</v>
      </c>
      <c r="CQ42" s="136">
        <f t="shared" si="209"/>
        <v>0</v>
      </c>
      <c r="CR42" s="126"/>
      <c r="CS42" s="84">
        <v>0</v>
      </c>
      <c r="CT42" s="71">
        <v>0</v>
      </c>
      <c r="CU42" s="71">
        <v>0</v>
      </c>
      <c r="CV42" s="71">
        <v>512.6</v>
      </c>
      <c r="CW42" s="136">
        <f t="shared" si="210"/>
        <v>512.6</v>
      </c>
      <c r="CX42" s="126"/>
      <c r="CY42" s="84">
        <v>0</v>
      </c>
      <c r="CZ42" s="71">
        <v>0</v>
      </c>
      <c r="DA42" s="71">
        <v>0</v>
      </c>
      <c r="DB42" s="71">
        <v>0</v>
      </c>
      <c r="DC42" s="136">
        <f t="shared" si="211"/>
        <v>0</v>
      </c>
      <c r="DD42" s="126"/>
      <c r="DE42" s="84">
        <v>0</v>
      </c>
      <c r="DF42" s="71">
        <v>0</v>
      </c>
      <c r="DG42" s="71">
        <v>0</v>
      </c>
      <c r="DH42" s="71">
        <v>0</v>
      </c>
      <c r="DI42" s="136">
        <f t="shared" si="212"/>
        <v>0</v>
      </c>
      <c r="DJ42" s="126"/>
      <c r="DK42" s="81">
        <f t="shared" si="222"/>
        <v>0</v>
      </c>
      <c r="DL42" s="69">
        <f t="shared" si="223"/>
        <v>0</v>
      </c>
      <c r="DM42" s="69">
        <f t="shared" si="224"/>
        <v>0</v>
      </c>
      <c r="DN42" s="69">
        <f t="shared" si="225"/>
        <v>0</v>
      </c>
      <c r="DO42" s="136">
        <f t="shared" si="213"/>
        <v>0</v>
      </c>
      <c r="DP42" s="126"/>
      <c r="DQ42" s="81">
        <f t="shared" si="226"/>
        <v>0</v>
      </c>
      <c r="DR42" s="69">
        <f t="shared" si="227"/>
        <v>0</v>
      </c>
      <c r="DS42" s="69">
        <f t="shared" si="228"/>
        <v>0</v>
      </c>
      <c r="DT42" s="69">
        <f t="shared" si="229"/>
        <v>0</v>
      </c>
      <c r="DU42" s="136">
        <f t="shared" si="214"/>
        <v>0</v>
      </c>
      <c r="DV42" s="126"/>
      <c r="DW42" s="81">
        <f t="shared" si="230"/>
        <v>0</v>
      </c>
      <c r="DX42" s="69">
        <f t="shared" si="231"/>
        <v>0</v>
      </c>
      <c r="DY42" s="69">
        <f t="shared" si="232"/>
        <v>0</v>
      </c>
      <c r="DZ42" s="69">
        <f t="shared" si="233"/>
        <v>0</v>
      </c>
      <c r="EA42" s="136">
        <f t="shared" si="215"/>
        <v>0</v>
      </c>
      <c r="EB42" s="126"/>
      <c r="EC42" s="81">
        <f t="shared" si="234"/>
        <v>0</v>
      </c>
      <c r="ED42" s="69">
        <f t="shared" si="235"/>
        <v>0</v>
      </c>
      <c r="EE42" s="69">
        <f t="shared" si="236"/>
        <v>0</v>
      </c>
      <c r="EF42" s="69">
        <f t="shared" si="237"/>
        <v>0</v>
      </c>
      <c r="EG42" s="136">
        <f t="shared" si="216"/>
        <v>0</v>
      </c>
      <c r="EH42" s="391"/>
      <c r="EI42" s="485"/>
      <c r="EJ42" s="20"/>
    </row>
    <row r="43" spans="1:140" ht="11.25" customHeight="1" x14ac:dyDescent="0.2">
      <c r="A43" s="50" t="s">
        <v>132</v>
      </c>
      <c r="B43" s="3"/>
      <c r="C43" s="3"/>
      <c r="D43" s="3"/>
      <c r="E43" s="163">
        <f>SUM(E39:E42)</f>
        <v>464.35900000000004</v>
      </c>
      <c r="F43" s="166"/>
      <c r="G43" s="163">
        <f>SUM(G39:G42)</f>
        <v>738.82500000000005</v>
      </c>
      <c r="H43" s="166"/>
      <c r="I43" s="163">
        <f>SUM(I39:I42)</f>
        <v>629.53099999999995</v>
      </c>
      <c r="J43" s="166"/>
      <c r="K43" s="163">
        <f>SUM(K39:K42)</f>
        <v>1070.806</v>
      </c>
      <c r="L43" s="166"/>
      <c r="M43" s="165">
        <f>SUM(M39:M42)</f>
        <v>1474.047</v>
      </c>
      <c r="N43" s="164">
        <f>SUM(N39:N42)</f>
        <v>1526.893</v>
      </c>
      <c r="O43" s="164">
        <f>SUM(O39:O42)</f>
        <v>1539.3529999999998</v>
      </c>
      <c r="P43" s="164">
        <f>SUM(P39:P42)</f>
        <v>1574.6030000000001</v>
      </c>
      <c r="Q43" s="163">
        <f>SUM(Q39:Q42)</f>
        <v>1574.6030000000001</v>
      </c>
      <c r="R43" s="166"/>
      <c r="S43" s="165">
        <f>SUM(S39:S42)</f>
        <v>1573.682</v>
      </c>
      <c r="T43" s="164">
        <f>SUM(T39:T42)</f>
        <v>1588.7049999999999</v>
      </c>
      <c r="U43" s="164">
        <f>SUM(U39:U42)</f>
        <v>1637.7629999999999</v>
      </c>
      <c r="V43" s="164">
        <f>SUM(V39:V42)</f>
        <v>1754.2339999999999</v>
      </c>
      <c r="W43" s="163">
        <f>SUM(W39:W42)</f>
        <v>1754.2339999999999</v>
      </c>
      <c r="X43" s="166"/>
      <c r="Y43" s="165">
        <f>SUM(Y39:Y42)</f>
        <v>1804.364</v>
      </c>
      <c r="Z43" s="164">
        <f>SUM(Z39:Z42)</f>
        <v>1877.5970000000002</v>
      </c>
      <c r="AA43" s="164">
        <f>SUM(AA39:AA42)</f>
        <v>1852.3780000000002</v>
      </c>
      <c r="AB43" s="164">
        <f>SUM(AB39:AB42)</f>
        <v>1863.3380000000002</v>
      </c>
      <c r="AC43" s="163">
        <f>SUM(AC39:AC42)</f>
        <v>1863.3380000000002</v>
      </c>
      <c r="AD43" s="166"/>
      <c r="AE43" s="165">
        <f>SUM(AE39:AE42)</f>
        <v>1895.788</v>
      </c>
      <c r="AF43" s="164">
        <f>SUM(AF39:AF42)</f>
        <v>1996.127</v>
      </c>
      <c r="AG43" s="164">
        <f>SUM(AG39:AG42)</f>
        <v>1659.3339999999998</v>
      </c>
      <c r="AH43" s="164">
        <f>SUM(AH39:AH42)</f>
        <v>1671.925</v>
      </c>
      <c r="AI43" s="163">
        <f>SUM(AI39:AI42)</f>
        <v>1671.925</v>
      </c>
      <c r="AJ43" s="166"/>
      <c r="AK43" s="165">
        <f>SUM(AK39:AK42)</f>
        <v>1676.8429999999998</v>
      </c>
      <c r="AL43" s="164">
        <f>SUM(AL39:AL42)</f>
        <v>1632.6010000000001</v>
      </c>
      <c r="AM43" s="164">
        <f>SUM(AM39:AM42)</f>
        <v>1829.3629999999998</v>
      </c>
      <c r="AN43" s="164">
        <f>SUM(AN39:AN42)</f>
        <v>1814.173</v>
      </c>
      <c r="AO43" s="163">
        <f>SUM(AO39:AO42)</f>
        <v>1814.173</v>
      </c>
      <c r="AP43" s="166"/>
      <c r="AQ43" s="165">
        <f>SUM(AQ39:AQ42)</f>
        <v>1824.6399999999999</v>
      </c>
      <c r="AR43" s="164">
        <f>SUM(AR39:AR42)</f>
        <v>3515.6450000000004</v>
      </c>
      <c r="AS43" s="164">
        <f>SUM(AS39:AS42)</f>
        <v>3506.4940000000001</v>
      </c>
      <c r="AT43" s="164">
        <f>SUM(AT39:AT42)</f>
        <v>3759.9349999999999</v>
      </c>
      <c r="AU43" s="163">
        <f>SUM(AU39:AU42)</f>
        <v>3759.9349999999999</v>
      </c>
      <c r="AV43" s="166"/>
      <c r="AW43" s="165">
        <f>SUM(AW39:AW42)</f>
        <v>3942.9799999999996</v>
      </c>
      <c r="AX43" s="164">
        <f>SUM(AX39:AX42)</f>
        <v>3783.8440000000001</v>
      </c>
      <c r="AY43" s="164">
        <f>SUM(AY39:AY42)</f>
        <v>3629.2690000000002</v>
      </c>
      <c r="AZ43" s="164">
        <f>SUM(AZ39:AZ42)</f>
        <v>5420.02</v>
      </c>
      <c r="BA43" s="163">
        <f>SUM(BA39:BA42)</f>
        <v>5420.02</v>
      </c>
      <c r="BB43" s="166"/>
      <c r="BC43" s="165">
        <f>SUM(BC39:BC42)</f>
        <v>5296.9830000000002</v>
      </c>
      <c r="BD43" s="164">
        <f>SUM(BD39:BD42)</f>
        <v>4826.8119999999999</v>
      </c>
      <c r="BE43" s="164">
        <f>SUM(BE39:BE42)</f>
        <v>4436.7929999999997</v>
      </c>
      <c r="BF43" s="164">
        <f>SUM(BF39:BF42)</f>
        <v>4939.7749999999996</v>
      </c>
      <c r="BG43" s="163">
        <f>SUM(BG39:BG42)</f>
        <v>4939.7749999999996</v>
      </c>
      <c r="BH43" s="166"/>
      <c r="BI43" s="165">
        <f>SUM(BI39:BI42)</f>
        <v>5195.4030000000002</v>
      </c>
      <c r="BJ43" s="164">
        <f>SUM(BJ39:BJ42)</f>
        <v>5211.7440000000006</v>
      </c>
      <c r="BK43" s="164">
        <f>SUM(BK39:BK42)</f>
        <v>5273.027</v>
      </c>
      <c r="BL43" s="164">
        <f>SUM(BL39:BL42)</f>
        <v>5204.2839999999997</v>
      </c>
      <c r="BM43" s="163">
        <f>SUM(BM39:BM42)</f>
        <v>5204.2839999999997</v>
      </c>
      <c r="BN43" s="166"/>
      <c r="BO43" s="165">
        <f>SUM(BO39:BO42)</f>
        <v>5169.6620000000003</v>
      </c>
      <c r="BP43" s="164">
        <f>SUM(BP39:BP42)</f>
        <v>5029.0460000000003</v>
      </c>
      <c r="BQ43" s="164">
        <f>SUM(BQ39:BQ42)</f>
        <v>5246.4750000000004</v>
      </c>
      <c r="BR43" s="164">
        <f>SUM(BR39:BR42)</f>
        <v>5139.6100000000006</v>
      </c>
      <c r="BS43" s="163">
        <f>SUM(BS39:BS42)</f>
        <v>5139.6100000000006</v>
      </c>
      <c r="BT43" s="166"/>
      <c r="BU43" s="165">
        <f>SUM(BU39:BU42)</f>
        <v>4987.3369999999995</v>
      </c>
      <c r="BV43" s="164">
        <f>SUM(BV39:BV42)</f>
        <v>10676.561</v>
      </c>
      <c r="BW43" s="164">
        <f>SUM(BW39:BW42)</f>
        <v>9932.5779999999995</v>
      </c>
      <c r="BX43" s="164">
        <f>SUM(BX39:BX42)</f>
        <v>8805.6509999999998</v>
      </c>
      <c r="BY43" s="163">
        <f>SUM(BY39:BY42)</f>
        <v>8805.6509999999998</v>
      </c>
      <c r="BZ43" s="166"/>
      <c r="CA43" s="165">
        <f>SUM(CA39:CA42)</f>
        <v>8617.1910000000007</v>
      </c>
      <c r="CB43" s="164">
        <f>SUM(CB39:CB42)</f>
        <v>8773.1579999999994</v>
      </c>
      <c r="CC43" s="164">
        <f>SUM(CC39:CC42)</f>
        <v>8697.9650000000001</v>
      </c>
      <c r="CD43" s="164">
        <f>SUM(CD39:CD42)</f>
        <v>9651</v>
      </c>
      <c r="CE43" s="163">
        <f>SUM(CE39:CE42)</f>
        <v>9651</v>
      </c>
      <c r="CF43" s="166"/>
      <c r="CG43" s="165">
        <f>SUM(CG39:CG42)</f>
        <v>8793.6</v>
      </c>
      <c r="CH43" s="164">
        <f>SUM(CH39:CH42)</f>
        <v>8611.9</v>
      </c>
      <c r="CI43" s="164">
        <f>SUM(CI39:CI42)</f>
        <v>8071</v>
      </c>
      <c r="CJ43" s="164">
        <f>SUM(CJ39:CJ42)</f>
        <v>7663.4</v>
      </c>
      <c r="CK43" s="163">
        <f>SUM(CK39:CK42)</f>
        <v>7663.4</v>
      </c>
      <c r="CL43" s="166"/>
      <c r="CM43" s="165">
        <f>SUM(CM39:CM42)</f>
        <v>7709.4</v>
      </c>
      <c r="CN43" s="164">
        <f>SUM(CN39:CN42)</f>
        <v>7456.5</v>
      </c>
      <c r="CO43" s="164">
        <f>SUM(CO39:CO42)</f>
        <v>7254.7</v>
      </c>
      <c r="CP43" s="164">
        <f>SUM(CP39:CP42)</f>
        <v>8145.5</v>
      </c>
      <c r="CQ43" s="163">
        <f>SUM(CQ39:CQ42)</f>
        <v>8145.5</v>
      </c>
      <c r="CR43" s="166"/>
      <c r="CS43" s="165">
        <f>SUM(CS39:CS42)</f>
        <v>7728.9000000000005</v>
      </c>
      <c r="CT43" s="164">
        <f>SUM(CT39:CT42)</f>
        <v>7759.2</v>
      </c>
      <c r="CU43" s="164">
        <f>SUM(CU39:CU42)</f>
        <v>17898.5</v>
      </c>
      <c r="CV43" s="164">
        <f>SUM(CV39:CV42)</f>
        <v>18287.8</v>
      </c>
      <c r="CW43" s="163">
        <f>SUM(CW39:CW42)</f>
        <v>18287.8</v>
      </c>
      <c r="CX43" s="166"/>
      <c r="CY43" s="165">
        <f>SUM(CY39:CY42)</f>
        <v>18487.2</v>
      </c>
      <c r="CZ43" s="164">
        <f>SUM(CZ39:CZ42)</f>
        <v>18357.5</v>
      </c>
      <c r="DA43" s="164">
        <f>SUM(DA39:DA42)</f>
        <v>13269.7</v>
      </c>
      <c r="DB43" s="164">
        <f>SUM(DB39:DB42)</f>
        <v>15344.5</v>
      </c>
      <c r="DC43" s="163">
        <f>SUM(DC39:DC42)</f>
        <v>15344.5</v>
      </c>
      <c r="DD43" s="166"/>
      <c r="DE43" s="165">
        <f>SUM(DE39:DE42)</f>
        <v>15450.9</v>
      </c>
      <c r="DF43" s="164">
        <f>SUM(DF39:DF42)</f>
        <v>16849</v>
      </c>
      <c r="DG43" s="164">
        <f>SUM(DG39:DG42)</f>
        <v>16083.199999999999</v>
      </c>
      <c r="DH43" s="164">
        <f>SUM(DH39:DH42)</f>
        <v>15488.5</v>
      </c>
      <c r="DI43" s="163">
        <f>SUM(DI39:DI42)</f>
        <v>15488.5</v>
      </c>
      <c r="DJ43" s="166"/>
      <c r="DK43" s="165">
        <f>SUM(DK39:DK42)</f>
        <v>15761.119999999999</v>
      </c>
      <c r="DL43" s="164">
        <f>SUM(DL39:DL42)</f>
        <v>15948.954000000002</v>
      </c>
      <c r="DM43" s="164">
        <f>SUM(DM39:DM42)</f>
        <v>15885.250400000001</v>
      </c>
      <c r="DN43" s="164">
        <f>SUM(DN39:DN42)</f>
        <v>15920.377079999998</v>
      </c>
      <c r="DO43" s="163">
        <f>SUM(DO39:DO42)</f>
        <v>15920.377079999998</v>
      </c>
      <c r="DP43" s="166"/>
      <c r="DQ43" s="165">
        <f>SUM(DQ39:DQ42)</f>
        <v>15955.395705000003</v>
      </c>
      <c r="DR43" s="164">
        <f>SUM(DR39:DR42)</f>
        <v>16160.229715680001</v>
      </c>
      <c r="DS43" s="164">
        <f>SUM(DS39:DS42)</f>
        <v>16057.868986320002</v>
      </c>
      <c r="DT43" s="164">
        <f>SUM(DT39:DT42)</f>
        <v>16096.041561739999</v>
      </c>
      <c r="DU43" s="163">
        <f>SUM(DU39:DU42)</f>
        <v>16096.041561739999</v>
      </c>
      <c r="DV43" s="166"/>
      <c r="DW43" s="165">
        <f>SUM(DW39:DW42)</f>
        <v>16144.930035490001</v>
      </c>
      <c r="DX43" s="164">
        <f>SUM(DX39:DX42)</f>
        <v>16359.600080358799</v>
      </c>
      <c r="DY43" s="164">
        <f>SUM(DY39:DY42)</f>
        <v>16252.370163857202</v>
      </c>
      <c r="DZ43" s="164">
        <f>SUM(DZ39:DZ42)</f>
        <v>16294.465127620602</v>
      </c>
      <c r="EA43" s="163">
        <f>SUM(EA39:EA42)</f>
        <v>16294.465127620602</v>
      </c>
      <c r="EB43" s="166"/>
      <c r="EC43" s="165">
        <f t="shared" ref="EC43:EG43" si="238">SUM(EC39:EC42)</f>
        <v>16343.621845610876</v>
      </c>
      <c r="ED43" s="164">
        <f t="shared" si="238"/>
        <v>16568.60678944629</v>
      </c>
      <c r="EE43" s="164">
        <f t="shared" si="238"/>
        <v>16456.272852163154</v>
      </c>
      <c r="EF43" s="164">
        <f t="shared" si="238"/>
        <v>16502.555516664106</v>
      </c>
      <c r="EG43" s="163">
        <f t="shared" si="238"/>
        <v>16502.555516664106</v>
      </c>
      <c r="EH43" s="391"/>
      <c r="EI43" s="485"/>
      <c r="EJ43" s="10"/>
    </row>
    <row r="44" spans="1:140" ht="11.25" customHeight="1" x14ac:dyDescent="0.2">
      <c r="A44" s="51"/>
      <c r="B44" s="2"/>
      <c r="C44" s="2"/>
      <c r="D44" s="2"/>
      <c r="E44" s="93"/>
      <c r="F44" s="126"/>
      <c r="G44" s="93"/>
      <c r="H44" s="126"/>
      <c r="I44" s="93"/>
      <c r="J44" s="126"/>
      <c r="K44" s="93"/>
      <c r="L44" s="126"/>
      <c r="M44" s="82"/>
      <c r="N44" s="67"/>
      <c r="O44" s="67"/>
      <c r="P44" s="67"/>
      <c r="Q44" s="136"/>
      <c r="R44" s="126"/>
      <c r="S44" s="82"/>
      <c r="T44" s="67"/>
      <c r="U44" s="67"/>
      <c r="V44" s="67"/>
      <c r="W44" s="136"/>
      <c r="X44" s="126"/>
      <c r="Y44" s="82"/>
      <c r="Z44" s="67"/>
      <c r="AA44" s="67"/>
      <c r="AB44" s="67"/>
      <c r="AC44" s="136"/>
      <c r="AD44" s="126"/>
      <c r="AE44" s="82"/>
      <c r="AF44" s="67"/>
      <c r="AG44" s="67"/>
      <c r="AH44" s="67"/>
      <c r="AI44" s="136"/>
      <c r="AJ44" s="126"/>
      <c r="AK44" s="82"/>
      <c r="AL44" s="67"/>
      <c r="AM44" s="67"/>
      <c r="AN44" s="67"/>
      <c r="AO44" s="136"/>
      <c r="AP44" s="126"/>
      <c r="AQ44" s="82"/>
      <c r="AR44" s="67"/>
      <c r="AS44" s="67"/>
      <c r="AT44" s="67"/>
      <c r="AU44" s="136"/>
      <c r="AV44" s="126"/>
      <c r="AW44" s="82"/>
      <c r="AX44" s="67"/>
      <c r="AY44" s="67"/>
      <c r="AZ44" s="67"/>
      <c r="BA44" s="136"/>
      <c r="BB44" s="126"/>
      <c r="BC44" s="82"/>
      <c r="BD44" s="67"/>
      <c r="BE44" s="67"/>
      <c r="BF44" s="67"/>
      <c r="BG44" s="136"/>
      <c r="BH44" s="126"/>
      <c r="BI44" s="82"/>
      <c r="BJ44" s="67"/>
      <c r="BK44" s="67"/>
      <c r="BL44" s="67"/>
      <c r="BM44" s="136"/>
      <c r="BN44" s="126"/>
      <c r="BO44" s="82"/>
      <c r="BP44" s="67"/>
      <c r="BQ44" s="67"/>
      <c r="BR44" s="67"/>
      <c r="BS44" s="136"/>
      <c r="BT44" s="126"/>
      <c r="BU44" s="82"/>
      <c r="BV44" s="67"/>
      <c r="BW44" s="67"/>
      <c r="BX44" s="67"/>
      <c r="BY44" s="136"/>
      <c r="BZ44" s="126"/>
      <c r="CA44" s="82"/>
      <c r="CB44" s="67"/>
      <c r="CC44" s="67"/>
      <c r="CD44" s="67"/>
      <c r="CE44" s="136"/>
      <c r="CF44" s="126"/>
      <c r="CG44" s="82"/>
      <c r="CH44" s="67"/>
      <c r="CI44" s="67"/>
      <c r="CJ44" s="67"/>
      <c r="CK44" s="136"/>
      <c r="CL44" s="126"/>
      <c r="CM44" s="82"/>
      <c r="CN44" s="67"/>
      <c r="CO44" s="67"/>
      <c r="CP44" s="67"/>
      <c r="CQ44" s="136"/>
      <c r="CR44" s="126"/>
      <c r="CS44" s="82"/>
      <c r="CT44" s="67"/>
      <c r="CU44" s="67"/>
      <c r="CV44" s="67"/>
      <c r="CW44" s="136"/>
      <c r="CX44" s="126"/>
      <c r="CY44" s="82"/>
      <c r="CZ44" s="67"/>
      <c r="DA44" s="67"/>
      <c r="DB44" s="67"/>
      <c r="DC44" s="136"/>
      <c r="DD44" s="126"/>
      <c r="DE44" s="82"/>
      <c r="DF44" s="67"/>
      <c r="DG44" s="67"/>
      <c r="DH44" s="67"/>
      <c r="DI44" s="136"/>
      <c r="DJ44" s="126"/>
      <c r="DK44" s="82"/>
      <c r="DL44" s="67"/>
      <c r="DM44" s="67"/>
      <c r="DN44" s="67"/>
      <c r="DO44" s="136"/>
      <c r="DP44" s="126"/>
      <c r="DQ44" s="82"/>
      <c r="DR44" s="67"/>
      <c r="DS44" s="67"/>
      <c r="DT44" s="67"/>
      <c r="DU44" s="136"/>
      <c r="DV44" s="126"/>
      <c r="DW44" s="82"/>
      <c r="DX44" s="67"/>
      <c r="DY44" s="67"/>
      <c r="DZ44" s="67"/>
      <c r="EA44" s="136"/>
      <c r="EB44" s="126"/>
      <c r="EC44" s="82"/>
      <c r="ED44" s="67"/>
      <c r="EE44" s="67"/>
      <c r="EF44" s="67"/>
      <c r="EG44" s="136"/>
      <c r="EH44" s="391"/>
      <c r="EI44" s="485"/>
      <c r="EJ44" s="10"/>
    </row>
    <row r="45" spans="1:140" ht="11.25" customHeight="1" x14ac:dyDescent="0.2">
      <c r="A45" s="200" t="s">
        <v>66</v>
      </c>
      <c r="B45" s="201"/>
      <c r="C45" s="201"/>
      <c r="D45" s="201"/>
      <c r="E45" s="202">
        <f>E36+E43</f>
        <v>1044.6559999999999</v>
      </c>
      <c r="F45" s="203"/>
      <c r="G45" s="202">
        <f>G36+G43</f>
        <v>1440.0709999999999</v>
      </c>
      <c r="H45" s="203"/>
      <c r="I45" s="202">
        <f>I36+I43</f>
        <v>1338.317</v>
      </c>
      <c r="J45" s="203"/>
      <c r="K45" s="202">
        <f>K36+K43</f>
        <v>2089.346</v>
      </c>
      <c r="L45" s="203"/>
      <c r="M45" s="204">
        <f>M36+M43</f>
        <v>2473.2809999999999</v>
      </c>
      <c r="N45" s="205">
        <f>N36+N43</f>
        <v>2500.2939999999999</v>
      </c>
      <c r="O45" s="205">
        <f>O36+O43</f>
        <v>2511.6039999999998</v>
      </c>
      <c r="P45" s="205">
        <f>P36+P43</f>
        <v>2591.8969999999999</v>
      </c>
      <c r="Q45" s="202">
        <f>Q36+Q43</f>
        <v>2591.8969999999999</v>
      </c>
      <c r="R45" s="203"/>
      <c r="S45" s="204">
        <f>S36+S43</f>
        <v>2815.913</v>
      </c>
      <c r="T45" s="205">
        <f>T36+T43</f>
        <v>2907.011</v>
      </c>
      <c r="U45" s="205">
        <f>U36+U43</f>
        <v>3010.7510000000002</v>
      </c>
      <c r="V45" s="205">
        <f>V36+V43</f>
        <v>3019.5459999999998</v>
      </c>
      <c r="W45" s="202">
        <f>W36+W43</f>
        <v>3019.5459999999998</v>
      </c>
      <c r="X45" s="203"/>
      <c r="Y45" s="204">
        <f>Y36+Y43</f>
        <v>3173.19</v>
      </c>
      <c r="Z45" s="205">
        <f>Z36+Z43</f>
        <v>3190.0840000000003</v>
      </c>
      <c r="AA45" s="205">
        <f>AA36+AA43</f>
        <v>3130.058</v>
      </c>
      <c r="AB45" s="205">
        <f>AB36+AB43</f>
        <v>3243.3410000000003</v>
      </c>
      <c r="AC45" s="202">
        <f>AC36+AC43</f>
        <v>3243.3410000000003</v>
      </c>
      <c r="AD45" s="203"/>
      <c r="AE45" s="204">
        <f>AE36+AE43</f>
        <v>3502.893</v>
      </c>
      <c r="AF45" s="205">
        <f>AF36+AF43</f>
        <v>3699.8049999999998</v>
      </c>
      <c r="AG45" s="205">
        <f>AG36+AG43</f>
        <v>3737.7919999999999</v>
      </c>
      <c r="AH45" s="205">
        <f>AH36+AH43</f>
        <v>3874.2110000000002</v>
      </c>
      <c r="AI45" s="202">
        <f>AI36+AI43</f>
        <v>3874.2110000000002</v>
      </c>
      <c r="AJ45" s="203"/>
      <c r="AK45" s="204">
        <f>AK36+AK43</f>
        <v>3883.7739999999994</v>
      </c>
      <c r="AL45" s="205">
        <f>AL36+AL43</f>
        <v>3864.7980000000002</v>
      </c>
      <c r="AM45" s="205">
        <f>AM36+AM43</f>
        <v>4028.9270000000001</v>
      </c>
      <c r="AN45" s="205">
        <f>AN36+AN43</f>
        <v>4082.759</v>
      </c>
      <c r="AO45" s="202">
        <f>AO36+AO43</f>
        <v>4082.759</v>
      </c>
      <c r="AP45" s="203"/>
      <c r="AQ45" s="204">
        <f>AQ36+AQ43</f>
        <v>3979.8469999999998</v>
      </c>
      <c r="AR45" s="205">
        <f>AR36+AR43</f>
        <v>6052.7390000000005</v>
      </c>
      <c r="AS45" s="205">
        <f>AS36+AS43</f>
        <v>5871.1710000000003</v>
      </c>
      <c r="AT45" s="205">
        <f>AT36+AT43</f>
        <v>6219.491</v>
      </c>
      <c r="AU45" s="202">
        <f>AU36+AU43</f>
        <v>6219.491</v>
      </c>
      <c r="AV45" s="203"/>
      <c r="AW45" s="204">
        <f>AW36+AW43</f>
        <v>6041.4749999999995</v>
      </c>
      <c r="AX45" s="205">
        <f>AX36+AX43</f>
        <v>5812.6360000000004</v>
      </c>
      <c r="AY45" s="205">
        <f>AY36+AY43</f>
        <v>5721.6869999999999</v>
      </c>
      <c r="AZ45" s="205">
        <f>AZ36+AZ43</f>
        <v>8234.8729999999996</v>
      </c>
      <c r="BA45" s="202">
        <f>BA36+BA43</f>
        <v>8234.8729999999996</v>
      </c>
      <c r="BB45" s="203"/>
      <c r="BC45" s="204">
        <f>BC36+BC43</f>
        <v>8278.4269999999997</v>
      </c>
      <c r="BD45" s="205">
        <f>BD36+BD43</f>
        <v>7920.3329999999996</v>
      </c>
      <c r="BE45" s="205">
        <f>BE36+BE43</f>
        <v>7448.4110000000001</v>
      </c>
      <c r="BF45" s="205">
        <f>BF36+BF43</f>
        <v>7649.4699999999993</v>
      </c>
      <c r="BG45" s="202">
        <f>BG36+BG43</f>
        <v>7649.4699999999993</v>
      </c>
      <c r="BH45" s="203"/>
      <c r="BI45" s="204">
        <f>BI36+BI43</f>
        <v>7670.1580000000004</v>
      </c>
      <c r="BJ45" s="205">
        <f>BJ36+BJ43</f>
        <v>7719.8700000000008</v>
      </c>
      <c r="BK45" s="205">
        <f>BK36+BK43</f>
        <v>7951.3779999999997</v>
      </c>
      <c r="BL45" s="205">
        <f>BL36+BL43</f>
        <v>7965.2439999999997</v>
      </c>
      <c r="BM45" s="202">
        <f>BM36+BM43</f>
        <v>7965.2439999999997</v>
      </c>
      <c r="BN45" s="203"/>
      <c r="BO45" s="204">
        <f>BO36+BO43</f>
        <v>8027.4679999999998</v>
      </c>
      <c r="BP45" s="205">
        <f>BP36+BP43</f>
        <v>8020.9470000000001</v>
      </c>
      <c r="BQ45" s="205">
        <f>BQ36+BQ43</f>
        <v>8325.902</v>
      </c>
      <c r="BR45" s="205">
        <f>BR36+BR43</f>
        <v>8444.3640000000014</v>
      </c>
      <c r="BS45" s="202">
        <f>BS36+BS43</f>
        <v>8444.3640000000014</v>
      </c>
      <c r="BT45" s="203"/>
      <c r="BU45" s="204">
        <f>BU36+BU43</f>
        <v>8311.1919999999991</v>
      </c>
      <c r="BV45" s="205">
        <f>BV36+BV43</f>
        <v>14957.857</v>
      </c>
      <c r="BW45" s="205">
        <f>BW36+BW43</f>
        <v>14056.272999999999</v>
      </c>
      <c r="BX45" s="205">
        <f>BX36+BX43</f>
        <v>12977.679</v>
      </c>
      <c r="BY45" s="202">
        <f>BY36+BY43</f>
        <v>12977.679</v>
      </c>
      <c r="BZ45" s="203"/>
      <c r="CA45" s="204">
        <f>CA36+CA43</f>
        <v>12529.757000000001</v>
      </c>
      <c r="CB45" s="205">
        <f>CB36+CB43</f>
        <v>12802.859</v>
      </c>
      <c r="CC45" s="205">
        <f>CC36+CC43</f>
        <v>12632.654</v>
      </c>
      <c r="CD45" s="205">
        <f>CD36+CD43</f>
        <v>13857.1</v>
      </c>
      <c r="CE45" s="202">
        <f>CE36+CE43</f>
        <v>13857.1</v>
      </c>
      <c r="CF45" s="203"/>
      <c r="CG45" s="204">
        <f>CG36+CG43</f>
        <v>12720.1</v>
      </c>
      <c r="CH45" s="205">
        <f>CH36+CH43</f>
        <v>12744.4</v>
      </c>
      <c r="CI45" s="205">
        <f>CI36+CI43</f>
        <v>12350.4</v>
      </c>
      <c r="CJ45" s="205">
        <f>CJ36+CJ43</f>
        <v>12220.8</v>
      </c>
      <c r="CK45" s="202">
        <f>CK36+CK43</f>
        <v>12220.8</v>
      </c>
      <c r="CL45" s="203"/>
      <c r="CM45" s="204">
        <f>CM36+CM43</f>
        <v>12013.8</v>
      </c>
      <c r="CN45" s="205">
        <f>CN36+CN43</f>
        <v>11863.2</v>
      </c>
      <c r="CO45" s="205">
        <f>CO36+CO43</f>
        <v>11725.8</v>
      </c>
      <c r="CP45" s="205">
        <f>CP36+CP43</f>
        <v>13541.9</v>
      </c>
      <c r="CQ45" s="202">
        <f>CQ36+CQ43</f>
        <v>13541.9</v>
      </c>
      <c r="CR45" s="203"/>
      <c r="CS45" s="204">
        <f>CS36+CS43</f>
        <v>12681.6</v>
      </c>
      <c r="CT45" s="205">
        <f>CT36+CT43</f>
        <v>12814.8</v>
      </c>
      <c r="CU45" s="205">
        <f>CU36+CU43</f>
        <v>26524.1</v>
      </c>
      <c r="CV45" s="205">
        <f>CV36+CV43</f>
        <v>24458.199999999997</v>
      </c>
      <c r="CW45" s="202">
        <f>CW36+CW43</f>
        <v>24458.199999999997</v>
      </c>
      <c r="CX45" s="203"/>
      <c r="CY45" s="204">
        <f>CY36+CY43</f>
        <v>23808.5</v>
      </c>
      <c r="CZ45" s="205">
        <f>CZ36+CZ43</f>
        <v>26383.4</v>
      </c>
      <c r="DA45" s="205">
        <f>DA36+DA43</f>
        <v>18033.099999999999</v>
      </c>
      <c r="DB45" s="205">
        <f>DB36+DB43</f>
        <v>22218.5</v>
      </c>
      <c r="DC45" s="202">
        <f>DC36+DC43</f>
        <v>22218.5</v>
      </c>
      <c r="DD45" s="203"/>
      <c r="DE45" s="204">
        <f>DE36+DE43</f>
        <v>21454</v>
      </c>
      <c r="DF45" s="205">
        <f>DF36+DF43</f>
        <v>21051.599999999999</v>
      </c>
      <c r="DG45" s="205">
        <f>DG36+DG43</f>
        <v>20470.699999999997</v>
      </c>
      <c r="DH45" s="205">
        <f>DH36+DH43</f>
        <v>20280.8</v>
      </c>
      <c r="DI45" s="202">
        <f>DI36+DI43</f>
        <v>20280.8</v>
      </c>
      <c r="DJ45" s="203"/>
      <c r="DK45" s="204">
        <f>DK36+DK43</f>
        <v>20100.455999999998</v>
      </c>
      <c r="DL45" s="205">
        <f>DL36+DL43</f>
        <v>20559.418111822153</v>
      </c>
      <c r="DM45" s="205">
        <f>DM36+DM43</f>
        <v>20375.332596096705</v>
      </c>
      <c r="DN45" s="205">
        <f>DN36+DN43</f>
        <v>20843.566476494765</v>
      </c>
      <c r="DO45" s="202">
        <f>DO36+DO43</f>
        <v>20843.566476494765</v>
      </c>
      <c r="DP45" s="203"/>
      <c r="DQ45" s="204">
        <f>DQ36+DQ43</f>
        <v>20414.129030724147</v>
      </c>
      <c r="DR45" s="205">
        <f>DR36+DR43</f>
        <v>20921.435235345532</v>
      </c>
      <c r="DS45" s="205">
        <f>DS36+DS43</f>
        <v>20669.219850242931</v>
      </c>
      <c r="DT45" s="205">
        <f>DT36+DT43</f>
        <v>21166.87033283944</v>
      </c>
      <c r="DU45" s="202">
        <f>DU36+DU43</f>
        <v>21166.87033283944</v>
      </c>
      <c r="DV45" s="203"/>
      <c r="DW45" s="204">
        <f>DW36+DW43</f>
        <v>20724.240335413331</v>
      </c>
      <c r="DX45" s="205">
        <f>DX36+DX43</f>
        <v>21258.918418581168</v>
      </c>
      <c r="DY45" s="205">
        <f>DY36+DY43</f>
        <v>20995.715297622042</v>
      </c>
      <c r="DZ45" s="205">
        <f>DZ36+DZ43</f>
        <v>21526.474431478226</v>
      </c>
      <c r="EA45" s="202">
        <f>EA36+EA43</f>
        <v>21526.474431478226</v>
      </c>
      <c r="EB45" s="203"/>
      <c r="EC45" s="204">
        <f t="shared" ref="EC45:EG45" si="239">EC36+EC43</f>
        <v>21061.950164786824</v>
      </c>
      <c r="ED45" s="205">
        <f t="shared" si="239"/>
        <v>21625.247188779795</v>
      </c>
      <c r="EE45" s="205">
        <f t="shared" si="239"/>
        <v>21350.678748856153</v>
      </c>
      <c r="EF45" s="205">
        <f t="shared" si="239"/>
        <v>21928.515325305736</v>
      </c>
      <c r="EG45" s="202">
        <f t="shared" si="239"/>
        <v>21928.515325305736</v>
      </c>
      <c r="EH45" s="391"/>
      <c r="EI45" s="485"/>
      <c r="EJ45" s="10"/>
    </row>
    <row r="46" spans="1:140" ht="11.25" customHeight="1" x14ac:dyDescent="0.2">
      <c r="A46" s="51"/>
      <c r="B46" s="2"/>
      <c r="C46" s="2"/>
      <c r="D46" s="2"/>
      <c r="E46" s="93"/>
      <c r="F46" s="126"/>
      <c r="G46" s="93"/>
      <c r="H46" s="126"/>
      <c r="I46" s="93"/>
      <c r="J46" s="126"/>
      <c r="K46" s="93"/>
      <c r="L46" s="126"/>
      <c r="M46" s="82"/>
      <c r="N46" s="67"/>
      <c r="O46" s="67"/>
      <c r="P46" s="67"/>
      <c r="Q46" s="136"/>
      <c r="R46" s="126"/>
      <c r="S46" s="82"/>
      <c r="T46" s="67"/>
      <c r="U46" s="67"/>
      <c r="V46" s="67"/>
      <c r="W46" s="136"/>
      <c r="X46" s="126"/>
      <c r="Y46" s="82"/>
      <c r="Z46" s="67"/>
      <c r="AA46" s="67"/>
      <c r="AB46" s="67"/>
      <c r="AC46" s="136"/>
      <c r="AD46" s="126"/>
      <c r="AE46" s="82"/>
      <c r="AF46" s="67"/>
      <c r="AG46" s="67"/>
      <c r="AH46" s="67"/>
      <c r="AI46" s="136"/>
      <c r="AJ46" s="126"/>
      <c r="AK46" s="82"/>
      <c r="AL46" s="67"/>
      <c r="AM46" s="67"/>
      <c r="AN46" s="67"/>
      <c r="AO46" s="136"/>
      <c r="AP46" s="126"/>
      <c r="AQ46" s="82"/>
      <c r="AR46" s="67"/>
      <c r="AS46" s="67"/>
      <c r="AT46" s="67"/>
      <c r="AU46" s="136"/>
      <c r="AV46" s="126"/>
      <c r="AW46" s="82"/>
      <c r="AX46" s="67"/>
      <c r="AY46" s="67"/>
      <c r="AZ46" s="67"/>
      <c r="BA46" s="136"/>
      <c r="BB46" s="126"/>
      <c r="BC46" s="82"/>
      <c r="BD46" s="67"/>
      <c r="BE46" s="67"/>
      <c r="BF46" s="67"/>
      <c r="BG46" s="136"/>
      <c r="BH46" s="126"/>
      <c r="BI46" s="82"/>
      <c r="BJ46" s="67"/>
      <c r="BK46" s="67"/>
      <c r="BL46" s="67"/>
      <c r="BM46" s="136"/>
      <c r="BN46" s="126"/>
      <c r="BO46" s="82"/>
      <c r="BP46" s="67"/>
      <c r="BQ46" s="67"/>
      <c r="BR46" s="67"/>
      <c r="BS46" s="136"/>
      <c r="BT46" s="126"/>
      <c r="BU46" s="82"/>
      <c r="BV46" s="67"/>
      <c r="BW46" s="67"/>
      <c r="BX46" s="67"/>
      <c r="BY46" s="136"/>
      <c r="BZ46" s="126"/>
      <c r="CA46" s="82"/>
      <c r="CB46" s="67"/>
      <c r="CC46" s="67"/>
      <c r="CD46" s="67"/>
      <c r="CE46" s="136"/>
      <c r="CF46" s="126"/>
      <c r="CG46" s="82"/>
      <c r="CH46" s="67"/>
      <c r="CI46" s="67"/>
      <c r="CJ46" s="67"/>
      <c r="CK46" s="136"/>
      <c r="CL46" s="126"/>
      <c r="CM46" s="82"/>
      <c r="CN46" s="67"/>
      <c r="CO46" s="67"/>
      <c r="CP46" s="67"/>
      <c r="CQ46" s="136"/>
      <c r="CR46" s="126"/>
      <c r="CS46" s="82"/>
      <c r="CT46" s="67"/>
      <c r="CU46" s="67"/>
      <c r="CV46" s="67"/>
      <c r="CW46" s="136"/>
      <c r="CX46" s="126"/>
      <c r="CY46" s="82"/>
      <c r="CZ46" s="67"/>
      <c r="DA46" s="67"/>
      <c r="DB46" s="67"/>
      <c r="DC46" s="136"/>
      <c r="DD46" s="126"/>
      <c r="DE46" s="82"/>
      <c r="DF46" s="67"/>
      <c r="DG46" s="67"/>
      <c r="DH46" s="67"/>
      <c r="DI46" s="136"/>
      <c r="DJ46" s="126"/>
      <c r="DK46" s="82"/>
      <c r="DL46" s="67"/>
      <c r="DM46" s="67"/>
      <c r="DN46" s="67"/>
      <c r="DO46" s="136"/>
      <c r="DP46" s="126"/>
      <c r="DQ46" s="82"/>
      <c r="DR46" s="67"/>
      <c r="DS46" s="67"/>
      <c r="DT46" s="67"/>
      <c r="DU46" s="136"/>
      <c r="DV46" s="126"/>
      <c r="DW46" s="82"/>
      <c r="DX46" s="67"/>
      <c r="DY46" s="67"/>
      <c r="DZ46" s="67"/>
      <c r="EA46" s="136"/>
      <c r="EB46" s="126"/>
      <c r="EC46" s="82"/>
      <c r="ED46" s="67"/>
      <c r="EE46" s="67"/>
      <c r="EF46" s="67"/>
      <c r="EG46" s="136"/>
      <c r="EH46" s="391"/>
      <c r="EI46" s="485"/>
      <c r="EJ46" s="10"/>
    </row>
    <row r="47" spans="1:140" ht="11.25" customHeight="1" x14ac:dyDescent="0.2">
      <c r="A47" s="51" t="s">
        <v>160</v>
      </c>
      <c r="B47" s="2"/>
      <c r="C47" s="2"/>
      <c r="D47" s="2"/>
      <c r="E47" s="92">
        <v>0</v>
      </c>
      <c r="F47" s="126"/>
      <c r="G47" s="92">
        <v>0</v>
      </c>
      <c r="H47" s="126"/>
      <c r="I47" s="92">
        <v>0</v>
      </c>
      <c r="J47" s="126"/>
      <c r="K47" s="92">
        <v>0</v>
      </c>
      <c r="L47" s="126"/>
      <c r="M47" s="84">
        <v>0</v>
      </c>
      <c r="N47" s="71">
        <v>0</v>
      </c>
      <c r="O47" s="71">
        <v>0</v>
      </c>
      <c r="P47" s="71">
        <v>0</v>
      </c>
      <c r="Q47" s="136">
        <f t="shared" ref="Q47" si="240">P47</f>
        <v>0</v>
      </c>
      <c r="R47" s="126"/>
      <c r="S47" s="84">
        <v>0</v>
      </c>
      <c r="T47" s="71">
        <v>0</v>
      </c>
      <c r="U47" s="71">
        <v>0</v>
      </c>
      <c r="V47" s="71">
        <v>0</v>
      </c>
      <c r="W47" s="136">
        <f t="shared" ref="W47" si="241">V47</f>
        <v>0</v>
      </c>
      <c r="X47" s="126"/>
      <c r="Y47" s="84">
        <v>0</v>
      </c>
      <c r="Z47" s="71">
        <v>0</v>
      </c>
      <c r="AA47" s="71">
        <v>0</v>
      </c>
      <c r="AB47" s="71">
        <v>0</v>
      </c>
      <c r="AC47" s="136">
        <f t="shared" ref="AC47" si="242">AB47</f>
        <v>0</v>
      </c>
      <c r="AD47" s="126"/>
      <c r="AE47" s="84">
        <v>0</v>
      </c>
      <c r="AF47" s="71">
        <v>0</v>
      </c>
      <c r="AG47" s="71">
        <v>0</v>
      </c>
      <c r="AH47" s="71">
        <v>0</v>
      </c>
      <c r="AI47" s="136">
        <f t="shared" ref="AI47" si="243">AH47</f>
        <v>0</v>
      </c>
      <c r="AJ47" s="126"/>
      <c r="AK47" s="84">
        <v>0</v>
      </c>
      <c r="AL47" s="71">
        <v>0</v>
      </c>
      <c r="AM47" s="71">
        <v>0</v>
      </c>
      <c r="AN47" s="71">
        <v>0</v>
      </c>
      <c r="AO47" s="136">
        <f t="shared" ref="AO47" si="244">AN47</f>
        <v>0</v>
      </c>
      <c r="AP47" s="126"/>
      <c r="AQ47" s="84">
        <v>0</v>
      </c>
      <c r="AR47" s="71">
        <v>0</v>
      </c>
      <c r="AS47" s="71">
        <v>0</v>
      </c>
      <c r="AT47" s="71">
        <v>0</v>
      </c>
      <c r="AU47" s="136">
        <f t="shared" ref="AU47" si="245">AT47</f>
        <v>0</v>
      </c>
      <c r="AV47" s="126"/>
      <c r="AW47" s="84">
        <v>0</v>
      </c>
      <c r="AX47" s="71">
        <v>0</v>
      </c>
      <c r="AY47" s="71">
        <v>0</v>
      </c>
      <c r="AZ47" s="71">
        <v>0</v>
      </c>
      <c r="BA47" s="136">
        <f t="shared" ref="BA47" si="246">AZ47</f>
        <v>0</v>
      </c>
      <c r="BB47" s="126"/>
      <c r="BC47" s="84">
        <v>0</v>
      </c>
      <c r="BD47" s="71">
        <v>0</v>
      </c>
      <c r="BE47" s="71">
        <v>0</v>
      </c>
      <c r="BF47" s="71">
        <v>0</v>
      </c>
      <c r="BG47" s="136">
        <f t="shared" ref="BG47" si="247">BF47</f>
        <v>0</v>
      </c>
      <c r="BH47" s="126"/>
      <c r="BI47" s="84">
        <v>0</v>
      </c>
      <c r="BJ47" s="71">
        <v>0</v>
      </c>
      <c r="BK47" s="71">
        <v>0</v>
      </c>
      <c r="BL47" s="71">
        <v>0</v>
      </c>
      <c r="BM47" s="136">
        <f t="shared" ref="BM47" si="248">BL47</f>
        <v>0</v>
      </c>
      <c r="BN47" s="126"/>
      <c r="BO47" s="84">
        <v>0</v>
      </c>
      <c r="BP47" s="71">
        <v>0</v>
      </c>
      <c r="BQ47" s="71">
        <v>0</v>
      </c>
      <c r="BR47" s="71">
        <v>61.756</v>
      </c>
      <c r="BS47" s="136">
        <f t="shared" ref="BS47" si="249">BR47</f>
        <v>61.756</v>
      </c>
      <c r="BT47" s="126"/>
      <c r="BU47" s="84">
        <v>64.510000000000005</v>
      </c>
      <c r="BV47" s="71">
        <v>66.022999999999996</v>
      </c>
      <c r="BW47" s="71">
        <v>65.36</v>
      </c>
      <c r="BX47" s="71">
        <v>66.984999999999999</v>
      </c>
      <c r="BY47" s="136">
        <f t="shared" ref="BY47" si="250">BX47</f>
        <v>66.984999999999999</v>
      </c>
      <c r="BZ47" s="126"/>
      <c r="CA47" s="84">
        <v>67.897000000000006</v>
      </c>
      <c r="CB47" s="71">
        <v>65.808000000000007</v>
      </c>
      <c r="CC47" s="71">
        <v>66.680000000000007</v>
      </c>
      <c r="CD47" s="71">
        <v>67.400000000000006</v>
      </c>
      <c r="CE47" s="136">
        <f t="shared" ref="CE47" si="251">CD47</f>
        <v>67.400000000000006</v>
      </c>
      <c r="CF47" s="126"/>
      <c r="CG47" s="84">
        <v>68.099999999999994</v>
      </c>
      <c r="CH47" s="71">
        <v>68.5</v>
      </c>
      <c r="CI47" s="71">
        <v>66.2</v>
      </c>
      <c r="CJ47" s="71">
        <v>66.099999999999994</v>
      </c>
      <c r="CK47" s="136">
        <f t="shared" ref="CK47" si="252">CJ47</f>
        <v>66.099999999999994</v>
      </c>
      <c r="CL47" s="126"/>
      <c r="CM47" s="84">
        <v>67.099999999999994</v>
      </c>
      <c r="CN47" s="71">
        <v>68.400000000000006</v>
      </c>
      <c r="CO47" s="71">
        <v>69.400000000000006</v>
      </c>
      <c r="CP47" s="71">
        <v>71.7</v>
      </c>
      <c r="CQ47" s="136">
        <f t="shared" ref="CQ47" si="253">CP47</f>
        <v>71.7</v>
      </c>
      <c r="CR47" s="126"/>
      <c r="CS47" s="84">
        <v>69.7</v>
      </c>
      <c r="CT47" s="71">
        <v>70.8</v>
      </c>
      <c r="CU47" s="71">
        <v>71.099999999999994</v>
      </c>
      <c r="CV47" s="71">
        <v>73.7</v>
      </c>
      <c r="CW47" s="136">
        <f t="shared" ref="CW47" si="254">CV47</f>
        <v>73.7</v>
      </c>
      <c r="CX47" s="126"/>
      <c r="CY47" s="84">
        <v>72.400000000000006</v>
      </c>
      <c r="CZ47" s="71">
        <v>75.2</v>
      </c>
      <c r="DA47" s="71">
        <v>72.8</v>
      </c>
      <c r="DB47" s="71">
        <v>74</v>
      </c>
      <c r="DC47" s="136">
        <f t="shared" ref="DC47" si="255">DB47</f>
        <v>74</v>
      </c>
      <c r="DD47" s="126"/>
      <c r="DE47" s="84">
        <v>5.3</v>
      </c>
      <c r="DF47" s="71">
        <v>5.2</v>
      </c>
      <c r="DG47" s="71">
        <v>5.2</v>
      </c>
      <c r="DH47" s="71">
        <v>9.6</v>
      </c>
      <c r="DI47" s="136">
        <f t="shared" ref="DI47" si="256">DH47</f>
        <v>9.6</v>
      </c>
      <c r="DJ47" s="126"/>
      <c r="DK47" s="81">
        <f t="shared" ref="DK47" si="257">DH47</f>
        <v>9.6</v>
      </c>
      <c r="DL47" s="69">
        <f t="shared" ref="DL47" si="258">DK47</f>
        <v>9.6</v>
      </c>
      <c r="DM47" s="69">
        <f t="shared" ref="DM47" si="259">DL47</f>
        <v>9.6</v>
      </c>
      <c r="DN47" s="69">
        <f t="shared" ref="DN47" si="260">DM47</f>
        <v>9.6</v>
      </c>
      <c r="DO47" s="136">
        <f t="shared" ref="DO47" si="261">DN47</f>
        <v>9.6</v>
      </c>
      <c r="DP47" s="126"/>
      <c r="DQ47" s="81">
        <f t="shared" ref="DQ47" si="262">DN47</f>
        <v>9.6</v>
      </c>
      <c r="DR47" s="69">
        <f t="shared" ref="DR47" si="263">DQ47</f>
        <v>9.6</v>
      </c>
      <c r="DS47" s="69">
        <f t="shared" ref="DS47" si="264">DR47</f>
        <v>9.6</v>
      </c>
      <c r="DT47" s="69">
        <f t="shared" ref="DT47" si="265">DS47</f>
        <v>9.6</v>
      </c>
      <c r="DU47" s="136">
        <f t="shared" ref="DU47" si="266">DT47</f>
        <v>9.6</v>
      </c>
      <c r="DV47" s="126"/>
      <c r="DW47" s="81">
        <f t="shared" ref="DW47" si="267">DT47</f>
        <v>9.6</v>
      </c>
      <c r="DX47" s="69">
        <f t="shared" ref="DX47" si="268">DW47</f>
        <v>9.6</v>
      </c>
      <c r="DY47" s="69">
        <f t="shared" ref="DY47" si="269">DX47</f>
        <v>9.6</v>
      </c>
      <c r="DZ47" s="69">
        <f t="shared" ref="DZ47" si="270">DY47</f>
        <v>9.6</v>
      </c>
      <c r="EA47" s="136">
        <f t="shared" ref="EA47" si="271">DZ47</f>
        <v>9.6</v>
      </c>
      <c r="EB47" s="126"/>
      <c r="EC47" s="81">
        <f t="shared" ref="EC47" si="272">DZ47</f>
        <v>9.6</v>
      </c>
      <c r="ED47" s="69">
        <f t="shared" ref="ED47" si="273">EC47</f>
        <v>9.6</v>
      </c>
      <c r="EE47" s="69">
        <f t="shared" ref="EE47" si="274">ED47</f>
        <v>9.6</v>
      </c>
      <c r="EF47" s="69">
        <f t="shared" ref="EF47" si="275">EE47</f>
        <v>9.6</v>
      </c>
      <c r="EG47" s="136">
        <f t="shared" ref="EG47" si="276">EF47</f>
        <v>9.6</v>
      </c>
      <c r="EH47" s="391"/>
      <c r="EI47" s="485"/>
      <c r="EJ47" s="10"/>
    </row>
    <row r="48" spans="1:140" ht="11.25" customHeight="1" x14ac:dyDescent="0.2">
      <c r="A48" s="51"/>
      <c r="B48" s="2"/>
      <c r="C48" s="2"/>
      <c r="D48" s="2"/>
      <c r="E48" s="93"/>
      <c r="F48" s="126"/>
      <c r="G48" s="93"/>
      <c r="H48" s="126"/>
      <c r="I48" s="93"/>
      <c r="J48" s="126"/>
      <c r="K48" s="93"/>
      <c r="L48" s="126"/>
      <c r="M48" s="82"/>
      <c r="N48" s="67"/>
      <c r="O48" s="67"/>
      <c r="P48" s="67"/>
      <c r="Q48" s="136"/>
      <c r="R48" s="126"/>
      <c r="S48" s="82"/>
      <c r="T48" s="67"/>
      <c r="U48" s="67"/>
      <c r="V48" s="67"/>
      <c r="W48" s="136"/>
      <c r="X48" s="126"/>
      <c r="Y48" s="82"/>
      <c r="Z48" s="67"/>
      <c r="AA48" s="67"/>
      <c r="AB48" s="67"/>
      <c r="AC48" s="136"/>
      <c r="AD48" s="126"/>
      <c r="AE48" s="82"/>
      <c r="AF48" s="67"/>
      <c r="AG48" s="67"/>
      <c r="AH48" s="67"/>
      <c r="AI48" s="136"/>
      <c r="AJ48" s="126"/>
      <c r="AK48" s="82"/>
      <c r="AL48" s="67"/>
      <c r="AM48" s="67"/>
      <c r="AN48" s="67"/>
      <c r="AO48" s="136"/>
      <c r="AP48" s="126"/>
      <c r="AQ48" s="82"/>
      <c r="AR48" s="67"/>
      <c r="AS48" s="67"/>
      <c r="AT48" s="67"/>
      <c r="AU48" s="136"/>
      <c r="AV48" s="126"/>
      <c r="AW48" s="82"/>
      <c r="AX48" s="67"/>
      <c r="AY48" s="67"/>
      <c r="AZ48" s="67"/>
      <c r="BA48" s="136"/>
      <c r="BB48" s="126"/>
      <c r="BC48" s="82"/>
      <c r="BD48" s="67"/>
      <c r="BE48" s="67"/>
      <c r="BF48" s="67"/>
      <c r="BG48" s="136"/>
      <c r="BH48" s="126"/>
      <c r="BI48" s="82"/>
      <c r="BJ48" s="67"/>
      <c r="BK48" s="67"/>
      <c r="BL48" s="67"/>
      <c r="BM48" s="136"/>
      <c r="BN48" s="126"/>
      <c r="BO48" s="82"/>
      <c r="BP48" s="67"/>
      <c r="BQ48" s="67"/>
      <c r="BR48" s="67"/>
      <c r="BS48" s="136"/>
      <c r="BT48" s="126"/>
      <c r="BU48" s="82"/>
      <c r="BV48" s="67"/>
      <c r="BW48" s="67"/>
      <c r="BX48" s="67"/>
      <c r="BY48" s="136"/>
      <c r="BZ48" s="126"/>
      <c r="CA48" s="82"/>
      <c r="CB48" s="67"/>
      <c r="CC48" s="67"/>
      <c r="CD48" s="67"/>
      <c r="CE48" s="136"/>
      <c r="CF48" s="126"/>
      <c r="CG48" s="82"/>
      <c r="CH48" s="67"/>
      <c r="CI48" s="67"/>
      <c r="CJ48" s="67"/>
      <c r="CK48" s="136"/>
      <c r="CL48" s="126"/>
      <c r="CM48" s="82"/>
      <c r="CN48" s="67"/>
      <c r="CO48" s="67"/>
      <c r="CP48" s="67"/>
      <c r="CQ48" s="136"/>
      <c r="CR48" s="126"/>
      <c r="CS48" s="82"/>
      <c r="CT48" s="67"/>
      <c r="CU48" s="67"/>
      <c r="CV48" s="67"/>
      <c r="CW48" s="136"/>
      <c r="CX48" s="126"/>
      <c r="CY48" s="82"/>
      <c r="CZ48" s="67"/>
      <c r="DA48" s="67"/>
      <c r="DB48" s="67"/>
      <c r="DC48" s="136"/>
      <c r="DD48" s="126"/>
      <c r="DE48" s="82"/>
      <c r="DF48" s="67"/>
      <c r="DG48" s="67"/>
      <c r="DH48" s="67"/>
      <c r="DI48" s="136"/>
      <c r="DJ48" s="126"/>
      <c r="DK48" s="82"/>
      <c r="DL48" s="67"/>
      <c r="DM48" s="67"/>
      <c r="DN48" s="67"/>
      <c r="DO48" s="136"/>
      <c r="DP48" s="126"/>
      <c r="DQ48" s="82"/>
      <c r="DR48" s="67"/>
      <c r="DS48" s="67"/>
      <c r="DT48" s="67"/>
      <c r="DU48" s="136"/>
      <c r="DV48" s="126"/>
      <c r="DW48" s="82"/>
      <c r="DX48" s="67"/>
      <c r="DY48" s="67"/>
      <c r="DZ48" s="67"/>
      <c r="EA48" s="136"/>
      <c r="EB48" s="126"/>
      <c r="EC48" s="82"/>
      <c r="ED48" s="67"/>
      <c r="EE48" s="67"/>
      <c r="EF48" s="67"/>
      <c r="EG48" s="136"/>
      <c r="EH48" s="391"/>
      <c r="EI48" s="485"/>
      <c r="EJ48" s="10"/>
    </row>
    <row r="49" spans="1:140" ht="11.25" customHeight="1" x14ac:dyDescent="0.2">
      <c r="A49" s="51" t="s">
        <v>67</v>
      </c>
      <c r="B49" s="2"/>
      <c r="C49" s="2"/>
      <c r="D49" s="2"/>
      <c r="E49" s="93"/>
      <c r="F49" s="126"/>
      <c r="G49" s="93"/>
      <c r="H49" s="126"/>
      <c r="I49" s="93"/>
      <c r="J49" s="126"/>
      <c r="K49" s="93"/>
      <c r="L49" s="126"/>
      <c r="M49" s="82"/>
      <c r="N49" s="67"/>
      <c r="O49" s="67"/>
      <c r="P49" s="67"/>
      <c r="Q49" s="136"/>
      <c r="R49" s="126"/>
      <c r="S49" s="82"/>
      <c r="T49" s="67"/>
      <c r="U49" s="67"/>
      <c r="V49" s="67"/>
      <c r="W49" s="136"/>
      <c r="X49" s="126"/>
      <c r="Y49" s="82"/>
      <c r="Z49" s="67"/>
      <c r="AA49" s="67"/>
      <c r="AB49" s="67"/>
      <c r="AC49" s="136"/>
      <c r="AD49" s="126"/>
      <c r="AE49" s="82"/>
      <c r="AF49" s="67"/>
      <c r="AG49" s="67"/>
      <c r="AH49" s="67"/>
      <c r="AI49" s="136"/>
      <c r="AJ49" s="126"/>
      <c r="AK49" s="82"/>
      <c r="AL49" s="67"/>
      <c r="AM49" s="67"/>
      <c r="AN49" s="67"/>
      <c r="AO49" s="136"/>
      <c r="AP49" s="126"/>
      <c r="AQ49" s="82"/>
      <c r="AR49" s="67"/>
      <c r="AS49" s="67"/>
      <c r="AT49" s="67"/>
      <c r="AU49" s="136"/>
      <c r="AV49" s="126"/>
      <c r="AW49" s="82"/>
      <c r="AX49" s="67"/>
      <c r="AY49" s="67"/>
      <c r="AZ49" s="67"/>
      <c r="BA49" s="136"/>
      <c r="BB49" s="126"/>
      <c r="BC49" s="82"/>
      <c r="BD49" s="67"/>
      <c r="BE49" s="67"/>
      <c r="BF49" s="67"/>
      <c r="BG49" s="136"/>
      <c r="BH49" s="126"/>
      <c r="BI49" s="82"/>
      <c r="BJ49" s="67"/>
      <c r="BK49" s="67"/>
      <c r="BL49" s="67"/>
      <c r="BM49" s="136"/>
      <c r="BN49" s="126"/>
      <c r="BO49" s="82"/>
      <c r="BP49" s="67"/>
      <c r="BQ49" s="67"/>
      <c r="BR49" s="67"/>
      <c r="BS49" s="136"/>
      <c r="BT49" s="126"/>
      <c r="BU49" s="82"/>
      <c r="BV49" s="67"/>
      <c r="BW49" s="67"/>
      <c r="BX49" s="67"/>
      <c r="BY49" s="136"/>
      <c r="BZ49" s="126"/>
      <c r="CA49" s="82"/>
      <c r="CB49" s="67"/>
      <c r="CC49" s="67"/>
      <c r="CD49" s="67"/>
      <c r="CE49" s="136"/>
      <c r="CF49" s="126"/>
      <c r="CG49" s="82"/>
      <c r="CH49" s="67"/>
      <c r="CI49" s="67"/>
      <c r="CJ49" s="67"/>
      <c r="CK49" s="136"/>
      <c r="CL49" s="126"/>
      <c r="CM49" s="82"/>
      <c r="CN49" s="67"/>
      <c r="CO49" s="67"/>
      <c r="CP49" s="67"/>
      <c r="CQ49" s="136"/>
      <c r="CR49" s="126"/>
      <c r="CS49" s="82"/>
      <c r="CT49" s="67"/>
      <c r="CU49" s="67"/>
      <c r="CV49" s="67"/>
      <c r="CW49" s="136"/>
      <c r="CX49" s="126"/>
      <c r="CY49" s="82"/>
      <c r="CZ49" s="67"/>
      <c r="DA49" s="67"/>
      <c r="DB49" s="67"/>
      <c r="DC49" s="136"/>
      <c r="DD49" s="126"/>
      <c r="DE49" s="82"/>
      <c r="DF49" s="67"/>
      <c r="DG49" s="67"/>
      <c r="DH49" s="67"/>
      <c r="DI49" s="136"/>
      <c r="DJ49" s="126"/>
      <c r="DK49" s="82"/>
      <c r="DL49" s="67"/>
      <c r="DM49" s="67"/>
      <c r="DN49" s="67"/>
      <c r="DO49" s="136"/>
      <c r="DP49" s="126"/>
      <c r="DQ49" s="82"/>
      <c r="DR49" s="67"/>
      <c r="DS49" s="67"/>
      <c r="DT49" s="67"/>
      <c r="DU49" s="136"/>
      <c r="DV49" s="126"/>
      <c r="DW49" s="82"/>
      <c r="DX49" s="67"/>
      <c r="DY49" s="67"/>
      <c r="DZ49" s="67"/>
      <c r="EA49" s="136"/>
      <c r="EB49" s="126"/>
      <c r="EC49" s="82"/>
      <c r="ED49" s="67"/>
      <c r="EE49" s="67"/>
      <c r="EF49" s="67"/>
      <c r="EG49" s="136"/>
      <c r="EH49" s="391"/>
      <c r="EI49" s="485"/>
      <c r="EJ49" s="10"/>
    </row>
    <row r="50" spans="1:140" ht="11.25" customHeight="1" x14ac:dyDescent="0.2">
      <c r="A50" s="51" t="s">
        <v>174</v>
      </c>
      <c r="B50" s="2"/>
      <c r="C50" s="2"/>
      <c r="D50" s="2"/>
      <c r="E50" s="92">
        <v>1.464</v>
      </c>
      <c r="F50" s="126"/>
      <c r="G50" s="92">
        <v>1.5329999999999999</v>
      </c>
      <c r="H50" s="126"/>
      <c r="I50" s="92">
        <v>1.54</v>
      </c>
      <c r="J50" s="126"/>
      <c r="K50" s="92">
        <v>1.556</v>
      </c>
      <c r="L50" s="126"/>
      <c r="M50" s="84">
        <v>1.5620000000000001</v>
      </c>
      <c r="N50" s="71">
        <v>1.569</v>
      </c>
      <c r="O50" s="71">
        <v>1.569</v>
      </c>
      <c r="P50" s="71">
        <v>1.573</v>
      </c>
      <c r="Q50" s="136">
        <f t="shared" ref="Q50:Q54" si="277">P50</f>
        <v>1.573</v>
      </c>
      <c r="R50" s="126"/>
      <c r="S50" s="84">
        <v>1.65</v>
      </c>
      <c r="T50" s="71">
        <v>1.6519999999999999</v>
      </c>
      <c r="U50" s="71">
        <v>1.6639999999999999</v>
      </c>
      <c r="V50" s="71">
        <v>1.665</v>
      </c>
      <c r="W50" s="136">
        <f t="shared" ref="W50:W54" si="278">V50</f>
        <v>1.665</v>
      </c>
      <c r="X50" s="126"/>
      <c r="Y50" s="84">
        <v>1.6679999999999999</v>
      </c>
      <c r="Z50" s="71">
        <v>1.6719999999999999</v>
      </c>
      <c r="AA50" s="71">
        <v>1.675</v>
      </c>
      <c r="AB50" s="71">
        <v>1.677</v>
      </c>
      <c r="AC50" s="136">
        <f t="shared" ref="AC50:AC54" si="279">AB50</f>
        <v>1.677</v>
      </c>
      <c r="AD50" s="126"/>
      <c r="AE50" s="84">
        <v>1.68</v>
      </c>
      <c r="AF50" s="71">
        <v>3.363</v>
      </c>
      <c r="AG50" s="71">
        <v>3.3660000000000001</v>
      </c>
      <c r="AH50" s="71">
        <v>3.3690000000000002</v>
      </c>
      <c r="AI50" s="136">
        <f t="shared" ref="AI50:AI54" si="280">AH50</f>
        <v>3.3690000000000002</v>
      </c>
      <c r="AJ50" s="126"/>
      <c r="AK50" s="84">
        <v>3.3730000000000002</v>
      </c>
      <c r="AL50" s="71">
        <v>3.375</v>
      </c>
      <c r="AM50" s="71">
        <v>3.379</v>
      </c>
      <c r="AN50" s="71">
        <v>3.3849999999999998</v>
      </c>
      <c r="AO50" s="136">
        <f t="shared" ref="AO50:AO54" si="281">AN50</f>
        <v>3.3849999999999998</v>
      </c>
      <c r="AP50" s="126"/>
      <c r="AQ50" s="84">
        <v>3.3940000000000001</v>
      </c>
      <c r="AR50" s="71">
        <v>3.403</v>
      </c>
      <c r="AS50" s="71">
        <v>3.407</v>
      </c>
      <c r="AT50" s="71">
        <v>3.4119999999999999</v>
      </c>
      <c r="AU50" s="136">
        <f t="shared" ref="AU50:AU54" si="282">AT50</f>
        <v>3.4119999999999999</v>
      </c>
      <c r="AV50" s="126"/>
      <c r="AW50" s="84">
        <v>3.4209999999999998</v>
      </c>
      <c r="AX50" s="71">
        <v>3.427</v>
      </c>
      <c r="AY50" s="71">
        <v>3.45</v>
      </c>
      <c r="AZ50" s="71">
        <v>3.5259999999999998</v>
      </c>
      <c r="BA50" s="136">
        <f t="shared" ref="BA50:BA54" si="283">AZ50</f>
        <v>3.5259999999999998</v>
      </c>
      <c r="BB50" s="126"/>
      <c r="BC50" s="84">
        <v>3.53</v>
      </c>
      <c r="BD50" s="71">
        <v>3.536</v>
      </c>
      <c r="BE50" s="71">
        <v>3.5419999999999998</v>
      </c>
      <c r="BF50" s="71">
        <v>3.544</v>
      </c>
      <c r="BG50" s="136">
        <f t="shared" ref="BG50:BG54" si="284">BF50</f>
        <v>3.544</v>
      </c>
      <c r="BH50" s="126"/>
      <c r="BI50" s="84">
        <v>3.548</v>
      </c>
      <c r="BJ50" s="71">
        <v>3.5579999999999998</v>
      </c>
      <c r="BK50" s="71">
        <v>3.5710000000000002</v>
      </c>
      <c r="BL50" s="71">
        <v>3.589</v>
      </c>
      <c r="BM50" s="136">
        <f t="shared" ref="BM50:BM54" si="285">BL50</f>
        <v>3.589</v>
      </c>
      <c r="BN50" s="126"/>
      <c r="BO50" s="84">
        <v>3.6070000000000002</v>
      </c>
      <c r="BP50" s="71">
        <v>7.2560000000000002</v>
      </c>
      <c r="BQ50" s="71">
        <v>7.2690000000000001</v>
      </c>
      <c r="BR50" s="71">
        <v>7.2949999999999999</v>
      </c>
      <c r="BS50" s="136">
        <f t="shared" ref="BS50:BS54" si="286">BR50</f>
        <v>7.2949999999999999</v>
      </c>
      <c r="BT50" s="126"/>
      <c r="BU50" s="84">
        <v>7.37</v>
      </c>
      <c r="BV50" s="71">
        <v>7.585</v>
      </c>
      <c r="BW50" s="71">
        <v>7.5960000000000001</v>
      </c>
      <c r="BX50" s="71">
        <v>7.6109999999999998</v>
      </c>
      <c r="BY50" s="136">
        <f t="shared" ref="BY50:BY54" si="287">BX50</f>
        <v>7.6109999999999998</v>
      </c>
      <c r="BZ50" s="126"/>
      <c r="CA50" s="84">
        <v>7.6680000000000001</v>
      </c>
      <c r="CB50" s="71">
        <v>7.6959999999999997</v>
      </c>
      <c r="CC50" s="71">
        <v>7.718</v>
      </c>
      <c r="CD50" s="71">
        <v>7.7</v>
      </c>
      <c r="CE50" s="136">
        <f t="shared" ref="CE50:CE54" si="288">CD50</f>
        <v>7.7</v>
      </c>
      <c r="CF50" s="126"/>
      <c r="CG50" s="84">
        <v>7.8</v>
      </c>
      <c r="CH50" s="71">
        <v>7.8</v>
      </c>
      <c r="CI50" s="71">
        <v>7.8</v>
      </c>
      <c r="CJ50" s="71">
        <v>7.9</v>
      </c>
      <c r="CK50" s="136">
        <f t="shared" ref="CK50:CK54" si="289">CJ50</f>
        <v>7.9</v>
      </c>
      <c r="CL50" s="126"/>
      <c r="CM50" s="84">
        <v>7.9</v>
      </c>
      <c r="CN50" s="71">
        <v>7.9</v>
      </c>
      <c r="CO50" s="71">
        <v>7.9</v>
      </c>
      <c r="CP50" s="71">
        <v>7.9</v>
      </c>
      <c r="CQ50" s="136">
        <f t="shared" ref="CQ50:CQ54" si="290">CP50</f>
        <v>7.9</v>
      </c>
      <c r="CR50" s="126"/>
      <c r="CS50" s="84">
        <v>8</v>
      </c>
      <c r="CT50" s="71">
        <v>8</v>
      </c>
      <c r="CU50" s="71">
        <v>8</v>
      </c>
      <c r="CV50" s="71">
        <v>8</v>
      </c>
      <c r="CW50" s="136">
        <f t="shared" ref="CW50:CW54" si="291">CV50</f>
        <v>8</v>
      </c>
      <c r="CX50" s="126"/>
      <c r="CY50" s="84">
        <v>8</v>
      </c>
      <c r="CZ50" s="71">
        <v>8.1</v>
      </c>
      <c r="DA50" s="71">
        <v>8.1</v>
      </c>
      <c r="DB50" s="71">
        <v>8.1</v>
      </c>
      <c r="DC50" s="136">
        <f t="shared" ref="DC50:DI54" si="292">DB50</f>
        <v>8.1</v>
      </c>
      <c r="DD50" s="126"/>
      <c r="DE50" s="84">
        <v>8.1</v>
      </c>
      <c r="DF50" s="71">
        <v>8.1</v>
      </c>
      <c r="DG50" s="71">
        <v>8.1</v>
      </c>
      <c r="DH50" s="71">
        <v>8.1</v>
      </c>
      <c r="DI50" s="136">
        <f t="shared" si="292"/>
        <v>8.1</v>
      </c>
      <c r="DJ50" s="126"/>
      <c r="DK50" s="81">
        <f t="shared" ref="DK50" si="293">DH50</f>
        <v>8.1</v>
      </c>
      <c r="DL50" s="69">
        <f t="shared" ref="DL50" si="294">DK50</f>
        <v>8.1</v>
      </c>
      <c r="DM50" s="69">
        <f t="shared" ref="DM50" si="295">DL50</f>
        <v>8.1</v>
      </c>
      <c r="DN50" s="69">
        <f t="shared" ref="DN50" si="296">DM50</f>
        <v>8.1</v>
      </c>
      <c r="DO50" s="136">
        <f t="shared" ref="DO50:DO54" si="297">DN50</f>
        <v>8.1</v>
      </c>
      <c r="DP50" s="126"/>
      <c r="DQ50" s="81">
        <f t="shared" ref="DQ50" si="298">DN50</f>
        <v>8.1</v>
      </c>
      <c r="DR50" s="69">
        <f t="shared" ref="DR50" si="299">DQ50</f>
        <v>8.1</v>
      </c>
      <c r="DS50" s="69">
        <f t="shared" ref="DS50" si="300">DR50</f>
        <v>8.1</v>
      </c>
      <c r="DT50" s="69">
        <f t="shared" ref="DT50" si="301">DS50</f>
        <v>8.1</v>
      </c>
      <c r="DU50" s="136">
        <f t="shared" ref="DU50:DU54" si="302">DT50</f>
        <v>8.1</v>
      </c>
      <c r="DV50" s="126"/>
      <c r="DW50" s="81">
        <f t="shared" ref="DW50" si="303">DT50</f>
        <v>8.1</v>
      </c>
      <c r="DX50" s="69">
        <f t="shared" ref="DX50" si="304">DW50</f>
        <v>8.1</v>
      </c>
      <c r="DY50" s="69">
        <f t="shared" ref="DY50" si="305">DX50</f>
        <v>8.1</v>
      </c>
      <c r="DZ50" s="69">
        <f t="shared" ref="DZ50" si="306">DY50</f>
        <v>8.1</v>
      </c>
      <c r="EA50" s="136">
        <f t="shared" ref="EA50:EA54" si="307">DZ50</f>
        <v>8.1</v>
      </c>
      <c r="EB50" s="126"/>
      <c r="EC50" s="81">
        <f t="shared" ref="EC50" si="308">DZ50</f>
        <v>8.1</v>
      </c>
      <c r="ED50" s="69">
        <f t="shared" ref="ED50" si="309">EC50</f>
        <v>8.1</v>
      </c>
      <c r="EE50" s="69">
        <f t="shared" ref="EE50" si="310">ED50</f>
        <v>8.1</v>
      </c>
      <c r="EF50" s="69">
        <f t="shared" ref="EF50" si="311">EE50</f>
        <v>8.1</v>
      </c>
      <c r="EG50" s="136">
        <f t="shared" ref="EG50:EG54" si="312">EF50</f>
        <v>8.1</v>
      </c>
      <c r="EH50" s="391"/>
      <c r="EI50" s="485"/>
      <c r="EJ50" s="10"/>
    </row>
    <row r="51" spans="1:140" ht="11.25" customHeight="1" x14ac:dyDescent="0.2">
      <c r="A51" s="51" t="s">
        <v>93</v>
      </c>
      <c r="B51" s="2"/>
      <c r="C51" s="2"/>
      <c r="D51" s="2"/>
      <c r="E51" s="92">
        <v>344.84300000000002</v>
      </c>
      <c r="F51" s="126"/>
      <c r="G51" s="92">
        <v>332.05700000000002</v>
      </c>
      <c r="H51" s="126"/>
      <c r="I51" s="92">
        <v>420.036</v>
      </c>
      <c r="J51" s="126"/>
      <c r="K51" s="92">
        <v>364.42599999999999</v>
      </c>
      <c r="L51" s="126"/>
      <c r="M51" s="84">
        <v>377.53500000000003</v>
      </c>
      <c r="N51" s="71">
        <v>387.86200000000002</v>
      </c>
      <c r="O51" s="71">
        <v>382.06900000000002</v>
      </c>
      <c r="P51" s="71">
        <v>375.279</v>
      </c>
      <c r="Q51" s="136">
        <f t="shared" si="277"/>
        <v>375.279</v>
      </c>
      <c r="R51" s="126"/>
      <c r="S51" s="84">
        <v>856.89400000000001</v>
      </c>
      <c r="T51" s="71">
        <v>863.024</v>
      </c>
      <c r="U51" s="71">
        <v>909.12900000000002</v>
      </c>
      <c r="V51" s="71">
        <v>915.56200000000001</v>
      </c>
      <c r="W51" s="136">
        <f t="shared" si="278"/>
        <v>915.56200000000001</v>
      </c>
      <c r="X51" s="126"/>
      <c r="Y51" s="84">
        <v>925.08199999999999</v>
      </c>
      <c r="Z51" s="71">
        <v>940.92</v>
      </c>
      <c r="AA51" s="71">
        <v>988.03700000000003</v>
      </c>
      <c r="AB51" s="71">
        <v>999.78599999999994</v>
      </c>
      <c r="AC51" s="136">
        <f t="shared" si="279"/>
        <v>999.78599999999994</v>
      </c>
      <c r="AD51" s="126"/>
      <c r="AE51" s="84">
        <v>1012.816</v>
      </c>
      <c r="AF51" s="71">
        <v>1024.79</v>
      </c>
      <c r="AG51" s="71">
        <v>1037.7560000000001</v>
      </c>
      <c r="AH51" s="71">
        <v>1052.154</v>
      </c>
      <c r="AI51" s="136">
        <f t="shared" si="280"/>
        <v>1052.154</v>
      </c>
      <c r="AJ51" s="126"/>
      <c r="AK51" s="84">
        <v>1067.2850000000001</v>
      </c>
      <c r="AL51" s="71">
        <v>1031.1210000000001</v>
      </c>
      <c r="AM51" s="71">
        <v>998.42100000000005</v>
      </c>
      <c r="AN51" s="71">
        <v>861.875</v>
      </c>
      <c r="AO51" s="136">
        <f t="shared" si="281"/>
        <v>861.875</v>
      </c>
      <c r="AP51" s="126"/>
      <c r="AQ51" s="84">
        <v>904.02</v>
      </c>
      <c r="AR51" s="71">
        <v>951.82799999999997</v>
      </c>
      <c r="AS51" s="71">
        <v>989.64599999999996</v>
      </c>
      <c r="AT51" s="71">
        <v>1027.454</v>
      </c>
      <c r="AU51" s="136">
        <f t="shared" si="282"/>
        <v>1027.454</v>
      </c>
      <c r="AV51" s="126"/>
      <c r="AW51" s="84">
        <v>1081.627</v>
      </c>
      <c r="AX51" s="71">
        <v>1006.848</v>
      </c>
      <c r="AY51" s="71">
        <v>1125.9849999999999</v>
      </c>
      <c r="AZ51" s="71">
        <v>1718.7159999999999</v>
      </c>
      <c r="BA51" s="136">
        <f t="shared" si="283"/>
        <v>1718.7159999999999</v>
      </c>
      <c r="BB51" s="126"/>
      <c r="BC51" s="84">
        <v>1766.8320000000001</v>
      </c>
      <c r="BD51" s="71">
        <v>1804.008</v>
      </c>
      <c r="BE51" s="71">
        <v>1854.912</v>
      </c>
      <c r="BF51" s="71">
        <v>1812.963</v>
      </c>
      <c r="BG51" s="136">
        <f t="shared" si="284"/>
        <v>1812.963</v>
      </c>
      <c r="BH51" s="126"/>
      <c r="BI51" s="84">
        <v>1854.088</v>
      </c>
      <c r="BJ51" s="71">
        <v>1905.4</v>
      </c>
      <c r="BK51" s="71">
        <f>1976.451</f>
        <v>1976.451</v>
      </c>
      <c r="BL51" s="71">
        <v>2074.5010000000002</v>
      </c>
      <c r="BM51" s="136">
        <f t="shared" si="285"/>
        <v>2074.5010000000002</v>
      </c>
      <c r="BN51" s="126"/>
      <c r="BO51" s="84">
        <v>2125.3649999999998</v>
      </c>
      <c r="BP51" s="71">
        <v>2257.0680000000002</v>
      </c>
      <c r="BQ51" s="71">
        <v>2307.5479999999998</v>
      </c>
      <c r="BR51" s="71">
        <v>2412.4009999999998</v>
      </c>
      <c r="BS51" s="136">
        <f t="shared" si="286"/>
        <v>2412.4009999999998</v>
      </c>
      <c r="BT51" s="126"/>
      <c r="BU51" s="84">
        <v>2682.9290000000001</v>
      </c>
      <c r="BV51" s="71">
        <v>3746.9949999999999</v>
      </c>
      <c r="BW51" s="71">
        <v>3800.7359999999999</v>
      </c>
      <c r="BX51" s="71">
        <v>3877.24</v>
      </c>
      <c r="BY51" s="136">
        <f t="shared" si="287"/>
        <v>3877.24</v>
      </c>
      <c r="BZ51" s="126"/>
      <c r="CA51" s="84">
        <v>4015.732</v>
      </c>
      <c r="CB51" s="71">
        <v>4133.9669999999996</v>
      </c>
      <c r="CC51" s="71">
        <v>3961.8670000000002</v>
      </c>
      <c r="CD51" s="71">
        <v>3688.1</v>
      </c>
      <c r="CE51" s="136">
        <f t="shared" si="288"/>
        <v>3688.1</v>
      </c>
      <c r="CF51" s="126"/>
      <c r="CG51" s="84">
        <v>3886.8</v>
      </c>
      <c r="CH51" s="71">
        <v>4013</v>
      </c>
      <c r="CI51" s="71">
        <v>4088.5</v>
      </c>
      <c r="CJ51" s="71">
        <v>4157.6000000000004</v>
      </c>
      <c r="CK51" s="136">
        <f t="shared" si="289"/>
        <v>4157.6000000000004</v>
      </c>
      <c r="CL51" s="126"/>
      <c r="CM51" s="84">
        <v>4220.1000000000004</v>
      </c>
      <c r="CN51" s="71">
        <v>4285.3999999999996</v>
      </c>
      <c r="CO51" s="71">
        <v>4380.8999999999996</v>
      </c>
      <c r="CP51" s="71">
        <v>4480.8999999999996</v>
      </c>
      <c r="CQ51" s="136">
        <f t="shared" si="290"/>
        <v>4480.8999999999996</v>
      </c>
      <c r="CR51" s="126"/>
      <c r="CS51" s="84">
        <v>4623.6000000000004</v>
      </c>
      <c r="CT51" s="71">
        <v>4728.1000000000004</v>
      </c>
      <c r="CU51" s="71">
        <v>4887.3</v>
      </c>
      <c r="CV51" s="71">
        <v>4981.2</v>
      </c>
      <c r="CW51" s="136">
        <f t="shared" si="291"/>
        <v>4981.2</v>
      </c>
      <c r="CX51" s="126"/>
      <c r="CY51" s="84">
        <v>5072.6000000000004</v>
      </c>
      <c r="CZ51" s="71">
        <v>5221.3999999999996</v>
      </c>
      <c r="DA51" s="71">
        <v>5262.7</v>
      </c>
      <c r="DB51" s="71">
        <v>5312.9</v>
      </c>
      <c r="DC51" s="136">
        <f t="shared" si="292"/>
        <v>5312.9</v>
      </c>
      <c r="DD51" s="126"/>
      <c r="DE51" s="84">
        <v>5370.5</v>
      </c>
      <c r="DF51" s="71">
        <v>5424.1</v>
      </c>
      <c r="DG51" s="71">
        <v>5472</v>
      </c>
      <c r="DH51" s="71">
        <v>5538.2</v>
      </c>
      <c r="DI51" s="136">
        <f t="shared" si="292"/>
        <v>5538.2</v>
      </c>
      <c r="DJ51" s="126"/>
      <c r="DK51" s="82">
        <f>DH51+CF!DK40+CF!DK47</f>
        <v>5660.4495999999999</v>
      </c>
      <c r="DL51" s="67">
        <f>DK51+CF!DL40+CF!DL47</f>
        <v>5782.3640960000002</v>
      </c>
      <c r="DM51" s="67">
        <f>DL51+CF!DM40+CF!DM47</f>
        <v>5900.8236697600005</v>
      </c>
      <c r="DN51" s="67">
        <f>DM51+CF!DN40+CF!DN47</f>
        <v>6017.0402512256005</v>
      </c>
      <c r="DO51" s="136">
        <f t="shared" si="297"/>
        <v>6017.0402512256005</v>
      </c>
      <c r="DP51" s="126"/>
      <c r="DQ51" s="82">
        <f>DN51+CF!DQ40+CF!DQ47</f>
        <v>6162.1485325704271</v>
      </c>
      <c r="DR51" s="67">
        <f>DQ51+CF!DR40+CF!DR47</f>
        <v>6306.7271571766823</v>
      </c>
      <c r="DS51" s="67">
        <f>DR51+CF!DS40+CF!DS47</f>
        <v>6447.9831127323723</v>
      </c>
      <c r="DT51" s="67">
        <f>DS51+CF!DT40+CF!DT47</f>
        <v>6587.0209967257842</v>
      </c>
      <c r="DU51" s="136">
        <f t="shared" si="302"/>
        <v>6587.0209967257842</v>
      </c>
      <c r="DV51" s="126"/>
      <c r="DW51" s="82">
        <f>DT51+CF!DW40+CF!DW47</f>
        <v>6729.3975118084663</v>
      </c>
      <c r="DX51" s="67">
        <f>DW51+CF!DX40+CF!DX47</f>
        <v>6871.1230341596165</v>
      </c>
      <c r="DY51" s="67">
        <f>DX51+CF!DY40+CF!DY47</f>
        <v>7009.6951823067839</v>
      </c>
      <c r="DZ51" s="67">
        <f>DY51+CF!DZ40+CF!DZ47</f>
        <v>7146.118687173227</v>
      </c>
      <c r="EA51" s="136">
        <f t="shared" si="307"/>
        <v>7146.118687173227</v>
      </c>
      <c r="EB51" s="126"/>
      <c r="EC51" s="82">
        <f>DZ51+CF!EC40+CF!EC47</f>
        <v>7285.4044857721938</v>
      </c>
      <c r="ED51" s="67">
        <f>EC51+CF!ED40+CF!ED47</f>
        <v>7423.9711774910693</v>
      </c>
      <c r="EE51" s="67">
        <f>ED51+CF!EE40+CF!EE47</f>
        <v>7559.5752778770593</v>
      </c>
      <c r="EF51" s="67">
        <f>EE51+CF!EF40+CF!EF47</f>
        <v>7693.1291408068018</v>
      </c>
      <c r="EG51" s="136">
        <f t="shared" si="312"/>
        <v>7693.1291408068018</v>
      </c>
      <c r="EH51" s="391"/>
      <c r="EI51" s="485"/>
      <c r="EJ51" s="10"/>
    </row>
    <row r="52" spans="1:140" ht="11.25" customHeight="1" x14ac:dyDescent="0.2">
      <c r="A52" s="51" t="s">
        <v>98</v>
      </c>
      <c r="B52" s="2"/>
      <c r="C52" s="2"/>
      <c r="D52" s="2"/>
      <c r="E52" s="92">
        <v>0</v>
      </c>
      <c r="F52" s="126"/>
      <c r="G52" s="92">
        <v>0</v>
      </c>
      <c r="H52" s="126"/>
      <c r="I52" s="92">
        <v>0</v>
      </c>
      <c r="J52" s="126"/>
      <c r="K52" s="92">
        <v>0</v>
      </c>
      <c r="L52" s="126"/>
      <c r="M52" s="84">
        <v>0</v>
      </c>
      <c r="N52" s="71">
        <v>0</v>
      </c>
      <c r="O52" s="71">
        <v>0</v>
      </c>
      <c r="P52" s="71">
        <v>0</v>
      </c>
      <c r="Q52" s="136">
        <f t="shared" si="277"/>
        <v>0</v>
      </c>
      <c r="R52" s="126"/>
      <c r="S52" s="84">
        <v>0</v>
      </c>
      <c r="T52" s="71">
        <v>0</v>
      </c>
      <c r="U52" s="71">
        <v>0</v>
      </c>
      <c r="V52" s="71">
        <v>0</v>
      </c>
      <c r="W52" s="136">
        <f t="shared" si="278"/>
        <v>0</v>
      </c>
      <c r="X52" s="126"/>
      <c r="Y52" s="84">
        <v>0</v>
      </c>
      <c r="Z52" s="71">
        <v>0</v>
      </c>
      <c r="AA52" s="71">
        <v>0</v>
      </c>
      <c r="AB52" s="71">
        <v>0</v>
      </c>
      <c r="AC52" s="136">
        <f t="shared" si="279"/>
        <v>0</v>
      </c>
      <c r="AD52" s="126"/>
      <c r="AE52" s="84">
        <v>0</v>
      </c>
      <c r="AF52" s="71">
        <v>0</v>
      </c>
      <c r="AG52" s="71">
        <v>0</v>
      </c>
      <c r="AH52" s="71">
        <v>0</v>
      </c>
      <c r="AI52" s="136">
        <f t="shared" si="280"/>
        <v>0</v>
      </c>
      <c r="AJ52" s="126"/>
      <c r="AK52" s="84">
        <v>0</v>
      </c>
      <c r="AL52" s="71">
        <v>0</v>
      </c>
      <c r="AM52" s="71">
        <v>0</v>
      </c>
      <c r="AN52" s="71">
        <v>0</v>
      </c>
      <c r="AO52" s="136">
        <f t="shared" si="281"/>
        <v>0</v>
      </c>
      <c r="AP52" s="126"/>
      <c r="AQ52" s="84">
        <v>0</v>
      </c>
      <c r="AR52" s="71">
        <v>0</v>
      </c>
      <c r="AS52" s="71">
        <v>0</v>
      </c>
      <c r="AT52" s="71">
        <v>0</v>
      </c>
      <c r="AU52" s="136">
        <f t="shared" si="282"/>
        <v>0</v>
      </c>
      <c r="AV52" s="126"/>
      <c r="AW52" s="84">
        <v>0</v>
      </c>
      <c r="AX52" s="71">
        <v>0</v>
      </c>
      <c r="AY52" s="71">
        <v>0</v>
      </c>
      <c r="AZ52" s="71">
        <v>0</v>
      </c>
      <c r="BA52" s="136">
        <f t="shared" si="283"/>
        <v>0</v>
      </c>
      <c r="BB52" s="126"/>
      <c r="BC52" s="84">
        <v>0</v>
      </c>
      <c r="BD52" s="71">
        <v>0</v>
      </c>
      <c r="BE52" s="71">
        <v>0</v>
      </c>
      <c r="BF52" s="71">
        <v>0</v>
      </c>
      <c r="BG52" s="136">
        <f t="shared" si="284"/>
        <v>0</v>
      </c>
      <c r="BH52" s="126"/>
      <c r="BI52" s="84">
        <v>0</v>
      </c>
      <c r="BJ52" s="71">
        <v>0</v>
      </c>
      <c r="BK52" s="71">
        <v>0</v>
      </c>
      <c r="BL52" s="71">
        <v>0</v>
      </c>
      <c r="BM52" s="136">
        <f t="shared" si="285"/>
        <v>0</v>
      </c>
      <c r="BN52" s="126"/>
      <c r="BO52" s="84">
        <v>0</v>
      </c>
      <c r="BP52" s="71">
        <v>0</v>
      </c>
      <c r="BQ52" s="71">
        <v>0</v>
      </c>
      <c r="BR52" s="71">
        <v>0</v>
      </c>
      <c r="BS52" s="136">
        <f t="shared" si="286"/>
        <v>0</v>
      </c>
      <c r="BT52" s="126"/>
      <c r="BU52" s="84">
        <v>0</v>
      </c>
      <c r="BV52" s="71">
        <v>0</v>
      </c>
      <c r="BW52" s="71">
        <v>0</v>
      </c>
      <c r="BX52" s="71">
        <v>0</v>
      </c>
      <c r="BY52" s="136">
        <f t="shared" si="287"/>
        <v>0</v>
      </c>
      <c r="BZ52" s="126"/>
      <c r="CA52" s="84">
        <v>0</v>
      </c>
      <c r="CB52" s="71">
        <v>0</v>
      </c>
      <c r="CC52" s="71">
        <v>0</v>
      </c>
      <c r="CD52" s="71">
        <v>0</v>
      </c>
      <c r="CE52" s="136">
        <f t="shared" si="288"/>
        <v>0</v>
      </c>
      <c r="CF52" s="126"/>
      <c r="CG52" s="84">
        <v>0</v>
      </c>
      <c r="CH52" s="71">
        <v>0</v>
      </c>
      <c r="CI52" s="71">
        <v>0</v>
      </c>
      <c r="CJ52" s="71">
        <v>0</v>
      </c>
      <c r="CK52" s="136">
        <f t="shared" si="289"/>
        <v>0</v>
      </c>
      <c r="CL52" s="126"/>
      <c r="CM52" s="84">
        <v>0</v>
      </c>
      <c r="CN52" s="71">
        <v>0</v>
      </c>
      <c r="CO52" s="71">
        <v>0</v>
      </c>
      <c r="CP52" s="71">
        <v>0</v>
      </c>
      <c r="CQ52" s="136">
        <f t="shared" si="290"/>
        <v>0</v>
      </c>
      <c r="CR52" s="126"/>
      <c r="CS52" s="84">
        <v>0</v>
      </c>
      <c r="CT52" s="71">
        <v>0</v>
      </c>
      <c r="CU52" s="71">
        <v>0</v>
      </c>
      <c r="CV52" s="71">
        <v>0</v>
      </c>
      <c r="CW52" s="136">
        <f t="shared" si="291"/>
        <v>0</v>
      </c>
      <c r="CX52" s="126"/>
      <c r="CY52" s="84">
        <v>0</v>
      </c>
      <c r="CZ52" s="71">
        <v>0</v>
      </c>
      <c r="DA52" s="71">
        <v>0</v>
      </c>
      <c r="DB52" s="71">
        <v>0</v>
      </c>
      <c r="DC52" s="136">
        <f t="shared" si="292"/>
        <v>0</v>
      </c>
      <c r="DD52" s="126"/>
      <c r="DE52" s="84">
        <v>0</v>
      </c>
      <c r="DF52" s="71">
        <v>0</v>
      </c>
      <c r="DG52" s="71">
        <v>0</v>
      </c>
      <c r="DH52" s="71">
        <v>0</v>
      </c>
      <c r="DI52" s="136">
        <f t="shared" si="292"/>
        <v>0</v>
      </c>
      <c r="DJ52" s="126"/>
      <c r="DK52" s="82">
        <f>DH52+CF!DK51</f>
        <v>0</v>
      </c>
      <c r="DL52" s="67">
        <f>DK52+CF!DL51</f>
        <v>0</v>
      </c>
      <c r="DM52" s="67">
        <f>DL52+CF!DM51</f>
        <v>0</v>
      </c>
      <c r="DN52" s="67">
        <f>DM52+CF!DN51</f>
        <v>0</v>
      </c>
      <c r="DO52" s="136">
        <f t="shared" si="297"/>
        <v>0</v>
      </c>
      <c r="DP52" s="126"/>
      <c r="DQ52" s="82">
        <f>DN52+CF!DQ51</f>
        <v>0</v>
      </c>
      <c r="DR52" s="67">
        <f>DQ52+CF!DR51</f>
        <v>0</v>
      </c>
      <c r="DS52" s="67">
        <f>DR52+CF!DS51</f>
        <v>0</v>
      </c>
      <c r="DT52" s="67">
        <f>DS52+CF!DT51</f>
        <v>0</v>
      </c>
      <c r="DU52" s="136">
        <f t="shared" si="302"/>
        <v>0</v>
      </c>
      <c r="DV52" s="126"/>
      <c r="DW52" s="82">
        <f>DT52+CF!DW51</f>
        <v>0</v>
      </c>
      <c r="DX52" s="67">
        <f>DW52+CF!DX51</f>
        <v>0</v>
      </c>
      <c r="DY52" s="67">
        <f>DX52+CF!DY51</f>
        <v>0</v>
      </c>
      <c r="DZ52" s="67">
        <f>DY52+CF!DZ51</f>
        <v>0</v>
      </c>
      <c r="EA52" s="136">
        <f t="shared" si="307"/>
        <v>0</v>
      </c>
      <c r="EB52" s="126"/>
      <c r="EC52" s="82">
        <f>DZ52+CF!EC51</f>
        <v>0</v>
      </c>
      <c r="ED52" s="67">
        <f>EC52+CF!ED51</f>
        <v>0</v>
      </c>
      <c r="EE52" s="67">
        <f>ED52+CF!EE51</f>
        <v>0</v>
      </c>
      <c r="EF52" s="67">
        <f>EE52+CF!EF51</f>
        <v>0</v>
      </c>
      <c r="EG52" s="136">
        <f t="shared" si="312"/>
        <v>0</v>
      </c>
      <c r="EH52" s="391"/>
      <c r="EI52" s="485"/>
      <c r="EJ52" s="10"/>
    </row>
    <row r="53" spans="1:140" ht="11.25" customHeight="1" x14ac:dyDescent="0.2">
      <c r="A53" s="51" t="s">
        <v>97</v>
      </c>
      <c r="B53" s="2"/>
      <c r="C53" s="2"/>
      <c r="D53" s="2"/>
      <c r="E53" s="92">
        <v>-13.259</v>
      </c>
      <c r="F53" s="126"/>
      <c r="G53" s="92">
        <v>-2.3730000000000002</v>
      </c>
      <c r="H53" s="126"/>
      <c r="I53" s="92">
        <v>-34.104999999999997</v>
      </c>
      <c r="J53" s="126"/>
      <c r="K53" s="92">
        <v>-59.13</v>
      </c>
      <c r="L53" s="126"/>
      <c r="M53" s="84">
        <v>-58.207999999999998</v>
      </c>
      <c r="N53" s="71">
        <v>-76.418000000000006</v>
      </c>
      <c r="O53" s="71">
        <v>-71.716999999999999</v>
      </c>
      <c r="P53" s="71">
        <v>-69.736000000000004</v>
      </c>
      <c r="Q53" s="136">
        <f t="shared" si="277"/>
        <v>-69.736000000000004</v>
      </c>
      <c r="R53" s="126"/>
      <c r="S53" s="84">
        <v>-68.381</v>
      </c>
      <c r="T53" s="71">
        <v>-54.963000000000001</v>
      </c>
      <c r="U53" s="71">
        <v>-67.819999999999993</v>
      </c>
      <c r="V53" s="71">
        <v>-105.973</v>
      </c>
      <c r="W53" s="136">
        <f t="shared" si="278"/>
        <v>-105.973</v>
      </c>
      <c r="X53" s="126"/>
      <c r="Y53" s="84">
        <v>-104.881</v>
      </c>
      <c r="Z53" s="71">
        <v>-86.844999999999999</v>
      </c>
      <c r="AA53" s="71">
        <v>-83.296999999999997</v>
      </c>
      <c r="AB53" s="71">
        <v>-74.606999999999999</v>
      </c>
      <c r="AC53" s="136">
        <f t="shared" si="279"/>
        <v>-74.606999999999999</v>
      </c>
      <c r="AD53" s="126"/>
      <c r="AE53" s="84">
        <v>-93.512</v>
      </c>
      <c r="AF53" s="71">
        <v>-83.613</v>
      </c>
      <c r="AG53" s="71">
        <v>-91.465999999999994</v>
      </c>
      <c r="AH53" s="71">
        <v>116.03700000000001</v>
      </c>
      <c r="AI53" s="136">
        <f t="shared" si="280"/>
        <v>116.03700000000001</v>
      </c>
      <c r="AJ53" s="126"/>
      <c r="AK53" s="84">
        <v>36.530999999999999</v>
      </c>
      <c r="AL53" s="71">
        <v>-89.287000000000006</v>
      </c>
      <c r="AM53" s="71">
        <v>-86.429000000000002</v>
      </c>
      <c r="AN53" s="71">
        <v>-109.279</v>
      </c>
      <c r="AO53" s="136">
        <f t="shared" si="281"/>
        <v>-109.279</v>
      </c>
      <c r="AP53" s="126"/>
      <c r="AQ53" s="84">
        <v>-67.048000000000002</v>
      </c>
      <c r="AR53" s="71">
        <v>61.951000000000001</v>
      </c>
      <c r="AS53" s="71">
        <v>54.088000000000001</v>
      </c>
      <c r="AT53" s="71">
        <v>191.98500000000001</v>
      </c>
      <c r="AU53" s="136">
        <f t="shared" si="282"/>
        <v>191.98500000000001</v>
      </c>
      <c r="AV53" s="126"/>
      <c r="AW53" s="84">
        <v>227.946</v>
      </c>
      <c r="AX53" s="71">
        <v>288.12200000000001</v>
      </c>
      <c r="AY53" s="71">
        <v>413.84500000000003</v>
      </c>
      <c r="AZ53" s="71">
        <v>542.69000000000005</v>
      </c>
      <c r="BA53" s="136">
        <f t="shared" si="283"/>
        <v>542.69000000000005</v>
      </c>
      <c r="BB53" s="126"/>
      <c r="BC53" s="84">
        <v>721.49800000000005</v>
      </c>
      <c r="BD53" s="71">
        <v>830.12099999999998</v>
      </c>
      <c r="BE53" s="71">
        <v>514.76300000000003</v>
      </c>
      <c r="BF53" s="71">
        <v>-103.1</v>
      </c>
      <c r="BG53" s="136">
        <f t="shared" si="284"/>
        <v>-103.1</v>
      </c>
      <c r="BH53" s="126"/>
      <c r="BI53" s="84">
        <v>-177.98500000000001</v>
      </c>
      <c r="BJ53" s="71">
        <v>84.156000000000006</v>
      </c>
      <c r="BK53" s="71">
        <f>279.359</f>
        <v>279.35899999999998</v>
      </c>
      <c r="BL53" s="71">
        <v>346.94400000000002</v>
      </c>
      <c r="BM53" s="136">
        <f t="shared" si="285"/>
        <v>346.94400000000002</v>
      </c>
      <c r="BN53" s="126"/>
      <c r="BO53" s="84">
        <v>231.79300000000001</v>
      </c>
      <c r="BP53" s="71">
        <v>-58.152999999999999</v>
      </c>
      <c r="BQ53" s="71">
        <v>371.91699999999997</v>
      </c>
      <c r="BR53" s="71">
        <v>345.38600000000002</v>
      </c>
      <c r="BS53" s="136">
        <f t="shared" si="286"/>
        <v>345.38600000000002</v>
      </c>
      <c r="BT53" s="126"/>
      <c r="BU53" s="84">
        <v>606.86199999999997</v>
      </c>
      <c r="BV53" s="71">
        <v>737.83900000000006</v>
      </c>
      <c r="BW53" s="71">
        <v>185.11</v>
      </c>
      <c r="BX53" s="71">
        <v>-36.936999999999998</v>
      </c>
      <c r="BY53" s="136">
        <f t="shared" si="287"/>
        <v>-36.936999999999998</v>
      </c>
      <c r="BZ53" s="126"/>
      <c r="CA53" s="84">
        <v>147.43600000000001</v>
      </c>
      <c r="CB53" s="71">
        <v>-74.944999999999993</v>
      </c>
      <c r="CC53" s="71">
        <v>149.874</v>
      </c>
      <c r="CD53" s="71">
        <v>-59.2</v>
      </c>
      <c r="CE53" s="136">
        <f t="shared" si="288"/>
        <v>-59.2</v>
      </c>
      <c r="CF53" s="126"/>
      <c r="CG53" s="84">
        <v>-268</v>
      </c>
      <c r="CH53" s="71">
        <v>-378.6</v>
      </c>
      <c r="CI53" s="71">
        <v>-25.2</v>
      </c>
      <c r="CJ53" s="71">
        <v>214.5</v>
      </c>
      <c r="CK53" s="136">
        <f t="shared" si="289"/>
        <v>214.5</v>
      </c>
      <c r="CL53" s="126"/>
      <c r="CM53" s="84">
        <v>218.6</v>
      </c>
      <c r="CN53" s="71">
        <v>305.8</v>
      </c>
      <c r="CO53" s="71">
        <v>-379.8</v>
      </c>
      <c r="CP53" s="71">
        <v>-1433.7</v>
      </c>
      <c r="CQ53" s="136">
        <f t="shared" si="290"/>
        <v>-1433.7</v>
      </c>
      <c r="CR53" s="126"/>
      <c r="CS53" s="84">
        <v>-2107.9</v>
      </c>
      <c r="CT53" s="71">
        <v>-2032.1</v>
      </c>
      <c r="CU53" s="71">
        <v>-2199</v>
      </c>
      <c r="CV53" s="71">
        <v>-2311.1999999999998</v>
      </c>
      <c r="CW53" s="136">
        <f t="shared" si="291"/>
        <v>-2311.1999999999998</v>
      </c>
      <c r="CX53" s="126"/>
      <c r="CY53" s="84">
        <v>-2236.5</v>
      </c>
      <c r="CZ53" s="71">
        <v>-2391.1999999999998</v>
      </c>
      <c r="DA53" s="71">
        <v>-2122.3000000000002</v>
      </c>
      <c r="DB53" s="71">
        <v>-3021.7</v>
      </c>
      <c r="DC53" s="136">
        <f t="shared" si="292"/>
        <v>-3021.7</v>
      </c>
      <c r="DD53" s="126"/>
      <c r="DE53" s="84">
        <v>-2705.2</v>
      </c>
      <c r="DF53" s="71">
        <v>-2414.5</v>
      </c>
      <c r="DG53" s="71">
        <v>-2151.8000000000002</v>
      </c>
      <c r="DH53" s="71">
        <v>-1994.2</v>
      </c>
      <c r="DI53" s="136">
        <f t="shared" si="292"/>
        <v>-1994.2</v>
      </c>
      <c r="DJ53" s="126"/>
      <c r="DK53" s="82">
        <f>DH53+CF!DK16+CF!DK50+CF!DK52</f>
        <v>-1958.6284000000001</v>
      </c>
      <c r="DL53" s="67">
        <f>DK53+CF!DL16+CF!DL50+CF!DL52</f>
        <v>-1921.8767321601274</v>
      </c>
      <c r="DM53" s="67">
        <f>DL53+CF!DM16+CF!DM50+CF!DM52</f>
        <v>-1885.7668886933996</v>
      </c>
      <c r="DN53" s="67">
        <f>DM53+CF!DN16+CF!DN50+CF!DN52</f>
        <v>-1846.5754678376725</v>
      </c>
      <c r="DO53" s="136">
        <f t="shared" si="297"/>
        <v>-1846.5754678376725</v>
      </c>
      <c r="DP53" s="126"/>
      <c r="DQ53" s="82">
        <f>DN53+CF!DQ16+CF!DQ50+CF!DQ52</f>
        <v>-1809.831497290905</v>
      </c>
      <c r="DR53" s="67">
        <f>DQ53+CF!DR16+CF!DR50+CF!DR52</f>
        <v>-1771.7457435267074</v>
      </c>
      <c r="DS53" s="67">
        <f>DR53+CF!DS16+CF!DS50+CF!DS52</f>
        <v>-1734.5875983985859</v>
      </c>
      <c r="DT53" s="67">
        <f>DS53+CF!DT16+CF!DT50+CF!DT52</f>
        <v>-1694.2079134885014</v>
      </c>
      <c r="DU53" s="136">
        <f t="shared" si="302"/>
        <v>-1694.2079134885014</v>
      </c>
      <c r="DV53" s="126"/>
      <c r="DW53" s="82">
        <f>DT53+CF!DW16+CF!DW50+CF!DW52</f>
        <v>-1656.3288125337376</v>
      </c>
      <c r="DX53" s="67">
        <f>DW53+CF!DX16+CF!DX50+CF!DX52</f>
        <v>-1617.0383805045915</v>
      </c>
      <c r="DY53" s="67">
        <f>DX53+CF!DY16+CF!DY50+CF!DY52</f>
        <v>-1578.709580643349</v>
      </c>
      <c r="DZ53" s="67">
        <f>DY53+CF!DZ16+CF!DZ50+CF!DZ52</f>
        <v>-1537.0001137968395</v>
      </c>
      <c r="EA53" s="136">
        <f t="shared" si="307"/>
        <v>-1537.0001137968395</v>
      </c>
      <c r="EB53" s="126"/>
      <c r="EC53" s="82">
        <f>DZ53+CF!EC16+CF!EC50+CF!EC52</f>
        <v>-1497.8842963124866</v>
      </c>
      <c r="ED53" s="67">
        <f>EC53+CF!ED16+CF!ED50+CF!ED52</f>
        <v>-1457.2848892768418</v>
      </c>
      <c r="EE53" s="67">
        <f>ED53+CF!EE16+CF!EE50+CF!EE52</f>
        <v>-1417.6818973388572</v>
      </c>
      <c r="EF53" s="67">
        <f>EE53+CF!EF16+CF!EF50+CF!EF52</f>
        <v>-1374.4776428798116</v>
      </c>
      <c r="EG53" s="136">
        <f t="shared" si="312"/>
        <v>-1374.4776428798116</v>
      </c>
      <c r="EH53" s="391"/>
      <c r="EI53" s="485"/>
      <c r="EJ53" s="10"/>
    </row>
    <row r="54" spans="1:140" ht="11.25" customHeight="1" x14ac:dyDescent="0.2">
      <c r="A54" s="51" t="s">
        <v>37</v>
      </c>
      <c r="B54" s="2"/>
      <c r="C54" s="2"/>
      <c r="D54" s="2"/>
      <c r="E54" s="92">
        <v>806.17100000000005</v>
      </c>
      <c r="F54" s="126"/>
      <c r="G54" s="92">
        <v>1069.5709999999999</v>
      </c>
      <c r="H54" s="126"/>
      <c r="I54" s="92">
        <v>1321.2829999999999</v>
      </c>
      <c r="J54" s="126"/>
      <c r="K54" s="92">
        <v>1635.481</v>
      </c>
      <c r="L54" s="126"/>
      <c r="M54" s="84">
        <v>1715.2080000000001</v>
      </c>
      <c r="N54" s="71">
        <v>1806.588</v>
      </c>
      <c r="O54" s="71">
        <v>1891.4870000000001</v>
      </c>
      <c r="P54" s="71">
        <v>1921.47</v>
      </c>
      <c r="Q54" s="136">
        <f t="shared" si="277"/>
        <v>1921.47</v>
      </c>
      <c r="R54" s="126"/>
      <c r="S54" s="84">
        <v>1827.4359999999999</v>
      </c>
      <c r="T54" s="71">
        <v>1928.077</v>
      </c>
      <c r="U54" s="71">
        <v>2041.077</v>
      </c>
      <c r="V54" s="71">
        <v>2198.3449999999998</v>
      </c>
      <c r="W54" s="136">
        <f t="shared" si="278"/>
        <v>2198.3449999999998</v>
      </c>
      <c r="X54" s="126"/>
      <c r="Y54" s="84">
        <v>2297.6529999999998</v>
      </c>
      <c r="Z54" s="71">
        <v>2418.9690000000001</v>
      </c>
      <c r="AA54" s="71">
        <v>2553.7489999999998</v>
      </c>
      <c r="AB54" s="71">
        <v>2719.8530000000001</v>
      </c>
      <c r="AC54" s="136">
        <f t="shared" si="279"/>
        <v>2719.8530000000001</v>
      </c>
      <c r="AD54" s="126"/>
      <c r="AE54" s="84">
        <v>2861.25</v>
      </c>
      <c r="AF54" s="71">
        <v>3038.8609999999999</v>
      </c>
      <c r="AG54" s="71">
        <v>3235.0259999999998</v>
      </c>
      <c r="AH54" s="71">
        <v>3448.1219999999998</v>
      </c>
      <c r="AI54" s="136">
        <f t="shared" si="280"/>
        <v>3448.1219999999998</v>
      </c>
      <c r="AJ54" s="126"/>
      <c r="AK54" s="84">
        <v>3631.739</v>
      </c>
      <c r="AL54" s="71">
        <v>3856.1309999999999</v>
      </c>
      <c r="AM54" s="71">
        <v>4078.777</v>
      </c>
      <c r="AN54" s="71">
        <f>4324.369</f>
        <v>4324.3689999999997</v>
      </c>
      <c r="AO54" s="136">
        <f t="shared" si="281"/>
        <v>4324.3689999999997</v>
      </c>
      <c r="AP54" s="126"/>
      <c r="AQ54" s="84">
        <v>4533.9650000000001</v>
      </c>
      <c r="AR54" s="71">
        <v>4842.34</v>
      </c>
      <c r="AS54" s="71">
        <v>5104.2560000000003</v>
      </c>
      <c r="AT54" s="71">
        <v>5421.8090000000002</v>
      </c>
      <c r="AU54" s="136">
        <f t="shared" si="282"/>
        <v>5421.8090000000002</v>
      </c>
      <c r="AV54" s="126"/>
      <c r="AW54" s="84">
        <v>5733.7489999999998</v>
      </c>
      <c r="AX54" s="71">
        <v>6035.6610000000001</v>
      </c>
      <c r="AY54" s="71">
        <v>6510.0709999999999</v>
      </c>
      <c r="AZ54" s="71">
        <v>6820.7560000000003</v>
      </c>
      <c r="BA54" s="136">
        <f t="shared" si="283"/>
        <v>6820.7560000000003</v>
      </c>
      <c r="BB54" s="126"/>
      <c r="BC54" s="84">
        <v>7082.7349999999997</v>
      </c>
      <c r="BD54" s="71">
        <v>7436.616</v>
      </c>
      <c r="BE54" s="71">
        <v>7799.02</v>
      </c>
      <c r="BF54" s="71">
        <v>8095.1549999999997</v>
      </c>
      <c r="BG54" s="136">
        <f t="shared" si="284"/>
        <v>8095.1549999999997</v>
      </c>
      <c r="BH54" s="126"/>
      <c r="BI54" s="84">
        <v>8323.3050000000003</v>
      </c>
      <c r="BJ54" s="71">
        <v>8609.4130000000005</v>
      </c>
      <c r="BK54" s="71">
        <v>8951.1479999999992</v>
      </c>
      <c r="BL54" s="71">
        <v>9205.1419999999998</v>
      </c>
      <c r="BM54" s="136">
        <f t="shared" si="285"/>
        <v>9205.1419999999998</v>
      </c>
      <c r="BN54" s="126"/>
      <c r="BO54" s="84">
        <v>9492.4130000000005</v>
      </c>
      <c r="BP54" s="71">
        <v>9851.8389999999999</v>
      </c>
      <c r="BQ54" s="71">
        <v>10485.199000000001</v>
      </c>
      <c r="BR54" s="71">
        <v>10945.928</v>
      </c>
      <c r="BS54" s="136">
        <f t="shared" si="286"/>
        <v>10945.928</v>
      </c>
      <c r="BT54" s="126"/>
      <c r="BU54" s="84">
        <v>11362.018</v>
      </c>
      <c r="BV54" s="71">
        <v>11997.076999999999</v>
      </c>
      <c r="BW54" s="71">
        <v>12503.349</v>
      </c>
      <c r="BX54" s="71">
        <v>13056.869000000001</v>
      </c>
      <c r="BY54" s="136">
        <f t="shared" si="287"/>
        <v>13056.869000000001</v>
      </c>
      <c r="BZ54" s="126"/>
      <c r="CA54" s="84">
        <v>13652.468999999999</v>
      </c>
      <c r="CB54" s="71">
        <v>14235.198</v>
      </c>
      <c r="CC54" s="71">
        <v>14766.627</v>
      </c>
      <c r="CD54" s="71">
        <v>15379.9</v>
      </c>
      <c r="CE54" s="136">
        <f t="shared" si="288"/>
        <v>15379.9</v>
      </c>
      <c r="CF54" s="126"/>
      <c r="CG54" s="84">
        <v>16054.5</v>
      </c>
      <c r="CH54" s="71">
        <v>16653.900000000001</v>
      </c>
      <c r="CI54" s="71">
        <v>17233.5</v>
      </c>
      <c r="CJ54" s="71">
        <f>18005.3</f>
        <v>18005.3</v>
      </c>
      <c r="CK54" s="136">
        <f t="shared" si="289"/>
        <v>18005.3</v>
      </c>
      <c r="CL54" s="126"/>
      <c r="CM54" s="84">
        <v>18515.099999999999</v>
      </c>
      <c r="CN54" s="71">
        <v>19121.400000000001</v>
      </c>
      <c r="CO54" s="71">
        <v>19731.7</v>
      </c>
      <c r="CP54" s="71">
        <v>20323</v>
      </c>
      <c r="CQ54" s="136">
        <f t="shared" si="290"/>
        <v>20323</v>
      </c>
      <c r="CR54" s="126"/>
      <c r="CS54" s="84">
        <v>20797.3</v>
      </c>
      <c r="CT54" s="71">
        <v>21397.200000000001</v>
      </c>
      <c r="CU54" s="71">
        <v>20416.400000000001</v>
      </c>
      <c r="CV54" s="71">
        <v>21012.3</v>
      </c>
      <c r="CW54" s="136">
        <f t="shared" si="291"/>
        <v>21012.3</v>
      </c>
      <c r="CX54" s="126"/>
      <c r="CY54" s="84">
        <v>21660.6</v>
      </c>
      <c r="CZ54" s="71">
        <v>22206.799999999999</v>
      </c>
      <c r="DA54" s="71">
        <v>20043.099999999999</v>
      </c>
      <c r="DB54" s="71">
        <v>20703.5</v>
      </c>
      <c r="DC54" s="136">
        <f t="shared" si="292"/>
        <v>20703.5</v>
      </c>
      <c r="DD54" s="126"/>
      <c r="DE54" s="84">
        <v>21112.400000000001</v>
      </c>
      <c r="DF54" s="71">
        <v>21572.3</v>
      </c>
      <c r="DG54" s="71">
        <v>22047.1</v>
      </c>
      <c r="DH54" s="71">
        <v>22806.1</v>
      </c>
      <c r="DI54" s="136">
        <f t="shared" si="292"/>
        <v>22806.1</v>
      </c>
      <c r="DJ54" s="126"/>
      <c r="DK54" s="82">
        <f>DH54+'Pro Forma IS'!DK32+CF!DK41</f>
        <v>23267.879999999997</v>
      </c>
      <c r="DL54" s="67">
        <f>DK54+'Pro Forma IS'!DL32+CF!DL41</f>
        <v>23809.994350955287</v>
      </c>
      <c r="DM54" s="67">
        <f>DL54+'Pro Forma IS'!DM32+CF!DM41</f>
        <v>24347.309960349452</v>
      </c>
      <c r="DN54" s="67">
        <f>DM54+'Pro Forma IS'!DN32+CF!DN41</f>
        <v>25080.507143938037</v>
      </c>
      <c r="DO54" s="136">
        <f t="shared" si="297"/>
        <v>25080.507143938037</v>
      </c>
      <c r="DP54" s="126"/>
      <c r="DQ54" s="82">
        <f>DN54+'Pro Forma IS'!DQ32+CF!DQ41</f>
        <v>25611.930436324852</v>
      </c>
      <c r="DR54" s="67">
        <f>DQ54+'Pro Forma IS'!DR32+CF!DR41</f>
        <v>26229.718526095956</v>
      </c>
      <c r="DS54" s="67">
        <f>DR54+'Pro Forma IS'!DS32+CF!DS41</f>
        <v>26831.378286497285</v>
      </c>
      <c r="DT54" s="67">
        <f>DS54+'Pro Forma IS'!DT32+CF!DT41</f>
        <v>27634.897927691138</v>
      </c>
      <c r="DU54" s="136">
        <f t="shared" si="302"/>
        <v>27634.897927691138</v>
      </c>
      <c r="DV54" s="126"/>
      <c r="DW54" s="82">
        <f>DT54+'Pro Forma IS'!DW32+CF!DW41</f>
        <v>28236.252645371042</v>
      </c>
      <c r="DX54" s="67">
        <f>DW54+'Pro Forma IS'!DX32+CF!DX41</f>
        <v>28927.07712157795</v>
      </c>
      <c r="DY54" s="67">
        <f>DX54+'Pro Forma IS'!DY32+CF!DY41</f>
        <v>29600.731203804917</v>
      </c>
      <c r="DZ54" s="67">
        <f>DY54+'Pro Forma IS'!DZ32+CF!DZ41</f>
        <v>30630.973645394406</v>
      </c>
      <c r="EA54" s="136">
        <f t="shared" si="307"/>
        <v>30630.973645394406</v>
      </c>
      <c r="EB54" s="126"/>
      <c r="EC54" s="82">
        <f>DZ54+'Pro Forma IS'!EC32+CF!EC41</f>
        <v>31467.086584197277</v>
      </c>
      <c r="ED54" s="67">
        <f>EC54+'Pro Forma IS'!ED32+CF!ED41</f>
        <v>32413.536335701967</v>
      </c>
      <c r="EE54" s="67">
        <f>ED54+'Pro Forma IS'!EE32+CF!EE41</f>
        <v>33361.900873233441</v>
      </c>
      <c r="EF54" s="67">
        <f>EE54+'Pro Forma IS'!EF32+CF!EF41</f>
        <v>34535.155778405679</v>
      </c>
      <c r="EG54" s="136">
        <f t="shared" si="312"/>
        <v>34535.155778405679</v>
      </c>
      <c r="EH54" s="391"/>
      <c r="EI54" s="485"/>
      <c r="EJ54" s="10"/>
    </row>
    <row r="55" spans="1:140" ht="11.25" customHeight="1" x14ac:dyDescent="0.2">
      <c r="A55" s="200" t="s">
        <v>94</v>
      </c>
      <c r="B55" s="201"/>
      <c r="C55" s="201"/>
      <c r="D55" s="201"/>
      <c r="E55" s="206">
        <f>SUM(E50:E54)</f>
        <v>1139.2190000000001</v>
      </c>
      <c r="F55" s="203"/>
      <c r="G55" s="206">
        <f>SUM(G50:G54)</f>
        <v>1400.788</v>
      </c>
      <c r="H55" s="203"/>
      <c r="I55" s="206">
        <f>SUM(I50:I54)</f>
        <v>1708.7539999999999</v>
      </c>
      <c r="J55" s="203"/>
      <c r="K55" s="206">
        <f>SUM(K50:K54)</f>
        <v>1942.3330000000001</v>
      </c>
      <c r="L55" s="203"/>
      <c r="M55" s="207">
        <f>SUM(M50:M54)</f>
        <v>2036.0970000000002</v>
      </c>
      <c r="N55" s="203">
        <f>SUM(N50:N54)</f>
        <v>2119.6010000000001</v>
      </c>
      <c r="O55" s="203">
        <f>SUM(O50:O54)</f>
        <v>2203.4080000000004</v>
      </c>
      <c r="P55" s="203">
        <f>SUM(P50:P54)</f>
        <v>2228.5860000000002</v>
      </c>
      <c r="Q55" s="206">
        <f>SUM(Q50:Q54)</f>
        <v>2228.5860000000002</v>
      </c>
      <c r="R55" s="203"/>
      <c r="S55" s="207">
        <f>SUM(S50:S54)</f>
        <v>2617.5990000000002</v>
      </c>
      <c r="T55" s="203">
        <f>SUM(T50:T54)</f>
        <v>2737.79</v>
      </c>
      <c r="U55" s="203">
        <f>SUM(U50:U54)</f>
        <v>2884.05</v>
      </c>
      <c r="V55" s="203">
        <f>SUM(V50:V54)</f>
        <v>3009.5989999999997</v>
      </c>
      <c r="W55" s="206">
        <f>SUM(W50:W54)</f>
        <v>3009.5989999999997</v>
      </c>
      <c r="X55" s="203"/>
      <c r="Y55" s="207">
        <f>SUM(Y50:Y54)</f>
        <v>3119.5219999999999</v>
      </c>
      <c r="Z55" s="203">
        <f>SUM(Z50:Z54)</f>
        <v>3274.7159999999999</v>
      </c>
      <c r="AA55" s="203">
        <f>SUM(AA50:AA54)</f>
        <v>3460.1639999999998</v>
      </c>
      <c r="AB55" s="203">
        <f>SUM(AB50:AB54)</f>
        <v>3646.7089999999998</v>
      </c>
      <c r="AC55" s="206">
        <f>SUM(AC50:AC54)</f>
        <v>3646.7089999999998</v>
      </c>
      <c r="AD55" s="203"/>
      <c r="AE55" s="207">
        <f>SUM(AE50:AE54)</f>
        <v>3782.2339999999999</v>
      </c>
      <c r="AF55" s="203">
        <f>SUM(AF50:AF54)</f>
        <v>3983.4009999999998</v>
      </c>
      <c r="AG55" s="203">
        <f>SUM(AG50:AG54)</f>
        <v>4184.6819999999998</v>
      </c>
      <c r="AH55" s="203">
        <f>SUM(AH50:AH54)</f>
        <v>4619.6819999999998</v>
      </c>
      <c r="AI55" s="206">
        <f>SUM(AI50:AI54)</f>
        <v>4619.6819999999998</v>
      </c>
      <c r="AJ55" s="203"/>
      <c r="AK55" s="207">
        <f>SUM(AK50:AK54)</f>
        <v>4738.9279999999999</v>
      </c>
      <c r="AL55" s="203">
        <f>SUM(AL50:AL54)</f>
        <v>4801.34</v>
      </c>
      <c r="AM55" s="203">
        <f>SUM(AM50:AM54)</f>
        <v>4994.1480000000001</v>
      </c>
      <c r="AN55" s="203">
        <f>SUM(AN50:AN54)</f>
        <v>5080.3499999999995</v>
      </c>
      <c r="AO55" s="206">
        <f>SUM(AO50:AO54)</f>
        <v>5080.3499999999995</v>
      </c>
      <c r="AP55" s="203"/>
      <c r="AQ55" s="207">
        <f>SUM(AQ50:AQ54)</f>
        <v>5374.3310000000001</v>
      </c>
      <c r="AR55" s="203">
        <f>SUM(AR50:AR54)</f>
        <v>5859.5219999999999</v>
      </c>
      <c r="AS55" s="203">
        <f>SUM(AS50:AS54)</f>
        <v>6151.3970000000008</v>
      </c>
      <c r="AT55" s="203">
        <f>SUM(AT50:AT54)</f>
        <v>6644.66</v>
      </c>
      <c r="AU55" s="206">
        <f>SUM(AU50:AU54)</f>
        <v>6644.66</v>
      </c>
      <c r="AV55" s="203"/>
      <c r="AW55" s="207">
        <f>SUM(AW50:AW54)</f>
        <v>7046.7429999999995</v>
      </c>
      <c r="AX55" s="203">
        <f>SUM(AX50:AX54)</f>
        <v>7334.058</v>
      </c>
      <c r="AY55" s="203">
        <f>SUM(AY50:AY54)</f>
        <v>8053.3509999999997</v>
      </c>
      <c r="AZ55" s="203">
        <f>SUM(AZ50:AZ54)</f>
        <v>9085.6880000000001</v>
      </c>
      <c r="BA55" s="206">
        <f>SUM(BA50:BA54)</f>
        <v>9085.6880000000001</v>
      </c>
      <c r="BB55" s="203"/>
      <c r="BC55" s="207">
        <f>SUM(BC50:BC54)</f>
        <v>9574.5949999999993</v>
      </c>
      <c r="BD55" s="203">
        <f>SUM(BD50:BD54)</f>
        <v>10074.280999999999</v>
      </c>
      <c r="BE55" s="203">
        <f>SUM(BE50:BE54)</f>
        <v>10172.237000000001</v>
      </c>
      <c r="BF55" s="203">
        <f>SUM(BF50:BF54)</f>
        <v>9808.5619999999999</v>
      </c>
      <c r="BG55" s="206">
        <f>SUM(BG50:BG54)</f>
        <v>9808.5619999999999</v>
      </c>
      <c r="BH55" s="203"/>
      <c r="BI55" s="207">
        <f>SUM(BI50:BI54)</f>
        <v>10002.956</v>
      </c>
      <c r="BJ55" s="203">
        <f>SUM(BJ50:BJ54)</f>
        <v>10602.527</v>
      </c>
      <c r="BK55" s="203">
        <f>SUM(BK50:BK54)</f>
        <v>11210.528999999999</v>
      </c>
      <c r="BL55" s="203">
        <f>SUM(BL50:BL54)</f>
        <v>11630.175999999999</v>
      </c>
      <c r="BM55" s="206">
        <f>SUM(BM50:BM54)</f>
        <v>11630.175999999999</v>
      </c>
      <c r="BN55" s="203"/>
      <c r="BO55" s="207">
        <f>SUM(BO50:BO54)</f>
        <v>11853.178</v>
      </c>
      <c r="BP55" s="203">
        <f>SUM(BP50:BP54)</f>
        <v>12058.01</v>
      </c>
      <c r="BQ55" s="203">
        <f>SUM(BQ50:BQ54)</f>
        <v>13171.933000000001</v>
      </c>
      <c r="BR55" s="203">
        <f>SUM(BR50:BR54)</f>
        <v>13711.01</v>
      </c>
      <c r="BS55" s="206">
        <f>SUM(BS50:BS54)</f>
        <v>13711.01</v>
      </c>
      <c r="BT55" s="203"/>
      <c r="BU55" s="207">
        <f>SUM(BU50:BU54)</f>
        <v>14659.179</v>
      </c>
      <c r="BV55" s="203">
        <f>SUM(BV50:BV54)</f>
        <v>16489.495999999999</v>
      </c>
      <c r="BW55" s="203">
        <f>SUM(BW50:BW54)</f>
        <v>16496.791000000001</v>
      </c>
      <c r="BX55" s="203">
        <f>SUM(BX50:BX54)</f>
        <v>16904.782999999999</v>
      </c>
      <c r="BY55" s="206">
        <f>SUM(BY50:BY54)</f>
        <v>16904.782999999999</v>
      </c>
      <c r="BZ55" s="203"/>
      <c r="CA55" s="207">
        <f>SUM(CA50:CA54)</f>
        <v>17823.305</v>
      </c>
      <c r="CB55" s="203">
        <f>SUM(CB50:CB54)</f>
        <v>18301.916000000001</v>
      </c>
      <c r="CC55" s="203">
        <f>SUM(CC50:CC54)</f>
        <v>18886.085999999999</v>
      </c>
      <c r="CD55" s="203">
        <f>SUM(CD50:CD54)</f>
        <v>19016.5</v>
      </c>
      <c r="CE55" s="206">
        <f>SUM(CE50:CE54)</f>
        <v>19016.5</v>
      </c>
      <c r="CF55" s="203"/>
      <c r="CG55" s="207">
        <f>SUM(CG50:CG54)</f>
        <v>19681.099999999999</v>
      </c>
      <c r="CH55" s="203">
        <f>SUM(CH50:CH54)</f>
        <v>20296.100000000002</v>
      </c>
      <c r="CI55" s="203">
        <f>SUM(CI50:CI54)</f>
        <v>21304.6</v>
      </c>
      <c r="CJ55" s="203">
        <f>SUM(CJ50:CJ54)</f>
        <v>22385.3</v>
      </c>
      <c r="CK55" s="206">
        <f>SUM(CK50:CK54)</f>
        <v>22385.3</v>
      </c>
      <c r="CL55" s="203"/>
      <c r="CM55" s="207">
        <f>SUM(CM50:CM54)</f>
        <v>22961.699999999997</v>
      </c>
      <c r="CN55" s="203">
        <f>SUM(CN50:CN54)</f>
        <v>23720.5</v>
      </c>
      <c r="CO55" s="203">
        <f>SUM(CO50:CO54)</f>
        <v>23740.7</v>
      </c>
      <c r="CP55" s="203">
        <f>SUM(CP50:CP54)</f>
        <v>23378.1</v>
      </c>
      <c r="CQ55" s="206">
        <f>SUM(CQ50:CQ54)</f>
        <v>23378.1</v>
      </c>
      <c r="CR55" s="203"/>
      <c r="CS55" s="207">
        <f>SUM(CS50:CS54)</f>
        <v>23321</v>
      </c>
      <c r="CT55" s="203">
        <f>SUM(CT50:CT54)</f>
        <v>24101.200000000001</v>
      </c>
      <c r="CU55" s="203">
        <f>SUM(CU50:CU54)</f>
        <v>23112.7</v>
      </c>
      <c r="CV55" s="203">
        <f>SUM(CV50:CV54)</f>
        <v>23690.3</v>
      </c>
      <c r="CW55" s="206">
        <f>SUM(CW50:CW54)</f>
        <v>23690.3</v>
      </c>
      <c r="CX55" s="203"/>
      <c r="CY55" s="207">
        <f>SUM(CY50:CY54)</f>
        <v>24504.699999999997</v>
      </c>
      <c r="CZ55" s="203">
        <f>SUM(CZ50:CZ54)</f>
        <v>25045.1</v>
      </c>
      <c r="DA55" s="203">
        <f>SUM(DA50:DA54)</f>
        <v>23191.599999999999</v>
      </c>
      <c r="DB55" s="203">
        <f>SUM(DB50:DB54)</f>
        <v>23002.799999999999</v>
      </c>
      <c r="DC55" s="206">
        <f>SUM(DC50:DC54)</f>
        <v>23002.799999999999</v>
      </c>
      <c r="DD55" s="203"/>
      <c r="DE55" s="207">
        <f>SUM(DE50:DE54)</f>
        <v>23785.800000000003</v>
      </c>
      <c r="DF55" s="203">
        <f>SUM(DF50:DF54)</f>
        <v>24590</v>
      </c>
      <c r="DG55" s="203">
        <f>SUM(DG50:DG54)</f>
        <v>25375.399999999998</v>
      </c>
      <c r="DH55" s="203">
        <f>SUM(DH50:DH54)</f>
        <v>26358.199999999997</v>
      </c>
      <c r="DI55" s="206">
        <f>SUM(DI50:DI54)</f>
        <v>26358.199999999997</v>
      </c>
      <c r="DJ55" s="203"/>
      <c r="DK55" s="207">
        <f>SUM(DK50:DK54)</f>
        <v>26977.801199999998</v>
      </c>
      <c r="DL55" s="203">
        <f>SUM(DL50:DL54)</f>
        <v>27678.58171479516</v>
      </c>
      <c r="DM55" s="203">
        <f>SUM(DM50:DM54)</f>
        <v>28370.466741416054</v>
      </c>
      <c r="DN55" s="203">
        <f>SUM(DN50:DN54)</f>
        <v>29259.071927325967</v>
      </c>
      <c r="DO55" s="206">
        <f>SUM(DO50:DO54)</f>
        <v>29259.071927325967</v>
      </c>
      <c r="DP55" s="203"/>
      <c r="DQ55" s="207">
        <f>SUM(DQ50:DQ54)</f>
        <v>29972.347471604375</v>
      </c>
      <c r="DR55" s="203">
        <f>SUM(DR50:DR54)</f>
        <v>30772.799939745932</v>
      </c>
      <c r="DS55" s="203">
        <f>SUM(DS50:DS54)</f>
        <v>31552.873800831072</v>
      </c>
      <c r="DT55" s="203">
        <f>SUM(DT50:DT54)</f>
        <v>32535.811010928421</v>
      </c>
      <c r="DU55" s="206">
        <f>SUM(DU50:DU54)</f>
        <v>32535.811010928421</v>
      </c>
      <c r="DV55" s="203"/>
      <c r="DW55" s="207">
        <f>SUM(DW50:DW54)</f>
        <v>33317.421344645772</v>
      </c>
      <c r="DX55" s="203">
        <f>SUM(DX50:DX54)</f>
        <v>34189.261775232975</v>
      </c>
      <c r="DY55" s="203">
        <f>SUM(DY50:DY54)</f>
        <v>35039.816805468348</v>
      </c>
      <c r="DZ55" s="203">
        <f>SUM(DZ50:DZ54)</f>
        <v>36248.192218770797</v>
      </c>
      <c r="EA55" s="206">
        <f>SUM(EA50:EA54)</f>
        <v>36248.192218770797</v>
      </c>
      <c r="EB55" s="203"/>
      <c r="EC55" s="207">
        <f t="shared" ref="EC55:EG55" si="313">SUM(EC50:EC54)</f>
        <v>37262.706773656988</v>
      </c>
      <c r="ED55" s="203">
        <f t="shared" si="313"/>
        <v>38388.322623916196</v>
      </c>
      <c r="EE55" s="203">
        <f t="shared" si="313"/>
        <v>39511.894253771643</v>
      </c>
      <c r="EF55" s="203">
        <f t="shared" si="313"/>
        <v>40861.907276332669</v>
      </c>
      <c r="EG55" s="206">
        <f t="shared" si="313"/>
        <v>40861.907276332669</v>
      </c>
      <c r="EH55" s="10"/>
      <c r="EI55" s="484"/>
      <c r="EJ55" s="10"/>
    </row>
    <row r="56" spans="1:140" ht="11.25" customHeight="1" x14ac:dyDescent="0.2">
      <c r="A56" s="51"/>
      <c r="B56" s="2"/>
      <c r="C56" s="2"/>
      <c r="D56" s="2"/>
      <c r="E56" s="93"/>
      <c r="F56" s="126"/>
      <c r="G56" s="93"/>
      <c r="H56" s="126"/>
      <c r="I56" s="93"/>
      <c r="J56" s="126"/>
      <c r="K56" s="93"/>
      <c r="L56" s="126"/>
      <c r="M56" s="82"/>
      <c r="N56" s="67"/>
      <c r="O56" s="67"/>
      <c r="P56" s="67"/>
      <c r="Q56" s="93"/>
      <c r="R56" s="126"/>
      <c r="S56" s="82"/>
      <c r="T56" s="67"/>
      <c r="U56" s="67"/>
      <c r="V56" s="67"/>
      <c r="W56" s="93"/>
      <c r="X56" s="126"/>
      <c r="Y56" s="82"/>
      <c r="Z56" s="67"/>
      <c r="AA56" s="67"/>
      <c r="AB56" s="67"/>
      <c r="AC56" s="93"/>
      <c r="AD56" s="126"/>
      <c r="AE56" s="82"/>
      <c r="AF56" s="67"/>
      <c r="AG56" s="67"/>
      <c r="AH56" s="67"/>
      <c r="AI56" s="93"/>
      <c r="AJ56" s="126"/>
      <c r="AK56" s="82"/>
      <c r="AL56" s="67"/>
      <c r="AM56" s="67"/>
      <c r="AN56" s="67"/>
      <c r="AO56" s="93"/>
      <c r="AP56" s="126"/>
      <c r="AQ56" s="82"/>
      <c r="AR56" s="67"/>
      <c r="AS56" s="67"/>
      <c r="AT56" s="67"/>
      <c r="AU56" s="93"/>
      <c r="AV56" s="126"/>
      <c r="AW56" s="82"/>
      <c r="AX56" s="67"/>
      <c r="AY56" s="67"/>
      <c r="AZ56" s="67"/>
      <c r="BA56" s="93"/>
      <c r="BB56" s="126"/>
      <c r="BC56" s="82"/>
      <c r="BD56" s="67"/>
      <c r="BE56" s="67"/>
      <c r="BF56" s="67"/>
      <c r="BG56" s="93"/>
      <c r="BH56" s="126"/>
      <c r="BI56" s="82"/>
      <c r="BJ56" s="67"/>
      <c r="BK56" s="67"/>
      <c r="BL56" s="67"/>
      <c r="BM56" s="93"/>
      <c r="BN56" s="126"/>
      <c r="BO56" s="82"/>
      <c r="BP56" s="67"/>
      <c r="BQ56" s="67"/>
      <c r="BR56" s="67"/>
      <c r="BS56" s="93"/>
      <c r="BT56" s="126"/>
      <c r="BU56" s="82"/>
      <c r="BV56" s="67"/>
      <c r="BW56" s="67"/>
      <c r="BX56" s="67"/>
      <c r="BY56" s="93"/>
      <c r="BZ56" s="126"/>
      <c r="CA56" s="82"/>
      <c r="CB56" s="67"/>
      <c r="CC56" s="67"/>
      <c r="CD56" s="67"/>
      <c r="CE56" s="93"/>
      <c r="CF56" s="126"/>
      <c r="CG56" s="82"/>
      <c r="CH56" s="67"/>
      <c r="CI56" s="67"/>
      <c r="CJ56" s="67"/>
      <c r="CK56" s="93"/>
      <c r="CL56" s="126"/>
      <c r="CM56" s="82"/>
      <c r="CN56" s="67"/>
      <c r="CO56" s="67"/>
      <c r="CP56" s="67"/>
      <c r="CQ56" s="93"/>
      <c r="CR56" s="126"/>
      <c r="CS56" s="82"/>
      <c r="CT56" s="67"/>
      <c r="CU56" s="67"/>
      <c r="CV56" s="67"/>
      <c r="CW56" s="93"/>
      <c r="CX56" s="126"/>
      <c r="CY56" s="82"/>
      <c r="CZ56" s="67"/>
      <c r="DA56" s="67"/>
      <c r="DB56" s="67"/>
      <c r="DC56" s="93"/>
      <c r="DD56" s="126"/>
      <c r="DE56" s="82"/>
      <c r="DF56" s="67"/>
      <c r="DG56" s="67"/>
      <c r="DH56" s="67"/>
      <c r="DI56" s="93"/>
      <c r="DJ56" s="126"/>
      <c r="DK56" s="82"/>
      <c r="DL56" s="67"/>
      <c r="DM56" s="67"/>
      <c r="DN56" s="67"/>
      <c r="DO56" s="93"/>
      <c r="DP56" s="126"/>
      <c r="DQ56" s="82"/>
      <c r="DR56" s="67"/>
      <c r="DS56" s="67"/>
      <c r="DT56" s="67"/>
      <c r="DU56" s="93"/>
      <c r="DV56" s="126"/>
      <c r="DW56" s="82"/>
      <c r="DX56" s="67"/>
      <c r="DY56" s="67"/>
      <c r="DZ56" s="67"/>
      <c r="EA56" s="93"/>
      <c r="EB56" s="126"/>
      <c r="EC56" s="82"/>
      <c r="ED56" s="67"/>
      <c r="EE56" s="67"/>
      <c r="EF56" s="67"/>
      <c r="EG56" s="93"/>
      <c r="EH56" s="10"/>
      <c r="EI56" s="484"/>
      <c r="EJ56" s="10"/>
    </row>
    <row r="57" spans="1:140" ht="11.25" customHeight="1" x14ac:dyDescent="0.2">
      <c r="A57" s="200" t="s">
        <v>95</v>
      </c>
      <c r="B57" s="201"/>
      <c r="C57" s="201"/>
      <c r="D57" s="201"/>
      <c r="E57" s="202">
        <f>E45+E55+E47</f>
        <v>2183.875</v>
      </c>
      <c r="F57" s="203"/>
      <c r="G57" s="202">
        <f>G45+G55+G47</f>
        <v>2840.8589999999999</v>
      </c>
      <c r="H57" s="203"/>
      <c r="I57" s="202">
        <f>I45+I55+I47</f>
        <v>3047.0709999999999</v>
      </c>
      <c r="J57" s="203"/>
      <c r="K57" s="202">
        <f>K45+K55+K47</f>
        <v>4031.6790000000001</v>
      </c>
      <c r="L57" s="203"/>
      <c r="M57" s="204">
        <f>M45+M55+M47</f>
        <v>4509.3780000000006</v>
      </c>
      <c r="N57" s="205">
        <f>N45+N55+N47</f>
        <v>4619.8950000000004</v>
      </c>
      <c r="O57" s="205">
        <f>O45+O55+O47</f>
        <v>4715.0120000000006</v>
      </c>
      <c r="P57" s="205">
        <f>P45+P55+P47</f>
        <v>4820.4830000000002</v>
      </c>
      <c r="Q57" s="202">
        <f>Q45+Q55+Q47</f>
        <v>4820.4830000000002</v>
      </c>
      <c r="R57" s="203"/>
      <c r="S57" s="204">
        <f>S45+S55+S47</f>
        <v>5433.5120000000006</v>
      </c>
      <c r="T57" s="205">
        <f>T45+T55+T47</f>
        <v>5644.8009999999995</v>
      </c>
      <c r="U57" s="205">
        <f>U45+U55+U47</f>
        <v>5894.8010000000004</v>
      </c>
      <c r="V57" s="205">
        <f>V45+V55+V47</f>
        <v>6029.1449999999995</v>
      </c>
      <c r="W57" s="202">
        <f>W45+W55+W47</f>
        <v>6029.1449999999995</v>
      </c>
      <c r="X57" s="203"/>
      <c r="Y57" s="204">
        <f>Y45+Y55+Y47</f>
        <v>6292.7119999999995</v>
      </c>
      <c r="Z57" s="205">
        <f>Z45+Z55+Z47</f>
        <v>6464.8</v>
      </c>
      <c r="AA57" s="205">
        <f>AA45+AA55+AA47</f>
        <v>6590.2219999999998</v>
      </c>
      <c r="AB57" s="205">
        <f>AB45+AB55+AB47</f>
        <v>6890.05</v>
      </c>
      <c r="AC57" s="202">
        <f>AC45+AC55+AC47</f>
        <v>6890.05</v>
      </c>
      <c r="AD57" s="203"/>
      <c r="AE57" s="204">
        <f>AE45+AE55+AE47</f>
        <v>7285.1270000000004</v>
      </c>
      <c r="AF57" s="205">
        <f>AF45+AF55+AF47</f>
        <v>7683.2060000000001</v>
      </c>
      <c r="AG57" s="205">
        <f>AG45+AG55+AG47</f>
        <v>7922.4740000000002</v>
      </c>
      <c r="AH57" s="205">
        <f>AH45+AH55+AH47</f>
        <v>8493.893</v>
      </c>
      <c r="AI57" s="202">
        <f>AI45+AI55+AI47</f>
        <v>8493.893</v>
      </c>
      <c r="AJ57" s="203"/>
      <c r="AK57" s="204">
        <f>AK45+AK55+AK47</f>
        <v>8622.7019999999993</v>
      </c>
      <c r="AL57" s="205">
        <f>AL45+AL55+AL47</f>
        <v>8666.1380000000008</v>
      </c>
      <c r="AM57" s="205">
        <f>AM45+AM55+AM47</f>
        <v>9023.0750000000007</v>
      </c>
      <c r="AN57" s="205">
        <f>AN45+AN55+AN47</f>
        <v>9163.1090000000004</v>
      </c>
      <c r="AO57" s="202">
        <f>AO45+AO55+AO47</f>
        <v>9163.1090000000004</v>
      </c>
      <c r="AP57" s="203"/>
      <c r="AQ57" s="204">
        <f>AQ45+AQ55+AQ47</f>
        <v>9354.1779999999999</v>
      </c>
      <c r="AR57" s="205">
        <f>AR45+AR55+AR47</f>
        <v>11912.261</v>
      </c>
      <c r="AS57" s="205">
        <f>AS45+AS55+AS47</f>
        <v>12022.568000000001</v>
      </c>
      <c r="AT57" s="205">
        <f>AT45+AT55+AT47</f>
        <v>12864.151</v>
      </c>
      <c r="AU57" s="202">
        <f>AU45+AU55+AU47</f>
        <v>12864.151</v>
      </c>
      <c r="AV57" s="203"/>
      <c r="AW57" s="204">
        <f>AW45+AW55+AW47</f>
        <v>13088.217999999999</v>
      </c>
      <c r="AX57" s="205">
        <f>AX45+AX55+AX47</f>
        <v>13146.694</v>
      </c>
      <c r="AY57" s="205">
        <f>AY45+AY55+AY47</f>
        <v>13775.038</v>
      </c>
      <c r="AZ57" s="205">
        <f>AZ45+AZ55+AZ47</f>
        <v>17320.561000000002</v>
      </c>
      <c r="BA57" s="202">
        <f>BA45+BA55+BA47</f>
        <v>17320.561000000002</v>
      </c>
      <c r="BB57" s="203"/>
      <c r="BC57" s="204">
        <f>BC45+BC55+BC47</f>
        <v>17853.021999999997</v>
      </c>
      <c r="BD57" s="205">
        <f>BD45+BD55+BD47</f>
        <v>17994.613999999998</v>
      </c>
      <c r="BE57" s="205">
        <f>BE45+BE55+BE47</f>
        <v>17620.648000000001</v>
      </c>
      <c r="BF57" s="205">
        <f>BF45+BF55+BF47</f>
        <v>17458.031999999999</v>
      </c>
      <c r="BG57" s="202">
        <f>BG45+BG55+BG47</f>
        <v>17458.031999999999</v>
      </c>
      <c r="BH57" s="203"/>
      <c r="BI57" s="204">
        <f>BI45+BI55+BI47</f>
        <v>17673.114000000001</v>
      </c>
      <c r="BJ57" s="205">
        <f>BJ45+BJ55+BJ47</f>
        <v>18322.397000000001</v>
      </c>
      <c r="BK57" s="205">
        <f>BK45+BK55+BK47</f>
        <v>19161.906999999999</v>
      </c>
      <c r="BL57" s="205">
        <f>BL45+BL55+BL47</f>
        <v>19595.419999999998</v>
      </c>
      <c r="BM57" s="202">
        <f>BM45+BM55+BM47</f>
        <v>19595.419999999998</v>
      </c>
      <c r="BN57" s="203"/>
      <c r="BO57" s="204">
        <f>BO45+BO55+BO47</f>
        <v>19880.646000000001</v>
      </c>
      <c r="BP57" s="205">
        <f>BP45+BP55+BP47</f>
        <v>20078.957000000002</v>
      </c>
      <c r="BQ57" s="205">
        <f>BQ45+BQ55+BQ47</f>
        <v>21497.834999999999</v>
      </c>
      <c r="BR57" s="205">
        <f>BR45+BR55+BR47</f>
        <v>22217.130000000005</v>
      </c>
      <c r="BS57" s="202">
        <f>BS45+BS55+BS47</f>
        <v>22217.130000000005</v>
      </c>
      <c r="BT57" s="203"/>
      <c r="BU57" s="204">
        <f>BU45+BU55+BU47</f>
        <v>23034.880999999998</v>
      </c>
      <c r="BV57" s="205">
        <f>BV45+BV55+BV47</f>
        <v>31513.376</v>
      </c>
      <c r="BW57" s="205">
        <f>BW45+BW55+BW47</f>
        <v>30618.423999999999</v>
      </c>
      <c r="BX57" s="205">
        <f>BX45+BX55+BX47</f>
        <v>29949.447</v>
      </c>
      <c r="BY57" s="202">
        <f>BY45+BY55+BY47</f>
        <v>29949.447</v>
      </c>
      <c r="BZ57" s="203"/>
      <c r="CA57" s="204">
        <f>CA45+CA55+CA47</f>
        <v>30420.959000000003</v>
      </c>
      <c r="CB57" s="205">
        <f>CB45+CB55+CB47</f>
        <v>31170.583000000002</v>
      </c>
      <c r="CC57" s="205">
        <f>CC45+CC55+CC47</f>
        <v>31585.42</v>
      </c>
      <c r="CD57" s="205">
        <f>CD45+CD55+CD47</f>
        <v>32941</v>
      </c>
      <c r="CE57" s="202">
        <f>CE45+CE55+CE47</f>
        <v>32941</v>
      </c>
      <c r="CF57" s="203"/>
      <c r="CG57" s="204">
        <f>CG45+CG55+CG47</f>
        <v>32469.299999999996</v>
      </c>
      <c r="CH57" s="205">
        <f>CH45+CH55+CH47</f>
        <v>33109</v>
      </c>
      <c r="CI57" s="205">
        <f>CI45+CI55+CI47</f>
        <v>33721.199999999997</v>
      </c>
      <c r="CJ57" s="205">
        <f>CJ45+CJ55+CJ47</f>
        <v>34672.199999999997</v>
      </c>
      <c r="CK57" s="202">
        <f>CK45+CK55+CK47</f>
        <v>34672.199999999997</v>
      </c>
      <c r="CL57" s="203"/>
      <c r="CM57" s="204">
        <f>CM45+CM55+CM47</f>
        <v>35042.6</v>
      </c>
      <c r="CN57" s="205">
        <f>CN45+CN55+CN47</f>
        <v>35652.1</v>
      </c>
      <c r="CO57" s="205">
        <f>CO45+CO55+CO47</f>
        <v>35535.9</v>
      </c>
      <c r="CP57" s="205">
        <f>CP45+CP55+CP47</f>
        <v>36991.699999999997</v>
      </c>
      <c r="CQ57" s="202">
        <f>CQ45+CQ55+CQ47</f>
        <v>36991.699999999997</v>
      </c>
      <c r="CR57" s="203"/>
      <c r="CS57" s="204">
        <f>CS45+CS55+CS47</f>
        <v>36072.299999999996</v>
      </c>
      <c r="CT57" s="205">
        <f>CT45+CT55+CT47</f>
        <v>36986.800000000003</v>
      </c>
      <c r="CU57" s="205">
        <f>CU45+CU55+CU47</f>
        <v>49707.9</v>
      </c>
      <c r="CV57" s="205">
        <f>CV45+CV55+CV47</f>
        <v>48222.2</v>
      </c>
      <c r="CW57" s="202">
        <f>CW45+CW55+CW47</f>
        <v>48222.2</v>
      </c>
      <c r="CX57" s="203"/>
      <c r="CY57" s="204">
        <f>CY45+CY55+CY47</f>
        <v>48385.599999999999</v>
      </c>
      <c r="CZ57" s="205">
        <f>CZ45+CZ55+CZ47</f>
        <v>51503.7</v>
      </c>
      <c r="DA57" s="205">
        <f>DA45+DA55+DA47</f>
        <v>41297.5</v>
      </c>
      <c r="DB57" s="205">
        <f>DB45+DB55+DB47</f>
        <v>45295.3</v>
      </c>
      <c r="DC57" s="202">
        <f>DC45+DC55+DC47</f>
        <v>45295.3</v>
      </c>
      <c r="DD57" s="203"/>
      <c r="DE57" s="204">
        <f>DE45+DE55+DE47</f>
        <v>45245.100000000006</v>
      </c>
      <c r="DF57" s="205">
        <f>DF45+DF55+DF47</f>
        <v>45646.799999999996</v>
      </c>
      <c r="DG57" s="205">
        <f>DG45+DG55+DG47</f>
        <v>45851.299999999988</v>
      </c>
      <c r="DH57" s="205">
        <f>DH45+DH55+DH47</f>
        <v>46648.6</v>
      </c>
      <c r="DI57" s="202">
        <f>DI45+DI55+DI47</f>
        <v>46648.6</v>
      </c>
      <c r="DJ57" s="203"/>
      <c r="DK57" s="204">
        <f>DK45+DK55+DK47</f>
        <v>47087.857199999991</v>
      </c>
      <c r="DL57" s="205">
        <f>DL45+DL55+DL47</f>
        <v>48247.599826617312</v>
      </c>
      <c r="DM57" s="205">
        <f>DM45+DM55+DM47</f>
        <v>48755.399337512754</v>
      </c>
      <c r="DN57" s="205">
        <f>DN45+DN55+DN47</f>
        <v>50112.238403820731</v>
      </c>
      <c r="DO57" s="202">
        <f>DO45+DO55+DO47</f>
        <v>50112.238403820731</v>
      </c>
      <c r="DP57" s="203"/>
      <c r="DQ57" s="204">
        <f>DQ45+DQ55+DQ47</f>
        <v>50396.07650232852</v>
      </c>
      <c r="DR57" s="205">
        <f>DR45+DR55+DR47</f>
        <v>51703.835175091466</v>
      </c>
      <c r="DS57" s="205">
        <f>DS45+DS55+DS47</f>
        <v>52231.693651073998</v>
      </c>
      <c r="DT57" s="205">
        <f>DT45+DT55+DT47</f>
        <v>53712.281343767863</v>
      </c>
      <c r="DU57" s="202">
        <f>DU45+DU55+DU47</f>
        <v>53712.281343767863</v>
      </c>
      <c r="DV57" s="203"/>
      <c r="DW57" s="204">
        <f>DW45+DW55+DW47</f>
        <v>54051.261680059099</v>
      </c>
      <c r="DX57" s="205">
        <f>DX45+DX55+DX47</f>
        <v>55457.780193814142</v>
      </c>
      <c r="DY57" s="205">
        <f>DY45+DY55+DY47</f>
        <v>56045.132103090385</v>
      </c>
      <c r="DZ57" s="205">
        <f>DZ45+DZ55+DZ47</f>
        <v>57784.266650249025</v>
      </c>
      <c r="EA57" s="202">
        <f>EA45+EA55+EA47</f>
        <v>57784.266650249025</v>
      </c>
      <c r="EB57" s="203"/>
      <c r="EC57" s="204">
        <f t="shared" ref="EC57:EG57" si="314">EC45+EC55+EC47</f>
        <v>58334.25693844381</v>
      </c>
      <c r="ED57" s="205">
        <f t="shared" si="314"/>
        <v>60023.169812695989</v>
      </c>
      <c r="EE57" s="205">
        <f t="shared" si="314"/>
        <v>60872.173002627795</v>
      </c>
      <c r="EF57" s="205">
        <f t="shared" si="314"/>
        <v>62800.022601638404</v>
      </c>
      <c r="EG57" s="202">
        <f t="shared" si="314"/>
        <v>62800.022601638404</v>
      </c>
      <c r="EH57" s="10"/>
      <c r="EI57" s="484"/>
      <c r="EJ57" s="7"/>
    </row>
    <row r="58" spans="1:140" ht="11.25" customHeight="1" outlineLevel="1" x14ac:dyDescent="0.2">
      <c r="A58" s="173" t="s">
        <v>170</v>
      </c>
      <c r="B58" s="173"/>
      <c r="C58" s="173"/>
      <c r="D58" s="173"/>
      <c r="E58" s="338">
        <f>E28-E57</f>
        <v>0</v>
      </c>
      <c r="F58" s="342"/>
      <c r="G58" s="338">
        <f>G28-G57</f>
        <v>0</v>
      </c>
      <c r="H58" s="342"/>
      <c r="I58" s="338">
        <f>I28-I57</f>
        <v>0</v>
      </c>
      <c r="J58" s="342"/>
      <c r="K58" s="338">
        <f>K28-K57</f>
        <v>0</v>
      </c>
      <c r="L58" s="342"/>
      <c r="M58" s="338">
        <f>M28-M57</f>
        <v>0</v>
      </c>
      <c r="N58" s="338">
        <f>N28-N57</f>
        <v>0</v>
      </c>
      <c r="O58" s="338">
        <f>O28-O57</f>
        <v>0</v>
      </c>
      <c r="P58" s="338">
        <f>P28-P57</f>
        <v>0</v>
      </c>
      <c r="Q58" s="338">
        <f>Q28-Q57</f>
        <v>0</v>
      </c>
      <c r="R58" s="342"/>
      <c r="S58" s="338">
        <f>S28-S57</f>
        <v>0</v>
      </c>
      <c r="T58" s="338">
        <f>T28-T57</f>
        <v>0</v>
      </c>
      <c r="U58" s="338">
        <f>U28-U57</f>
        <v>0</v>
      </c>
      <c r="V58" s="338">
        <f>V28-V57</f>
        <v>0</v>
      </c>
      <c r="W58" s="338">
        <f>W28-W57</f>
        <v>0</v>
      </c>
      <c r="X58" s="342"/>
      <c r="Y58" s="338">
        <f>Y28-Y57</f>
        <v>0</v>
      </c>
      <c r="Z58" s="338">
        <f>Z28-Z57</f>
        <v>0</v>
      </c>
      <c r="AA58" s="338">
        <f>AA28-AA57</f>
        <v>0</v>
      </c>
      <c r="AB58" s="338">
        <f>AB28-AB57</f>
        <v>0</v>
      </c>
      <c r="AC58" s="338">
        <f>AC28-AC57</f>
        <v>0</v>
      </c>
      <c r="AD58" s="342"/>
      <c r="AE58" s="338">
        <f>AE28-AE57</f>
        <v>0</v>
      </c>
      <c r="AF58" s="338">
        <f>AF28-AF57</f>
        <v>0</v>
      </c>
      <c r="AG58" s="338">
        <f>AG28-AG57</f>
        <v>0</v>
      </c>
      <c r="AH58" s="338">
        <f>AH28-AH57</f>
        <v>0</v>
      </c>
      <c r="AI58" s="338">
        <f>AI28-AI57</f>
        <v>0</v>
      </c>
      <c r="AJ58" s="342"/>
      <c r="AK58" s="338">
        <f>AK28-AK57</f>
        <v>0</v>
      </c>
      <c r="AL58" s="338">
        <f>AL28-AL57</f>
        <v>0</v>
      </c>
      <c r="AM58" s="338">
        <f>AM28-AM57</f>
        <v>0</v>
      </c>
      <c r="AN58" s="338">
        <f>AN28-AN57</f>
        <v>0</v>
      </c>
      <c r="AO58" s="338">
        <f>AO28-AO57</f>
        <v>0</v>
      </c>
      <c r="AP58" s="342"/>
      <c r="AQ58" s="338">
        <f>AQ28-AQ57</f>
        <v>0</v>
      </c>
      <c r="AR58" s="338">
        <f>AR28-AR57</f>
        <v>0</v>
      </c>
      <c r="AS58" s="338">
        <f>AS28-AS57</f>
        <v>0</v>
      </c>
      <c r="AT58" s="338">
        <f>AT28-AT57</f>
        <v>0</v>
      </c>
      <c r="AU58" s="338">
        <f>AU28-AU57</f>
        <v>0</v>
      </c>
      <c r="AV58" s="342"/>
      <c r="AW58" s="338">
        <f>AW28-AW57</f>
        <v>0</v>
      </c>
      <c r="AX58" s="338">
        <f>AX28-AX57</f>
        <v>0</v>
      </c>
      <c r="AY58" s="338">
        <f>AY28-AY57</f>
        <v>0</v>
      </c>
      <c r="AZ58" s="338">
        <f>AZ28-AZ57</f>
        <v>0</v>
      </c>
      <c r="BA58" s="338">
        <f>BA28-BA57</f>
        <v>0</v>
      </c>
      <c r="BB58" s="342"/>
      <c r="BC58" s="338">
        <f>BC28-BC57</f>
        <v>0</v>
      </c>
      <c r="BD58" s="338">
        <f>BD28-BD57</f>
        <v>0</v>
      </c>
      <c r="BE58" s="338">
        <f>BE28-BE57</f>
        <v>0</v>
      </c>
      <c r="BF58" s="338">
        <f>BF28-BF57</f>
        <v>0</v>
      </c>
      <c r="BG58" s="338">
        <f>BG28-BG57</f>
        <v>0</v>
      </c>
      <c r="BH58" s="342"/>
      <c r="BI58" s="338">
        <f>BI28-BI57</f>
        <v>0</v>
      </c>
      <c r="BJ58" s="338">
        <f>BJ28-BJ57</f>
        <v>0</v>
      </c>
      <c r="BK58" s="338">
        <f>BK28-BK57</f>
        <v>0</v>
      </c>
      <c r="BL58" s="338">
        <f>BL28-BL57</f>
        <v>0</v>
      </c>
      <c r="BM58" s="338">
        <f>BM28-BM57</f>
        <v>0</v>
      </c>
      <c r="BN58" s="342"/>
      <c r="BO58" s="338">
        <f>BO28-BO57</f>
        <v>0</v>
      </c>
      <c r="BP58" s="338">
        <f>BP28-BP57</f>
        <v>0</v>
      </c>
      <c r="BQ58" s="338">
        <f>BQ28-BQ57</f>
        <v>0</v>
      </c>
      <c r="BR58" s="338">
        <f>BR28-BR57</f>
        <v>0</v>
      </c>
      <c r="BS58" s="338">
        <f>BS28-BS57</f>
        <v>0</v>
      </c>
      <c r="BT58" s="342"/>
      <c r="BU58" s="338">
        <f>BU28-BU57</f>
        <v>0</v>
      </c>
      <c r="BV58" s="338">
        <f>BV28-BV57</f>
        <v>0</v>
      </c>
      <c r="BW58" s="338">
        <f>BW28-BW57</f>
        <v>0</v>
      </c>
      <c r="BX58" s="338">
        <f>BX28-BX57</f>
        <v>0</v>
      </c>
      <c r="BY58" s="338">
        <f>BY28-BY57</f>
        <v>0</v>
      </c>
      <c r="BZ58" s="342"/>
      <c r="CA58" s="338">
        <f>CA28-CA57</f>
        <v>0</v>
      </c>
      <c r="CB58" s="338">
        <f>CB28-CB57</f>
        <v>0</v>
      </c>
      <c r="CC58" s="338">
        <f>CC28-CC57</f>
        <v>0</v>
      </c>
      <c r="CD58" s="338">
        <f>CD28-CD57</f>
        <v>0</v>
      </c>
      <c r="CE58" s="338">
        <f>CE28-CE57</f>
        <v>0</v>
      </c>
      <c r="CF58" s="342"/>
      <c r="CG58" s="338">
        <f>CG28-CG57</f>
        <v>0</v>
      </c>
      <c r="CH58" s="338">
        <f>CH28-CH57</f>
        <v>0</v>
      </c>
      <c r="CI58" s="338">
        <f>CI28-CI57</f>
        <v>0</v>
      </c>
      <c r="CJ58" s="338">
        <f>CJ28-CJ57</f>
        <v>0</v>
      </c>
      <c r="CK58" s="338">
        <f>CK28-CK57</f>
        <v>0</v>
      </c>
      <c r="CL58" s="342"/>
      <c r="CM58" s="338">
        <f>CM28-CM57</f>
        <v>0</v>
      </c>
      <c r="CN58" s="338">
        <f>CN28-CN57</f>
        <v>0</v>
      </c>
      <c r="CO58" s="338">
        <f>CO28-CO57</f>
        <v>0</v>
      </c>
      <c r="CP58" s="338">
        <f>CP28-CP57</f>
        <v>0</v>
      </c>
      <c r="CQ58" s="338">
        <f>CQ28-CQ57</f>
        <v>0</v>
      </c>
      <c r="CR58" s="342"/>
      <c r="CS58" s="338">
        <f>CS28-CS57</f>
        <v>0</v>
      </c>
      <c r="CT58" s="338">
        <f>CT28-CT57</f>
        <v>0</v>
      </c>
      <c r="CU58" s="338">
        <f>CU28-CU57</f>
        <v>0</v>
      </c>
      <c r="CV58" s="338">
        <f>CV28-CV57</f>
        <v>0</v>
      </c>
      <c r="CW58" s="338">
        <f>CW28-CW57</f>
        <v>0</v>
      </c>
      <c r="CX58" s="342"/>
      <c r="CY58" s="338">
        <f>CY28-CY57</f>
        <v>0</v>
      </c>
      <c r="CZ58" s="338">
        <f>CZ28-CZ57</f>
        <v>0</v>
      </c>
      <c r="DA58" s="338">
        <f>DA28-DA57</f>
        <v>0</v>
      </c>
      <c r="DB58" s="338">
        <f>DB28-DB57</f>
        <v>0</v>
      </c>
      <c r="DC58" s="338">
        <f>DC28-DC57</f>
        <v>0</v>
      </c>
      <c r="DD58" s="342"/>
      <c r="DE58" s="338">
        <f>DE28-DE57</f>
        <v>0</v>
      </c>
      <c r="DF58" s="338">
        <f>DF28-DF57</f>
        <v>0</v>
      </c>
      <c r="DG58" s="338">
        <f>DG28-DG57</f>
        <v>0</v>
      </c>
      <c r="DH58" s="338">
        <f>DH28-DH57</f>
        <v>0</v>
      </c>
      <c r="DI58" s="338">
        <f>DI28-DI57</f>
        <v>0</v>
      </c>
      <c r="DJ58" s="342"/>
      <c r="DK58" s="338">
        <f>DK28-DK57</f>
        <v>0</v>
      </c>
      <c r="DL58" s="338">
        <f>DL28-DL57</f>
        <v>0</v>
      </c>
      <c r="DM58" s="338">
        <f>DM28-DM57</f>
        <v>0</v>
      </c>
      <c r="DN58" s="338">
        <f>DN28-DN57</f>
        <v>0</v>
      </c>
      <c r="DO58" s="338">
        <f>DO28-DO57</f>
        <v>0</v>
      </c>
      <c r="DP58" s="342"/>
      <c r="DQ58" s="338">
        <f>DQ28-DQ57</f>
        <v>0</v>
      </c>
      <c r="DR58" s="338">
        <f>DR28-DR57</f>
        <v>0</v>
      </c>
      <c r="DS58" s="338">
        <f>DS28-DS57</f>
        <v>0</v>
      </c>
      <c r="DT58" s="338">
        <f>DT28-DT57</f>
        <v>0</v>
      </c>
      <c r="DU58" s="338">
        <f>DU28-DU57</f>
        <v>0</v>
      </c>
      <c r="DV58" s="342"/>
      <c r="DW58" s="338">
        <f>DW28-DW57</f>
        <v>0</v>
      </c>
      <c r="DX58" s="338">
        <f>DX28-DX57</f>
        <v>0</v>
      </c>
      <c r="DY58" s="338">
        <f>DY28-DY57</f>
        <v>0</v>
      </c>
      <c r="DZ58" s="338">
        <f>DZ28-DZ57</f>
        <v>0</v>
      </c>
      <c r="EA58" s="338">
        <f>EA28-EA57</f>
        <v>0</v>
      </c>
      <c r="EB58" s="342"/>
      <c r="EC58" s="338">
        <f t="shared" ref="EC58:EG58" si="315">EC28-EC57</f>
        <v>0</v>
      </c>
      <c r="ED58" s="338">
        <f t="shared" si="315"/>
        <v>0</v>
      </c>
      <c r="EE58" s="338">
        <f t="shared" si="315"/>
        <v>0</v>
      </c>
      <c r="EF58" s="338">
        <f t="shared" si="315"/>
        <v>0</v>
      </c>
      <c r="EG58" s="338">
        <f t="shared" si="315"/>
        <v>0</v>
      </c>
      <c r="EH58" s="7"/>
      <c r="EI58" s="482"/>
      <c r="EJ58" s="7"/>
    </row>
    <row r="59" spans="1:140" ht="11.25" customHeight="1" x14ac:dyDescent="0.2">
      <c r="A59" s="2"/>
      <c r="B59" s="2"/>
      <c r="C59" s="2"/>
      <c r="D59" s="2"/>
      <c r="E59" s="67"/>
      <c r="F59" s="126"/>
      <c r="G59" s="67"/>
      <c r="H59" s="126"/>
      <c r="I59" s="67"/>
      <c r="J59" s="126"/>
      <c r="K59" s="67"/>
      <c r="L59" s="126"/>
      <c r="M59" s="67"/>
      <c r="N59" s="67"/>
      <c r="O59" s="67"/>
      <c r="P59" s="67"/>
      <c r="Q59" s="67"/>
      <c r="R59" s="126"/>
      <c r="S59" s="67"/>
      <c r="T59" s="67"/>
      <c r="U59" s="67"/>
      <c r="V59" s="67"/>
      <c r="W59" s="67"/>
      <c r="X59" s="126"/>
      <c r="Y59" s="67"/>
      <c r="Z59" s="67"/>
      <c r="AA59" s="67"/>
      <c r="AB59" s="67"/>
      <c r="AC59" s="67"/>
      <c r="AD59" s="126"/>
      <c r="AE59" s="67"/>
      <c r="AF59" s="67"/>
      <c r="AG59" s="67"/>
      <c r="AH59" s="67"/>
      <c r="AI59" s="67"/>
      <c r="AJ59" s="126"/>
      <c r="AK59" s="67"/>
      <c r="AL59" s="67"/>
      <c r="AM59" s="67"/>
      <c r="AN59" s="67"/>
      <c r="AO59" s="67"/>
      <c r="AP59" s="126"/>
      <c r="AQ59" s="67"/>
      <c r="AR59" s="67"/>
      <c r="AS59" s="67"/>
      <c r="AT59" s="67"/>
      <c r="AU59" s="67"/>
      <c r="AV59" s="126"/>
      <c r="AW59" s="67"/>
      <c r="AX59" s="67"/>
      <c r="AY59" s="67"/>
      <c r="AZ59" s="67"/>
      <c r="BA59" s="67"/>
      <c r="BB59" s="126"/>
      <c r="BC59" s="67"/>
      <c r="BD59" s="67"/>
      <c r="BE59" s="67"/>
      <c r="BF59" s="67"/>
      <c r="BG59" s="67"/>
      <c r="BH59" s="126"/>
      <c r="BI59" s="67"/>
      <c r="BJ59" s="67"/>
      <c r="BK59" s="67"/>
      <c r="BL59" s="67"/>
      <c r="BM59" s="67"/>
      <c r="BN59" s="126"/>
      <c r="BO59" s="67"/>
      <c r="BP59" s="67"/>
      <c r="BQ59" s="67"/>
      <c r="BR59" s="67"/>
      <c r="BS59" s="67"/>
      <c r="BT59" s="126"/>
      <c r="BU59" s="67"/>
      <c r="BV59" s="67"/>
      <c r="BW59" s="67"/>
      <c r="BX59" s="67"/>
      <c r="BY59" s="67"/>
      <c r="BZ59" s="126"/>
      <c r="CA59" s="67"/>
      <c r="CB59" s="67"/>
      <c r="CC59" s="67"/>
      <c r="CD59" s="67"/>
      <c r="CE59" s="67"/>
      <c r="CF59" s="126"/>
      <c r="CG59" s="67"/>
      <c r="CH59" s="67"/>
      <c r="CI59" s="67"/>
      <c r="CJ59" s="67"/>
      <c r="CK59" s="67"/>
      <c r="CL59" s="126"/>
      <c r="CM59" s="67"/>
      <c r="CN59" s="67"/>
      <c r="CO59" s="67"/>
      <c r="CP59" s="67"/>
      <c r="CQ59" s="67"/>
      <c r="CR59" s="126"/>
      <c r="CS59" s="67"/>
      <c r="CT59" s="67"/>
      <c r="CU59" s="67"/>
      <c r="CV59" s="67"/>
      <c r="CW59" s="67"/>
      <c r="CX59" s="126"/>
      <c r="CY59" s="67"/>
      <c r="CZ59" s="67"/>
      <c r="DA59" s="67"/>
      <c r="DB59" s="67"/>
      <c r="DC59" s="67"/>
      <c r="DD59" s="126"/>
      <c r="DE59" s="67"/>
      <c r="DF59" s="67"/>
      <c r="DG59" s="67"/>
      <c r="DH59" s="67"/>
      <c r="DI59" s="67"/>
      <c r="DJ59" s="126"/>
      <c r="DK59" s="67"/>
      <c r="DL59" s="67"/>
      <c r="DM59" s="67"/>
      <c r="DN59" s="67"/>
      <c r="DO59" s="67"/>
      <c r="DP59" s="126"/>
      <c r="DQ59" s="67"/>
      <c r="DR59" s="67"/>
      <c r="DS59" s="67"/>
      <c r="DT59" s="67"/>
      <c r="DU59" s="67"/>
      <c r="DV59" s="126"/>
      <c r="DW59" s="67"/>
      <c r="DX59" s="67"/>
      <c r="DY59" s="67"/>
      <c r="DZ59" s="67"/>
      <c r="EA59" s="67"/>
      <c r="EB59" s="126"/>
      <c r="EC59" s="67"/>
      <c r="ED59" s="67"/>
      <c r="EE59" s="67"/>
      <c r="EF59" s="67"/>
      <c r="EG59" s="67"/>
      <c r="EH59" s="7"/>
      <c r="EI59" s="482"/>
      <c r="EJ59" s="7"/>
    </row>
    <row r="60" spans="1:140" ht="11.25" customHeight="1" outlineLevel="1" x14ac:dyDescent="0.2">
      <c r="A60" s="106" t="s">
        <v>250</v>
      </c>
      <c r="B60" s="170"/>
      <c r="C60" s="170"/>
      <c r="D60" s="170"/>
      <c r="E60" s="171"/>
      <c r="F60" s="171"/>
      <c r="G60" s="171"/>
      <c r="H60" s="171"/>
      <c r="I60" s="171"/>
      <c r="J60" s="171"/>
      <c r="K60" s="171"/>
      <c r="L60" s="171"/>
      <c r="M60" s="172"/>
      <c r="N60" s="172"/>
      <c r="O60" s="172"/>
      <c r="P60" s="172"/>
      <c r="Q60" s="171"/>
      <c r="R60" s="171"/>
      <c r="S60" s="172"/>
      <c r="T60" s="172"/>
      <c r="U60" s="172"/>
      <c r="V60" s="172"/>
      <c r="W60" s="171"/>
      <c r="X60" s="171"/>
      <c r="Y60" s="172"/>
      <c r="Z60" s="172"/>
      <c r="AA60" s="172"/>
      <c r="AB60" s="172"/>
      <c r="AC60" s="171"/>
      <c r="AD60" s="171"/>
      <c r="AE60" s="172"/>
      <c r="AF60" s="172"/>
      <c r="AG60" s="172"/>
      <c r="AH60" s="172"/>
      <c r="AI60" s="171"/>
      <c r="AJ60" s="171"/>
      <c r="AK60" s="172"/>
      <c r="AL60" s="172"/>
      <c r="AM60" s="172"/>
      <c r="AN60" s="172"/>
      <c r="AO60" s="171"/>
      <c r="AP60" s="171"/>
      <c r="AQ60" s="172"/>
      <c r="AR60" s="172"/>
      <c r="AS60" s="172"/>
      <c r="AT60" s="172"/>
      <c r="AU60" s="171"/>
      <c r="AV60" s="171"/>
      <c r="AW60" s="172"/>
      <c r="AX60" s="172"/>
      <c r="AY60" s="172"/>
      <c r="AZ60" s="172"/>
      <c r="BA60" s="171"/>
      <c r="BB60" s="171"/>
      <c r="BC60" s="172"/>
      <c r="BD60" s="172"/>
      <c r="BE60" s="172"/>
      <c r="BF60" s="172"/>
      <c r="BG60" s="171"/>
      <c r="BH60" s="171"/>
      <c r="BI60" s="172"/>
      <c r="BJ60" s="172"/>
      <c r="BK60" s="172"/>
      <c r="BL60" s="172"/>
      <c r="BM60" s="171"/>
      <c r="BN60" s="171"/>
      <c r="BO60" s="172"/>
      <c r="BP60" s="172"/>
      <c r="BQ60" s="172"/>
      <c r="BR60" s="172"/>
      <c r="BS60" s="171"/>
      <c r="BT60" s="171"/>
      <c r="BU60" s="172"/>
      <c r="BV60" s="172"/>
      <c r="BW60" s="172"/>
      <c r="BX60" s="172"/>
      <c r="BY60" s="171"/>
      <c r="BZ60" s="171"/>
      <c r="CA60" s="172"/>
      <c r="CB60" s="172"/>
      <c r="CC60" s="172"/>
      <c r="CD60" s="172"/>
      <c r="CE60" s="171"/>
      <c r="CF60" s="171"/>
      <c r="CG60" s="172"/>
      <c r="CH60" s="172"/>
      <c r="CI60" s="172"/>
      <c r="CJ60" s="172"/>
      <c r="CK60" s="171"/>
      <c r="CL60" s="171"/>
      <c r="CM60" s="172"/>
      <c r="CN60" s="172"/>
      <c r="CO60" s="172"/>
      <c r="CP60" s="172"/>
      <c r="CQ60" s="171"/>
      <c r="CR60" s="171"/>
      <c r="CS60" s="172"/>
      <c r="CT60" s="172"/>
      <c r="CU60" s="172"/>
      <c r="CV60" s="172"/>
      <c r="CW60" s="171"/>
      <c r="CX60" s="171"/>
      <c r="CY60" s="172"/>
      <c r="CZ60" s="172"/>
      <c r="DA60" s="172"/>
      <c r="DB60" s="172"/>
      <c r="DC60" s="171"/>
      <c r="DD60" s="171"/>
      <c r="DE60" s="172"/>
      <c r="DF60" s="172"/>
      <c r="DG60" s="172"/>
      <c r="DH60" s="172"/>
      <c r="DI60" s="171"/>
      <c r="DJ60" s="171"/>
      <c r="DK60" s="172"/>
      <c r="DL60" s="172"/>
      <c r="DM60" s="172"/>
      <c r="DN60" s="172"/>
      <c r="DO60" s="171"/>
      <c r="DP60" s="171"/>
      <c r="DQ60" s="172"/>
      <c r="DR60" s="172"/>
      <c r="DS60" s="172"/>
      <c r="DT60" s="172"/>
      <c r="DU60" s="171"/>
      <c r="DV60" s="171"/>
      <c r="DW60" s="172"/>
      <c r="DX60" s="172"/>
      <c r="DY60" s="172"/>
      <c r="DZ60" s="172"/>
      <c r="EA60" s="171"/>
      <c r="EB60" s="171"/>
      <c r="EC60" s="172"/>
      <c r="ED60" s="172"/>
      <c r="EE60" s="172"/>
      <c r="EF60" s="172"/>
      <c r="EG60" s="171"/>
      <c r="EH60" s="7"/>
      <c r="EI60" s="482"/>
      <c r="EJ60" s="7"/>
    </row>
    <row r="61" spans="1:140" ht="11.25" customHeight="1" outlineLevel="1" x14ac:dyDescent="0.2">
      <c r="A61" s="51" t="s">
        <v>251</v>
      </c>
      <c r="B61" s="2"/>
      <c r="C61" s="2"/>
      <c r="D61" s="2"/>
      <c r="E61" s="141">
        <f>+E31+E39</f>
        <v>199.01900000000001</v>
      </c>
      <c r="F61" s="126"/>
      <c r="G61" s="141">
        <f>+G31+G39</f>
        <v>503.63900000000001</v>
      </c>
      <c r="H61" s="126"/>
      <c r="I61" s="141">
        <f>+I31+I39</f>
        <v>374.63399999999996</v>
      </c>
      <c r="J61" s="126"/>
      <c r="K61" s="141">
        <f>+K31+K39</f>
        <v>795.19</v>
      </c>
      <c r="L61" s="126"/>
      <c r="M61" s="137">
        <f>+M31+M39</f>
        <v>1182.0920000000001</v>
      </c>
      <c r="N61" s="138">
        <f>+N31+N39</f>
        <v>1174.0919999999999</v>
      </c>
      <c r="O61" s="138">
        <f>+O31+O39</f>
        <v>1196.1019999999999</v>
      </c>
      <c r="P61" s="138">
        <f>+P31+P39</f>
        <v>1191.6890000000001</v>
      </c>
      <c r="Q61" s="141">
        <f>+Q31+Q39</f>
        <v>1191.6890000000001</v>
      </c>
      <c r="R61" s="126"/>
      <c r="S61" s="137">
        <f>+S31+S39</f>
        <v>1185.0930000000001</v>
      </c>
      <c r="T61" s="138">
        <f>+T31+T39</f>
        <v>1221.4809999999998</v>
      </c>
      <c r="U61" s="138">
        <f>+U31+U39</f>
        <v>1253.415</v>
      </c>
      <c r="V61" s="138">
        <f>+V31+V39</f>
        <v>1309.9639999999999</v>
      </c>
      <c r="W61" s="141">
        <f>+W31+W39</f>
        <v>1309.9639999999999</v>
      </c>
      <c r="X61" s="126"/>
      <c r="Y61" s="137">
        <f>+Y31+Y39</f>
        <v>1369.9880000000001</v>
      </c>
      <c r="Z61" s="138">
        <f>+Z31+Z39</f>
        <v>1326.0590000000002</v>
      </c>
      <c r="AA61" s="138">
        <f>+AA31+AA39</f>
        <v>1256.307</v>
      </c>
      <c r="AB61" s="138">
        <f>+AB31+AB39</f>
        <v>1298.883</v>
      </c>
      <c r="AC61" s="141">
        <f>+AC31+AC39</f>
        <v>1298.883</v>
      </c>
      <c r="AD61" s="126"/>
      <c r="AE61" s="137">
        <f>+AE31+AE39</f>
        <v>1341.664</v>
      </c>
      <c r="AF61" s="138">
        <f>+AF31+AF39</f>
        <v>1300.626</v>
      </c>
      <c r="AG61" s="138">
        <f>+AG31+AG39</f>
        <v>1308.1420000000001</v>
      </c>
      <c r="AH61" s="138">
        <f>+AH31+AH39</f>
        <v>1350.298</v>
      </c>
      <c r="AI61" s="141">
        <f>+AI31+AI39</f>
        <v>1350.298</v>
      </c>
      <c r="AJ61" s="126"/>
      <c r="AK61" s="137">
        <f>+AK31+AK39</f>
        <v>1323.931</v>
      </c>
      <c r="AL61" s="138">
        <f>+AL31+AL39</f>
        <v>1303.1969999999999</v>
      </c>
      <c r="AM61" s="138">
        <f>+AM31+AM39</f>
        <v>1054.4569999999999</v>
      </c>
      <c r="AN61" s="138">
        <f>+AN31+AN39</f>
        <v>1041.722</v>
      </c>
      <c r="AO61" s="141">
        <f>+AO31+AO39</f>
        <v>1041.722</v>
      </c>
      <c r="AP61" s="126"/>
      <c r="AQ61" s="137">
        <f>+AQ31+AQ39</f>
        <v>870.53899999999999</v>
      </c>
      <c r="AR61" s="138">
        <f>+AR31+AR39</f>
        <v>2663.0590000000002</v>
      </c>
      <c r="AS61" s="138">
        <f>+AS31+AS39</f>
        <v>2275.355</v>
      </c>
      <c r="AT61" s="138">
        <f>+AT31+AT39</f>
        <v>2433.7159999999999</v>
      </c>
      <c r="AU61" s="141">
        <f>+AU31+AU39</f>
        <v>2433.7159999999999</v>
      </c>
      <c r="AV61" s="126"/>
      <c r="AW61" s="137">
        <f>+AW31+AW39</f>
        <v>2325.3440000000001</v>
      </c>
      <c r="AX61" s="138">
        <f>+AX31+AX39</f>
        <v>2158.5770000000002</v>
      </c>
      <c r="AY61" s="138">
        <f>+AY31+AY39</f>
        <v>1947.2059999999999</v>
      </c>
      <c r="AZ61" s="138">
        <f>+AZ31+AZ39</f>
        <v>3726.2440000000001</v>
      </c>
      <c r="BA61" s="141">
        <f>+BA31+BA39</f>
        <v>3726.2440000000001</v>
      </c>
      <c r="BB61" s="126"/>
      <c r="BC61" s="137">
        <f>+BC31+BC39</f>
        <v>3505.2659999999996</v>
      </c>
      <c r="BD61" s="138">
        <f>+BD31+BD39</f>
        <v>3052.703</v>
      </c>
      <c r="BE61" s="138">
        <f>+BE31+BE39</f>
        <v>2707.6820000000002</v>
      </c>
      <c r="BF61" s="138">
        <f>+BF31+BF39</f>
        <v>2619.3290000000002</v>
      </c>
      <c r="BG61" s="141">
        <f>+BG31+BG39</f>
        <v>2619.3290000000002</v>
      </c>
      <c r="BH61" s="126"/>
      <c r="BI61" s="137">
        <f>+BI31+BI39</f>
        <v>2917.97</v>
      </c>
      <c r="BJ61" s="138">
        <f>+BJ31+BJ39</f>
        <v>2904.7910000000002</v>
      </c>
      <c r="BK61" s="138">
        <f>+BK31+BK39</f>
        <v>2950.2109999999998</v>
      </c>
      <c r="BL61" s="138">
        <f>+BL31+BL39</f>
        <v>2933.2090000000003</v>
      </c>
      <c r="BM61" s="141">
        <f>+BM31+BM39</f>
        <v>2933.2090000000003</v>
      </c>
      <c r="BN61" s="126"/>
      <c r="BO61" s="137">
        <f>+BO31+BO39</f>
        <v>2885.8489999999997</v>
      </c>
      <c r="BP61" s="138">
        <f>+BP31+BP39</f>
        <v>2824.93</v>
      </c>
      <c r="BQ61" s="138">
        <f>+BQ31+BQ39</f>
        <v>2861.7420000000002</v>
      </c>
      <c r="BR61" s="138">
        <f>+BR31+BR39</f>
        <v>2824.6680000000001</v>
      </c>
      <c r="BS61" s="141">
        <f>+BS31+BS39</f>
        <v>2824.6680000000001</v>
      </c>
      <c r="BT61" s="126"/>
      <c r="BU61" s="137">
        <f>+BU31+BU39</f>
        <v>2726.9610000000002</v>
      </c>
      <c r="BV61" s="138">
        <f>+BV31+BV39</f>
        <v>6572.8629999999994</v>
      </c>
      <c r="BW61" s="138">
        <f>+BW31+BW39</f>
        <v>5895.69</v>
      </c>
      <c r="BX61" s="138">
        <f>+BX31+BX39</f>
        <v>5305.192</v>
      </c>
      <c r="BY61" s="141">
        <f>+BY31+BY39</f>
        <v>5305.192</v>
      </c>
      <c r="BZ61" s="126"/>
      <c r="CA61" s="137">
        <f>+CA31+CA39</f>
        <v>4925.8240000000005</v>
      </c>
      <c r="CB61" s="138">
        <f>+CB31+CB39</f>
        <v>4903.027</v>
      </c>
      <c r="CC61" s="138">
        <f>+CC31+CC39</f>
        <v>4714.2210000000005</v>
      </c>
      <c r="CD61" s="138">
        <f>+CD31+CD39</f>
        <v>5343.1</v>
      </c>
      <c r="CE61" s="141">
        <f>+CE31+CE39</f>
        <v>5343.1</v>
      </c>
      <c r="CF61" s="126"/>
      <c r="CG61" s="137">
        <f>+CG31+CG39</f>
        <v>4456.3</v>
      </c>
      <c r="CH61" s="138">
        <f>+CH31+CH39</f>
        <v>4154.7999999999993</v>
      </c>
      <c r="CI61" s="138">
        <f>+CI31+CI39</f>
        <v>3502</v>
      </c>
      <c r="CJ61" s="138">
        <f>+CJ31+CJ39</f>
        <v>3499</v>
      </c>
      <c r="CK61" s="141">
        <f>+CK31+CK39</f>
        <v>3499</v>
      </c>
      <c r="CL61" s="126"/>
      <c r="CM61" s="137">
        <f>+CM31+CM39</f>
        <v>3487</v>
      </c>
      <c r="CN61" s="138">
        <f>+CN31+CN39</f>
        <v>3069</v>
      </c>
      <c r="CO61" s="138">
        <f>+CO31+CO39</f>
        <v>3036.1</v>
      </c>
      <c r="CP61" s="138">
        <f>+CP31+CP39</f>
        <v>3473.4</v>
      </c>
      <c r="CQ61" s="141">
        <f>+CQ31+CQ39</f>
        <v>3473.4</v>
      </c>
      <c r="CR61" s="126"/>
      <c r="CS61" s="137">
        <f>+CS31+CS39</f>
        <v>3177.5</v>
      </c>
      <c r="CT61" s="138">
        <f>+CT31+CT39</f>
        <v>3162.7999999999997</v>
      </c>
      <c r="CU61" s="138">
        <f>+CU31+CU39</f>
        <v>15012</v>
      </c>
      <c r="CV61" s="138">
        <f>+CV31+CV39</f>
        <v>12870.400000000001</v>
      </c>
      <c r="CW61" s="141">
        <f>+CW31+CW39</f>
        <v>12870.400000000001</v>
      </c>
      <c r="CX61" s="126"/>
      <c r="CY61" s="137">
        <f>+CY31+CY39</f>
        <v>12391.7</v>
      </c>
      <c r="CZ61" s="138">
        <f>+CZ31+CZ39</f>
        <v>14652.2</v>
      </c>
      <c r="DA61" s="138">
        <f>+DA31+DA39</f>
        <v>8312.2000000000007</v>
      </c>
      <c r="DB61" s="138">
        <f>+DB31+DB39</f>
        <v>12269</v>
      </c>
      <c r="DC61" s="141">
        <f>+DC31+DC39</f>
        <v>12269</v>
      </c>
      <c r="DD61" s="126"/>
      <c r="DE61" s="137">
        <f>+DE31+DE39</f>
        <v>11950.3</v>
      </c>
      <c r="DF61" s="138">
        <f>+DF31+DF39</f>
        <v>11592</v>
      </c>
      <c r="DG61" s="138">
        <f>+DG31+DG39</f>
        <v>10909</v>
      </c>
      <c r="DH61" s="138">
        <f>+DH31+DH39</f>
        <v>10522.1</v>
      </c>
      <c r="DI61" s="141">
        <f>+DI31+DI39</f>
        <v>10522.1</v>
      </c>
      <c r="DJ61" s="126"/>
      <c r="DK61" s="137">
        <f>+DK31+DK39</f>
        <v>10522.1</v>
      </c>
      <c r="DL61" s="138">
        <f>+DL31+DL39</f>
        <v>10522.1</v>
      </c>
      <c r="DM61" s="138">
        <f>+DM31+DM39</f>
        <v>10522.1</v>
      </c>
      <c r="DN61" s="138">
        <f>+DN31+DN39</f>
        <v>10522.1</v>
      </c>
      <c r="DO61" s="141">
        <f>+DO31+DO39</f>
        <v>10522.1</v>
      </c>
      <c r="DP61" s="126"/>
      <c r="DQ61" s="137">
        <f>+DQ31+DQ39</f>
        <v>10522.1</v>
      </c>
      <c r="DR61" s="138">
        <f>+DR31+DR39</f>
        <v>10522.1</v>
      </c>
      <c r="DS61" s="138">
        <f>+DS31+DS39</f>
        <v>10522.1</v>
      </c>
      <c r="DT61" s="138">
        <f>+DT31+DT39</f>
        <v>10522.1</v>
      </c>
      <c r="DU61" s="141">
        <f>+DU31+DU39</f>
        <v>10522.1</v>
      </c>
      <c r="DV61" s="126"/>
      <c r="DW61" s="137">
        <f>+DW31+DW39</f>
        <v>10522.1</v>
      </c>
      <c r="DX61" s="138">
        <f>+DX31+DX39</f>
        <v>10522.1</v>
      </c>
      <c r="DY61" s="138">
        <f>+DY31+DY39</f>
        <v>10522.1</v>
      </c>
      <c r="DZ61" s="138">
        <f>+DZ31+DZ39</f>
        <v>10522.1</v>
      </c>
      <c r="EA61" s="141">
        <f>+EA31+EA39</f>
        <v>10522.1</v>
      </c>
      <c r="EB61" s="126"/>
      <c r="EC61" s="137">
        <f t="shared" ref="EC61:EG61" si="316">+EC31+EC39</f>
        <v>10522.1</v>
      </c>
      <c r="ED61" s="138">
        <f t="shared" si="316"/>
        <v>10522.1</v>
      </c>
      <c r="EE61" s="138">
        <f t="shared" si="316"/>
        <v>10522.1</v>
      </c>
      <c r="EF61" s="138">
        <f t="shared" si="316"/>
        <v>10522.1</v>
      </c>
      <c r="EG61" s="141">
        <f t="shared" si="316"/>
        <v>10522.1</v>
      </c>
      <c r="EH61" s="7"/>
      <c r="EI61" s="482"/>
      <c r="EJ61" s="7"/>
    </row>
    <row r="62" spans="1:140" ht="11.25" customHeight="1" outlineLevel="1" x14ac:dyDescent="0.2">
      <c r="A62" s="51" t="s">
        <v>252</v>
      </c>
      <c r="B62" s="2"/>
      <c r="C62" s="2"/>
      <c r="D62" s="2"/>
      <c r="E62" s="93">
        <f>E61-E11-E12</f>
        <v>128.19800000000001</v>
      </c>
      <c r="F62" s="126"/>
      <c r="G62" s="93">
        <f>G61-G11-G12</f>
        <v>455.84100000000001</v>
      </c>
      <c r="H62" s="126"/>
      <c r="I62" s="93">
        <f>I61-I11-I12</f>
        <v>114.35299999999995</v>
      </c>
      <c r="J62" s="126"/>
      <c r="K62" s="93">
        <f>K61-K11-K12</f>
        <v>618.26600000000008</v>
      </c>
      <c r="L62" s="126"/>
      <c r="M62" s="82">
        <f>(M61+M47)-M11-M12</f>
        <v>512.86200000000008</v>
      </c>
      <c r="N62" s="67">
        <f>(N61+N47)-N11-N12</f>
        <v>498.78199999999993</v>
      </c>
      <c r="O62" s="67">
        <f>(O61+O47)-O11-O12</f>
        <v>549.63599999999985</v>
      </c>
      <c r="P62" s="67">
        <f>(P61+P47)-P11-P12</f>
        <v>485.13000000000011</v>
      </c>
      <c r="Q62" s="93">
        <f>(Q61+Q47)-Q11-Q12</f>
        <v>485.13000000000011</v>
      </c>
      <c r="R62" s="126"/>
      <c r="S62" s="82">
        <f>(S61+S47)-S11-S12</f>
        <v>613.64100000000008</v>
      </c>
      <c r="T62" s="67">
        <f>(T61+T47)-T11-T12</f>
        <v>516.40599999999972</v>
      </c>
      <c r="U62" s="67">
        <f>(U61+U47)-U11-U12</f>
        <v>450.23699999999997</v>
      </c>
      <c r="V62" s="67">
        <f>(V61+V47)-V11-V12</f>
        <v>499.50099999999998</v>
      </c>
      <c r="W62" s="93">
        <f>(W61+W47)-W11-W12</f>
        <v>499.50099999999998</v>
      </c>
      <c r="X62" s="126"/>
      <c r="Y62" s="82">
        <f>(Y61+Y47)-Y11-Y12</f>
        <v>458.35500000000002</v>
      </c>
      <c r="Z62" s="67">
        <f>(Z61+Z47)-Z11-Z12</f>
        <v>257.9490000000003</v>
      </c>
      <c r="AA62" s="67">
        <f>(AA61+AA47)-AA11-AA12</f>
        <v>151.57999999999993</v>
      </c>
      <c r="AB62" s="67">
        <f>(AB61+AB47)-AB11-AB12</f>
        <v>68.727000000000089</v>
      </c>
      <c r="AC62" s="93">
        <f>(AC61+AC47)-AC11-AC12</f>
        <v>68.727000000000089</v>
      </c>
      <c r="AD62" s="126"/>
      <c r="AE62" s="82">
        <f>(AE61+AE47)-AE11-AE12</f>
        <v>699.178</v>
      </c>
      <c r="AF62" s="67">
        <f>(AF61+AF47)-AF11-AF12</f>
        <v>997.34099999999989</v>
      </c>
      <c r="AG62" s="67">
        <f>(AG61+AG47)-AG11-AG12</f>
        <v>776.53200000000004</v>
      </c>
      <c r="AH62" s="67">
        <f>(AH61+AH47)-AH11-AH12</f>
        <v>741.18299999999999</v>
      </c>
      <c r="AI62" s="93">
        <f>(AI61+AI47)-AI11-AI12</f>
        <v>741.18299999999999</v>
      </c>
      <c r="AJ62" s="126"/>
      <c r="AK62" s="82">
        <f>(AK61+AK47)-AK11-AK12</f>
        <v>650.85900000000004</v>
      </c>
      <c r="AL62" s="67">
        <f>(AL61+AL47)-AL11-AL12</f>
        <v>494.54199999999992</v>
      </c>
      <c r="AM62" s="67">
        <f>(AM61+AM47)-AM11-AM12</f>
        <v>778.8359999999999</v>
      </c>
      <c r="AN62" s="67">
        <f>(AN61+AN47)-AN11-AN12</f>
        <v>726.17100000000005</v>
      </c>
      <c r="AO62" s="93">
        <f>(AO61+AO47)-AO11-AO12</f>
        <v>726.17100000000005</v>
      </c>
      <c r="AP62" s="126"/>
      <c r="AQ62" s="82">
        <f>(AQ61+AQ47)-AQ11-AQ12</f>
        <v>609.71600000000001</v>
      </c>
      <c r="AR62" s="67">
        <f>(AR61+AR47)-AR11-AR12</f>
        <v>2378.326</v>
      </c>
      <c r="AS62" s="67">
        <f>(AS61+AS47)-AS11-AS12</f>
        <v>2011.403</v>
      </c>
      <c r="AT62" s="67">
        <f>(AT61+AT47)-AT11-AT12</f>
        <v>2115.9059999999999</v>
      </c>
      <c r="AU62" s="93">
        <f>(AU61+AU47)-AU11-AU12</f>
        <v>2115.9059999999999</v>
      </c>
      <c r="AV62" s="126"/>
      <c r="AW62" s="82">
        <f>(AW61+AW47)-AW11-AW12</f>
        <v>2127.7800000000002</v>
      </c>
      <c r="AX62" s="67">
        <f>(AX61+AX47)-AX11-AX12</f>
        <v>1984.4320000000002</v>
      </c>
      <c r="AY62" s="67">
        <f>(AY61+AY47)-AY11-AY12</f>
        <v>1737.925</v>
      </c>
      <c r="AZ62" s="67">
        <f>(AZ61+AZ47)-AZ11-AZ12</f>
        <v>3487.136</v>
      </c>
      <c r="BA62" s="93">
        <f>(BA61+BA47)-BA11-BA12</f>
        <v>3487.136</v>
      </c>
      <c r="BB62" s="126"/>
      <c r="BC62" s="82">
        <f>(BC61+BC47)-BC11-BC12</f>
        <v>3271.4469999999997</v>
      </c>
      <c r="BD62" s="67">
        <f>(BD61+BD47)-BD11-BD12</f>
        <v>2768.6030000000001</v>
      </c>
      <c r="BE62" s="67">
        <f>(BE61+BE47)-BE11-BE12</f>
        <v>2421.1630000000005</v>
      </c>
      <c r="BF62" s="67">
        <f>(BF61+BF47)-BF11-BF12</f>
        <v>2226.4750000000004</v>
      </c>
      <c r="BG62" s="93">
        <f>(BG61+BG47)-BG11-BG12</f>
        <v>2226.4750000000004</v>
      </c>
      <c r="BH62" s="126"/>
      <c r="BI62" s="82">
        <f>(BI61+BI47)-BI11-BI12</f>
        <v>1942.0249999999996</v>
      </c>
      <c r="BJ62" s="67">
        <f>(BJ61+BJ47)-BJ11-BJ12</f>
        <v>1646.38</v>
      </c>
      <c r="BK62" s="67">
        <f>(BK61+BK47)-BK11-BK12</f>
        <v>1313.9799999999998</v>
      </c>
      <c r="BL62" s="67">
        <f>(BL61+BL47)-BL11-BL12</f>
        <v>1211.2890000000002</v>
      </c>
      <c r="BM62" s="93">
        <f>(BM61+BM47)-BM11-BM12</f>
        <v>1211.2890000000002</v>
      </c>
      <c r="BN62" s="126"/>
      <c r="BO62" s="82">
        <f>(BO61+BO47)-BO11-BO12</f>
        <v>2079.4809999999998</v>
      </c>
      <c r="BP62" s="67">
        <f>(BP61+BP47)-BP11-BP12</f>
        <v>1591.9939999999999</v>
      </c>
      <c r="BQ62" s="67">
        <f>(BQ61+BQ47)-BQ11-BQ12</f>
        <v>1226.7010000000002</v>
      </c>
      <c r="BR62" s="67">
        <f>(BR61+BR47)-BR11-BR12</f>
        <v>1253.444</v>
      </c>
      <c r="BS62" s="93">
        <f>(BS61+BS47)-BS11-BS12</f>
        <v>1253.444</v>
      </c>
      <c r="BT62" s="126"/>
      <c r="BU62" s="82">
        <f>(BU61+BU47)-BU11-BU12</f>
        <v>1197.9120000000005</v>
      </c>
      <c r="BV62" s="67">
        <f>(BV61+BV47)-BV11-BV12</f>
        <v>6087.3029999999999</v>
      </c>
      <c r="BW62" s="67">
        <f>(BW61+BW47)-BW11-BW12</f>
        <v>5476.6819999999989</v>
      </c>
      <c r="BX62" s="67">
        <f>(BX61+BX47)-BX11-BX12</f>
        <v>4835.1759999999995</v>
      </c>
      <c r="BY62" s="93">
        <f>(BY61+BY47)-BY11-BY12</f>
        <v>4835.1759999999995</v>
      </c>
      <c r="BZ62" s="126"/>
      <c r="CA62" s="82">
        <f>(CA61+CA47)-CA11-CA12</f>
        <v>3950.4380000000006</v>
      </c>
      <c r="CB62" s="67">
        <f>(CB61+CB47)-CB11-CB12</f>
        <v>3850.5950000000003</v>
      </c>
      <c r="CC62" s="67">
        <f>(CC61+CC47)-CC11-CC12</f>
        <v>3239.5660000000007</v>
      </c>
      <c r="CD62" s="67">
        <f>(CD61+CD47)-CD11-CD12</f>
        <v>3731.8</v>
      </c>
      <c r="CE62" s="93">
        <f>(CE61+CE47)-CE11-CE12</f>
        <v>3731.8</v>
      </c>
      <c r="CF62" s="126"/>
      <c r="CG62" s="82">
        <f>(CG61+CG47)-CG11-CG12</f>
        <v>2373.7000000000007</v>
      </c>
      <c r="CH62" s="67">
        <f>(CH61+CH47)-CH11-CH12</f>
        <v>1898.3999999999992</v>
      </c>
      <c r="CI62" s="67">
        <f>(CI61+CI47)-CI11-CI12</f>
        <v>1572.6</v>
      </c>
      <c r="CJ62" s="67">
        <f>(CJ61+CJ47)-CJ11-CJ12</f>
        <v>449.90000000000009</v>
      </c>
      <c r="CK62" s="93">
        <f>(CK61+CK47)-CK11-CK12</f>
        <v>449.90000000000009</v>
      </c>
      <c r="CL62" s="126"/>
      <c r="CM62" s="82">
        <f>(CM61+CM47)-CM11-CM12</f>
        <v>207.59999999999991</v>
      </c>
      <c r="CN62" s="67">
        <f>(CN61+CN47)-CN11-CN12</f>
        <v>-183.69999999999982</v>
      </c>
      <c r="CO62" s="67">
        <f>(CO61+CO47)-CO11-CO12</f>
        <v>-919.80000000000018</v>
      </c>
      <c r="CP62" s="67">
        <f>(CP61+CP47)-CP11-CP12</f>
        <v>539.5</v>
      </c>
      <c r="CQ62" s="93">
        <f>(CQ61+CQ47)-CQ11-CQ12</f>
        <v>539.5</v>
      </c>
      <c r="CR62" s="126"/>
      <c r="CS62" s="82">
        <f>(CS61+CS47)-CS11-CS12</f>
        <v>736.19999999999982</v>
      </c>
      <c r="CT62" s="67">
        <f>(CT61+CT47)-CT11-CT12</f>
        <v>-108.40000000000009</v>
      </c>
      <c r="CU62" s="67">
        <f>(CU61+CU47)-CU11-CU12</f>
        <v>13249.6</v>
      </c>
      <c r="CV62" s="67">
        <f>(CV61+CV47)-CV11-CV12</f>
        <v>12153.300000000003</v>
      </c>
      <c r="CW62" s="93">
        <f>(CW61+CW47)-CW11-CW12</f>
        <v>12153.300000000003</v>
      </c>
      <c r="CX62" s="126"/>
      <c r="CY62" s="82">
        <f>(CY61+CY47)-CY11-CY12</f>
        <v>11799.800000000001</v>
      </c>
      <c r="CZ62" s="67">
        <f>(CZ61+CZ47)-CZ11-CZ12</f>
        <v>10629.800000000001</v>
      </c>
      <c r="DA62" s="67">
        <f>(DA61+DA47)-DA11-DA12</f>
        <v>7413.6</v>
      </c>
      <c r="DB62" s="67">
        <f>(DB61+DB47)-DB11-DB12</f>
        <v>11379.3</v>
      </c>
      <c r="DC62" s="93">
        <f>(DC61+DC47)-DC11-DC12</f>
        <v>11379.3</v>
      </c>
      <c r="DD62" s="126"/>
      <c r="DE62" s="82">
        <f>(DE61+DE47)-DE11-DE12</f>
        <v>11151.699999999999</v>
      </c>
      <c r="DF62" s="67">
        <f>(DF61+DF47)-DF11-DF12</f>
        <v>10870.800000000001</v>
      </c>
      <c r="DG62" s="67">
        <f>(DG61+DG47)-DG11-DG12</f>
        <v>10265.6</v>
      </c>
      <c r="DH62" s="67">
        <f>(DH61+DH47)-DH11-DH12</f>
        <v>9901.4000000000015</v>
      </c>
      <c r="DI62" s="93">
        <f>(DI61+DI47)-DI11-DI12</f>
        <v>9901.4000000000015</v>
      </c>
      <c r="DJ62" s="126"/>
      <c r="DK62" s="82">
        <f>(DK61+DK47)-DK11-DK12</f>
        <v>8974.4557824514286</v>
      </c>
      <c r="DL62" s="67">
        <f>(DL61+DL47)-DL11-DL12</f>
        <v>7899.4386722980553</v>
      </c>
      <c r="DM62" s="67">
        <f>(DM61+DM47)-DM11-DM12</f>
        <v>7188.7029535673228</v>
      </c>
      <c r="DN62" s="67">
        <f>(DN61+DN47)-DN11-DN12</f>
        <v>6198.9035598534292</v>
      </c>
      <c r="DO62" s="93">
        <f>(DO61+DO47)-DO11-DO12</f>
        <v>6198.9035598534292</v>
      </c>
      <c r="DP62" s="126"/>
      <c r="DQ62" s="82">
        <f>(DQ61+DQ47)-DQ11-DQ12</f>
        <v>5256.6464359441079</v>
      </c>
      <c r="DR62" s="67">
        <f>(DR61+DR47)-DR11-DR12</f>
        <v>4089.3714189599541</v>
      </c>
      <c r="DS62" s="67">
        <f>(DS61+DS47)-DS11-DS12</f>
        <v>3324.512085762799</v>
      </c>
      <c r="DT62" s="67">
        <f>(DT61+DT47)-DT11-DT12</f>
        <v>2265.7429331423918</v>
      </c>
      <c r="DU62" s="93">
        <f>(DU61+DU47)-DU11-DU12</f>
        <v>2265.7429331423918</v>
      </c>
      <c r="DV62" s="126"/>
      <c r="DW62" s="82">
        <f>(DW61+DW47)-DW11-DW12</f>
        <v>1122.4993355284423</v>
      </c>
      <c r="DX62" s="67">
        <f>(DX61+DX47)-DX11-DX12</f>
        <v>-133.00078572190068</v>
      </c>
      <c r="DY62" s="67">
        <f>(DY61+DY47)-DY11-DY12</f>
        <v>-952.98333517628635</v>
      </c>
      <c r="DZ62" s="67">
        <f>(DZ61+DZ47)-DZ11-DZ12</f>
        <v>-2250.2919483166879</v>
      </c>
      <c r="EA62" s="93">
        <f>(EA61+EA47)-EA11-EA12</f>
        <v>-2250.2919483166879</v>
      </c>
      <c r="EB62" s="126"/>
      <c r="EC62" s="82">
        <f t="shared" ref="EC62:EG62" si="317">(EC61+EC47)-EC11-EC12</f>
        <v>-3611.8024595745974</v>
      </c>
      <c r="ED62" s="67">
        <f t="shared" si="317"/>
        <v>-5138.7928857241313</v>
      </c>
      <c r="EE62" s="67">
        <f t="shared" si="317"/>
        <v>-6214.3395766962058</v>
      </c>
      <c r="EF62" s="67">
        <f t="shared" si="317"/>
        <v>-7676.8629874289836</v>
      </c>
      <c r="EG62" s="93">
        <f t="shared" si="317"/>
        <v>-7676.8629874289836</v>
      </c>
      <c r="EH62" s="7"/>
      <c r="EI62" s="489"/>
      <c r="EJ62" s="7"/>
    </row>
    <row r="63" spans="1:140" ht="11.25" customHeight="1" outlineLevel="1" x14ac:dyDescent="0.2">
      <c r="A63" s="105" t="s">
        <v>253</v>
      </c>
      <c r="B63" s="2"/>
      <c r="C63" s="2"/>
      <c r="D63" s="2"/>
      <c r="E63" s="142">
        <v>0.23269803238219708</v>
      </c>
      <c r="F63" s="126"/>
      <c r="G63" s="142">
        <v>0.79146207643745625</v>
      </c>
      <c r="H63" s="126"/>
      <c r="I63" s="142">
        <v>0.19569064063687197</v>
      </c>
      <c r="J63" s="126"/>
      <c r="K63" s="142">
        <v>1.0623200159451269</v>
      </c>
      <c r="L63" s="126"/>
      <c r="M63" s="139">
        <v>0.85212273869179755</v>
      </c>
      <c r="N63" s="140">
        <v>0.81691474168315392</v>
      </c>
      <c r="O63" s="140">
        <v>0.90283052339715342</v>
      </c>
      <c r="P63" s="140">
        <v>0.80062910934488141</v>
      </c>
      <c r="Q63" s="142">
        <v>0.80062910934488141</v>
      </c>
      <c r="R63" s="126"/>
      <c r="S63" s="139">
        <v>0.99666231386918225</v>
      </c>
      <c r="T63" s="140">
        <v>0.80665750257739977</v>
      </c>
      <c r="U63" s="140">
        <v>0.70520985395743396</v>
      </c>
      <c r="V63" s="140">
        <v>0.78237245553251344</v>
      </c>
      <c r="W63" s="142">
        <v>0.78794594969775744</v>
      </c>
      <c r="X63" s="126"/>
      <c r="Y63" s="139">
        <v>0.7132065078703157</v>
      </c>
      <c r="Z63" s="140">
        <v>0.40004249353291899</v>
      </c>
      <c r="AA63" s="140">
        <v>0.23425088551100001</v>
      </c>
      <c r="AB63" s="140">
        <v>0.10634245218790632</v>
      </c>
      <c r="AC63" s="142">
        <v>0.10634245218790632</v>
      </c>
      <c r="AD63" s="126"/>
      <c r="AE63" s="139">
        <v>1.0681909848688553</v>
      </c>
      <c r="AF63" s="140">
        <v>1.5237188027084503</v>
      </c>
      <c r="AG63" s="140">
        <v>1.1838569124332632</v>
      </c>
      <c r="AH63" s="140">
        <v>1.1308830305674988</v>
      </c>
      <c r="AI63" s="142">
        <v>1.1308830305674988</v>
      </c>
      <c r="AJ63" s="126"/>
      <c r="AK63" s="139">
        <v>0.98797625914569365</v>
      </c>
      <c r="AL63" s="140">
        <v>0.7522146238181574</v>
      </c>
      <c r="AM63" s="140">
        <v>1.1849848003968022</v>
      </c>
      <c r="AN63" s="140">
        <v>1.1165093773927803</v>
      </c>
      <c r="AO63" s="142">
        <v>1.1070253641194818</v>
      </c>
      <c r="AP63" s="126"/>
      <c r="AQ63" s="139">
        <v>0.94078908793531757</v>
      </c>
      <c r="AR63" s="140">
        <v>3.6702221893007168</v>
      </c>
      <c r="AS63" s="140">
        <v>3.0874552554506995</v>
      </c>
      <c r="AT63" s="140">
        <v>3.2331649445784016</v>
      </c>
      <c r="AU63" s="142">
        <v>3.2527278932270769</v>
      </c>
      <c r="AV63" s="126"/>
      <c r="AW63" s="139">
        <v>3.2440615947552986</v>
      </c>
      <c r="AX63" s="140">
        <v>3.0274855371396496</v>
      </c>
      <c r="AY63" s="140">
        <v>2.6481778896555084</v>
      </c>
      <c r="AZ63" s="140">
        <v>5.2200602970543066</v>
      </c>
      <c r="BA63" s="142">
        <v>5.2922154198246218</v>
      </c>
      <c r="BB63" s="126"/>
      <c r="BC63" s="139">
        <v>4.8686014393970956</v>
      </c>
      <c r="BD63" s="140">
        <v>4.1131997824995326</v>
      </c>
      <c r="BE63" s="140">
        <v>3.5886732437287678</v>
      </c>
      <c r="BF63" s="140">
        <v>3.3371128890594233</v>
      </c>
      <c r="BG63" s="142">
        <v>3.3145583169327977</v>
      </c>
      <c r="BH63" s="126"/>
      <c r="BI63" s="139">
        <v>2.9117475958150534</v>
      </c>
      <c r="BJ63" s="140">
        <v>2.4606624021043824</v>
      </c>
      <c r="BK63" s="140">
        <v>1.9537690175693196</v>
      </c>
      <c r="BL63" s="140">
        <v>1.798872816918142</v>
      </c>
      <c r="BM63" s="142">
        <v>1.8038985292278</v>
      </c>
      <c r="BN63" s="126"/>
      <c r="BO63" s="139">
        <v>3.0575117405406678</v>
      </c>
      <c r="BP63" s="140">
        <v>2.3331457430188558</v>
      </c>
      <c r="BQ63" s="140">
        <v>1.79491565351879</v>
      </c>
      <c r="BR63" s="140">
        <v>1.8239686149879148</v>
      </c>
      <c r="BS63" s="142">
        <v>1.8344648933445538</v>
      </c>
      <c r="BT63" s="126"/>
      <c r="BU63" s="139">
        <v>1.7403214746458091</v>
      </c>
      <c r="BV63" s="140">
        <v>8.7637658562710268</v>
      </c>
      <c r="BW63" s="140">
        <v>7.7092607998558549</v>
      </c>
      <c r="BX63" s="140">
        <v>6.7967050885577729</v>
      </c>
      <c r="BY63" s="142">
        <v>6.8955733029092974</v>
      </c>
      <c r="BZ63" s="126"/>
      <c r="CA63" s="139">
        <v>5.5328263305322141</v>
      </c>
      <c r="CB63" s="140">
        <v>5.3862008672541624</v>
      </c>
      <c r="CC63" s="140">
        <v>4.5378428351309719</v>
      </c>
      <c r="CD63" s="140">
        <v>5.2590191657271701</v>
      </c>
      <c r="CE63" s="142">
        <v>5.2332071238255509</v>
      </c>
      <c r="CF63" s="126"/>
      <c r="CG63" s="139">
        <v>3.3507905138339931</v>
      </c>
      <c r="CH63" s="140">
        <v>2.6745562130177505</v>
      </c>
      <c r="CI63" s="140">
        <v>2.2090181205225452</v>
      </c>
      <c r="CJ63" s="140">
        <v>0.63028859624544709</v>
      </c>
      <c r="CK63" s="142">
        <v>0.63277074542897338</v>
      </c>
      <c r="CL63" s="126"/>
      <c r="CM63" s="139">
        <v>0.29043088975937315</v>
      </c>
      <c r="CN63" s="140">
        <v>-0.25670765790944633</v>
      </c>
      <c r="CO63" s="140">
        <v>-1.2842781345992742</v>
      </c>
      <c r="CP63" s="140">
        <v>0.75181159420289856</v>
      </c>
      <c r="CQ63" s="142">
        <v>0.75338639854768885</v>
      </c>
      <c r="CR63" s="126"/>
      <c r="CS63" s="139">
        <f>CS62/'Pro Forma IS'!CS41</f>
        <v>1.0243495199666059</v>
      </c>
      <c r="CT63" s="140">
        <f>CT62/'Pro Forma IS'!CT41</f>
        <v>-0.15063924402445816</v>
      </c>
      <c r="CU63" s="140">
        <f>CU62/'Pro Forma IS'!CU41</f>
        <v>18.96321740374982</v>
      </c>
      <c r="CV63" s="140">
        <f>CV62/'Pro Forma IS'!CV41</f>
        <v>17.434084062544834</v>
      </c>
      <c r="CW63" s="142">
        <f>CW62/'Pro Forma IS'!CW41</f>
        <v>17.153563867325339</v>
      </c>
      <c r="CX63" s="126"/>
      <c r="CY63" s="139">
        <f>CY62/'Pro Forma IS'!CY41</f>
        <v>16.926983216181323</v>
      </c>
      <c r="CZ63" s="140">
        <f>CZ62/'Pro Forma IS'!CZ41</f>
        <v>15.209328945485765</v>
      </c>
      <c r="DA63" s="140">
        <f>DA62/'Pro Forma IS'!DA41</f>
        <v>10.571224868102098</v>
      </c>
      <c r="DB63" s="140">
        <f>DB62/'Pro Forma IS'!DB41</f>
        <v>16.212138481265136</v>
      </c>
      <c r="DC63" s="142">
        <f>DC62/'Pro Forma IS'!DC41</f>
        <v>16.260788796799087</v>
      </c>
      <c r="DD63" s="126"/>
      <c r="DE63" s="139">
        <f>DE62/'Pro Forma IS'!DE41</f>
        <v>15.802323933682866</v>
      </c>
      <c r="DF63" s="140">
        <f>DF62/'Pro Forma IS'!DF41</f>
        <v>15.41083073433513</v>
      </c>
      <c r="DG63" s="140">
        <f>DG62/'Pro Forma IS'!DG41</f>
        <v>14.54875283446712</v>
      </c>
      <c r="DH63" s="140">
        <f>DH62/'Pro Forma IS'!DH41</f>
        <v>13.992933860938384</v>
      </c>
      <c r="DI63" s="142">
        <f>DI62/'Pro Forma IS'!DI41</f>
        <v>14.022659679932023</v>
      </c>
      <c r="DJ63" s="126"/>
      <c r="DK63" s="139">
        <f>DK62/'Pro Forma IS'!DK41</f>
        <v>12.648986303666566</v>
      </c>
      <c r="DL63" s="140">
        <f>DL62/'Pro Forma IS'!DL41</f>
        <v>11.113447766316902</v>
      </c>
      <c r="DM63" s="140">
        <f>DM62/'Pro Forma IS'!DM41</f>
        <v>10.082332333194</v>
      </c>
      <c r="DN63" s="140">
        <f>DN62/'Pro Forma IS'!DN41</f>
        <v>8.6673707492357774</v>
      </c>
      <c r="DO63" s="142">
        <f>DO62/'Pro Forma IS'!DO41</f>
        <v>8.7075481947653177</v>
      </c>
      <c r="DP63" s="126"/>
      <c r="DQ63" s="139">
        <f>DQ62/'Pro Forma IS'!DQ41</f>
        <v>7.3273577306162645</v>
      </c>
      <c r="DR63" s="140">
        <f>DR62/'Pro Forma IS'!DR41</f>
        <v>5.6828396594774233</v>
      </c>
      <c r="DS63" s="140">
        <f>DS62/'Pro Forma IS'!DS41</f>
        <v>4.6058632387957861</v>
      </c>
      <c r="DT63" s="140">
        <f>DT62/'Pro Forma IS'!DT41</f>
        <v>3.1294791894231926</v>
      </c>
      <c r="DU63" s="142">
        <f>DU62/'Pro Forma IS'!DU41</f>
        <v>3.1438087042353149</v>
      </c>
      <c r="DV63" s="126"/>
      <c r="DW63" s="139">
        <f>DW62/'Pro Forma IS'!DW41</f>
        <v>1.5457165182159764</v>
      </c>
      <c r="DX63" s="140">
        <f>DX62/'Pro Forma IS'!DX41</f>
        <v>-0.18259306112287293</v>
      </c>
      <c r="DY63" s="140">
        <f>DY62/'Pro Forma IS'!DY41</f>
        <v>-1.3043845266579333</v>
      </c>
      <c r="DZ63" s="140">
        <f>DZ62/'Pro Forma IS'!DZ41</f>
        <v>-3.0708132482487542</v>
      </c>
      <c r="EA63" s="142">
        <f>EA62/'Pro Forma IS'!EA41</f>
        <v>-3.0847045213388453</v>
      </c>
      <c r="EB63" s="126"/>
      <c r="EC63" s="139">
        <f>EC62/'Pro Forma IS'!EC41</f>
        <v>-4.9140169518021724</v>
      </c>
      <c r="ED63" s="140">
        <f>ED62/'Pro Forma IS'!ED41</f>
        <v>-6.9706902953392973</v>
      </c>
      <c r="EE63" s="140">
        <f>EE62/'Pro Forma IS'!EE41</f>
        <v>-8.4045707015096074</v>
      </c>
      <c r="EF63" s="140">
        <f>EF62/'Pro Forma IS'!EF41</f>
        <v>-10.351756994915023</v>
      </c>
      <c r="EG63" s="142">
        <f>EG62/'Pro Forma IS'!EG41</f>
        <v>-10.398026530446947</v>
      </c>
      <c r="EH63" s="7"/>
      <c r="EI63" s="482"/>
      <c r="EJ63" s="7"/>
    </row>
    <row r="64" spans="1:140" ht="11.25" customHeight="1" outlineLevel="1" x14ac:dyDescent="0.2">
      <c r="A64" s="2"/>
      <c r="B64" s="2"/>
      <c r="C64" s="2"/>
      <c r="D64" s="2"/>
      <c r="E64" s="67"/>
      <c r="F64" s="126"/>
      <c r="G64" s="67"/>
      <c r="H64" s="126"/>
      <c r="I64" s="67"/>
      <c r="J64" s="126"/>
      <c r="K64" s="67"/>
      <c r="L64" s="126"/>
      <c r="M64" s="67"/>
      <c r="N64" s="67"/>
      <c r="O64" s="67"/>
      <c r="P64" s="67"/>
      <c r="Q64" s="67"/>
      <c r="R64" s="126"/>
      <c r="S64" s="67"/>
      <c r="T64" s="67"/>
      <c r="U64" s="67"/>
      <c r="V64" s="67"/>
      <c r="W64" s="67"/>
      <c r="X64" s="126"/>
      <c r="Y64" s="67"/>
      <c r="Z64" s="67"/>
      <c r="AA64" s="67"/>
      <c r="AB64" s="67"/>
      <c r="AC64" s="67"/>
      <c r="AD64" s="126"/>
      <c r="AE64" s="67"/>
      <c r="AF64" s="67"/>
      <c r="AG64" s="67"/>
      <c r="AH64" s="67"/>
      <c r="AI64" s="67"/>
      <c r="AJ64" s="126"/>
      <c r="AK64" s="67"/>
      <c r="AL64" s="67"/>
      <c r="AM64" s="67"/>
      <c r="AN64" s="67"/>
      <c r="AO64" s="67"/>
      <c r="AP64" s="126"/>
      <c r="AQ64" s="67"/>
      <c r="AR64" s="67"/>
      <c r="AS64" s="67"/>
      <c r="AT64" s="67"/>
      <c r="AU64" s="67"/>
      <c r="AV64" s="126"/>
      <c r="AW64" s="67"/>
      <c r="AX64" s="67"/>
      <c r="AY64" s="67"/>
      <c r="AZ64" s="67"/>
      <c r="BA64" s="67"/>
      <c r="BB64" s="126"/>
      <c r="BC64" s="67"/>
      <c r="BD64" s="67"/>
      <c r="BE64" s="67"/>
      <c r="BF64" s="67"/>
      <c r="BG64" s="67"/>
      <c r="BH64" s="126"/>
      <c r="BI64" s="67"/>
      <c r="BJ64" s="67"/>
      <c r="BK64" s="67"/>
      <c r="BL64" s="67"/>
      <c r="BM64" s="67"/>
      <c r="BN64" s="126"/>
      <c r="BO64" s="67"/>
      <c r="BP64" s="67"/>
      <c r="BQ64" s="67"/>
      <c r="BR64" s="67"/>
      <c r="BS64" s="67"/>
      <c r="BT64" s="126"/>
      <c r="BU64" s="67"/>
      <c r="BV64" s="67"/>
      <c r="BW64" s="67"/>
      <c r="BX64" s="67"/>
      <c r="BY64" s="67"/>
      <c r="BZ64" s="126"/>
      <c r="CA64" s="67"/>
      <c r="CB64" s="67"/>
      <c r="CC64" s="67"/>
      <c r="CD64" s="67"/>
      <c r="CE64" s="67"/>
      <c r="CF64" s="126"/>
      <c r="CG64" s="67"/>
      <c r="CH64" s="67"/>
      <c r="CI64" s="67"/>
      <c r="CJ64" s="67"/>
      <c r="CK64" s="67"/>
      <c r="CL64" s="126"/>
      <c r="CM64" s="67"/>
      <c r="CN64" s="67"/>
      <c r="CO64" s="67"/>
      <c r="CP64" s="67"/>
      <c r="CQ64" s="67"/>
      <c r="CR64" s="126"/>
      <c r="CS64" s="67"/>
      <c r="CT64" s="67"/>
      <c r="CU64" s="67"/>
      <c r="CV64" s="67"/>
      <c r="CW64" s="67"/>
      <c r="CX64" s="126"/>
      <c r="CY64" s="67"/>
      <c r="CZ64" s="67"/>
      <c r="DA64" s="67"/>
      <c r="DB64" s="67"/>
      <c r="DC64" s="67"/>
      <c r="DD64" s="126"/>
      <c r="DE64" s="67"/>
      <c r="DF64" s="67"/>
      <c r="DG64" s="67"/>
      <c r="DH64" s="67"/>
      <c r="DI64" s="67"/>
      <c r="DJ64" s="126"/>
      <c r="DK64" s="67"/>
      <c r="DL64" s="67"/>
      <c r="DM64" s="67"/>
      <c r="DN64" s="67"/>
      <c r="DO64" s="67"/>
      <c r="DP64" s="126"/>
      <c r="DQ64" s="67"/>
      <c r="DR64" s="67"/>
      <c r="DS64" s="67"/>
      <c r="DT64" s="67"/>
      <c r="DU64" s="67"/>
      <c r="DV64" s="126"/>
      <c r="DW64" s="67"/>
      <c r="DX64" s="67"/>
      <c r="DY64" s="67"/>
      <c r="DZ64" s="67"/>
      <c r="EA64" s="67"/>
      <c r="EB64" s="126"/>
      <c r="EC64" s="67"/>
      <c r="ED64" s="67"/>
      <c r="EE64" s="67"/>
      <c r="EF64" s="67"/>
      <c r="EG64" s="67"/>
      <c r="EH64" s="7"/>
      <c r="EI64" s="482"/>
      <c r="EJ64" s="7"/>
    </row>
    <row r="65" spans="1:140" ht="11.25" customHeight="1" outlineLevel="1" x14ac:dyDescent="0.2">
      <c r="A65" s="106" t="s">
        <v>254</v>
      </c>
      <c r="B65" s="170"/>
      <c r="C65" s="170"/>
      <c r="D65" s="170"/>
      <c r="E65" s="171"/>
      <c r="F65" s="171"/>
      <c r="G65" s="171"/>
      <c r="H65" s="171"/>
      <c r="I65" s="171"/>
      <c r="J65" s="171"/>
      <c r="K65" s="171"/>
      <c r="L65" s="171"/>
      <c r="M65" s="172"/>
      <c r="N65" s="172"/>
      <c r="O65" s="172"/>
      <c r="P65" s="172"/>
      <c r="Q65" s="171"/>
      <c r="R65" s="171"/>
      <c r="S65" s="172"/>
      <c r="T65" s="172"/>
      <c r="U65" s="172"/>
      <c r="V65" s="172"/>
      <c r="W65" s="171"/>
      <c r="X65" s="171"/>
      <c r="Y65" s="172"/>
      <c r="Z65" s="172"/>
      <c r="AA65" s="172"/>
      <c r="AB65" s="172"/>
      <c r="AC65" s="171"/>
      <c r="AD65" s="171"/>
      <c r="AE65" s="172"/>
      <c r="AF65" s="172"/>
      <c r="AG65" s="172"/>
      <c r="AH65" s="172"/>
      <c r="AI65" s="171"/>
      <c r="AJ65" s="171"/>
      <c r="AK65" s="172"/>
      <c r="AL65" s="172"/>
      <c r="AM65" s="172"/>
      <c r="AN65" s="172"/>
      <c r="AO65" s="171"/>
      <c r="AP65" s="171"/>
      <c r="AQ65" s="172"/>
      <c r="AR65" s="172"/>
      <c r="AS65" s="172"/>
      <c r="AT65" s="172"/>
      <c r="AU65" s="171"/>
      <c r="AV65" s="171"/>
      <c r="AW65" s="172"/>
      <c r="AX65" s="172"/>
      <c r="AY65" s="172"/>
      <c r="AZ65" s="172"/>
      <c r="BA65" s="171"/>
      <c r="BB65" s="171"/>
      <c r="BC65" s="172"/>
      <c r="BD65" s="172"/>
      <c r="BE65" s="172"/>
      <c r="BF65" s="172"/>
      <c r="BG65" s="171"/>
      <c r="BH65" s="171"/>
      <c r="BI65" s="172"/>
      <c r="BJ65" s="172"/>
      <c r="BK65" s="172"/>
      <c r="BL65" s="172"/>
      <c r="BM65" s="171"/>
      <c r="BN65" s="171"/>
      <c r="BO65" s="172"/>
      <c r="BP65" s="172"/>
      <c r="BQ65" s="172"/>
      <c r="BR65" s="172"/>
      <c r="BS65" s="171"/>
      <c r="BT65" s="171"/>
      <c r="BU65" s="172"/>
      <c r="BV65" s="172"/>
      <c r="BW65" s="172"/>
      <c r="BX65" s="172"/>
      <c r="BY65" s="171"/>
      <c r="BZ65" s="171"/>
      <c r="CA65" s="172"/>
      <c r="CB65" s="172"/>
      <c r="CC65" s="172"/>
      <c r="CD65" s="172"/>
      <c r="CE65" s="171"/>
      <c r="CF65" s="171"/>
      <c r="CG65" s="172"/>
      <c r="CH65" s="172"/>
      <c r="CI65" s="172"/>
      <c r="CJ65" s="172"/>
      <c r="CK65" s="171"/>
      <c r="CL65" s="171"/>
      <c r="CM65" s="172"/>
      <c r="CN65" s="172"/>
      <c r="CO65" s="172"/>
      <c r="CP65" s="172"/>
      <c r="CQ65" s="171"/>
      <c r="CR65" s="171"/>
      <c r="CS65" s="172"/>
      <c r="CT65" s="172"/>
      <c r="CU65" s="172"/>
      <c r="CV65" s="172"/>
      <c r="CW65" s="171"/>
      <c r="CX65" s="171"/>
      <c r="CY65" s="172"/>
      <c r="CZ65" s="172"/>
      <c r="DA65" s="172"/>
      <c r="DB65" s="172"/>
      <c r="DC65" s="171"/>
      <c r="DD65" s="171"/>
      <c r="DE65" s="172"/>
      <c r="DF65" s="172"/>
      <c r="DG65" s="172"/>
      <c r="DH65" s="172"/>
      <c r="DI65" s="171"/>
      <c r="DJ65" s="171"/>
      <c r="DK65" s="172"/>
      <c r="DL65" s="172"/>
      <c r="DM65" s="172"/>
      <c r="DN65" s="172"/>
      <c r="DO65" s="171"/>
      <c r="DP65" s="171"/>
      <c r="DQ65" s="172"/>
      <c r="DR65" s="172"/>
      <c r="DS65" s="172"/>
      <c r="DT65" s="172"/>
      <c r="DU65" s="171"/>
      <c r="DV65" s="171"/>
      <c r="DW65" s="172"/>
      <c r="DX65" s="172"/>
      <c r="DY65" s="172"/>
      <c r="DZ65" s="172"/>
      <c r="EA65" s="171"/>
      <c r="EB65" s="171"/>
      <c r="EC65" s="172"/>
      <c r="ED65" s="172"/>
      <c r="EE65" s="172"/>
      <c r="EF65" s="172"/>
      <c r="EG65" s="171"/>
      <c r="EH65" s="7"/>
      <c r="EI65" s="482"/>
      <c r="EJ65" s="7"/>
    </row>
    <row r="66" spans="1:140" ht="11.25" customHeight="1" outlineLevel="1" x14ac:dyDescent="0.2">
      <c r="A66" s="51" t="s">
        <v>255</v>
      </c>
      <c r="B66" s="2"/>
      <c r="C66" s="2"/>
      <c r="D66" s="2"/>
      <c r="E66" s="145"/>
      <c r="F66" s="15"/>
      <c r="G66" s="145">
        <v>0.15135785058860063</v>
      </c>
      <c r="H66" s="15"/>
      <c r="I66" s="145">
        <v>0.16810449899052654</v>
      </c>
      <c r="J66" s="15"/>
      <c r="K66" s="145">
        <v>0.17759806873952866</v>
      </c>
      <c r="L66" s="15"/>
      <c r="M66" s="143">
        <v>0.16605947572283539</v>
      </c>
      <c r="N66" s="144">
        <v>0.18139912958063845</v>
      </c>
      <c r="O66" s="144">
        <v>0.1624609155336017</v>
      </c>
      <c r="P66" s="144">
        <v>0.29975311338417865</v>
      </c>
      <c r="Q66" s="145">
        <v>0.20650844574061494</v>
      </c>
      <c r="R66" s="15"/>
      <c r="S66" s="143">
        <v>0.13657753469997538</v>
      </c>
      <c r="T66" s="144">
        <v>0.15485709814917273</v>
      </c>
      <c r="U66" s="144">
        <v>0.16437607616011835</v>
      </c>
      <c r="V66" s="144">
        <v>0.17944875916431399</v>
      </c>
      <c r="W66" s="145">
        <v>0.16574939602171362</v>
      </c>
      <c r="X66" s="15"/>
      <c r="Y66" s="143">
        <v>0.1359098637471832</v>
      </c>
      <c r="Z66" s="144">
        <v>0.15031533077123493</v>
      </c>
      <c r="AA66" s="144">
        <v>0.16822036918252442</v>
      </c>
      <c r="AB66" s="144">
        <v>0.18792625110931338</v>
      </c>
      <c r="AC66" s="145">
        <v>0.16009896176679328</v>
      </c>
      <c r="AD66" s="15"/>
      <c r="AE66" s="143">
        <v>0.1585625303626641</v>
      </c>
      <c r="AF66" s="144">
        <v>0.18876292795115912</v>
      </c>
      <c r="AG66" s="144">
        <v>0.19764049900080596</v>
      </c>
      <c r="AH66" s="144">
        <v>0.1988005039319132</v>
      </c>
      <c r="AI66" s="145">
        <v>0.18171388215244103</v>
      </c>
      <c r="AJ66" s="15"/>
      <c r="AK66" s="143">
        <v>0.16691025697192202</v>
      </c>
      <c r="AL66" s="144">
        <v>0.20126897902658508</v>
      </c>
      <c r="AM66" s="144">
        <v>0.1844285858958738</v>
      </c>
      <c r="AN66" s="144">
        <v>0.19034516657802716</v>
      </c>
      <c r="AO66" s="145">
        <v>0.18573134604092034</v>
      </c>
      <c r="AP66" s="15"/>
      <c r="AQ66" s="143">
        <v>0.16272136854295199</v>
      </c>
      <c r="AR66" s="144">
        <v>0.1962432657788919</v>
      </c>
      <c r="AS66" s="144">
        <v>0.17715613601257305</v>
      </c>
      <c r="AT66" s="144">
        <v>0.19131455885199622</v>
      </c>
      <c r="AU66" s="145">
        <v>0.18084521889533575</v>
      </c>
      <c r="AV66" s="15"/>
      <c r="AW66" s="143">
        <v>0.14877481876766024</v>
      </c>
      <c r="AX66" s="144">
        <v>0.177267455408082</v>
      </c>
      <c r="AY66" s="144">
        <v>0.17858809108148085</v>
      </c>
      <c r="AZ66" s="144">
        <v>0.18868035716588322</v>
      </c>
      <c r="BA66" s="145">
        <v>0.1679554705337733</v>
      </c>
      <c r="BB66" s="15"/>
      <c r="BC66" s="143">
        <v>0.12754576122988054</v>
      </c>
      <c r="BD66" s="144">
        <v>0.15042000366840341</v>
      </c>
      <c r="BE66" s="144">
        <v>0.15567792940988667</v>
      </c>
      <c r="BF66" s="144">
        <v>0.12439382429101072</v>
      </c>
      <c r="BG66" s="145">
        <v>0.14519030922105958</v>
      </c>
      <c r="BH66" s="15"/>
      <c r="BI66" s="143">
        <v>9.5971646392770033E-2</v>
      </c>
      <c r="BJ66" s="144">
        <v>0.10315118553639339</v>
      </c>
      <c r="BK66" s="144">
        <v>0.10979479445704454</v>
      </c>
      <c r="BL66" s="144">
        <v>0.13202499660146202</v>
      </c>
      <c r="BM66" s="145">
        <v>0.11004994790271698</v>
      </c>
      <c r="BN66" s="15"/>
      <c r="BO66" s="143">
        <v>0.10807791766031404</v>
      </c>
      <c r="BP66" s="144">
        <v>0.12326480808900017</v>
      </c>
      <c r="BQ66" s="144">
        <v>0.12453741968422212</v>
      </c>
      <c r="BR66" s="144">
        <v>0.20442940343250374</v>
      </c>
      <c r="BS66" s="145">
        <v>0.1393302586548239</v>
      </c>
      <c r="BT66" s="15"/>
      <c r="BU66" s="143">
        <v>0.11371880532766276</v>
      </c>
      <c r="BV66" s="144">
        <v>0.12472260858607957</v>
      </c>
      <c r="BW66" s="144">
        <v>0.12512365759747385</v>
      </c>
      <c r="BX66" s="144">
        <v>0.13792485108635905</v>
      </c>
      <c r="BY66" s="145">
        <v>0.12938942982793231</v>
      </c>
      <c r="BZ66" s="15"/>
      <c r="CA66" s="143">
        <v>0.11978776372600759</v>
      </c>
      <c r="CB66" s="144">
        <v>0.12870786312975085</v>
      </c>
      <c r="CC66" s="144">
        <v>0.11803807045078679</v>
      </c>
      <c r="CD66" s="144">
        <v>0.13305688429807919</v>
      </c>
      <c r="CE66" s="145">
        <v>0.12696094401750613</v>
      </c>
      <c r="CF66" s="15"/>
      <c r="CG66" s="143">
        <v>0.10887455552799134</v>
      </c>
      <c r="CH66" s="144">
        <v>0.12343035530252244</v>
      </c>
      <c r="CI66" s="144">
        <v>0.11480576047999193</v>
      </c>
      <c r="CJ66" s="144">
        <v>0.12511816232126885</v>
      </c>
      <c r="CK66" s="145">
        <v>0.11708418474559075</v>
      </c>
      <c r="CL66" s="15"/>
      <c r="CM66" s="143">
        <v>7.5365514808035744E-2</v>
      </c>
      <c r="CN66" s="144">
        <v>9.5333981688952088E-2</v>
      </c>
      <c r="CO66" s="144">
        <v>0.1185473607915519</v>
      </c>
      <c r="CP66" s="144">
        <v>0.19777821166922777</v>
      </c>
      <c r="CQ66" s="145">
        <v>0.124627278567589</v>
      </c>
      <c r="CR66" s="15"/>
      <c r="CS66" s="143">
        <v>0.1089453115798806</v>
      </c>
      <c r="CT66" s="144">
        <v>0.12981531856387932</v>
      </c>
      <c r="CU66" s="144">
        <v>0.13934286301279913</v>
      </c>
      <c r="CV66" s="144">
        <v>0.12513779031258701</v>
      </c>
      <c r="CW66" s="145">
        <v>0.12577185542742039</v>
      </c>
      <c r="CX66" s="15"/>
      <c r="CY66" s="143">
        <v>0.11837393920531174</v>
      </c>
      <c r="CZ66" s="144">
        <v>0.14139568676361966</v>
      </c>
      <c r="DA66" s="144">
        <f>('Pro Forma IS'!DA34*4)/AVERAGE(BS!CZ55,BS!DA55)</f>
        <v>0.10093857996090125</v>
      </c>
      <c r="DB66" s="144">
        <f>('Pro Forma IS'!DB34*4)/AVERAGE(BS!DA55,BS!DB55)</f>
        <v>0.12717195157854633</v>
      </c>
      <c r="DC66" s="145">
        <f>'Pro Forma IS'!DC34/AVERAGE(BS!CW55,BS!DC55)</f>
        <v>0.1079620757670834</v>
      </c>
      <c r="DD66" s="15"/>
      <c r="DE66" s="143">
        <f>('Pro Forma IS'!DE34*4)/AVERAGE(BS!DD55,BS!DE55)</f>
        <v>0.10073556491688311</v>
      </c>
      <c r="DF66" s="144">
        <f>('Pro Forma IS'!DF34*4)/AVERAGE(BS!DE55,BS!DF55)</f>
        <v>0.11570363694243818</v>
      </c>
      <c r="DG66" s="144">
        <f>('Pro Forma IS'!DG34*4)/AVERAGE(BS!DF55,BS!DG55)</f>
        <v>0.11248474983329186</v>
      </c>
      <c r="DH66" s="144">
        <f>('Pro Forma IS'!DH34*4)/AVERAGE(BS!DG55,BS!DH55)</f>
        <v>0.13049734972091565</v>
      </c>
      <c r="DI66" s="145">
        <f>'Pro Forma IS'!DI34/AVERAGE(BS!DC55,BS!DI55)</f>
        <v>0.11527750253662974</v>
      </c>
      <c r="DJ66" s="15"/>
      <c r="DK66" s="143">
        <f>('Pro Forma IS'!DK34*4)/AVERAGE(BS!DI55,BS!DK55)</f>
        <v>0.10552009814592192</v>
      </c>
      <c r="DL66" s="144">
        <f>('Pro Forma IS'!DL34*4)/AVERAGE(BS!DK55,BS!DL55)</f>
        <v>0.11502407114533032</v>
      </c>
      <c r="DM66" s="144">
        <f>('Pro Forma IS'!DM34*4)/AVERAGE(BS!DL55,BS!DM55)</f>
        <v>0.11119440666594965</v>
      </c>
      <c r="DN66" s="144">
        <f>('Pro Forma IS'!DN34*4)/AVERAGE(BS!DM55,BS!DN55)</f>
        <v>0.13506337407533361</v>
      </c>
      <c r="DO66" s="145">
        <f>'Pro Forma IS'!DO34/AVERAGE(BS!DI55,BS!DO55)</f>
        <v>0.11655911682633761</v>
      </c>
      <c r="DP66" s="15"/>
      <c r="DQ66" s="143">
        <f>('Pro Forma IS'!DQ34*4)/AVERAGE(BS!DO55,BS!DQ55)</f>
        <v>0.10577561401733478</v>
      </c>
      <c r="DR66" s="144">
        <f>('Pro Forma IS'!DR34*4)/AVERAGE(BS!DQ55,BS!DR55)</f>
        <v>0.11423636627255987</v>
      </c>
      <c r="DS66" s="144">
        <f>('Pro Forma IS'!DS34*4)/AVERAGE(BS!DR55,BS!DS55)</f>
        <v>0.10900442416229769</v>
      </c>
      <c r="DT66" s="144">
        <f>('Pro Forma IS'!DT34*4)/AVERAGE(BS!DS55,BS!DT55)</f>
        <v>0.13095122925289157</v>
      </c>
      <c r="DU66" s="145">
        <f>'Pro Forma IS'!DU34/AVERAGE(BS!DO55,BS!DU55)</f>
        <v>0.11485906902393449</v>
      </c>
      <c r="DV66" s="15"/>
      <c r="DW66" s="143">
        <f>('Pro Forma IS'!DW34*4)/AVERAGE(BS!DU55,BS!DW55)</f>
        <v>0.10461601135127833</v>
      </c>
      <c r="DX66" s="144">
        <f>('Pro Forma IS'!DX34*4)/AVERAGE(BS!DW55,BS!DX55)</f>
        <v>0.11238996150781656</v>
      </c>
      <c r="DY66" s="144">
        <f>('Pro Forma IS'!DY34*4)/AVERAGE(BS!DX55,BS!DY55)</f>
        <v>0.10735549375272749</v>
      </c>
      <c r="DZ66" s="144">
        <f>('Pro Forma IS'!DZ34*4)/AVERAGE(BS!DY55,BS!DZ55)</f>
        <v>0.1440302724773333</v>
      </c>
      <c r="EA66" s="145">
        <f>'Pro Forma IS'!EA34/AVERAGE(BS!DU55,BS!EA55)</f>
        <v>0.11694626580088729</v>
      </c>
      <c r="EB66" s="15"/>
      <c r="EC66" s="143">
        <f>('Pro Forma IS'!EC34*4)/AVERAGE(BS!EA55,BS!EC55)</f>
        <v>0.12002402839486902</v>
      </c>
      <c r="ED66" s="144">
        <f>('Pro Forma IS'!ED34*4)/AVERAGE(BS!EC55,BS!ED55)</f>
        <v>0.12804672562583605</v>
      </c>
      <c r="EE66" s="144">
        <f>('Pro Forma IS'!EE34*4)/AVERAGE(BS!ED55,BS!EE55)</f>
        <v>0.12430940600592791</v>
      </c>
      <c r="EF66" s="144">
        <f>('Pro Forma IS'!EF34*4)/AVERAGE(BS!EE55,BS!EF55)</f>
        <v>0.1426439346598837</v>
      </c>
      <c r="EG66" s="145">
        <f>'Pro Forma IS'!EG34/AVERAGE(BS!EA55,BS!EG55)</f>
        <v>0.12857753418125839</v>
      </c>
      <c r="EH66" s="7"/>
      <c r="EI66" s="482"/>
      <c r="EJ66" s="7"/>
    </row>
    <row r="67" spans="1:140" ht="11.25" customHeight="1" outlineLevel="1" x14ac:dyDescent="0.2">
      <c r="A67" s="51" t="s">
        <v>256</v>
      </c>
      <c r="B67" s="2"/>
      <c r="C67" s="2"/>
      <c r="D67" s="2"/>
      <c r="E67" s="47"/>
      <c r="F67" s="15"/>
      <c r="G67" s="47">
        <v>7.6511512848242244E-2</v>
      </c>
      <c r="H67" s="15"/>
      <c r="I67" s="47">
        <v>8.877958807254839E-2</v>
      </c>
      <c r="J67" s="15"/>
      <c r="K67" s="47">
        <v>9.1601765848490127E-2</v>
      </c>
      <c r="L67" s="15"/>
      <c r="M67" s="111">
        <v>7.7350613630139689E-2</v>
      </c>
      <c r="N67" s="15">
        <v>8.2573935514909019E-2</v>
      </c>
      <c r="O67" s="15">
        <v>7.5235886120772283E-2</v>
      </c>
      <c r="P67" s="15">
        <v>0.13932197541920999</v>
      </c>
      <c r="Q67" s="47">
        <v>9.7301653539553376E-2</v>
      </c>
      <c r="R67" s="15"/>
      <c r="S67" s="111">
        <v>6.4548500364979722E-2</v>
      </c>
      <c r="T67" s="15">
        <v>7.4859773324693013E-2</v>
      </c>
      <c r="U67" s="15">
        <v>8.0080404852784337E-2</v>
      </c>
      <c r="V67" s="15">
        <v>8.8696141361257419E-2</v>
      </c>
      <c r="W67" s="47">
        <v>8.0023573158452974E-2</v>
      </c>
      <c r="X67" s="15"/>
      <c r="Y67" s="111">
        <v>6.7604095713819687E-2</v>
      </c>
      <c r="Z67" s="15">
        <v>7.5340081984637722E-2</v>
      </c>
      <c r="AA67" s="15">
        <v>8.6782235985508091E-2</v>
      </c>
      <c r="AB67" s="15">
        <v>9.9075745652609917E-2</v>
      </c>
      <c r="AC67" s="47">
        <v>8.2487182831438036E-2</v>
      </c>
      <c r="AD67" s="15"/>
      <c r="AE67" s="111">
        <v>8.309963254779823E-2</v>
      </c>
      <c r="AF67" s="15">
        <v>9.7931012090658298E-2</v>
      </c>
      <c r="AG67" s="15">
        <v>0.10344592481711787</v>
      </c>
      <c r="AH67" s="15">
        <v>0.1066199360674621</v>
      </c>
      <c r="AI67" s="47">
        <v>9.7641937440875792E-2</v>
      </c>
      <c r="AJ67" s="15"/>
      <c r="AK67" s="111">
        <v>9.1259272069006664E-2</v>
      </c>
      <c r="AL67" s="15">
        <v>0.11106355313601148</v>
      </c>
      <c r="AM67" s="15">
        <v>0.10212822922082521</v>
      </c>
      <c r="AN67" s="15">
        <v>0.10544444068090378</v>
      </c>
      <c r="AO67" s="47">
        <v>0.10203317641352708</v>
      </c>
      <c r="AP67" s="15"/>
      <c r="AQ67" s="111">
        <v>9.1870909599230055E-2</v>
      </c>
      <c r="AR67" s="15">
        <v>0.10366418185950182</v>
      </c>
      <c r="AS67" s="15">
        <v>8.8900071105584177E-2</v>
      </c>
      <c r="AT67" s="15">
        <v>9.8368611788480373E-2</v>
      </c>
      <c r="AU67" s="47">
        <v>9.6263084922954559E-2</v>
      </c>
      <c r="AV67" s="15"/>
      <c r="AW67" s="111">
        <v>7.8487478349279008E-2</v>
      </c>
      <c r="AX67" s="15">
        <v>9.7170061024027865E-2</v>
      </c>
      <c r="AY67" s="15">
        <v>0.10207396760357017</v>
      </c>
      <c r="AZ67" s="15">
        <v>0.1039954239183494</v>
      </c>
      <c r="BA67" s="47">
        <v>8.7527686200882082E-2</v>
      </c>
      <c r="BB67" s="15"/>
      <c r="BC67" s="111">
        <v>6.7665554572589298E-2</v>
      </c>
      <c r="BD67" s="15">
        <v>8.244850511202477E-2</v>
      </c>
      <c r="BE67" s="15">
        <v>8.8499587620610512E-2</v>
      </c>
      <c r="BF67" s="15">
        <v>7.085466157791577E-2</v>
      </c>
      <c r="BG67" s="47">
        <v>7.8877889050888439E-2</v>
      </c>
      <c r="BH67" s="15"/>
      <c r="BI67" s="111">
        <v>5.4121320152778367E-2</v>
      </c>
      <c r="BJ67" s="15">
        <v>5.904847412778777E-2</v>
      </c>
      <c r="BK67" s="15">
        <v>6.3892342778993624E-2</v>
      </c>
      <c r="BL67" s="15">
        <v>7.7805778504797196E-2</v>
      </c>
      <c r="BM67" s="47">
        <v>6.3673743542167094E-2</v>
      </c>
      <c r="BN67" s="15"/>
      <c r="BO67" s="111">
        <v>6.4292931316915061E-2</v>
      </c>
      <c r="BP67" s="15">
        <v>7.3759691756697471E-2</v>
      </c>
      <c r="BQ67" s="15">
        <v>7.5572737790832969E-2</v>
      </c>
      <c r="BR67" s="15">
        <v>0.1257158503958542</v>
      </c>
      <c r="BS67" s="47">
        <v>8.4443402758262828E-2</v>
      </c>
      <c r="BT67" s="15"/>
      <c r="BU67" s="111">
        <v>7.1294599481998691E-2</v>
      </c>
      <c r="BV67" s="15">
        <v>7.1220314152292755E-2</v>
      </c>
      <c r="BW67" s="15">
        <v>6.6429185698788751E-2</v>
      </c>
      <c r="BX67" s="15">
        <v>7.6061896248590319E-2</v>
      </c>
      <c r="BY67" s="47">
        <v>7.5936743942390569E-2</v>
      </c>
      <c r="BZ67" s="15"/>
      <c r="CA67" s="111">
        <v>6.8907934791758732E-2</v>
      </c>
      <c r="CB67" s="15">
        <v>7.5490884771159034E-2</v>
      </c>
      <c r="CC67" s="15">
        <v>6.9947093348185357E-2</v>
      </c>
      <c r="CD67" s="15">
        <v>7.815713315569027E-2</v>
      </c>
      <c r="CE67" s="47">
        <v>7.2516577915243532E-2</v>
      </c>
      <c r="CF67" s="15"/>
      <c r="CG67" s="111">
        <v>6.4411629361125045E-2</v>
      </c>
      <c r="CH67" s="15">
        <v>7.5244402492897794E-2</v>
      </c>
      <c r="CI67" s="15">
        <v>7.1464697098018559E-2</v>
      </c>
      <c r="CJ67" s="15">
        <v>7.9925840797503908E-2</v>
      </c>
      <c r="CK67" s="47">
        <v>7.1694521188170338E-2</v>
      </c>
      <c r="CL67" s="15"/>
      <c r="CM67" s="111">
        <v>4.9022589177620784E-2</v>
      </c>
      <c r="CN67" s="15">
        <v>6.2952385398056698E-2</v>
      </c>
      <c r="CO67" s="15">
        <v>7.9035792549306094E-2</v>
      </c>
      <c r="CP67" s="15">
        <v>0.12849000932058979</v>
      </c>
      <c r="CQ67" s="47">
        <v>7.9584951419054806E-2</v>
      </c>
      <c r="CR67" s="15"/>
      <c r="CS67" s="111">
        <v>6.9632760319719725E-2</v>
      </c>
      <c r="CT67" s="15">
        <v>8.4262302711092765E-2</v>
      </c>
      <c r="CU67" s="15">
        <v>7.5886069159937078E-2</v>
      </c>
      <c r="CV67" s="15">
        <v>5.9806167868714614E-2</v>
      </c>
      <c r="CW67" s="47">
        <v>6.9470825769035266E-2</v>
      </c>
      <c r="CX67" s="15"/>
      <c r="CY67" s="111">
        <v>5.9053533979657957E-2</v>
      </c>
      <c r="CZ67" s="15">
        <v>7.0138923788634039E-2</v>
      </c>
      <c r="DA67" s="15">
        <f>('Pro Forma IS'!DA34*4)/AVERAGE(BS!CZ28,BS!DA28)</f>
        <v>5.2466390520812284E-2</v>
      </c>
      <c r="DB67" s="15">
        <f>('Pro Forma IS'!DB34*4)/AVERAGE(BS!DA28,BS!DB28)</f>
        <v>6.7842037675187775E-2</v>
      </c>
      <c r="DC67" s="47">
        <f>'Pro Forma IS'!DC34/AVERAGE(BS!CW28,BS!DC28)</f>
        <v>5.3905247680915355E-2</v>
      </c>
      <c r="DD67" s="15"/>
      <c r="DE67" s="111">
        <f>('Pro Forma IS'!DE34*4)/AVERAGE(BS!DD28,BS!DE28)</f>
        <v>5.2957690446037223E-2</v>
      </c>
      <c r="DF67" s="15">
        <f>('Pro Forma IS'!DF34*4)/AVERAGE(BS!DE28,BS!DF28)</f>
        <v>6.1581461054285386E-2</v>
      </c>
      <c r="DG67" s="15">
        <f>('Pro Forma IS'!DG34*4)/AVERAGE(BS!DF28,BS!DG28)</f>
        <v>6.1425816703520195E-2</v>
      </c>
      <c r="DH67" s="15">
        <f>('Pro Forma IS'!DH34*4)/AVERAGE(BS!DG28,BS!DH28)</f>
        <v>7.2984918810960461E-2</v>
      </c>
      <c r="DI67" s="47">
        <f>'Pro Forma IS'!DI34/AVERAGE(BS!DC28,BS!DI28)</f>
        <v>6.1887877311171062E-2</v>
      </c>
      <c r="DJ67" s="15"/>
      <c r="DK67" s="111">
        <f>('Pro Forma IS'!DK34*4)/AVERAGE(BS!DI28,BS!DK28)</f>
        <v>6.0040887499373176E-2</v>
      </c>
      <c r="DL67" s="15">
        <f>('Pro Forma IS'!DL34*4)/AVERAGE(BS!DK28,BS!DL28)</f>
        <v>6.5943982155375447E-2</v>
      </c>
      <c r="DM67" s="15">
        <f>('Pro Forma IS'!DM34*4)/AVERAGE(BS!DL28,BS!DM28)</f>
        <v>6.4248948393175784E-2</v>
      </c>
      <c r="DN67" s="15">
        <f>('Pro Forma IS'!DN34*4)/AVERAGE(BS!DM28,BS!DN28)</f>
        <v>7.8727884238212253E-2</v>
      </c>
      <c r="DO67" s="47">
        <f>'Pro Forma IS'!DO34/AVERAGE(BS!DI28,BS!DO28)</f>
        <v>6.6997146811445946E-2</v>
      </c>
      <c r="DP67" s="15"/>
      <c r="DQ67" s="111">
        <f>('Pro Forma IS'!DQ34*4)/AVERAGE(BS!DO28,BS!DQ28)</f>
        <v>6.2335536735347398E-2</v>
      </c>
      <c r="DR67" s="15">
        <f>('Pro Forma IS'!DR34*4)/AVERAGE(BS!DQ28,BS!DR28)</f>
        <v>6.7965826756913095E-2</v>
      </c>
      <c r="DS67" s="15">
        <f>('Pro Forma IS'!DS34*4)/AVERAGE(BS!DR28,BS!DS28)</f>
        <v>6.5365272619929374E-2</v>
      </c>
      <c r="DT67" s="15">
        <f>('Pro Forma IS'!DT34*4)/AVERAGE(BS!DS28,BS!DT28)</f>
        <v>7.9216322190191896E-2</v>
      </c>
      <c r="DU67" s="47">
        <f>'Pro Forma IS'!DU34/AVERAGE(BS!DO28,BS!DU28)</f>
        <v>6.8362490305627063E-2</v>
      </c>
      <c r="DV67" s="15"/>
      <c r="DW67" s="111">
        <f>('Pro Forma IS'!DW34*4)/AVERAGE(BS!DU28,BS!DW28)</f>
        <v>6.3929806967332789E-2</v>
      </c>
      <c r="DX67" s="15">
        <f>('Pro Forma IS'!DX34*4)/AVERAGE(BS!DW28,BS!DX28)</f>
        <v>6.9282621667916114E-2</v>
      </c>
      <c r="DY67" s="15">
        <f>('Pro Forma IS'!DY34*4)/AVERAGE(BS!DX28,BS!DY28)</f>
        <v>6.6654060956611319E-2</v>
      </c>
      <c r="DZ67" s="15">
        <f>('Pro Forma IS'!DZ34*4)/AVERAGE(BS!DY28,BS!DZ28)</f>
        <v>9.0201929172770381E-2</v>
      </c>
      <c r="EA67" s="47">
        <f>'Pro Forma IS'!EA34/AVERAGE(BS!DU28,BS!EA28)</f>
        <v>7.2146021282929351E-2</v>
      </c>
      <c r="EB67" s="15"/>
      <c r="EC67" s="111">
        <f>('Pro Forma IS'!EC34*4)/AVERAGE(BS!EA28,BS!EC28)</f>
        <v>7.5983348352343827E-2</v>
      </c>
      <c r="ED67" s="15">
        <f>('Pro Forma IS'!ED34*4)/AVERAGE(BS!EC28,BS!ED28)</f>
        <v>8.1844180551093507E-2</v>
      </c>
      <c r="EE67" s="15">
        <f>('Pro Forma IS'!EE34*4)/AVERAGE(BS!ED28,BS!EE28)</f>
        <v>8.0100105283550244E-2</v>
      </c>
      <c r="EF67" s="15">
        <f>('Pro Forma IS'!EF34*4)/AVERAGE(BS!EE28,BS!EF28)</f>
        <v>9.2703418402245691E-2</v>
      </c>
      <c r="EG67" s="47">
        <f>'Pro Forma IS'!EG34/AVERAGE(BS!EA28,BS!EG28)</f>
        <v>8.2221544075624375E-2</v>
      </c>
      <c r="EH67" s="7"/>
      <c r="EI67" s="482"/>
      <c r="EJ67" s="7"/>
    </row>
    <row r="68" spans="1:140" ht="11.25" customHeight="1" outlineLevel="1" x14ac:dyDescent="0.2">
      <c r="A68" s="105" t="s">
        <v>703</v>
      </c>
      <c r="B68" s="2"/>
      <c r="C68" s="2"/>
      <c r="D68" s="2" t="s">
        <v>108</v>
      </c>
      <c r="E68" s="108"/>
      <c r="F68" s="15"/>
      <c r="G68" s="108">
        <f>+G231</f>
        <v>0</v>
      </c>
      <c r="H68" s="15"/>
      <c r="I68" s="108">
        <f>+I231</f>
        <v>0</v>
      </c>
      <c r="J68" s="15"/>
      <c r="K68" s="108">
        <f>+K231</f>
        <v>0</v>
      </c>
      <c r="L68" s="15"/>
      <c r="M68" s="112">
        <f>+M231</f>
        <v>0.1295044688152123</v>
      </c>
      <c r="N68" s="113">
        <f>+N231</f>
        <v>0.13915665889195597</v>
      </c>
      <c r="O68" s="113">
        <f>+O231</f>
        <v>0.12637858974086294</v>
      </c>
      <c r="P68" s="113">
        <f>+P231</f>
        <v>0.16557588609631893</v>
      </c>
      <c r="Q68" s="108">
        <f>+Q231</f>
        <v>0.1403600206468856</v>
      </c>
      <c r="R68" s="15"/>
      <c r="S68" s="112">
        <f>+S231</f>
        <v>0.11460964564550123</v>
      </c>
      <c r="T68" s="113">
        <f>+T231</f>
        <v>0.1217121888635351</v>
      </c>
      <c r="U68" s="113">
        <f>+U231</f>
        <v>0.13457863237979703</v>
      </c>
      <c r="V68" s="113">
        <f>+V231</f>
        <v>0.13455882537244665</v>
      </c>
      <c r="W68" s="108">
        <f>+W231</f>
        <v>0.12699549132756024</v>
      </c>
      <c r="X68" s="15"/>
      <c r="Y68" s="112">
        <f>+Y231</f>
        <v>0.1111719365740261</v>
      </c>
      <c r="Z68" s="113">
        <f>+Z231</f>
        <v>0.12671205682023715</v>
      </c>
      <c r="AA68" s="113">
        <f>+AA231</f>
        <v>0.13917669965700605</v>
      </c>
      <c r="AB68" s="113">
        <f>+AB231</f>
        <v>0.16611252201745189</v>
      </c>
      <c r="AC68" s="108">
        <f>+AC231</f>
        <v>0.13600789216270912</v>
      </c>
      <c r="AD68" s="15"/>
      <c r="AE68" s="112">
        <f>+AE231</f>
        <v>0.45215508176436953</v>
      </c>
      <c r="AF68" s="113">
        <f>+AF231</f>
        <v>0.41982317093407467</v>
      </c>
      <c r="AG68" s="113">
        <f>+AG231</f>
        <v>0.43170993496238752</v>
      </c>
      <c r="AH68" s="113">
        <f>+AH231</f>
        <v>0.43961253837659725</v>
      </c>
      <c r="AI68" s="108">
        <f>+AI231</f>
        <v>0.43493250078554224</v>
      </c>
      <c r="AJ68" s="15"/>
      <c r="AK68" s="112">
        <f>+AK231</f>
        <v>0.39509064683627265</v>
      </c>
      <c r="AL68" s="113">
        <f>+AL231</f>
        <v>0.49375011286983517</v>
      </c>
      <c r="AM68" s="113">
        <f>+AM231</f>
        <v>0.4178122007299272</v>
      </c>
      <c r="AN68" s="113">
        <f>+AN231</f>
        <v>0.42993107662290708</v>
      </c>
      <c r="AO68" s="108">
        <f>+AO231</f>
        <v>0.43305329983656399</v>
      </c>
      <c r="AP68" s="15"/>
      <c r="AQ68" s="112">
        <f>+AQ231</f>
        <v>0.3556100064445098</v>
      </c>
      <c r="AR68" s="113">
        <f>+AR231</f>
        <v>0.32883143418049793</v>
      </c>
      <c r="AS68" s="113">
        <f>+AS231</f>
        <v>0.34623734709843462</v>
      </c>
      <c r="AT68" s="113">
        <f>+AT231</f>
        <v>0.35415720443453469</v>
      </c>
      <c r="AU68" s="108">
        <f>+AU231</f>
        <v>0.34604705912576245</v>
      </c>
      <c r="AV68" s="15"/>
      <c r="AW68" s="112">
        <f>+AW231</f>
        <v>0.27992879961277828</v>
      </c>
      <c r="AX68" s="113">
        <f>+AX231</f>
        <v>0.33031710396484498</v>
      </c>
      <c r="AY68" s="113">
        <f>+AY231</f>
        <v>0.33785780810305116</v>
      </c>
      <c r="AZ68" s="113">
        <f>+AZ231</f>
        <v>0.30491383139388251</v>
      </c>
      <c r="BA68" s="108">
        <f>+BA231</f>
        <v>0.31298035084995213</v>
      </c>
      <c r="BB68" s="15"/>
      <c r="BC68" s="112">
        <f>+BC231</f>
        <v>0.23962509866229681</v>
      </c>
      <c r="BD68" s="113">
        <f>+BD231</f>
        <v>0.28458497496144042</v>
      </c>
      <c r="BE68" s="113">
        <f>+BE231</f>
        <v>0.30507951204393713</v>
      </c>
      <c r="BF68" s="113">
        <f>+BF231</f>
        <v>0.24776083258284662</v>
      </c>
      <c r="BG68" s="108">
        <f>+BG231</f>
        <v>0.26937240500929782</v>
      </c>
      <c r="BH68" s="15"/>
      <c r="BI68" s="112">
        <f>+BI231</f>
        <v>0.19766979668288326</v>
      </c>
      <c r="BJ68" s="113">
        <f>+BJ231</f>
        <v>0.18022869700027427</v>
      </c>
      <c r="BK68" s="113">
        <f>+BK231</f>
        <v>0.23574724646226108</v>
      </c>
      <c r="BL68" s="113">
        <f>+BL231</f>
        <v>0.2838081450092837</v>
      </c>
      <c r="BM68" s="108">
        <f>+BM231</f>
        <v>0.22473768088962259</v>
      </c>
      <c r="BN68" s="15"/>
      <c r="BO68" s="112">
        <f>+BO231</f>
        <v>0.22301911530059082</v>
      </c>
      <c r="BP68" s="113">
        <f>+BP231</f>
        <v>0.27282493800433238</v>
      </c>
      <c r="BQ68" s="113">
        <f>+BQ231</f>
        <v>0.15818010483667413</v>
      </c>
      <c r="BR68" s="113">
        <f>+BR231</f>
        <v>0.39907758931865145</v>
      </c>
      <c r="BS68" s="108">
        <f>+BS231</f>
        <v>0.26424646057338158</v>
      </c>
      <c r="BT68" s="15"/>
      <c r="BU68" s="112">
        <f>+BU231</f>
        <v>0.26125978773863995</v>
      </c>
      <c r="BV68" s="113">
        <f>+BV231</f>
        <v>0.17594359632448614</v>
      </c>
      <c r="BW68" s="113">
        <f>+BW231</f>
        <v>0.17068871975067015</v>
      </c>
      <c r="BX68" s="113">
        <f>+BX231</f>
        <v>0.23510397062248833</v>
      </c>
      <c r="BY68" s="108">
        <f>+BY231</f>
        <v>0.20436105180197472</v>
      </c>
      <c r="BZ68" s="15"/>
      <c r="CA68" s="112">
        <f>+CA231</f>
        <v>0.22036314506340807</v>
      </c>
      <c r="CB68" s="113">
        <f>+CB231</f>
        <v>0.23324407634967967</v>
      </c>
      <c r="CC68" s="113">
        <f>+CC231</f>
        <v>0.22357499497972258</v>
      </c>
      <c r="CD68" s="113">
        <f>+CD231</f>
        <v>0.24257048660529285</v>
      </c>
      <c r="CE68" s="108">
        <f>+CE231</f>
        <v>0.23013817952238735</v>
      </c>
      <c r="CF68" s="15"/>
      <c r="CG68" s="112">
        <f>+CG231</f>
        <v>0.18771016586033853</v>
      </c>
      <c r="CH68" s="113">
        <f>+CH231</f>
        <v>0.2217316992381583</v>
      </c>
      <c r="CI68" s="113">
        <f>+CI231</f>
        <v>0.20780136431353077</v>
      </c>
      <c r="CJ68" s="113">
        <f>+CJ231</f>
        <v>0.24156608035414623</v>
      </c>
      <c r="CK68" s="108">
        <f>+CK231</f>
        <v>0.21460945519521132</v>
      </c>
      <c r="CL68" s="15"/>
      <c r="CM68" s="112">
        <f>+CM231</f>
        <v>0.17424668582799027</v>
      </c>
      <c r="CN68" s="113">
        <f>+CN231</f>
        <v>0.20895171448565425</v>
      </c>
      <c r="CO68" s="113">
        <f>+CO231</f>
        <v>0.25425012126982993</v>
      </c>
      <c r="CP68" s="113">
        <f>+CP231</f>
        <v>0.3775270456682685</v>
      </c>
      <c r="CQ68" s="108">
        <f>+CQ231</f>
        <v>0.25453573818690933</v>
      </c>
      <c r="CR68" s="15"/>
      <c r="CS68" s="112">
        <f>+CS231</f>
        <v>0.23703294289897525</v>
      </c>
      <c r="CT68" s="113">
        <f>+CT231</f>
        <v>0.28153237789224933</v>
      </c>
      <c r="CU68" s="113">
        <f>+CU231</f>
        <v>0.17924326780015212</v>
      </c>
      <c r="CV68" s="113">
        <f>+CV231</f>
        <v>0.17524814496972707</v>
      </c>
      <c r="CW68" s="108">
        <f>+CW231</f>
        <v>0.20827015461137499</v>
      </c>
      <c r="CX68" s="15"/>
      <c r="CY68" s="112">
        <f>+CY231</f>
        <v>0.1832956824610206</v>
      </c>
      <c r="CZ68" s="113">
        <f>+CZ231</f>
        <v>0.23222871011149551</v>
      </c>
      <c r="DA68" s="113">
        <f>+DA231</f>
        <v>0.16629895408663453</v>
      </c>
      <c r="DB68" s="113">
        <f>+DB231</f>
        <v>0.14328275862068965</v>
      </c>
      <c r="DC68" s="108">
        <f>+DC231</f>
        <v>0.18196694990613579</v>
      </c>
      <c r="DD68" s="15"/>
      <c r="DE68" s="112">
        <f>+DE231</f>
        <v>0.14545500207280651</v>
      </c>
      <c r="DF68" s="113">
        <f>+DF231</f>
        <v>0.16972200663664092</v>
      </c>
      <c r="DG68" s="113">
        <f>+DG231</f>
        <v>0.18042238614496467</v>
      </c>
      <c r="DH68" s="113">
        <f>+DH231</f>
        <v>0.19379372439673018</v>
      </c>
      <c r="DI68" s="108">
        <f>+DI231</f>
        <v>0.17218794110238386</v>
      </c>
      <c r="DJ68" s="15"/>
      <c r="DK68" s="112">
        <f>+DK231</f>
        <v>0.17892074536953262</v>
      </c>
      <c r="DL68" s="113">
        <f>+DL231</f>
        <v>0.20194158259962042</v>
      </c>
      <c r="DM68" s="113">
        <f>+DM231</f>
        <v>0.20074659672672202</v>
      </c>
      <c r="DN68" s="113">
        <f>+DN231</f>
        <v>0.24997056988280364</v>
      </c>
      <c r="DO68" s="108">
        <f>+DO231</f>
        <v>0.20772253331317928</v>
      </c>
      <c r="DP68" s="15"/>
      <c r="DQ68" s="112">
        <f>+DQ231</f>
        <v>0.20316073195618978</v>
      </c>
      <c r="DR68" s="113">
        <f>+DR231</f>
        <v>0.22622005026396153</v>
      </c>
      <c r="DS68" s="113">
        <f>+DS231</f>
        <v>0.22189189133856879</v>
      </c>
      <c r="DT68" s="113">
        <f>+DT231</f>
        <v>0.27364323316029493</v>
      </c>
      <c r="DU68" s="108">
        <f>+DU231</f>
        <v>0.23108379799478518</v>
      </c>
      <c r="DV68" s="15"/>
      <c r="DW68" s="112">
        <f>+DW231</f>
        <v>0.22875726697962448</v>
      </c>
      <c r="DX68" s="113">
        <f>+DX231</f>
        <v>0.25376934457631967</v>
      </c>
      <c r="DY68" s="113">
        <f>+DY231</f>
        <v>0.24886283598796105</v>
      </c>
      <c r="DZ68" s="113">
        <f>+DZ231</f>
        <v>0.30463648654173836</v>
      </c>
      <c r="EA68" s="108">
        <f>+EA231</f>
        <v>0.25883968390594952</v>
      </c>
      <c r="EB68" s="15"/>
      <c r="EC68" s="112">
        <f t="shared" ref="EC68:EG68" si="318">+EC231</f>
        <v>0.25549516937105771</v>
      </c>
      <c r="ED68" s="113">
        <f t="shared" si="318"/>
        <v>0.28270225026677748</v>
      </c>
      <c r="EE68" s="113">
        <f t="shared" si="318"/>
        <v>0.27707630107772852</v>
      </c>
      <c r="EF68" s="113">
        <f t="shared" si="318"/>
        <v>0.33618246503953775</v>
      </c>
      <c r="EG68" s="108">
        <f t="shared" si="318"/>
        <v>0.2876667455948097</v>
      </c>
      <c r="EH68" s="7"/>
      <c r="EI68" s="482"/>
      <c r="EJ68" s="7"/>
    </row>
    <row r="69" spans="1:140" ht="11.25" customHeight="1" outlineLevel="1" x14ac:dyDescent="0.2">
      <c r="A69" s="2"/>
      <c r="B69" s="2"/>
      <c r="C69" s="2"/>
      <c r="D69" s="2"/>
      <c r="E69" s="67"/>
      <c r="F69" s="126"/>
      <c r="G69" s="67"/>
      <c r="H69" s="126"/>
      <c r="I69" s="67"/>
      <c r="J69" s="126"/>
      <c r="K69" s="67"/>
      <c r="L69" s="126"/>
      <c r="M69" s="67"/>
      <c r="N69" s="67"/>
      <c r="O69" s="67"/>
      <c r="P69" s="67"/>
      <c r="Q69" s="67"/>
      <c r="R69" s="126"/>
      <c r="S69" s="67"/>
      <c r="T69" s="67"/>
      <c r="U69" s="67"/>
      <c r="V69" s="67"/>
      <c r="W69" s="67"/>
      <c r="X69" s="126"/>
      <c r="Y69" s="67"/>
      <c r="Z69" s="67"/>
      <c r="AA69" s="67"/>
      <c r="AB69" s="67"/>
      <c r="AC69" s="67"/>
      <c r="AD69" s="126"/>
      <c r="AE69" s="67"/>
      <c r="AF69" s="67"/>
      <c r="AG69" s="67"/>
      <c r="AH69" s="67"/>
      <c r="AI69" s="67"/>
      <c r="AJ69" s="126"/>
      <c r="AK69" s="67"/>
      <c r="AL69" s="67"/>
      <c r="AM69" s="67"/>
      <c r="AN69" s="67"/>
      <c r="AO69" s="67"/>
      <c r="AP69" s="126"/>
      <c r="AQ69" s="67"/>
      <c r="AR69" s="67"/>
      <c r="AS69" s="67"/>
      <c r="AT69" s="67"/>
      <c r="AU69" s="67"/>
      <c r="AV69" s="126"/>
      <c r="AW69" s="67"/>
      <c r="AX69" s="67"/>
      <c r="AY69" s="67"/>
      <c r="AZ69" s="67"/>
      <c r="BA69" s="67"/>
      <c r="BB69" s="126"/>
      <c r="BC69" s="67"/>
      <c r="BD69" s="67"/>
      <c r="BE69" s="67"/>
      <c r="BF69" s="67"/>
      <c r="BG69" s="67"/>
      <c r="BH69" s="126"/>
      <c r="BI69" s="67"/>
      <c r="BJ69" s="67"/>
      <c r="BK69" s="67"/>
      <c r="BL69" s="67"/>
      <c r="BM69" s="67"/>
      <c r="BN69" s="126"/>
      <c r="BO69" s="67"/>
      <c r="BP69" s="67"/>
      <c r="BQ69" s="67"/>
      <c r="BR69" s="67"/>
      <c r="BS69" s="67"/>
      <c r="BT69" s="126"/>
      <c r="BU69" s="67"/>
      <c r="BV69" s="67"/>
      <c r="BW69" s="67"/>
      <c r="BX69" s="67"/>
      <c r="BY69" s="67"/>
      <c r="BZ69" s="126"/>
      <c r="CA69" s="67"/>
      <c r="CB69" s="67"/>
      <c r="CC69" s="67"/>
      <c r="CD69" s="67"/>
      <c r="CE69" s="67"/>
      <c r="CF69" s="126"/>
      <c r="CG69" s="67"/>
      <c r="CH69" s="67"/>
      <c r="CI69" s="67"/>
      <c r="CJ69" s="67"/>
      <c r="CK69" s="67"/>
      <c r="CL69" s="126"/>
      <c r="CM69" s="67"/>
      <c r="CN69" s="67"/>
      <c r="CO69" s="67"/>
      <c r="CP69" s="67"/>
      <c r="CQ69" s="67"/>
      <c r="CR69" s="126"/>
      <c r="CS69" s="67"/>
      <c r="CT69" s="67"/>
      <c r="CU69" s="67"/>
      <c r="CV69" s="67"/>
      <c r="CW69" s="67"/>
      <c r="CX69" s="126"/>
      <c r="CY69" s="67"/>
      <c r="CZ69" s="67"/>
      <c r="DA69" s="67"/>
      <c r="DB69" s="67"/>
      <c r="DC69" s="67"/>
      <c r="DD69" s="126"/>
      <c r="DE69" s="67"/>
      <c r="DF69" s="67"/>
      <c r="DG69" s="67"/>
      <c r="DH69" s="67"/>
      <c r="DI69" s="67"/>
      <c r="DJ69" s="126"/>
      <c r="DK69" s="67"/>
      <c r="DL69" s="67"/>
      <c r="DM69" s="67"/>
      <c r="DN69" s="67"/>
      <c r="DO69" s="67"/>
      <c r="DP69" s="126"/>
      <c r="DQ69" s="67"/>
      <c r="DR69" s="67"/>
      <c r="DS69" s="67"/>
      <c r="DT69" s="67"/>
      <c r="DU69" s="67"/>
      <c r="DV69" s="126"/>
      <c r="DW69" s="67"/>
      <c r="DX69" s="67"/>
      <c r="DY69" s="67"/>
      <c r="DZ69" s="67"/>
      <c r="EA69" s="67"/>
      <c r="EB69" s="126"/>
      <c r="EC69" s="67"/>
      <c r="ED69" s="67"/>
      <c r="EE69" s="67"/>
      <c r="EF69" s="67"/>
      <c r="EG69" s="67"/>
      <c r="EH69" s="7"/>
      <c r="EI69" s="482"/>
      <c r="EJ69" s="7"/>
    </row>
    <row r="70" spans="1:140" ht="11.25" customHeight="1" x14ac:dyDescent="0.2">
      <c r="A70" s="106" t="s">
        <v>258</v>
      </c>
      <c r="B70" s="170"/>
      <c r="C70" s="170"/>
      <c r="D70" s="170"/>
      <c r="E70" s="171"/>
      <c r="F70" s="171"/>
      <c r="G70" s="171"/>
      <c r="H70" s="171"/>
      <c r="I70" s="171"/>
      <c r="J70" s="171"/>
      <c r="K70" s="171"/>
      <c r="L70" s="171"/>
      <c r="M70" s="172"/>
      <c r="N70" s="172"/>
      <c r="O70" s="172"/>
      <c r="P70" s="172"/>
      <c r="Q70" s="171"/>
      <c r="R70" s="171"/>
      <c r="S70" s="172"/>
      <c r="T70" s="172"/>
      <c r="U70" s="172"/>
      <c r="V70" s="172"/>
      <c r="W70" s="171"/>
      <c r="X70" s="171"/>
      <c r="Y70" s="172"/>
      <c r="Z70" s="172"/>
      <c r="AA70" s="172"/>
      <c r="AB70" s="172"/>
      <c r="AC70" s="171"/>
      <c r="AD70" s="171"/>
      <c r="AE70" s="172"/>
      <c r="AF70" s="172"/>
      <c r="AG70" s="172"/>
      <c r="AH70" s="172"/>
      <c r="AI70" s="171"/>
      <c r="AJ70" s="171"/>
      <c r="AK70" s="172"/>
      <c r="AL70" s="172"/>
      <c r="AM70" s="172"/>
      <c r="AN70" s="172"/>
      <c r="AO70" s="171"/>
      <c r="AP70" s="171"/>
      <c r="AQ70" s="172"/>
      <c r="AR70" s="172"/>
      <c r="AS70" s="172"/>
      <c r="AT70" s="172"/>
      <c r="AU70" s="171"/>
      <c r="AV70" s="171"/>
      <c r="AW70" s="172"/>
      <c r="AX70" s="172"/>
      <c r="AY70" s="172"/>
      <c r="AZ70" s="172"/>
      <c r="BA70" s="171"/>
      <c r="BB70" s="171"/>
      <c r="BC70" s="172"/>
      <c r="BD70" s="172"/>
      <c r="BE70" s="172"/>
      <c r="BF70" s="172"/>
      <c r="BG70" s="171"/>
      <c r="BH70" s="171"/>
      <c r="BI70" s="172"/>
      <c r="BJ70" s="172"/>
      <c r="BK70" s="172"/>
      <c r="BL70" s="172"/>
      <c r="BM70" s="171"/>
      <c r="BN70" s="171"/>
      <c r="BO70" s="172"/>
      <c r="BP70" s="172"/>
      <c r="BQ70" s="172"/>
      <c r="BR70" s="172"/>
      <c r="BS70" s="171"/>
      <c r="BT70" s="171"/>
      <c r="BU70" s="172"/>
      <c r="BV70" s="172"/>
      <c r="BW70" s="172"/>
      <c r="BX70" s="172"/>
      <c r="BY70" s="171"/>
      <c r="BZ70" s="171"/>
      <c r="CA70" s="172"/>
      <c r="CB70" s="172"/>
      <c r="CC70" s="172"/>
      <c r="CD70" s="172"/>
      <c r="CE70" s="171"/>
      <c r="CF70" s="171"/>
      <c r="CG70" s="172"/>
      <c r="CH70" s="172"/>
      <c r="CI70" s="172"/>
      <c r="CJ70" s="172"/>
      <c r="CK70" s="171"/>
      <c r="CL70" s="171"/>
      <c r="CM70" s="172"/>
      <c r="CN70" s="172"/>
      <c r="CO70" s="172"/>
      <c r="CP70" s="172"/>
      <c r="CQ70" s="171"/>
      <c r="CR70" s="171"/>
      <c r="CS70" s="172"/>
      <c r="CT70" s="172"/>
      <c r="CU70" s="172"/>
      <c r="CV70" s="172"/>
      <c r="CW70" s="171"/>
      <c r="CX70" s="171"/>
      <c r="CY70" s="172"/>
      <c r="CZ70" s="172"/>
      <c r="DA70" s="172"/>
      <c r="DB70" s="172"/>
      <c r="DC70" s="171"/>
      <c r="DD70" s="171"/>
      <c r="DE70" s="172"/>
      <c r="DF70" s="172"/>
      <c r="DG70" s="172"/>
      <c r="DH70" s="172"/>
      <c r="DI70" s="171"/>
      <c r="DJ70" s="171"/>
      <c r="DK70" s="172"/>
      <c r="DL70" s="172"/>
      <c r="DM70" s="172"/>
      <c r="DN70" s="172"/>
      <c r="DO70" s="171"/>
      <c r="DP70" s="171"/>
      <c r="DQ70" s="172"/>
      <c r="DR70" s="172"/>
      <c r="DS70" s="172"/>
      <c r="DT70" s="172"/>
      <c r="DU70" s="171"/>
      <c r="DV70" s="171"/>
      <c r="DW70" s="172"/>
      <c r="DX70" s="172"/>
      <c r="DY70" s="172"/>
      <c r="DZ70" s="172"/>
      <c r="EA70" s="171"/>
      <c r="EB70" s="171"/>
      <c r="EC70" s="172"/>
      <c r="ED70" s="172"/>
      <c r="EE70" s="172"/>
      <c r="EF70" s="172"/>
      <c r="EG70" s="171"/>
      <c r="EH70" s="7"/>
      <c r="EI70" s="482"/>
      <c r="EJ70" s="7"/>
    </row>
    <row r="71" spans="1:140" ht="11.25" customHeight="1" x14ac:dyDescent="0.2">
      <c r="A71" s="51" t="s">
        <v>259</v>
      </c>
      <c r="B71" s="2"/>
      <c r="C71" s="2"/>
      <c r="D71" s="2"/>
      <c r="E71" s="148">
        <v>29.729467867686015</v>
      </c>
      <c r="F71" s="126"/>
      <c r="G71" s="148">
        <v>17.405329380012919</v>
      </c>
      <c r="H71" s="126"/>
      <c r="I71" s="148">
        <v>32.406551868962609</v>
      </c>
      <c r="J71" s="126"/>
      <c r="K71" s="148">
        <v>24.016082121471335</v>
      </c>
      <c r="L71" s="126"/>
      <c r="M71" s="146">
        <v>15.699810279406693</v>
      </c>
      <c r="N71" s="147">
        <v>15.870705460342768</v>
      </c>
      <c r="O71" s="147">
        <v>16.650173913043478</v>
      </c>
      <c r="P71" s="147">
        <v>8.6175435790820352</v>
      </c>
      <c r="Q71" s="148">
        <v>14.131742372318108</v>
      </c>
      <c r="R71" s="126"/>
      <c r="S71" s="146">
        <v>13.169197396963126</v>
      </c>
      <c r="T71" s="147">
        <v>14.664831981460022</v>
      </c>
      <c r="U71" s="147">
        <v>17.611570899345786</v>
      </c>
      <c r="V71" s="147">
        <v>16.134217579547794</v>
      </c>
      <c r="W71" s="148">
        <v>15.396207880787335</v>
      </c>
      <c r="X71" s="126"/>
      <c r="Y71" s="146">
        <v>14.342306602436944</v>
      </c>
      <c r="Z71" s="147">
        <v>15.359305664317407</v>
      </c>
      <c r="AA71" s="147">
        <v>17.109366391184576</v>
      </c>
      <c r="AB71" s="147">
        <v>19.430114653058506</v>
      </c>
      <c r="AC71" s="148">
        <v>16.586749987298685</v>
      </c>
      <c r="AD71" s="126"/>
      <c r="AE71" s="146">
        <v>18.192041522491358</v>
      </c>
      <c r="AF71" s="147">
        <v>24.417426863793644</v>
      </c>
      <c r="AG71" s="147">
        <v>24.451134444526033</v>
      </c>
      <c r="AH71" s="147">
        <v>24.998028030142915</v>
      </c>
      <c r="AI71" s="148">
        <v>22.939655172413783</v>
      </c>
      <c r="AJ71" s="126"/>
      <c r="AK71" s="146">
        <v>23.544780545670221</v>
      </c>
      <c r="AL71" s="147">
        <v>28.514553257900907</v>
      </c>
      <c r="AM71" s="147">
        <v>39.463327175920917</v>
      </c>
      <c r="AN71" s="147">
        <v>41.951203988543561</v>
      </c>
      <c r="AO71" s="148">
        <v>32.084214274586607</v>
      </c>
      <c r="AP71" s="126"/>
      <c r="AQ71" s="146">
        <v>34.976830398517123</v>
      </c>
      <c r="AR71" s="147">
        <v>24.706901513843331</v>
      </c>
      <c r="AS71" s="147">
        <v>16.679720543806642</v>
      </c>
      <c r="AT71" s="147">
        <v>19.578280578048112</v>
      </c>
      <c r="AU71" s="148">
        <v>21.617725984251969</v>
      </c>
      <c r="AV71" s="126"/>
      <c r="AW71" s="146">
        <v>15.872119013594222</v>
      </c>
      <c r="AX71" s="147">
        <v>21.180265575413397</v>
      </c>
      <c r="AY71" s="147">
        <v>20.489287105570693</v>
      </c>
      <c r="AZ71" s="147">
        <v>16.553868203580041</v>
      </c>
      <c r="BA71" s="148">
        <v>18.315089971012377</v>
      </c>
      <c r="BB71" s="126"/>
      <c r="BC71" s="146">
        <v>12.302146598146006</v>
      </c>
      <c r="BD71" s="147">
        <v>17.542978673125788</v>
      </c>
      <c r="BE71" s="147">
        <v>20.076312131841945</v>
      </c>
      <c r="BF71" s="147">
        <v>19.969409821884966</v>
      </c>
      <c r="BG71" s="148">
        <v>16.967781584648261</v>
      </c>
      <c r="BH71" s="126"/>
      <c r="BI71" s="146">
        <v>17.498898449515728</v>
      </c>
      <c r="BJ71" s="147">
        <v>13.721695553640396</v>
      </c>
      <c r="BK71" s="147">
        <v>17.280792663777408</v>
      </c>
      <c r="BL71" s="147">
        <v>13.630800496782193</v>
      </c>
      <c r="BM71" s="148">
        <v>15.360235129141659</v>
      </c>
      <c r="BN71" s="126"/>
      <c r="BO71" s="146">
        <v>17.125183064838261</v>
      </c>
      <c r="BP71" s="147">
        <v>21.264199834162536</v>
      </c>
      <c r="BQ71" s="147">
        <v>20.767793138760887</v>
      </c>
      <c r="BR71" s="147">
        <v>34.707845976755429</v>
      </c>
      <c r="BS71" s="148">
        <v>23.160523014159292</v>
      </c>
      <c r="BT71" s="126"/>
      <c r="BU71" s="146">
        <v>22.191931138708192</v>
      </c>
      <c r="BV71" s="147">
        <v>23.502896982045087</v>
      </c>
      <c r="BW71" s="147">
        <v>20.210566073367648</v>
      </c>
      <c r="BX71" s="147">
        <v>26.291564138226175</v>
      </c>
      <c r="BY71" s="148">
        <v>22.972457627118647</v>
      </c>
      <c r="BZ71" s="126"/>
      <c r="CA71" s="146">
        <v>23.786802030456855</v>
      </c>
      <c r="CB71" s="147">
        <v>26.881266490765178</v>
      </c>
      <c r="CC71" s="147">
        <v>24.527918781725887</v>
      </c>
      <c r="CD71" s="147">
        <v>26.531862745098021</v>
      </c>
      <c r="CE71" s="148">
        <v>25.42793650793649</v>
      </c>
      <c r="CF71" s="126"/>
      <c r="CG71" s="146">
        <v>24.176020408163254</v>
      </c>
      <c r="CH71" s="147">
        <v>26.984771573604057</v>
      </c>
      <c r="CI71" s="147">
        <v>29.648571428571429</v>
      </c>
      <c r="CJ71" s="147">
        <v>34.715170278637771</v>
      </c>
      <c r="CK71" s="148">
        <v>28.580534612748455</v>
      </c>
      <c r="CL71" s="126"/>
      <c r="CM71" s="146">
        <v>24.310769230769221</v>
      </c>
      <c r="CN71" s="147">
        <v>28.451807228915658</v>
      </c>
      <c r="CO71" s="147">
        <v>36.168918918918926</v>
      </c>
      <c r="CP71" s="147">
        <v>60.117647058823621</v>
      </c>
      <c r="CQ71" s="148">
        <v>35.567590260285478</v>
      </c>
      <c r="CR71" s="126"/>
      <c r="CS71" s="146">
        <v>33.808873720136532</v>
      </c>
      <c r="CT71" s="147">
        <v>40.38620689655172</v>
      </c>
      <c r="CU71" s="147">
        <v>23.966751918158558</v>
      </c>
      <c r="CV71" s="147">
        <v>19.125382262996958</v>
      </c>
      <c r="CW71" s="148">
        <v>26.718058968058948</v>
      </c>
      <c r="CX71" s="126"/>
      <c r="CY71" s="146">
        <v>19.322528363046999</v>
      </c>
      <c r="CZ71" s="147">
        <v>20.411144578313252</v>
      </c>
      <c r="DA71" s="147">
        <f>(IF(OR(+'Pro Forma IS'!DA22&lt;0,+'Pro Forma IS'!DA24=0),"NM",+'Pro Forma IS'!DA22/+'Pro Forma IS'!DA24))</f>
        <v>20.382151029748297</v>
      </c>
      <c r="DB71" s="147">
        <f>(IF(OR(+'Pro Forma IS'!DB22&lt;0,+'Pro Forma IS'!DB24=0),"NM",+'Pro Forma IS'!DB22/+'Pro Forma IS'!DB24))</f>
        <v>32.018575851393187</v>
      </c>
      <c r="DC71" s="148">
        <f>(IF(OR(+'Pro Forma IS'!DC22&lt;0,+'Pro Forma IS'!DC24=0),"NM",+'Pro Forma IS'!DC22/+'Pro Forma IS'!DC24))</f>
        <v>21.035791757049896</v>
      </c>
      <c r="DD71" s="126"/>
      <c r="DE71" s="146">
        <v>21.27478102826128</v>
      </c>
      <c r="DF71" s="147">
        <v>22.180607117250183</v>
      </c>
      <c r="DG71" s="147">
        <f>(IF(OR(+'Pro Forma IS'!DG22&lt;0,+'Pro Forma IS'!DG24=0),"NM",+'Pro Forma IS'!DG22/+'Pro Forma IS'!DG24))</f>
        <v>26.864661654135336</v>
      </c>
      <c r="DH71" s="147">
        <f>(IF(OR(+'Pro Forma IS'!DH22&lt;0,+'Pro Forma IS'!DH24=0),"NM",+'Pro Forma IS'!DH22/+'Pro Forma IS'!DH24))</f>
        <v>30.052631578947366</v>
      </c>
      <c r="DI71" s="148">
        <f>(IF(OR(+'Pro Forma IS'!DI22&lt;0,+'Pro Forma IS'!DI24=0),"NM",+'Pro Forma IS'!DI22/+'Pro Forma IS'!DI24))</f>
        <v>26.463429625076831</v>
      </c>
      <c r="DJ71" s="126"/>
      <c r="DK71" s="146">
        <f>(IF(OR(+'Pro Forma IS'!DK22&lt;0,+'Pro Forma IS'!DK24=0),"NM",+'Pro Forma IS'!DK22/+'Pro Forma IS'!DK24))</f>
        <v>27.271217033248064</v>
      </c>
      <c r="DL71" s="147">
        <f>(IF(OR(+'Pro Forma IS'!DL22&lt;0,+'Pro Forma IS'!DL24=0),"NM",+'Pro Forma IS'!DL22/+'Pro Forma IS'!DL24))</f>
        <v>27.009083175021097</v>
      </c>
      <c r="DM71" s="147">
        <f>(IF(OR(+'Pro Forma IS'!DM22&lt;0,+'Pro Forma IS'!DM24=0),"NM",+'Pro Forma IS'!DM22/+'Pro Forma IS'!DM24))</f>
        <v>26.756049318776984</v>
      </c>
      <c r="DN71" s="147">
        <f>(IF(OR(+'Pro Forma IS'!DN22&lt;0,+'Pro Forma IS'!DN24=0),"NM",+'Pro Forma IS'!DN22/+'Pro Forma IS'!DN24))</f>
        <v>32.377036771422389</v>
      </c>
      <c r="DO71" s="148">
        <f>(IF(OR(+'Pro Forma IS'!DO22&lt;0,+'Pro Forma IS'!DO24=0),"NM",+'Pro Forma IS'!DO22/+'Pro Forma IS'!DO24))</f>
        <v>28.380669182952623</v>
      </c>
      <c r="DP71" s="126"/>
      <c r="DQ71" s="146">
        <f>(IF(OR(+'Pro Forma IS'!DQ22&lt;0,+'Pro Forma IS'!DQ24=0),"NM",+'Pro Forma IS'!DQ22/+'Pro Forma IS'!DQ24))</f>
        <v>26.690837531443666</v>
      </c>
      <c r="DR71" s="147">
        <f>(IF(OR(+'Pro Forma IS'!DR22&lt;0,+'Pro Forma IS'!DR24=0),"NM",+'Pro Forma IS'!DR22/+'Pro Forma IS'!DR24))</f>
        <v>29.073552279458699</v>
      </c>
      <c r="DS71" s="147">
        <f>(IF(OR(+'Pro Forma IS'!DS22&lt;0,+'Pro Forma IS'!DS24=0),"NM",+'Pro Forma IS'!DS22/+'Pro Forma IS'!DS24))</f>
        <v>28.455491842929554</v>
      </c>
      <c r="DT71" s="147">
        <f>(IF(OR(+'Pro Forma IS'!DT22&lt;0,+'Pro Forma IS'!DT24=0),"NM",+'Pro Forma IS'!DT22/+'Pro Forma IS'!DT24))</f>
        <v>34.228606574851</v>
      </c>
      <c r="DU71" s="148">
        <f>(IF(OR(+'Pro Forma IS'!DU22&lt;0,+'Pro Forma IS'!DU24=0),"NM",+'Pro Forma IS'!DU22/+'Pro Forma IS'!DU24))</f>
        <v>29.61212205717073</v>
      </c>
      <c r="DV71" s="126"/>
      <c r="DW71" s="146">
        <f>(IF(OR(+'Pro Forma IS'!DW22&lt;0,+'Pro Forma IS'!DW24=0),"NM",+'Pro Forma IS'!DW22/+'Pro Forma IS'!DW24))</f>
        <v>28.692776838885646</v>
      </c>
      <c r="DX71" s="147">
        <f>(IF(OR(+'Pro Forma IS'!DX22&lt;0,+'Pro Forma IS'!DX24=0),"NM",+'Pro Forma IS'!DX22/+'Pro Forma IS'!DX24))</f>
        <v>31.149125182814192</v>
      </c>
      <c r="DY71" s="147">
        <f>(IF(OR(+'Pro Forma IS'!DY22&lt;0,+'Pro Forma IS'!DY24=0),"NM",+'Pro Forma IS'!DY22/+'Pro Forma IS'!DY24))</f>
        <v>30.493692189793393</v>
      </c>
      <c r="DZ71" s="147">
        <f>(IF(OR(+'Pro Forma IS'!DZ22&lt;0,+'Pro Forma IS'!DZ24=0),"NM",+'Pro Forma IS'!DZ22/+'Pro Forma IS'!DZ24))</f>
        <v>36.453687634305965</v>
      </c>
      <c r="EA71" s="148">
        <f>(IF(OR(+'Pro Forma IS'!EA22&lt;0,+'Pro Forma IS'!EA24=0),"NM",+'Pro Forma IS'!EA22/+'Pro Forma IS'!EA24))</f>
        <v>31.697320461449792</v>
      </c>
      <c r="EB71" s="126"/>
      <c r="EC71" s="146">
        <f>(IF(OR(+'Pro Forma IS'!EC22&lt;0,+'Pro Forma IS'!EC24=0),"NM",+'Pro Forma IS'!EC22/+'Pro Forma IS'!EC24))</f>
        <v>30.628050195701665</v>
      </c>
      <c r="ED71" s="147">
        <f>(IF(OR(+'Pro Forma IS'!ED22&lt;0,+'Pro Forma IS'!ED24=0),"NM",+'Pro Forma IS'!ED22/+'Pro Forma IS'!ED24))</f>
        <v>33.162333285973737</v>
      </c>
      <c r="EE71" s="147">
        <f>(IF(OR(+'Pro Forma IS'!EE22&lt;0,+'Pro Forma IS'!EE24=0),"NM",+'Pro Forma IS'!EE22/+'Pro Forma IS'!EE24))</f>
        <v>32.466182034084632</v>
      </c>
      <c r="EF71" s="147">
        <f>(IF(OR(+'Pro Forma IS'!EF22&lt;0,+'Pro Forma IS'!EF24=0),"NM",+'Pro Forma IS'!EF22/+'Pro Forma IS'!EF24))</f>
        <v>38.481507096397152</v>
      </c>
      <c r="EG71" s="148">
        <f>(IF(OR(+'Pro Forma IS'!EG22&lt;0,+'Pro Forma IS'!EG24=0),"NM",+'Pro Forma IS'!EG22/+'Pro Forma IS'!EG24))</f>
        <v>33.684518153039299</v>
      </c>
      <c r="EH71" s="7"/>
      <c r="EI71" s="482"/>
      <c r="EJ71" s="7"/>
    </row>
    <row r="72" spans="1:140" ht="11.25" customHeight="1" x14ac:dyDescent="0.2">
      <c r="A72" s="51" t="s">
        <v>263</v>
      </c>
      <c r="B72" s="2"/>
      <c r="C72" s="2"/>
      <c r="D72" s="2"/>
      <c r="E72" s="114">
        <v>22.788131102868817</v>
      </c>
      <c r="F72" s="126"/>
      <c r="G72" s="114">
        <v>13.051849317672097</v>
      </c>
      <c r="H72" s="126"/>
      <c r="I72" s="114">
        <v>26.757604847903036</v>
      </c>
      <c r="J72" s="126"/>
      <c r="K72" s="114">
        <v>18.893036783575695</v>
      </c>
      <c r="L72" s="126"/>
      <c r="M72" s="116">
        <v>11.937133494308382</v>
      </c>
      <c r="N72" s="77">
        <v>12.484097249900358</v>
      </c>
      <c r="O72" s="77">
        <v>12.838260869565216</v>
      </c>
      <c r="P72" s="77">
        <v>4.74452262913801</v>
      </c>
      <c r="Q72" s="114">
        <v>10.426630942737864</v>
      </c>
      <c r="R72" s="126"/>
      <c r="S72" s="116">
        <v>10.63069414316703</v>
      </c>
      <c r="T72" s="77">
        <v>12.280924101969871</v>
      </c>
      <c r="U72" s="77">
        <v>15.047923070859934</v>
      </c>
      <c r="V72" s="77">
        <v>13.979314136485462</v>
      </c>
      <c r="W72" s="114">
        <v>12.994810394039364</v>
      </c>
      <c r="X72" s="126"/>
      <c r="Y72" s="116">
        <v>11.830051005950688</v>
      </c>
      <c r="Z72" s="77">
        <v>13.130448968937612</v>
      </c>
      <c r="AA72" s="77">
        <v>14.859848484848486</v>
      </c>
      <c r="AB72" s="77">
        <v>17.365365498044923</v>
      </c>
      <c r="AC72" s="114">
        <v>14.326999610492981</v>
      </c>
      <c r="AD72" s="126"/>
      <c r="AE72" s="116">
        <v>15.5685813148789</v>
      </c>
      <c r="AF72" s="77">
        <v>21.409405473419312</v>
      </c>
      <c r="AG72" s="77">
        <v>21.434833688229684</v>
      </c>
      <c r="AH72" s="77">
        <v>22.259102753714998</v>
      </c>
      <c r="AI72" s="114">
        <v>20.100138222028217</v>
      </c>
      <c r="AJ72" s="126"/>
      <c r="AK72" s="116">
        <v>20.153988730723601</v>
      </c>
      <c r="AL72" s="77">
        <v>25.050409676160754</v>
      </c>
      <c r="AM72" s="77">
        <v>34.736716288166917</v>
      </c>
      <c r="AN72" s="77">
        <v>37.353240691630447</v>
      </c>
      <c r="AO72" s="114">
        <v>28.145639062604324</v>
      </c>
      <c r="AP72" s="126"/>
      <c r="AQ72" s="116">
        <v>30.240860879415077</v>
      </c>
      <c r="AR72" s="77">
        <v>21.741150060438624</v>
      </c>
      <c r="AS72" s="77">
        <v>14.600641993957698</v>
      </c>
      <c r="AT72" s="77">
        <v>17.132501646584782</v>
      </c>
      <c r="AU72" s="114">
        <v>18.900283464566929</v>
      </c>
      <c r="AV72" s="126"/>
      <c r="AW72" s="116">
        <v>13.561906855739984</v>
      </c>
      <c r="AX72" s="77">
        <v>18.493736428929349</v>
      </c>
      <c r="AY72" s="77">
        <v>18.034047526295275</v>
      </c>
      <c r="AZ72" s="77">
        <v>14.172841765010832</v>
      </c>
      <c r="BA72" s="114">
        <v>15.867623197389287</v>
      </c>
      <c r="BB72" s="126"/>
      <c r="BC72" s="116">
        <v>10.160613735277481</v>
      </c>
      <c r="BD72" s="77">
        <v>15.078395462869983</v>
      </c>
      <c r="BE72" s="77">
        <v>17.279105169104508</v>
      </c>
      <c r="BF72" s="77">
        <v>16.657531553493506</v>
      </c>
      <c r="BG72" s="114">
        <v>14.361370166085413</v>
      </c>
      <c r="BH72" s="126"/>
      <c r="BI72" s="116">
        <v>14.140374942844073</v>
      </c>
      <c r="BJ72" s="77">
        <v>10.978231031951227</v>
      </c>
      <c r="BK72" s="77">
        <v>14.590917655926143</v>
      </c>
      <c r="BL72" s="77">
        <v>11.113300214519576</v>
      </c>
      <c r="BM72" s="114">
        <v>12.575316331854939</v>
      </c>
      <c r="BN72" s="126"/>
      <c r="BO72" s="116">
        <v>14.029956064438847</v>
      </c>
      <c r="BP72" s="77">
        <v>17.887576008844682</v>
      </c>
      <c r="BQ72" s="77">
        <v>17.699596774193555</v>
      </c>
      <c r="BR72" s="77">
        <v>30.932976866807785</v>
      </c>
      <c r="BS72" s="114">
        <v>19.846774262377643</v>
      </c>
      <c r="BT72" s="126"/>
      <c r="BU72" s="116">
        <v>18.771108482817528</v>
      </c>
      <c r="BV72" s="77">
        <v>19.699032216987149</v>
      </c>
      <c r="BW72" s="77">
        <v>15.307775836834905</v>
      </c>
      <c r="BX72" s="77">
        <v>20.84334545843587</v>
      </c>
      <c r="BY72" s="114">
        <v>18.487994350282491</v>
      </c>
      <c r="BZ72" s="126"/>
      <c r="CA72" s="116">
        <v>18.652284263959391</v>
      </c>
      <c r="CB72" s="77">
        <v>21.406332453825865</v>
      </c>
      <c r="CC72" s="77">
        <v>19.18274111675127</v>
      </c>
      <c r="CD72" s="77">
        <v>21.154411764705863</v>
      </c>
      <c r="CE72" s="114">
        <v>20.095873015872996</v>
      </c>
      <c r="CF72" s="126"/>
      <c r="CG72" s="116">
        <v>18.645408163265294</v>
      </c>
      <c r="CH72" s="77">
        <v>21.411167512690355</v>
      </c>
      <c r="CI72" s="77">
        <v>23.211428571428574</v>
      </c>
      <c r="CJ72" s="77">
        <v>27.492260061919509</v>
      </c>
      <c r="CK72" s="114">
        <v>22.446196024674432</v>
      </c>
      <c r="CL72" s="126"/>
      <c r="CM72" s="116">
        <v>17.396923076923066</v>
      </c>
      <c r="CN72" s="77">
        <v>21.361445783132524</v>
      </c>
      <c r="CO72" s="77">
        <v>29.263513513513523</v>
      </c>
      <c r="CP72" s="77">
        <v>50.663865546218567</v>
      </c>
      <c r="CQ72" s="114">
        <v>28.099076406381197</v>
      </c>
      <c r="CR72" s="126"/>
      <c r="CS72" s="116">
        <v>25.77133105802049</v>
      </c>
      <c r="CT72" s="77">
        <v>32.213793103448268</v>
      </c>
      <c r="CU72" s="77">
        <v>20.480818414322243</v>
      </c>
      <c r="CV72" s="77">
        <v>14.966360856269128</v>
      </c>
      <c r="CW72" s="114">
        <v>21.307739557739538</v>
      </c>
      <c r="CX72" s="126"/>
      <c r="CY72" s="116">
        <v>14.296596434359804</v>
      </c>
      <c r="CZ72" s="77">
        <v>15.579819277108433</v>
      </c>
      <c r="DA72" s="77">
        <f>(IF(OR(+'Pro Forma IS'!DA20&lt;0,+'Pro Forma IS'!DA24=0),"NM",'Pro Forma IS'!DA20/+'Pro Forma IS'!DA24))</f>
        <v>15.997711670480562</v>
      </c>
      <c r="DB72" s="77">
        <f>(IF(OR(+'Pro Forma IS'!DB20&lt;0,+'Pro Forma IS'!DB24=0),"NM",'Pro Forma IS'!DB20/+'Pro Forma IS'!DB24))</f>
        <v>22.557275541795665</v>
      </c>
      <c r="DC72" s="114">
        <f>(IF(OR(+'Pro Forma IS'!DC20&lt;0,+'Pro Forma IS'!DC24=0),"NM",'Pro Forma IS'!DC20/+'Pro Forma IS'!DC24))</f>
        <v>14.918112798264648</v>
      </c>
      <c r="DD72" s="126"/>
      <c r="DE72" s="116">
        <v>14.227769233077398</v>
      </c>
      <c r="DF72" s="77">
        <v>15.310487515707377</v>
      </c>
      <c r="DG72" s="77">
        <f>(IF(OR(+'Pro Forma IS'!DG20&lt;0,+'Pro Forma IS'!DG24=0),"NM",'Pro Forma IS'!DG20/+'Pro Forma IS'!DG24))</f>
        <v>19.060150375939845</v>
      </c>
      <c r="DH72" s="77">
        <f>(IF(OR(+'Pro Forma IS'!DH20&lt;0,+'Pro Forma IS'!DH24=0),"NM",'Pro Forma IS'!DH20/+'Pro Forma IS'!DH24))</f>
        <v>22.442583732057415</v>
      </c>
      <c r="DI72" s="114">
        <f>(IF(OR(+'Pro Forma IS'!DI20&lt;0,+'Pro Forma IS'!DI24=0),"NM",'Pro Forma IS'!DI20/+'Pro Forma IS'!DI24))</f>
        <v>18.852489244007376</v>
      </c>
      <c r="DJ72" s="126"/>
      <c r="DK72" s="116">
        <f>(IF(OR(+'Pro Forma IS'!DK20&lt;0,+'Pro Forma IS'!DK24=0),"NM",'Pro Forma IS'!DK20/+'Pro Forma IS'!DK24))</f>
        <v>19.002557544757014</v>
      </c>
      <c r="DL72" s="77">
        <f>(IF(OR(+'Pro Forma IS'!DL20&lt;0,+'Pro Forma IS'!DL24=0),"NM",'Pro Forma IS'!DL20/+'Pro Forma IS'!DL24))</f>
        <v>19.520954112934266</v>
      </c>
      <c r="DM72" s="77">
        <f>(IF(OR(+'Pro Forma IS'!DM20&lt;0,+'Pro Forma IS'!DM24=0),"NM",'Pro Forma IS'!DM20/+'Pro Forma IS'!DM24))</f>
        <v>19.329227366736873</v>
      </c>
      <c r="DN72" s="77">
        <f>(IF(OR(+'Pro Forma IS'!DN20&lt;0,+'Pro Forma IS'!DN24=0),"NM",'Pro Forma IS'!DN20/+'Pro Forma IS'!DN24))</f>
        <v>24.985821859901534</v>
      </c>
      <c r="DO72" s="114">
        <f>(IF(OR(+'Pro Forma IS'!DO20&lt;0,+'Pro Forma IS'!DO24=0),"NM",'Pro Forma IS'!DO20/+'Pro Forma IS'!DO24))</f>
        <v>20.752742224658196</v>
      </c>
      <c r="DP72" s="126"/>
      <c r="DQ72" s="116">
        <f>(IF(OR(+'Pro Forma IS'!DQ20&lt;0,+'Pro Forma IS'!DQ24=0),"NM",'Pro Forma IS'!DQ20/+'Pro Forma IS'!DQ24))</f>
        <v>19.159873434156129</v>
      </c>
      <c r="DR72" s="77">
        <f>(IF(OR(+'Pro Forma IS'!DR20&lt;0,+'Pro Forma IS'!DR24=0),"NM",'Pro Forma IS'!DR20/+'Pro Forma IS'!DR24))</f>
        <v>21.596474678309402</v>
      </c>
      <c r="DS72" s="77">
        <f>(IF(OR(+'Pro Forma IS'!DS20&lt;0,+'Pro Forma IS'!DS24=0),"NM",'Pro Forma IS'!DS20/+'Pro Forma IS'!DS24))</f>
        <v>21.037441248551943</v>
      </c>
      <c r="DT72" s="77">
        <f>(IF(OR(+'Pro Forma IS'!DT20&lt;0,+'Pro Forma IS'!DT24=0),"NM",'Pro Forma IS'!DT20/+'Pro Forma IS'!DT24))</f>
        <v>26.843108732996129</v>
      </c>
      <c r="DU72" s="114">
        <f>(IF(OR(+'Pro Forma IS'!DU20&lt;0,+'Pro Forma IS'!DU24=0),"NM",'Pro Forma IS'!DU20/+'Pro Forma IS'!DU24))</f>
        <v>22.159224523503401</v>
      </c>
      <c r="DV72" s="126"/>
      <c r="DW72" s="116">
        <f>(IF(OR(+'Pro Forma IS'!DW20&lt;0,+'Pro Forma IS'!DW24=0),"NM",'Pro Forma IS'!DW20/+'Pro Forma IS'!DW24))</f>
        <v>21.099381977437645</v>
      </c>
      <c r="DX72" s="77">
        <f>(IF(OR(+'Pro Forma IS'!DX20&lt;0,+'Pro Forma IS'!DX24=0),"NM",'Pro Forma IS'!DX20/+'Pro Forma IS'!DX24))</f>
        <v>23.609406108584452</v>
      </c>
      <c r="DY72" s="77">
        <f>(IF(OR(+'Pro Forma IS'!DY20&lt;0,+'Pro Forma IS'!DY24=0),"NM",'Pro Forma IS'!DY20/+'Pro Forma IS'!DY24))</f>
        <v>23.013124241371049</v>
      </c>
      <c r="DZ72" s="77">
        <f>(IF(OR(+'Pro Forma IS'!DZ20&lt;0,+'Pro Forma IS'!DZ24=0),"NM",'Pro Forma IS'!DZ20/+'Pro Forma IS'!DZ24))</f>
        <v>29.004785586402207</v>
      </c>
      <c r="EA72" s="114">
        <f>(IF(OR(+'Pro Forma IS'!EA20&lt;0,+'Pro Forma IS'!EA24=0),"NM",'Pro Forma IS'!EA20/+'Pro Forma IS'!EA24))</f>
        <v>24.181674478448834</v>
      </c>
      <c r="EB72" s="126"/>
      <c r="EC72" s="116">
        <f>(IF(OR(+'Pro Forma IS'!EC20&lt;0,+'Pro Forma IS'!EC24=0),"NM",'Pro Forma IS'!EC20/+'Pro Forma IS'!EC24))</f>
        <v>22.990909448181842</v>
      </c>
      <c r="ED72" s="77">
        <f>(IF(OR(+'Pro Forma IS'!ED20&lt;0,+'Pro Forma IS'!ED24=0),"NM",'Pro Forma IS'!ED20/+'Pro Forma IS'!ED24))</f>
        <v>25.578530690033883</v>
      </c>
      <c r="EE72" s="77">
        <f>(IF(OR(+'Pro Forma IS'!EE20&lt;0,+'Pro Forma IS'!EE24=0),"NM",'Pro Forma IS'!EE20/+'Pro Forma IS'!EE24))</f>
        <v>24.941503604695956</v>
      </c>
      <c r="EF72" s="77">
        <f>(IF(OR(+'Pro Forma IS'!EF20&lt;0,+'Pro Forma IS'!EF24=0),"NM",'Pro Forma IS'!EF20/+'Pro Forma IS'!EF24))</f>
        <v>30.987377201910963</v>
      </c>
      <c r="EG72" s="114">
        <f>(IF(OR(+'Pro Forma IS'!EG20&lt;0,+'Pro Forma IS'!EG24=0),"NM",'Pro Forma IS'!EG20/+'Pro Forma IS'!EG24))</f>
        <v>26.124580236205659</v>
      </c>
      <c r="EH72" s="7"/>
      <c r="EI72" s="482"/>
      <c r="EJ72" s="7"/>
    </row>
    <row r="73" spans="1:140" ht="11.25" customHeight="1" x14ac:dyDescent="0.2">
      <c r="A73" s="51" t="s">
        <v>260</v>
      </c>
      <c r="B73" s="2"/>
      <c r="C73" s="2"/>
      <c r="D73" s="2"/>
      <c r="E73" s="114">
        <v>0.50672427665013398</v>
      </c>
      <c r="F73" s="126"/>
      <c r="G73" s="114">
        <v>1.0999318601735824</v>
      </c>
      <c r="H73" s="126"/>
      <c r="I73" s="114">
        <v>0.69361253054876704</v>
      </c>
      <c r="J73" s="126"/>
      <c r="K73" s="114">
        <v>1.1329590949891011</v>
      </c>
      <c r="L73" s="126"/>
      <c r="M73" s="116">
        <v>1.6232622009832194</v>
      </c>
      <c r="N73" s="77">
        <v>1.474263930325769</v>
      </c>
      <c r="O73" s="77">
        <v>1.5616784261295091</v>
      </c>
      <c r="P73" s="77">
        <v>2.764400905623964</v>
      </c>
      <c r="Q73" s="114">
        <v>1.7514509825823303</v>
      </c>
      <c r="R73" s="126"/>
      <c r="S73" s="116">
        <v>1.7429068522483939</v>
      </c>
      <c r="T73" s="77">
        <v>1.5080608122790033</v>
      </c>
      <c r="U73" s="77">
        <v>1.4024192393415624</v>
      </c>
      <c r="V73" s="77">
        <v>1.3949499295051733</v>
      </c>
      <c r="W73" s="114">
        <v>1.5769646088117426</v>
      </c>
      <c r="X73" s="126"/>
      <c r="Y73" s="116">
        <v>1.6917107914806189</v>
      </c>
      <c r="Z73" s="77">
        <v>1.4085073884928159</v>
      </c>
      <c r="AA73" s="77">
        <v>1.2642566457887194</v>
      </c>
      <c r="AB73" s="77">
        <v>1.10757774207742</v>
      </c>
      <c r="AC73" s="114">
        <v>1.3261608015266007</v>
      </c>
      <c r="AD73" s="126"/>
      <c r="AE73" s="116">
        <v>1.2759524488825482</v>
      </c>
      <c r="AF73" s="77">
        <v>1.0472298803189777</v>
      </c>
      <c r="AG73" s="77">
        <v>0.9820885885885885</v>
      </c>
      <c r="AH73" s="77">
        <v>0.95105607316022001</v>
      </c>
      <c r="AI73" s="114">
        <v>1.0705486500585901</v>
      </c>
      <c r="AJ73" s="126"/>
      <c r="AK73" s="116">
        <v>1.0422290063355713</v>
      </c>
      <c r="AL73" s="77">
        <v>0.89158940270487685</v>
      </c>
      <c r="AM73" s="77">
        <v>0.7258481308218212</v>
      </c>
      <c r="AN73" s="77">
        <v>0.65852748853274778</v>
      </c>
      <c r="AO73" s="114">
        <v>0.72259510002497152</v>
      </c>
      <c r="AP73" s="126"/>
      <c r="AQ73" s="116">
        <v>0.64074294883118466</v>
      </c>
      <c r="AR73" s="77">
        <v>1.5510567687013805</v>
      </c>
      <c r="AS73" s="77">
        <v>1.2879008284296971</v>
      </c>
      <c r="AT73" s="77">
        <v>1.2040112004907639</v>
      </c>
      <c r="AU73" s="114">
        <v>1.418326284583022</v>
      </c>
      <c r="AV73" s="126"/>
      <c r="AW73" s="116">
        <v>1.3420628581190586</v>
      </c>
      <c r="AX73" s="77">
        <v>1.0639149292720194</v>
      </c>
      <c r="AY73" s="77">
        <v>0.92554852080006134</v>
      </c>
      <c r="AZ73" s="77">
        <v>1.716052839545289</v>
      </c>
      <c r="BA73" s="114">
        <v>1.8545890358460728</v>
      </c>
      <c r="BB73" s="126"/>
      <c r="BC73" s="116">
        <v>1.7515260355455355</v>
      </c>
      <c r="BD73" s="77">
        <v>1.2850239939383725</v>
      </c>
      <c r="BE73" s="77">
        <v>1.1158042481365367</v>
      </c>
      <c r="BF73" s="77">
        <v>1.28933935441697</v>
      </c>
      <c r="BG73" s="114">
        <v>1.1858799763125425</v>
      </c>
      <c r="BH73" s="126"/>
      <c r="BI73" s="116">
        <v>1.7328806497359681</v>
      </c>
      <c r="BJ73" s="77">
        <v>1.689275902737231</v>
      </c>
      <c r="BK73" s="77">
        <v>1.3403835494452565</v>
      </c>
      <c r="BL73" s="77">
        <v>1.5185007827513104</v>
      </c>
      <c r="BM73" s="114">
        <v>1.5568843300911621</v>
      </c>
      <c r="BN73" s="126"/>
      <c r="BO73" s="116">
        <v>1.402234460427318</v>
      </c>
      <c r="BP73" s="77">
        <v>1.1474667368568128</v>
      </c>
      <c r="BQ73" s="77">
        <v>1.1024474845597205</v>
      </c>
      <c r="BR73" s="77">
        <v>0.75548748979637659</v>
      </c>
      <c r="BS73" s="114">
        <v>1.0409113337797182</v>
      </c>
      <c r="BT73" s="126"/>
      <c r="BU73" s="116">
        <v>1.0092708422776169</v>
      </c>
      <c r="BV73" s="77">
        <v>2.2257562581863337</v>
      </c>
      <c r="BW73" s="77">
        <v>1.7215502943375063</v>
      </c>
      <c r="BX73" s="77">
        <v>1.3492500933377682</v>
      </c>
      <c r="BY73" s="114">
        <v>1.6309114943588794</v>
      </c>
      <c r="BZ73" s="126"/>
      <c r="CA73" s="116">
        <v>1.3139735381988904</v>
      </c>
      <c r="CB73" s="77">
        <v>1.2031377601099331</v>
      </c>
      <c r="CC73" s="77">
        <v>1.2195315086920531</v>
      </c>
      <c r="CD73" s="77">
        <v>1.2339722863741345</v>
      </c>
      <c r="CE73" s="114">
        <v>1.3341406776698554</v>
      </c>
      <c r="CF73" s="126"/>
      <c r="CG73" s="116">
        <v>1.1755566107417965</v>
      </c>
      <c r="CH73" s="77">
        <v>0.97695635816403315</v>
      </c>
      <c r="CI73" s="77">
        <v>0.84369278211429122</v>
      </c>
      <c r="CJ73" s="77">
        <v>0.78012128779095669</v>
      </c>
      <c r="CK73" s="114">
        <v>0.83910885153121184</v>
      </c>
      <c r="CL73" s="126"/>
      <c r="CM73" s="116">
        <v>1.1033413491963047</v>
      </c>
      <c r="CN73" s="77">
        <v>0.81224857082362911</v>
      </c>
      <c r="CO73" s="77">
        <v>0.70897160470764031</v>
      </c>
      <c r="CP73" s="77">
        <v>0.60689823874755333</v>
      </c>
      <c r="CQ73" s="114">
        <v>0.81995231462902196</v>
      </c>
      <c r="CR73" s="126"/>
      <c r="CS73" s="116">
        <v>0.80191298203109196</v>
      </c>
      <c r="CT73" s="77">
        <v>0.67511953551912574</v>
      </c>
      <c r="CU73" s="77">
        <v>4.004908761071392</v>
      </c>
      <c r="CV73" s="77">
        <v>2.5724336424688179</v>
      </c>
      <c r="CW73" s="114">
        <v>2.9589167068993287</v>
      </c>
      <c r="CX73" s="126"/>
      <c r="CY73" s="116">
        <f>IF(CY61&lt;0,"NM",CY61/(+'Pro Forma IS'!CY22*4))</f>
        <v>3.3556379982668965</v>
      </c>
      <c r="CZ73" s="77">
        <f>IF(CZ61&lt;0,"NM",CZ61/(+'Pro Forma IS'!CZ22*4))</f>
        <v>3.5532544378698239</v>
      </c>
      <c r="DA73" s="77">
        <f>IF(DA61&lt;0,"NM",DA61/(+'Pro Forma IS'!DA22*4))</f>
        <v>2.3330526552149982</v>
      </c>
      <c r="DB73" s="77">
        <f>IF(DB61&lt;0,"NM",DB61/(+'Pro Forma IS'!DB22*4))</f>
        <v>2.965818990524077</v>
      </c>
      <c r="DC73" s="114">
        <f>IF(DC61&lt;0,"NM",DC61/(+'Pro Forma IS'!DC22))</f>
        <v>3.1629285898427417</v>
      </c>
      <c r="DD73" s="126"/>
      <c r="DE73" s="116">
        <f>IF(DE61&lt;0,"NM",DE61/(+'Pro Forma IS'!DE22*4))</f>
        <v>3.2382126598742698</v>
      </c>
      <c r="DF73" s="77">
        <f>IF(DF61&lt;0,"NM",DF61/(+'Pro Forma IS'!DF22*4))</f>
        <v>2.7471798274717982</v>
      </c>
      <c r="DG73" s="77">
        <f>IF(DG61&lt;0,"NM",DG61/(+'Pro Forma IS'!DG22*4))</f>
        <v>2.5443138352458257</v>
      </c>
      <c r="DH73" s="77">
        <f>IF(DH61&lt;0,"NM",DH61/(+'Pro Forma IS'!DH22*4))</f>
        <v>2.0940335933768512</v>
      </c>
      <c r="DI73" s="114">
        <f>IF(DI61&lt;0,"NM",DI61/(+'Pro Forma IS'!DI22))</f>
        <v>2.4438173541434409</v>
      </c>
      <c r="DJ73" s="126"/>
      <c r="DK73" s="116">
        <f>IF(DK61&lt;0,"NM",DK61/(+'Pro Forma IS'!DK22*4))</f>
        <v>2.4669545967797251</v>
      </c>
      <c r="DL73" s="77">
        <f>IF(DL61&lt;0,"NM",DL61/(+'Pro Forma IS'!DL22*4))</f>
        <v>2.2455228812999688</v>
      </c>
      <c r="DM73" s="77">
        <f>IF(DM61&lt;0,"NM",DM61/(+'Pro Forma IS'!DM22*4))</f>
        <v>2.2667589504658667</v>
      </c>
      <c r="DN73" s="77">
        <f>IF(DN61&lt;0,"NM",DN61/(+'Pro Forma IS'!DN22*4))</f>
        <v>1.8732262220480971</v>
      </c>
      <c r="DO73" s="114">
        <f>IF(DO61&lt;0,"NM",DO61/(+'Pro Forma IS'!DO22))</f>
        <v>2.190957829368875</v>
      </c>
      <c r="DP73" s="126"/>
      <c r="DQ73" s="116">
        <f>IF(DQ61&lt;0,"NM",DQ61/(+'Pro Forma IS'!DQ22*4))</f>
        <v>2.272297158191253</v>
      </c>
      <c r="DR73" s="77">
        <f>IF(DR61&lt;0,"NM",DR61/(+'Pro Forma IS'!DR22*4))</f>
        <v>2.0860716877481291</v>
      </c>
      <c r="DS73" s="77">
        <f>IF(DS61&lt;0,"NM",DS61/(+'Pro Forma IS'!DS22*4))</f>
        <v>2.131381689243713</v>
      </c>
      <c r="DT73" s="77">
        <f>IF(DT61&lt;0,"NM",DT61/(+'Pro Forma IS'!DT22*4))</f>
        <v>1.7718955090916637</v>
      </c>
      <c r="DU73" s="114">
        <f>IF(DU61&lt;0,"NM",DU61/(+'Pro Forma IS'!DU22))</f>
        <v>2.048131307690503</v>
      </c>
      <c r="DV73" s="126"/>
      <c r="DW73" s="116">
        <f>IF(DW61&lt;0,"NM",DW61/(+'Pro Forma IS'!DW22*4))</f>
        <v>2.1137554797501905</v>
      </c>
      <c r="DX73" s="77">
        <f>IF(DX61&lt;0,"NM",DX61/(+'Pro Forma IS'!DX22*4))</f>
        <v>1.9470695859511922</v>
      </c>
      <c r="DY73" s="77">
        <f>IF(DY61&lt;0,"NM",DY61/(+'Pro Forma IS'!DY22*4))</f>
        <v>1.9889200000760816</v>
      </c>
      <c r="DZ73" s="77">
        <f>IF(DZ61&lt;0,"NM",DZ61/(+'Pro Forma IS'!DZ22*4))</f>
        <v>1.6637415364081747</v>
      </c>
      <c r="EA73" s="114">
        <f>IF(EA61&lt;0,"NM",EA61/(+'Pro Forma IS'!EA22))</f>
        <v>1.9133956242833108</v>
      </c>
      <c r="EB73" s="126"/>
      <c r="EC73" s="116">
        <f>IF(EC61&lt;0,"NM",EC61/(+'Pro Forma IS'!EC22*4))</f>
        <v>1.9801950788547233</v>
      </c>
      <c r="ED73" s="77">
        <f>IF(ED61&lt;0,"NM",ED61/(+'Pro Forma IS'!ED22*4))</f>
        <v>1.8288675211552758</v>
      </c>
      <c r="EE73" s="77">
        <f>IF(EE61&lt;0,"NM",EE61/(+'Pro Forma IS'!EE22*4))</f>
        <v>1.8680827394108421</v>
      </c>
      <c r="EF73" s="77">
        <f>IF(EF61&lt;0,"NM",EF61/(+'Pro Forma IS'!EF22*4))</f>
        <v>1.5760691004257008</v>
      </c>
      <c r="EG73" s="114">
        <f>IF(EG61&lt;0,"NM",EG61/(+'Pro Forma IS'!EG22))</f>
        <v>1.8005160114475789</v>
      </c>
      <c r="EH73" s="7"/>
      <c r="EI73" s="482"/>
      <c r="EJ73" s="7"/>
    </row>
    <row r="74" spans="1:140" ht="11.25" customHeight="1" x14ac:dyDescent="0.2">
      <c r="A74" s="51" t="s">
        <v>261</v>
      </c>
      <c r="B74" s="2"/>
      <c r="C74" s="2"/>
      <c r="D74" s="2"/>
      <c r="E74" s="114">
        <v>0.32640621658230562</v>
      </c>
      <c r="F74" s="126"/>
      <c r="G74" s="114">
        <v>0.99554251968847907</v>
      </c>
      <c r="H74" s="126"/>
      <c r="I74" s="114">
        <v>0.21171776642227649</v>
      </c>
      <c r="J74" s="126"/>
      <c r="K74" s="114">
        <v>0.88088392437345986</v>
      </c>
      <c r="L74" s="126"/>
      <c r="M74" s="116">
        <v>0.70426794100683865</v>
      </c>
      <c r="N74" s="77">
        <v>0.62630212257280315</v>
      </c>
      <c r="O74" s="77">
        <v>0.7176266601210588</v>
      </c>
      <c r="P74" s="77">
        <v>1.1253723172281977</v>
      </c>
      <c r="Q74" s="114">
        <v>0.71300600675190096</v>
      </c>
      <c r="R74" s="126"/>
      <c r="S74" s="116">
        <v>0.90247693954867403</v>
      </c>
      <c r="T74" s="77">
        <v>0.63756345929715708</v>
      </c>
      <c r="U74" s="77">
        <v>0.50376055102534034</v>
      </c>
      <c r="V74" s="77">
        <v>0.53190689571451089</v>
      </c>
      <c r="W74" s="114">
        <v>0.60131072232983063</v>
      </c>
      <c r="X74" s="126"/>
      <c r="Y74" s="116">
        <v>0.5659933516418385</v>
      </c>
      <c r="Z74" s="77">
        <v>0.27398710943806703</v>
      </c>
      <c r="AA74" s="77">
        <v>0.15253916627755318</v>
      </c>
      <c r="AB74" s="77">
        <v>5.8604582152322379E-2</v>
      </c>
      <c r="AC74" s="114">
        <v>7.0170333591646664E-2</v>
      </c>
      <c r="AD74" s="126"/>
      <c r="AE74" s="116">
        <v>0.66493390394674246</v>
      </c>
      <c r="AF74" s="77">
        <v>0.80303276734988338</v>
      </c>
      <c r="AG74" s="77">
        <v>0.58298198198198192</v>
      </c>
      <c r="AH74" s="77">
        <v>0.52203779719225774</v>
      </c>
      <c r="AI74" s="114">
        <v>0.58762766448322967</v>
      </c>
      <c r="AJ74" s="126"/>
      <c r="AK74" s="116">
        <v>0.51237121030821364</v>
      </c>
      <c r="AL74" s="77">
        <v>0.33834363215421398</v>
      </c>
      <c r="AM74" s="77">
        <v>0.53612110765706322</v>
      </c>
      <c r="AN74" s="77">
        <v>0.45905103748919002</v>
      </c>
      <c r="AO74" s="114">
        <v>0.50371174495713211</v>
      </c>
      <c r="AP74" s="126"/>
      <c r="AQ74" s="116">
        <v>0.44876935759288733</v>
      </c>
      <c r="AR74" s="77">
        <v>1.3852185176815381</v>
      </c>
      <c r="AS74" s="77">
        <v>1.1384982079745702</v>
      </c>
      <c r="AT74" s="77">
        <v>1.0467838166760668</v>
      </c>
      <c r="AU74" s="114">
        <v>1.2331122840573525</v>
      </c>
      <c r="AV74" s="126"/>
      <c r="AW74" s="116">
        <v>1.2280395968289297</v>
      </c>
      <c r="AX74" s="77">
        <v>0.97808270491399274</v>
      </c>
      <c r="AY74" s="77">
        <v>0.82607280021294438</v>
      </c>
      <c r="AZ74" s="77">
        <v>1.6059360671712857</v>
      </c>
      <c r="BA74" s="114">
        <v>1.7355825845285844</v>
      </c>
      <c r="BB74" s="126"/>
      <c r="BC74" s="116">
        <v>1.6346903756825688</v>
      </c>
      <c r="BD74" s="77">
        <v>1.1654331537295832</v>
      </c>
      <c r="BE74" s="77">
        <v>0.99773310190450792</v>
      </c>
      <c r="BF74" s="77">
        <v>1.0959607743530972</v>
      </c>
      <c r="BG74" s="114">
        <v>1.0080185117106206</v>
      </c>
      <c r="BH74" s="126"/>
      <c r="BI74" s="116">
        <v>1.1533009399697369</v>
      </c>
      <c r="BJ74" s="77">
        <v>0.95744928318372047</v>
      </c>
      <c r="BK74" s="77">
        <v>0.59698685155064435</v>
      </c>
      <c r="BL74" s="77">
        <v>0.62707542989198928</v>
      </c>
      <c r="BM74" s="114">
        <v>0.6429261819774158</v>
      </c>
      <c r="BN74" s="126"/>
      <c r="BO74" s="116">
        <v>1.0104201287052301</v>
      </c>
      <c r="BP74" s="77">
        <v>0.64665678805337645</v>
      </c>
      <c r="BQ74" s="77">
        <v>0.47257000517757858</v>
      </c>
      <c r="BR74" s="77">
        <v>0.33524692500510839</v>
      </c>
      <c r="BS74" s="114">
        <v>0.46190351073407032</v>
      </c>
      <c r="BT74" s="126"/>
      <c r="BU74" s="116">
        <v>0.44335714856738506</v>
      </c>
      <c r="BV74" s="77">
        <v>2.0613319869479168</v>
      </c>
      <c r="BW74" s="77">
        <v>1.5991993319005784</v>
      </c>
      <c r="BX74" s="77">
        <v>1.229712641748788</v>
      </c>
      <c r="BY74" s="114">
        <v>1.4864201174336742</v>
      </c>
      <c r="BZ74" s="126"/>
      <c r="CA74" s="116">
        <v>1.0537873452838242</v>
      </c>
      <c r="CB74" s="77">
        <v>0.94488491362387117</v>
      </c>
      <c r="CC74" s="77">
        <v>0.83804997930463598</v>
      </c>
      <c r="CD74" s="77">
        <v>0.86184757505773713</v>
      </c>
      <c r="CE74" s="114">
        <v>0.93180853454518286</v>
      </c>
      <c r="CF74" s="126"/>
      <c r="CG74" s="116">
        <v>0.62617389469241369</v>
      </c>
      <c r="CH74" s="77">
        <v>0.44638826185101571</v>
      </c>
      <c r="CI74" s="77">
        <v>0.37886672448684588</v>
      </c>
      <c r="CJ74" s="77">
        <v>0.10030767858735395</v>
      </c>
      <c r="CK74" s="114">
        <v>0.10789227559413898</v>
      </c>
      <c r="CL74" s="126"/>
      <c r="CM74" s="116">
        <v>6.5687887609163401E-2</v>
      </c>
      <c r="CN74" s="77" t="s">
        <v>731</v>
      </c>
      <c r="CO74" s="77" t="s">
        <v>731</v>
      </c>
      <c r="CP74" s="77">
        <v>9.4265445904389081E-2</v>
      </c>
      <c r="CQ74" s="114">
        <v>0.12735771110219304</v>
      </c>
      <c r="CR74" s="126"/>
      <c r="CS74" s="116">
        <v>0.18579648697758921</v>
      </c>
      <c r="CT74" s="77" t="s">
        <v>731</v>
      </c>
      <c r="CU74" s="77">
        <v>3.5347348201899491</v>
      </c>
      <c r="CV74" s="77">
        <v>2.4291053725615592</v>
      </c>
      <c r="CW74" s="114">
        <v>2.7940547623974092</v>
      </c>
      <c r="CX74" s="126"/>
      <c r="CY74" s="116">
        <f>IF(CY62&lt;0,"NM",CY62/(+'Pro Forma IS'!CY22*4))</f>
        <v>3.1953531195840545</v>
      </c>
      <c r="CZ74" s="77">
        <f>IF(CZ62&lt;0,"NM",CZ62/(+'Pro Forma IS'!CZ22*4))</f>
        <v>2.5777961004947145</v>
      </c>
      <c r="DA74" s="77">
        <f>IF(DA62&lt;0,"NM",DA62/(+'Pro Forma IS'!DA22*4))</f>
        <v>2.0808352980801605</v>
      </c>
      <c r="DB74" s="77">
        <f>IF(DB62&lt;0,"NM",DB62/(+'Pro Forma IS'!DB22*4))</f>
        <v>2.7507493714948756</v>
      </c>
      <c r="DC74" s="114">
        <f>IF(DC62&lt;0,"NM",DC62/(+'Pro Forma IS'!DC22))</f>
        <v>2.933565351894817</v>
      </c>
      <c r="DD74" s="126"/>
      <c r="DE74" s="116">
        <f>IF(DE62&lt;0,"NM",DE62/(+'Pro Forma IS'!DE22*4))</f>
        <v>3.0218133535660101</v>
      </c>
      <c r="DF74" s="77">
        <f>IF(DF62&lt;0,"NM",DF62/(+'Pro Forma IS'!DF22*4))</f>
        <v>2.5762631529054887</v>
      </c>
      <c r="DG74" s="77">
        <f>IF(DG62&lt;0,"NM",DG62/(+'Pro Forma IS'!DG22*4))</f>
        <v>2.3942531952607524</v>
      </c>
      <c r="DH74" s="77">
        <f>IF(DH62&lt;0,"NM",DH62/(+'Pro Forma IS'!DH22*4))</f>
        <v>1.9705062888075153</v>
      </c>
      <c r="DI74" s="114">
        <f>IF(DI62&lt;0,"NM",DI62/(+'Pro Forma IS'!DI22))</f>
        <v>2.2996562616127836</v>
      </c>
      <c r="DJ74" s="126"/>
      <c r="DK74" s="116">
        <f>IF(DK62&lt;0,"NM",DK62/(+'Pro Forma IS'!DK22*4))</f>
        <v>2.1041023128572185</v>
      </c>
      <c r="DL74" s="77">
        <f>IF(DL62&lt;0,"NM",DL62/(+'Pro Forma IS'!DL22*4))</f>
        <v>1.6858203484162979</v>
      </c>
      <c r="DM74" s="77">
        <f>IF(DM62&lt;0,"NM",DM62/(+'Pro Forma IS'!DM22*4))</f>
        <v>1.5486506269888272</v>
      </c>
      <c r="DN74" s="77">
        <f>IF(DN62&lt;0,"NM",DN62/(+'Pro Forma IS'!DN22*4))</f>
        <v>1.1035771087772155</v>
      </c>
      <c r="DO74" s="114">
        <f>IF(DO62&lt;0,"NM",DO62/(+'Pro Forma IS'!DO22))</f>
        <v>1.2907628978971366</v>
      </c>
      <c r="DP74" s="126"/>
      <c r="DQ74" s="116">
        <f>IF(DQ62&lt;0,"NM",DQ62/(+'Pro Forma IS'!DQ22*4))</f>
        <v>1.1351976086534035</v>
      </c>
      <c r="DR74" s="77">
        <f>IF(DR62&lt;0,"NM",DR62/(+'Pro Forma IS'!DR22*4))</f>
        <v>0.81074328677533514</v>
      </c>
      <c r="DS74" s="77">
        <f>IF(DS62&lt;0,"NM",DS62/(+'Pro Forma IS'!DS22*4))</f>
        <v>0.67342110275175615</v>
      </c>
      <c r="DT74" s="77">
        <f>IF(DT62&lt;0,"NM",DT62/(+'Pro Forma IS'!DT22*4))</f>
        <v>0.38154548312515352</v>
      </c>
      <c r="DU74" s="114">
        <f>IF(DU62&lt;0,"NM",DU62/(+'Pro Forma IS'!DU22))</f>
        <v>0.44102784012197593</v>
      </c>
      <c r="DV74" s="126"/>
      <c r="DW74" s="116">
        <f>IF(DW62&lt;0,"NM",DW62/(+'Pro Forma IS'!DW22*4))</f>
        <v>0.22549577760040226</v>
      </c>
      <c r="DX74" s="77" t="str">
        <f>IF(DX62&lt;0,"NM",DX62/(+'Pro Forma IS'!DX22*4))</f>
        <v>NM</v>
      </c>
      <c r="DY74" s="77" t="str">
        <f>IF(DY62&lt;0,"NM",DY62/(+'Pro Forma IS'!DY22*4))</f>
        <v>NM</v>
      </c>
      <c r="DZ74" s="77" t="str">
        <f>IF(DZ62&lt;0,"NM",DZ62/(+'Pro Forma IS'!DZ22*4))</f>
        <v>NM</v>
      </c>
      <c r="EA74" s="114" t="str">
        <f>IF(EA62&lt;0,"NM",EA62/(+'Pro Forma IS'!EA22))</f>
        <v>NM</v>
      </c>
      <c r="EB74" s="126"/>
      <c r="EC74" s="116" t="str">
        <f>IF(EC62&lt;0,"NM",EC62/(+'Pro Forma IS'!EC22*4))</f>
        <v>NM</v>
      </c>
      <c r="ED74" s="77" t="str">
        <f>IF(ED62&lt;0,"NM",ED62/(+'Pro Forma IS'!ED22*4))</f>
        <v>NM</v>
      </c>
      <c r="EE74" s="77" t="str">
        <f>IF(EE62&lt;0,"NM",EE62/(+'Pro Forma IS'!EE22*4))</f>
        <v>NM</v>
      </c>
      <c r="EF74" s="77" t="str">
        <f>IF(EF62&lt;0,"NM",EF62/(+'Pro Forma IS'!EF22*4))</f>
        <v>NM</v>
      </c>
      <c r="EG74" s="114" t="str">
        <f>IF(EG62&lt;0,"NM",EG62/(+'Pro Forma IS'!EG22))</f>
        <v>NM</v>
      </c>
      <c r="EH74" s="7"/>
      <c r="EI74" s="482"/>
      <c r="EJ74" s="7"/>
    </row>
    <row r="75" spans="1:140" ht="11.25" customHeight="1" x14ac:dyDescent="0.2">
      <c r="A75" s="105" t="s">
        <v>262</v>
      </c>
      <c r="B75" s="2"/>
      <c r="C75" s="2"/>
      <c r="D75" s="2"/>
      <c r="E75" s="115">
        <f>+(E61)/(E61+E55)</f>
        <v>0.14871719380259715</v>
      </c>
      <c r="F75" s="126"/>
      <c r="G75" s="115">
        <f>+(G61)/(G61+G55)</f>
        <v>0.2644569731473036</v>
      </c>
      <c r="H75" s="126"/>
      <c r="I75" s="115">
        <f>+(I61)/(I61+I55)</f>
        <v>0.17981960153365575</v>
      </c>
      <c r="J75" s="126"/>
      <c r="K75" s="115">
        <f>+(K61)/(K61+K55)</f>
        <v>0.29047792475168244</v>
      </c>
      <c r="L75" s="126"/>
      <c r="M75" s="117">
        <f>+(M61)/(M61+M55)</f>
        <v>0.3673159034475601</v>
      </c>
      <c r="N75" s="118">
        <f>+(N61)/(N61+N55)</f>
        <v>0.35646673809611273</v>
      </c>
      <c r="O75" s="118">
        <f>+(O61)/(O61+O55)</f>
        <v>0.35184541301540512</v>
      </c>
      <c r="P75" s="118">
        <f>+(P61)/(P61+P55)</f>
        <v>0.34841905987091676</v>
      </c>
      <c r="Q75" s="115">
        <f>+(Q61)/(Q61+Q55)</f>
        <v>0.34841905987091676</v>
      </c>
      <c r="R75" s="126"/>
      <c r="S75" s="117">
        <f>+(S61)/(S61+S55)</f>
        <v>0.31164580249991325</v>
      </c>
      <c r="T75" s="118">
        <f>+(T61)/(T61+T55)</f>
        <v>0.3085115921592636</v>
      </c>
      <c r="U75" s="118">
        <f>+(U61)/(U61+U55)</f>
        <v>0.3029427439265347</v>
      </c>
      <c r="V75" s="118">
        <f>+(V61)/(V61+V55)</f>
        <v>0.3032630847148195</v>
      </c>
      <c r="W75" s="115">
        <f>+(W61)/(W61+W55)</f>
        <v>0.3032630847148195</v>
      </c>
      <c r="X75" s="126"/>
      <c r="Y75" s="117">
        <f>+(Y61)/(Y61+Y55)</f>
        <v>0.30515312361482655</v>
      </c>
      <c r="Z75" s="118">
        <f>+(Z61)/(Z61+Z55)</f>
        <v>0.28822513598252475</v>
      </c>
      <c r="AA75" s="118">
        <f>+(AA61)/(AA61+AA55)</f>
        <v>0.26636589093837321</v>
      </c>
      <c r="AB75" s="118">
        <f>+(AB61)/(AB61+AB55)</f>
        <v>0.26263448339450568</v>
      </c>
      <c r="AC75" s="115">
        <f>+(AC61)/(AC61+AC55)</f>
        <v>0.26263448339450568</v>
      </c>
      <c r="AD75" s="126"/>
      <c r="AE75" s="117">
        <f>+(AE61)/(AE61+AE55)</f>
        <v>0.26184440049353053</v>
      </c>
      <c r="AF75" s="118">
        <f>+(AF61)/(AF61+AF55)</f>
        <v>0.2461429511999087</v>
      </c>
      <c r="AG75" s="118">
        <f>+(AG61)/(AG61+AG55)</f>
        <v>0.23815472696740331</v>
      </c>
      <c r="AH75" s="118">
        <f>+(AH61)/(AH61+AH55)</f>
        <v>0.22618132724062728</v>
      </c>
      <c r="AI75" s="115">
        <f>+(AI61)/(AI61+AI55)</f>
        <v>0.22618132724062728</v>
      </c>
      <c r="AJ75" s="126"/>
      <c r="AK75" s="117">
        <f>+(AK61)/(AK61+AK55)</f>
        <v>0.21836744017962481</v>
      </c>
      <c r="AL75" s="118">
        <f>+(AL61)/(AL61+AL55)</f>
        <v>0.21348007228066598</v>
      </c>
      <c r="AM75" s="118">
        <f>+(AM61)/(AM61+AM55)</f>
        <v>0.17433061011588621</v>
      </c>
      <c r="AN75" s="118">
        <f>+(AN61)/(AN61+AN55)</f>
        <v>0.17015840388678868</v>
      </c>
      <c r="AO75" s="115">
        <f>+(AO61)/(AO61+AO55)</f>
        <v>0.17015840388678868</v>
      </c>
      <c r="AP75" s="126"/>
      <c r="AQ75" s="117">
        <f>+(AQ61)/(AQ61+AQ55)</f>
        <v>0.1394006600617787</v>
      </c>
      <c r="AR75" s="118">
        <f>+(AR61)/(AR61+AR55)</f>
        <v>0.31247095216812842</v>
      </c>
      <c r="AS75" s="118">
        <f>+(AS61)/(AS61+AS55)</f>
        <v>0.27001565965154783</v>
      </c>
      <c r="AT75" s="118">
        <f>+(AT61)/(AT61+AT55)</f>
        <v>0.26807834352752075</v>
      </c>
      <c r="AU75" s="115">
        <f>+(AU61)/(AU61+AU55)</f>
        <v>0.26807834352752075</v>
      </c>
      <c r="AV75" s="126"/>
      <c r="AW75" s="117">
        <f>+(AW61)/(AW61+AW55)</f>
        <v>0.24811378724930747</v>
      </c>
      <c r="AX75" s="118">
        <f>+(AX61)/(AX61+AX55)</f>
        <v>0.22739492248464205</v>
      </c>
      <c r="AY75" s="118">
        <f>+(AY61)/(AY61+AY55)</f>
        <v>0.19470975466666507</v>
      </c>
      <c r="AZ75" s="118">
        <f>+(AZ61)/(AZ61+AZ55)</f>
        <v>0.29084169350883221</v>
      </c>
      <c r="BA75" s="115">
        <f>+(BA61)/(BA61+BA55)</f>
        <v>0.29084169350883221</v>
      </c>
      <c r="BB75" s="126"/>
      <c r="BC75" s="117">
        <f>+(BC61)/(BC61+BC55)</f>
        <v>0.26798954514883605</v>
      </c>
      <c r="BD75" s="118">
        <f>+(BD61)/(BD61+BD55)</f>
        <v>0.23255174227377745</v>
      </c>
      <c r="BE75" s="118">
        <f>+(BE61)/(BE61+BE55)</f>
        <v>0.21022507983163558</v>
      </c>
      <c r="BF75" s="118">
        <f>+(BF61)/(BF61+BF55)</f>
        <v>0.21076214781735697</v>
      </c>
      <c r="BG75" s="115">
        <f>+(BG61)/(BG61+BG55)</f>
        <v>0.21076214781735697</v>
      </c>
      <c r="BH75" s="126"/>
      <c r="BI75" s="117">
        <f>+(BI61)/(BI61+BI55)</f>
        <v>0.22583288535202509</v>
      </c>
      <c r="BJ75" s="118">
        <f>+(BJ61)/(BJ61+BJ55)</f>
        <v>0.21505312897793627</v>
      </c>
      <c r="BK75" s="118">
        <f>+(BK61)/(BK61+BK55)</f>
        <v>0.20833734677707522</v>
      </c>
      <c r="BL75" s="118">
        <f>+(BL61)/(BL61+BL55)</f>
        <v>0.20140983706741258</v>
      </c>
      <c r="BM75" s="115">
        <f>+(BM61)/(BM61+BM55)</f>
        <v>0.20140983706741258</v>
      </c>
      <c r="BN75" s="126"/>
      <c r="BO75" s="117">
        <f>+(BO61)/(BO61+BO55)</f>
        <v>0.1957964389372514</v>
      </c>
      <c r="BP75" s="118">
        <f>+(BP61)/(BP61+BP55)</f>
        <v>0.1898099434654712</v>
      </c>
      <c r="BQ75" s="118">
        <f>+(BQ61)/(BQ61+BQ55)</f>
        <v>0.17848322359034968</v>
      </c>
      <c r="BR75" s="118">
        <f>+(BR61)/(BR61+BR55)</f>
        <v>0.17082262971013346</v>
      </c>
      <c r="BS75" s="115">
        <f>+(BS61)/(BS61+BS55)</f>
        <v>0.17082262971013346</v>
      </c>
      <c r="BT75" s="126"/>
      <c r="BU75" s="117">
        <f>+(BU61)/(BU61+BU55)</f>
        <v>0.15684683316710898</v>
      </c>
      <c r="BV75" s="118">
        <f>+(BV61)/(BV61+BV55)</f>
        <v>0.28500393216496195</v>
      </c>
      <c r="BW75" s="118">
        <f>+(BW61)/(BW61+BW55)</f>
        <v>0.26328882449425767</v>
      </c>
      <c r="BX75" s="118">
        <f>+(BX61)/(BX61+BX55)</f>
        <v>0.23886528462999171</v>
      </c>
      <c r="BY75" s="115">
        <f>+(BY61)/(BY61+BY55)</f>
        <v>0.23886528462999171</v>
      </c>
      <c r="BZ75" s="126"/>
      <c r="CA75" s="117">
        <f>+(CA61)/(CA61+CA55)</f>
        <v>0.21652802619388198</v>
      </c>
      <c r="CB75" s="118">
        <f>+(CB61)/(CB61+CB55)</f>
        <v>0.21129235266813629</v>
      </c>
      <c r="CC75" s="118">
        <f>+(CC61)/(CC61+CC55)</f>
        <v>0.19975252864295368</v>
      </c>
      <c r="CD75" s="118">
        <f>+(CD61)/(CD61+CD55)</f>
        <v>0.21934268214584807</v>
      </c>
      <c r="CE75" s="115">
        <f>+(CE61)/(CE61+CE55)</f>
        <v>0.21934268214584807</v>
      </c>
      <c r="CF75" s="126"/>
      <c r="CG75" s="117">
        <f>+(CG61)/(CG61+CG55)</f>
        <v>0.18462220454564288</v>
      </c>
      <c r="CH75" s="118">
        <f>+(CH61)/(CH61+CH55)</f>
        <v>0.16992421546855122</v>
      </c>
      <c r="CI75" s="118">
        <f>+(CI61)/(CI61+CI55)</f>
        <v>0.14117210742302452</v>
      </c>
      <c r="CJ75" s="118">
        <f>+(CJ61)/(CJ61+CJ55)</f>
        <v>0.13517846725621324</v>
      </c>
      <c r="CK75" s="115">
        <f>+(CK61)/(CK61+CK55)</f>
        <v>0.13517846725621324</v>
      </c>
      <c r="CL75" s="126"/>
      <c r="CM75" s="117">
        <f>+(CM61)/(CM61+CM55)</f>
        <v>0.13184012824826929</v>
      </c>
      <c r="CN75" s="118">
        <f>+(CN61)/(CN61+CN55)</f>
        <v>0.11455980888034491</v>
      </c>
      <c r="CO75" s="118">
        <f>+(CO61)/(CO61+CO55)</f>
        <v>0.11338546801708942</v>
      </c>
      <c r="CP75" s="118">
        <f>+(CP61)/(CP61+CP55)</f>
        <v>0.12935590190492152</v>
      </c>
      <c r="CQ75" s="115">
        <f>+(CQ61)/(CQ61+CQ55)</f>
        <v>0.12935590190492152</v>
      </c>
      <c r="CR75" s="126"/>
      <c r="CS75" s="117">
        <f t="shared" ref="CS75:CW75" si="319">+(CS61)/(CS61+CS55)</f>
        <v>0.11991244787440798</v>
      </c>
      <c r="CT75" s="118">
        <f t="shared" si="319"/>
        <v>0.11600645539906103</v>
      </c>
      <c r="CU75" s="118">
        <f t="shared" si="319"/>
        <v>0.39376047549226623</v>
      </c>
      <c r="CV75" s="118">
        <f t="shared" si="319"/>
        <v>0.35202827079350241</v>
      </c>
      <c r="CW75" s="115">
        <f t="shared" si="319"/>
        <v>0.35202827079350241</v>
      </c>
      <c r="CX75" s="126"/>
      <c r="CY75" s="117">
        <f>+(CY61)/(CY61+CY55)</f>
        <v>0.33585119415444331</v>
      </c>
      <c r="CZ75" s="118">
        <f>+(CZ61)/(CZ61+CZ55)</f>
        <v>0.36909815025203224</v>
      </c>
      <c r="DA75" s="118">
        <f>+(DA61)/(DA61+DA55)</f>
        <v>0.26384753585281778</v>
      </c>
      <c r="DB75" s="118">
        <f>+(DB61)/(DB61+DB55)</f>
        <v>0.34784161851677542</v>
      </c>
      <c r="DC75" s="115">
        <f>+(DC61)/(DC61+DC55)</f>
        <v>0.34784161851677542</v>
      </c>
      <c r="DD75" s="126"/>
      <c r="DE75" s="117">
        <f>+(DE61)/(DE61+DE55)</f>
        <v>0.33440414594765511</v>
      </c>
      <c r="DF75" s="118">
        <f>+(DF61)/(DF61+DF55)</f>
        <v>0.32038029959648445</v>
      </c>
      <c r="DG75" s="118">
        <f>+(DG61)/(DG61+DG55)</f>
        <v>0.30065262206347637</v>
      </c>
      <c r="DH75" s="118">
        <f>+(DH61)/(DH61+DH55)</f>
        <v>0.28530407832908089</v>
      </c>
      <c r="DI75" s="115">
        <f>+(DI61)/(DI61+DI55)</f>
        <v>0.28530407832908089</v>
      </c>
      <c r="DJ75" s="126"/>
      <c r="DK75" s="117">
        <f>+(DK61)/(DK61+DK55)</f>
        <v>0.28059007259464458</v>
      </c>
      <c r="DL75" s="118">
        <f>+(DL61)/(DL61+DL55)</f>
        <v>0.27544272844546597</v>
      </c>
      <c r="DM75" s="118">
        <f>+(DM61)/(DM61+DM55)</f>
        <v>0.27054269958467897</v>
      </c>
      <c r="DN75" s="118">
        <f>+(DN61)/(DN61+DN55)</f>
        <v>0.26449949788362809</v>
      </c>
      <c r="DO75" s="115">
        <f>+(DO61)/(DO61+DO55)</f>
        <v>0.26449949788362809</v>
      </c>
      <c r="DP75" s="126"/>
      <c r="DQ75" s="117">
        <f>+(DQ61)/(DQ61+DQ55)</f>
        <v>0.25984056227408303</v>
      </c>
      <c r="DR75" s="118">
        <f>+(DR61)/(DR61+DR55)</f>
        <v>0.25480386234990204</v>
      </c>
      <c r="DS75" s="118">
        <f>+(DS61)/(DS61+DS55)</f>
        <v>0.2500797754458059</v>
      </c>
      <c r="DT75" s="118">
        <f>+(DT61)/(DT61+DT55)</f>
        <v>0.24437088918060637</v>
      </c>
      <c r="DU75" s="115">
        <f>+(DU61)/(DU61+DU55)</f>
        <v>0.24437088918060637</v>
      </c>
      <c r="DV75" s="126"/>
      <c r="DW75" s="117">
        <f>+(DW61)/(DW61+DW55)</f>
        <v>0.24001402563865107</v>
      </c>
      <c r="DX75" s="118">
        <f>+(DX61)/(DX61+DX55)</f>
        <v>0.23533391921488112</v>
      </c>
      <c r="DY75" s="118">
        <f>+(DY61)/(DY61+DY55)</f>
        <v>0.23094067892106629</v>
      </c>
      <c r="DZ75" s="118">
        <f>+(DZ61)/(DZ61+DZ55)</f>
        <v>0.22497400595194611</v>
      </c>
      <c r="EA75" s="115">
        <f>+(EA61)/(EA61+EA55)</f>
        <v>0.22497400595194611</v>
      </c>
      <c r="EB75" s="126"/>
      <c r="EC75" s="117">
        <f t="shared" ref="EC75:EG75" si="320">+(EC61)/(EC61+EC55)</f>
        <v>0.22019760485461812</v>
      </c>
      <c r="ED75" s="118">
        <f t="shared" si="320"/>
        <v>0.21513001596626788</v>
      </c>
      <c r="EE75" s="118">
        <f t="shared" si="320"/>
        <v>0.21029902083435659</v>
      </c>
      <c r="EF75" s="118">
        <f t="shared" si="320"/>
        <v>0.2047738305697783</v>
      </c>
      <c r="EG75" s="115">
        <f t="shared" si="320"/>
        <v>0.2047738305697783</v>
      </c>
      <c r="EH75" s="7"/>
      <c r="EI75" s="482"/>
      <c r="EJ75" s="7"/>
    </row>
    <row r="76" spans="1:140" ht="11.25" customHeight="1" x14ac:dyDescent="0.2">
      <c r="A76" s="2"/>
      <c r="B76" s="2"/>
      <c r="C76" s="2"/>
      <c r="D76" s="2"/>
      <c r="E76" s="67"/>
      <c r="F76" s="126"/>
      <c r="G76" s="67"/>
      <c r="H76" s="126"/>
      <c r="I76" s="67"/>
      <c r="J76" s="126"/>
      <c r="K76" s="67"/>
      <c r="L76" s="126"/>
      <c r="M76" s="67"/>
      <c r="N76" s="67"/>
      <c r="O76" s="67"/>
      <c r="P76" s="67"/>
      <c r="Q76" s="67"/>
      <c r="R76" s="126"/>
      <c r="S76" s="67"/>
      <c r="T76" s="67"/>
      <c r="U76" s="67"/>
      <c r="V76" s="67"/>
      <c r="W76" s="67"/>
      <c r="X76" s="126"/>
      <c r="Y76" s="67"/>
      <c r="Z76" s="67"/>
      <c r="AA76" s="67"/>
      <c r="AB76" s="67"/>
      <c r="AC76" s="67"/>
      <c r="AD76" s="126"/>
      <c r="AE76" s="67"/>
      <c r="AF76" s="67"/>
      <c r="AG76" s="67"/>
      <c r="AH76" s="67"/>
      <c r="AI76" s="67"/>
      <c r="AJ76" s="126"/>
      <c r="AK76" s="67"/>
      <c r="AL76" s="67"/>
      <c r="AM76" s="67"/>
      <c r="AN76" s="67"/>
      <c r="AO76" s="67"/>
      <c r="AP76" s="126"/>
      <c r="AQ76" s="67"/>
      <c r="AR76" s="67"/>
      <c r="AS76" s="67"/>
      <c r="AT76" s="67"/>
      <c r="AU76" s="67"/>
      <c r="AV76" s="126"/>
      <c r="AW76" s="67"/>
      <c r="AX76" s="67"/>
      <c r="AY76" s="67"/>
      <c r="AZ76" s="67"/>
      <c r="BA76" s="67"/>
      <c r="BB76" s="126"/>
      <c r="BC76" s="67"/>
      <c r="BD76" s="67"/>
      <c r="BE76" s="67"/>
      <c r="BF76" s="67"/>
      <c r="BG76" s="67"/>
      <c r="BH76" s="126"/>
      <c r="BI76" s="67"/>
      <c r="BJ76" s="67"/>
      <c r="BK76" s="67"/>
      <c r="BL76" s="67"/>
      <c r="BM76" s="67"/>
      <c r="BN76" s="126"/>
      <c r="BO76" s="67"/>
      <c r="BP76" s="67"/>
      <c r="BQ76" s="67"/>
      <c r="BR76" s="67"/>
      <c r="BS76" s="67"/>
      <c r="BT76" s="126"/>
      <c r="BU76" s="67"/>
      <c r="BV76" s="67"/>
      <c r="BW76" s="67"/>
      <c r="BX76" s="67"/>
      <c r="BY76" s="67"/>
      <c r="BZ76" s="126"/>
      <c r="CA76" s="67"/>
      <c r="CB76" s="67"/>
      <c r="CC76" s="67"/>
      <c r="CD76" s="67"/>
      <c r="CE76" s="67"/>
      <c r="CF76" s="126"/>
      <c r="CG76" s="67"/>
      <c r="CH76" s="67"/>
      <c r="CI76" s="67"/>
      <c r="CJ76" s="67"/>
      <c r="CK76" s="67"/>
      <c r="CL76" s="126"/>
      <c r="CM76" s="67"/>
      <c r="CN76" s="67"/>
      <c r="CO76" s="67"/>
      <c r="CP76" s="67"/>
      <c r="CQ76" s="67"/>
      <c r="CR76" s="126"/>
      <c r="CS76" s="67"/>
      <c r="CT76" s="67"/>
      <c r="CU76" s="67"/>
      <c r="CV76" s="67"/>
      <c r="CW76" s="67"/>
      <c r="CX76" s="126"/>
      <c r="CY76" s="67"/>
      <c r="CZ76" s="67"/>
      <c r="DA76" s="67"/>
      <c r="DB76" s="67"/>
      <c r="DC76" s="67"/>
      <c r="DD76" s="126"/>
      <c r="DE76" s="67"/>
      <c r="DF76" s="67"/>
      <c r="DG76" s="67"/>
      <c r="DH76" s="67"/>
      <c r="DI76" s="67"/>
      <c r="DJ76" s="126"/>
      <c r="DK76" s="67"/>
      <c r="DL76" s="67"/>
      <c r="DM76" s="67"/>
      <c r="DN76" s="67"/>
      <c r="DO76" s="67"/>
      <c r="DP76" s="126"/>
      <c r="DQ76" s="67"/>
      <c r="DR76" s="67"/>
      <c r="DS76" s="67"/>
      <c r="DT76" s="67"/>
      <c r="DU76" s="67"/>
      <c r="DV76" s="126"/>
      <c r="DW76" s="67"/>
      <c r="DX76" s="67"/>
      <c r="DY76" s="67"/>
      <c r="DZ76" s="67"/>
      <c r="EA76" s="67"/>
      <c r="EB76" s="126"/>
      <c r="EC76" s="67"/>
      <c r="ED76" s="67"/>
      <c r="EE76" s="67"/>
      <c r="EF76" s="67"/>
      <c r="EG76" s="67"/>
      <c r="EH76" s="7"/>
      <c r="EI76" s="482"/>
      <c r="EJ76" s="7"/>
    </row>
    <row r="77" spans="1:140" ht="11.25" customHeight="1" outlineLevel="1" x14ac:dyDescent="0.2">
      <c r="A77" s="106" t="s">
        <v>264</v>
      </c>
      <c r="B77" s="170"/>
      <c r="C77" s="170"/>
      <c r="D77" s="170"/>
      <c r="E77" s="171"/>
      <c r="F77" s="171"/>
      <c r="G77" s="171"/>
      <c r="H77" s="171"/>
      <c r="I77" s="171"/>
      <c r="J77" s="171"/>
      <c r="K77" s="171"/>
      <c r="L77" s="171"/>
      <c r="M77" s="172"/>
      <c r="N77" s="172"/>
      <c r="O77" s="172"/>
      <c r="P77" s="172"/>
      <c r="Q77" s="171"/>
      <c r="R77" s="171"/>
      <c r="S77" s="172"/>
      <c r="T77" s="172"/>
      <c r="U77" s="172"/>
      <c r="V77" s="172"/>
      <c r="W77" s="171"/>
      <c r="X77" s="171"/>
      <c r="Y77" s="172"/>
      <c r="Z77" s="172"/>
      <c r="AA77" s="172"/>
      <c r="AB77" s="172"/>
      <c r="AC77" s="171"/>
      <c r="AD77" s="171"/>
      <c r="AE77" s="172"/>
      <c r="AF77" s="172"/>
      <c r="AG77" s="172"/>
      <c r="AH77" s="172"/>
      <c r="AI77" s="171"/>
      <c r="AJ77" s="171"/>
      <c r="AK77" s="172"/>
      <c r="AL77" s="172"/>
      <c r="AM77" s="172"/>
      <c r="AN77" s="172"/>
      <c r="AO77" s="171"/>
      <c r="AP77" s="171"/>
      <c r="AQ77" s="172"/>
      <c r="AR77" s="172"/>
      <c r="AS77" s="172"/>
      <c r="AT77" s="172"/>
      <c r="AU77" s="171"/>
      <c r="AV77" s="171"/>
      <c r="AW77" s="172"/>
      <c r="AX77" s="172"/>
      <c r="AY77" s="172"/>
      <c r="AZ77" s="172"/>
      <c r="BA77" s="171"/>
      <c r="BB77" s="171"/>
      <c r="BC77" s="172"/>
      <c r="BD77" s="172"/>
      <c r="BE77" s="172"/>
      <c r="BF77" s="172"/>
      <c r="BG77" s="171"/>
      <c r="BH77" s="171"/>
      <c r="BI77" s="172"/>
      <c r="BJ77" s="172"/>
      <c r="BK77" s="172"/>
      <c r="BL77" s="172"/>
      <c r="BM77" s="171"/>
      <c r="BN77" s="171"/>
      <c r="BO77" s="172"/>
      <c r="BP77" s="172"/>
      <c r="BQ77" s="172"/>
      <c r="BR77" s="172"/>
      <c r="BS77" s="171"/>
      <c r="BT77" s="171"/>
      <c r="BU77" s="172"/>
      <c r="BV77" s="172"/>
      <c r="BW77" s="172"/>
      <c r="BX77" s="172"/>
      <c r="BY77" s="171"/>
      <c r="BZ77" s="171"/>
      <c r="CA77" s="172"/>
      <c r="CB77" s="172"/>
      <c r="CC77" s="172"/>
      <c r="CD77" s="172"/>
      <c r="CE77" s="171"/>
      <c r="CF77" s="171"/>
      <c r="CG77" s="172"/>
      <c r="CH77" s="172"/>
      <c r="CI77" s="172"/>
      <c r="CJ77" s="172"/>
      <c r="CK77" s="171"/>
      <c r="CL77" s="171"/>
      <c r="CM77" s="172"/>
      <c r="CN77" s="172"/>
      <c r="CO77" s="172"/>
      <c r="CP77" s="172"/>
      <c r="CQ77" s="171"/>
      <c r="CR77" s="171"/>
      <c r="CS77" s="172"/>
      <c r="CT77" s="172"/>
      <c r="CU77" s="172"/>
      <c r="CV77" s="172"/>
      <c r="CW77" s="171"/>
      <c r="CX77" s="171"/>
      <c r="CY77" s="172"/>
      <c r="CZ77" s="172"/>
      <c r="DA77" s="172"/>
      <c r="DB77" s="172"/>
      <c r="DC77" s="171"/>
      <c r="DD77" s="171"/>
      <c r="DE77" s="172"/>
      <c r="DF77" s="172"/>
      <c r="DG77" s="172"/>
      <c r="DH77" s="172"/>
      <c r="DI77" s="171"/>
      <c r="DJ77" s="171"/>
      <c r="DK77" s="172"/>
      <c r="DL77" s="172"/>
      <c r="DM77" s="172"/>
      <c r="DN77" s="172"/>
      <c r="DO77" s="171"/>
      <c r="DP77" s="171"/>
      <c r="DQ77" s="172"/>
      <c r="DR77" s="172"/>
      <c r="DS77" s="172"/>
      <c r="DT77" s="172"/>
      <c r="DU77" s="171"/>
      <c r="DV77" s="171"/>
      <c r="DW77" s="172"/>
      <c r="DX77" s="172"/>
      <c r="DY77" s="172"/>
      <c r="DZ77" s="172"/>
      <c r="EA77" s="171"/>
      <c r="EB77" s="171"/>
      <c r="EC77" s="172"/>
      <c r="ED77" s="172"/>
      <c r="EE77" s="172"/>
      <c r="EF77" s="172"/>
      <c r="EG77" s="171"/>
      <c r="EH77" s="7"/>
      <c r="EI77" s="482"/>
      <c r="EJ77" s="7"/>
    </row>
    <row r="78" spans="1:140" ht="11.25" customHeight="1" outlineLevel="1" x14ac:dyDescent="0.2">
      <c r="A78" s="51" t="s">
        <v>265</v>
      </c>
      <c r="B78" s="2"/>
      <c r="C78" s="2"/>
      <c r="D78" s="2"/>
      <c r="E78" s="148">
        <f>+E17/E$36</f>
        <v>1.4338399130100619</v>
      </c>
      <c r="F78" s="126"/>
      <c r="G78" s="148">
        <f>+G17/G$36</f>
        <v>1.3286293255148693</v>
      </c>
      <c r="H78" s="126"/>
      <c r="I78" s="148">
        <f>+I17/I$36</f>
        <v>1.6960224948009694</v>
      </c>
      <c r="J78" s="126"/>
      <c r="K78" s="148">
        <f>+K17/K$36</f>
        <v>1.4474699079073969</v>
      </c>
      <c r="L78" s="126"/>
      <c r="M78" s="146">
        <f>+M17/M$36</f>
        <v>1.872386247865865</v>
      </c>
      <c r="N78" s="147">
        <f>+N17/N$36</f>
        <v>1.940733572289324</v>
      </c>
      <c r="O78" s="147">
        <f>+O17/O$36</f>
        <v>1.9234035243985352</v>
      </c>
      <c r="P78" s="147">
        <f>+P17/P$36</f>
        <v>1.8427465413145068</v>
      </c>
      <c r="Q78" s="148">
        <f>+Q17/Q$36</f>
        <v>1.8427465413145068</v>
      </c>
      <c r="R78" s="126"/>
      <c r="S78" s="146">
        <f>+S17/S$36</f>
        <v>1.5567700371348003</v>
      </c>
      <c r="T78" s="147">
        <f>+T17/T$36</f>
        <v>1.6164555118462633</v>
      </c>
      <c r="U78" s="147">
        <f>+U17/U$36</f>
        <v>1.6362765005957809</v>
      </c>
      <c r="V78" s="147">
        <f>+V17/V$36</f>
        <v>1.8867014617738551</v>
      </c>
      <c r="W78" s="148">
        <f>+W17/W$36</f>
        <v>1.8867014617738551</v>
      </c>
      <c r="X78" s="126"/>
      <c r="Y78" s="146">
        <f>+Y17/Y$36</f>
        <v>1.8394302855147404</v>
      </c>
      <c r="Z78" s="147">
        <f>+Z17/Z$36</f>
        <v>2.0336795716833769</v>
      </c>
      <c r="AA78" s="147">
        <f>+AA17/AA$36</f>
        <v>2.1761372174566405</v>
      </c>
      <c r="AB78" s="147">
        <f>+AB17/AB$36</f>
        <v>2.1319888435025134</v>
      </c>
      <c r="AC78" s="148">
        <f>+AC17/AC$36</f>
        <v>2.1319888435025134</v>
      </c>
      <c r="AD78" s="126"/>
      <c r="AE78" s="146">
        <f>+AE17/AE$36</f>
        <v>1.5656506575488223</v>
      </c>
      <c r="AF78" s="147">
        <f>+AF17/AF$36</f>
        <v>1.4448980382443162</v>
      </c>
      <c r="AG78" s="147">
        <f>+AG17/AG$36</f>
        <v>1.2939462813297167</v>
      </c>
      <c r="AH78" s="147">
        <f>+AH17/AH$36</f>
        <v>1.3253001653736163</v>
      </c>
      <c r="AI78" s="148">
        <f>+AI17/AI$36</f>
        <v>1.3253001653736163</v>
      </c>
      <c r="AJ78" s="126"/>
      <c r="AK78" s="146">
        <f>+AK17/AK$36</f>
        <v>1.3217250561979512</v>
      </c>
      <c r="AL78" s="147">
        <f>+AL17/AL$36</f>
        <v>1.3619541644397872</v>
      </c>
      <c r="AM78" s="147">
        <f>+AM17/AM$36</f>
        <v>1.2729518213609603</v>
      </c>
      <c r="AN78" s="147">
        <f>+AN17/AN$36</f>
        <v>1.2981738404451053</v>
      </c>
      <c r="AO78" s="148">
        <f>+AO17/AO$36</f>
        <v>1.2981738404451053</v>
      </c>
      <c r="AP78" s="126"/>
      <c r="AQ78" s="146">
        <f>+AQ17/AQ$36</f>
        <v>1.392499653165566</v>
      </c>
      <c r="AR78" s="147">
        <f>+AR17/AR$36</f>
        <v>1.2787153333695953</v>
      </c>
      <c r="AS78" s="147">
        <f>+AS17/AS$36</f>
        <v>1.3652143612002823</v>
      </c>
      <c r="AT78" s="147">
        <f>+AT17/AT$36</f>
        <v>1.3802905890331425</v>
      </c>
      <c r="AU78" s="148">
        <f>+AU17/AU$36</f>
        <v>1.3802905890331425</v>
      </c>
      <c r="AV78" s="126"/>
      <c r="AW78" s="146">
        <f>+AW17/AW$36</f>
        <v>1.5754500248987964</v>
      </c>
      <c r="AX78" s="147">
        <f>+AX17/AX$36</f>
        <v>1.6162386287012172</v>
      </c>
      <c r="AY78" s="147">
        <f>+AY17/AY$36</f>
        <v>1.6182488393810412</v>
      </c>
      <c r="AZ78" s="147">
        <f>+AZ17/AZ$36</f>
        <v>1.4387134958734966</v>
      </c>
      <c r="BA78" s="148">
        <f>+BA17/BA$36</f>
        <v>1.4387134958734966</v>
      </c>
      <c r="BB78" s="126"/>
      <c r="BC78" s="146">
        <f>+BC17/BC$36</f>
        <v>1.3937115706349004</v>
      </c>
      <c r="BD78" s="147">
        <f>+BD17/BD$36</f>
        <v>1.3550019540840357</v>
      </c>
      <c r="BE78" s="147">
        <f>+BE17/BE$36</f>
        <v>1.3683893508406448</v>
      </c>
      <c r="BF78" s="147">
        <f>+BF17/BF$36</f>
        <v>1.5452362719789494</v>
      </c>
      <c r="BG78" s="148">
        <f>+BG17/BG$36</f>
        <v>1.5452362719789494</v>
      </c>
      <c r="BH78" s="126"/>
      <c r="BI78" s="146">
        <f>+BI17/BI$36</f>
        <v>1.8172631230162177</v>
      </c>
      <c r="BJ78" s="147">
        <f>+BJ17/BJ$36</f>
        <v>1.9092629317665859</v>
      </c>
      <c r="BK78" s="147">
        <f>+BK17/BK$36</f>
        <v>1.9410390945772236</v>
      </c>
      <c r="BL78" s="147">
        <f>+BL17/BL$36</f>
        <v>1.8908741886879925</v>
      </c>
      <c r="BM78" s="148">
        <f>+BM17/BM$36</f>
        <v>1.8908741886879925</v>
      </c>
      <c r="BN78" s="126"/>
      <c r="BO78" s="146">
        <f>+BO17/BO$36</f>
        <v>1.5890081412104253</v>
      </c>
      <c r="BP78" s="147">
        <f>+BP17/BP$36</f>
        <v>1.6861958333514377</v>
      </c>
      <c r="BQ78" s="147">
        <f>+BQ17/BQ$36</f>
        <v>1.7732594407985642</v>
      </c>
      <c r="BR78" s="147">
        <f>+BR17/BR$36</f>
        <v>1.7337184552919824</v>
      </c>
      <c r="BS78" s="148">
        <f>+BS17/BS$36</f>
        <v>1.7337184552919824</v>
      </c>
      <c r="BT78" s="126"/>
      <c r="BU78" s="146">
        <f>+BU17/BU$36</f>
        <v>1.8448133266944555</v>
      </c>
      <c r="BV78" s="147">
        <f>+BV17/BV$36</f>
        <v>1.5310317249729988</v>
      </c>
      <c r="BW78" s="147">
        <f>+BW17/BW$36</f>
        <v>1.5312815327030735</v>
      </c>
      <c r="BX78" s="147">
        <f>+BX17/BX$36</f>
        <v>1.5034311850256037</v>
      </c>
      <c r="BY78" s="148">
        <f>+BY17/BY$36</f>
        <v>1.5034311850256037</v>
      </c>
      <c r="BZ78" s="126"/>
      <c r="CA78" s="146">
        <f>+CA17/CA$36</f>
        <v>1.6723610541010683</v>
      </c>
      <c r="CB78" s="147">
        <f>+CB17/CB$36</f>
        <v>1.6404430502411962</v>
      </c>
      <c r="CC78" s="147">
        <f>+CC17/CC$36</f>
        <v>1.7556660767852299</v>
      </c>
      <c r="CD78" s="147">
        <f>+CD17/CD$36</f>
        <v>1.8039989539002874</v>
      </c>
      <c r="CE78" s="148">
        <f>+CE17/CE$36</f>
        <v>1.8039989539002874</v>
      </c>
      <c r="CF78" s="126"/>
      <c r="CG78" s="146">
        <f>+CG17/CG$36</f>
        <v>2.0145167451929198</v>
      </c>
      <c r="CH78" s="147">
        <f>+CH17/CH$36</f>
        <v>1.9917725347852389</v>
      </c>
      <c r="CI78" s="147">
        <f>+CI17/CI$36</f>
        <v>1.8749591064167872</v>
      </c>
      <c r="CJ78" s="147">
        <f>+CJ17/CJ$36</f>
        <v>1.9997586343090357</v>
      </c>
      <c r="CK78" s="148">
        <f>+CK17/CK$36</f>
        <v>1.9997586343090357</v>
      </c>
      <c r="CL78" s="126"/>
      <c r="CM78" s="146">
        <f>+CM17/CM$36</f>
        <v>2.184810891181117</v>
      </c>
      <c r="CN78" s="147">
        <f>+CN17/CN$36</f>
        <v>2.1574647695554501</v>
      </c>
      <c r="CO78" s="147">
        <f>+CO17/CO$36</f>
        <v>2.2342376596363311</v>
      </c>
      <c r="CP78" s="147">
        <f>+CP17/CP$36</f>
        <v>1.7477021718182493</v>
      </c>
      <c r="CQ78" s="148">
        <f>+CQ17/CQ$36</f>
        <v>1.7477021718182493</v>
      </c>
      <c r="CR78" s="126"/>
      <c r="CS78" s="146">
        <f>+CS17/CS$36</f>
        <v>1.7716397116724212</v>
      </c>
      <c r="CT78" s="147">
        <f>+CT17/CT$36</f>
        <v>1.9096645304217104</v>
      </c>
      <c r="CU78" s="147">
        <f>+CU17/CU$36</f>
        <v>1.0354989797811167</v>
      </c>
      <c r="CV78" s="147">
        <f>+CV17/CV$36</f>
        <v>1.2700473227019318</v>
      </c>
      <c r="CW78" s="148">
        <f>+CW17/CW$36</f>
        <v>1.2700473227019318</v>
      </c>
      <c r="CX78" s="126"/>
      <c r="CY78" s="146">
        <f>+CY17/CY$36</f>
        <v>1.455884840170635</v>
      </c>
      <c r="CZ78" s="147">
        <f>+CZ17/CZ$36</f>
        <v>1.3993446217869647</v>
      </c>
      <c r="DA78" s="147">
        <f>+DA17/DA$36</f>
        <v>1.3631439727925434</v>
      </c>
      <c r="DB78" s="147">
        <f>+DB17/DB$36</f>
        <v>0.96961012510910682</v>
      </c>
      <c r="DC78" s="148">
        <f>+DC17/DC$36</f>
        <v>0.96961012510910682</v>
      </c>
      <c r="DD78" s="126"/>
      <c r="DE78" s="146">
        <f>+DE17/DE$36</f>
        <v>1.052606153487365</v>
      </c>
      <c r="DF78" s="147">
        <f>+DF17/DF$36</f>
        <v>1.4887450625803074</v>
      </c>
      <c r="DG78" s="147">
        <f>+DG17/DG$36</f>
        <v>1.4268262108262109</v>
      </c>
      <c r="DH78" s="147">
        <f>+DH17/DH$36</f>
        <v>1.4293762911336938</v>
      </c>
      <c r="DI78" s="148">
        <f>+DI17/DI$36</f>
        <v>1.4293762911336938</v>
      </c>
      <c r="DJ78" s="126"/>
      <c r="DK78" s="146">
        <f>+DK17/DK$36</f>
        <v>1.7034645360488327</v>
      </c>
      <c r="DL78" s="147">
        <f>+DL17/DL$36</f>
        <v>1.882095885930581</v>
      </c>
      <c r="DM78" s="147">
        <f>+DM17/DM$36</f>
        <v>2.0916821438167101</v>
      </c>
      <c r="DN78" s="147">
        <f>+DN17/DN$36</f>
        <v>2.1873741507891076</v>
      </c>
      <c r="DO78" s="148">
        <f>+DO17/DO$36</f>
        <v>2.1873741507891076</v>
      </c>
      <c r="DP78" s="126"/>
      <c r="DQ78" s="146">
        <f>+DQ17/DQ$36</f>
        <v>2.5284273205172658</v>
      </c>
      <c r="DR78" s="147">
        <f>+DR17/DR$36</f>
        <v>2.6617193154184275</v>
      </c>
      <c r="DS78" s="147">
        <f>+DS17/DS$36</f>
        <v>2.9047639740290458</v>
      </c>
      <c r="DT78" s="147">
        <f>+DT17/DT$36</f>
        <v>2.9293037463316889</v>
      </c>
      <c r="DU78" s="148">
        <f>+DU17/DU$36</f>
        <v>2.9293037463316889</v>
      </c>
      <c r="DV78" s="126"/>
      <c r="DW78" s="146">
        <f>+DW17/DW$36</f>
        <v>3.3752865181372296</v>
      </c>
      <c r="DX78" s="147">
        <f>+DX17/DX$36</f>
        <v>3.4587030529018223</v>
      </c>
      <c r="DY78" s="147">
        <f>+DY17/DY$36</f>
        <v>3.7368074052416294</v>
      </c>
      <c r="DZ78" s="147">
        <f>+DZ17/DZ$36</f>
        <v>3.7128691863392547</v>
      </c>
      <c r="EA78" s="148">
        <f>+EA17/EA$36</f>
        <v>3.7128691863392547</v>
      </c>
      <c r="EB78" s="126"/>
      <c r="EC78" s="146">
        <f t="shared" ref="EC78:EG78" si="321">+EC17/EC$36</f>
        <v>4.290205330777197</v>
      </c>
      <c r="ED78" s="147">
        <f t="shared" si="321"/>
        <v>4.3513087633451981</v>
      </c>
      <c r="EE78" s="147">
        <f t="shared" si="321"/>
        <v>4.707758265690174</v>
      </c>
      <c r="EF78" s="147">
        <f t="shared" si="321"/>
        <v>4.5913505529326271</v>
      </c>
      <c r="EG78" s="148">
        <f t="shared" si="321"/>
        <v>4.5913505529326271</v>
      </c>
      <c r="EH78" s="7"/>
      <c r="EI78" s="482"/>
      <c r="EJ78" s="7"/>
    </row>
    <row r="79" spans="1:140" ht="11.25" customHeight="1" outlineLevel="1" x14ac:dyDescent="0.2">
      <c r="A79" s="51" t="s">
        <v>266</v>
      </c>
      <c r="B79" s="2"/>
      <c r="C79" s="2"/>
      <c r="D79" s="2"/>
      <c r="E79" s="114">
        <f>+(E11+E12+E13)/E$36</f>
        <v>0.81799320003377574</v>
      </c>
      <c r="F79" s="126"/>
      <c r="G79" s="114">
        <f>+(G11+G12+G13)/G$36</f>
        <v>0.76056191407865437</v>
      </c>
      <c r="H79" s="126"/>
      <c r="I79" s="114">
        <f>+(I11+I12+I13)/I$36</f>
        <v>1.1357715869105767</v>
      </c>
      <c r="J79" s="126"/>
      <c r="K79" s="114">
        <f>+(K11+K12+K13)/K$36</f>
        <v>0.86509906336520914</v>
      </c>
      <c r="L79" s="126"/>
      <c r="M79" s="116">
        <f>+(M11+M12+M13)/M$36</f>
        <v>1.3180135984163868</v>
      </c>
      <c r="N79" s="77">
        <f>+(N11+N12+N13)/N$36</f>
        <v>1.346418382557651</v>
      </c>
      <c r="O79" s="77">
        <f>+(O11+O12+O13)/O$36</f>
        <v>1.3157888240793787</v>
      </c>
      <c r="P79" s="77">
        <f>+(P11+P12+P13)/P$36</f>
        <v>1.2699150884601698</v>
      </c>
      <c r="Q79" s="114">
        <f>+(Q11+Q12+Q13)/Q$36</f>
        <v>1.2699150884601698</v>
      </c>
      <c r="R79" s="126"/>
      <c r="S79" s="116">
        <f>+(S11+S12+S13)/S$36</f>
        <v>1.0405963142120911</v>
      </c>
      <c r="T79" s="77">
        <f>+(T11+T12+T13)/T$36</f>
        <v>1.1010190350343547</v>
      </c>
      <c r="U79" s="77">
        <f>+(U11+U12+U13)/U$36</f>
        <v>1.1363420510594411</v>
      </c>
      <c r="V79" s="77">
        <f>+(V11+V12+V13)/V$36</f>
        <v>1.2403984155686503</v>
      </c>
      <c r="W79" s="114">
        <f>+(W11+W12+W13)/W$36</f>
        <v>1.2403984155686503</v>
      </c>
      <c r="X79" s="126"/>
      <c r="Y79" s="116">
        <f>+(Y11+Y12+Y13)/Y$36</f>
        <v>1.2287697632862031</v>
      </c>
      <c r="Z79" s="77">
        <f>+(Z11+Z12+Z13)/Z$36</f>
        <v>1.4111926441938092</v>
      </c>
      <c r="AA79" s="77">
        <f>+(AA11+AA12+AA13)/AA$36</f>
        <v>1.5194047022728698</v>
      </c>
      <c r="AB79" s="77">
        <f>+(AB11+AB12+AB13)/AB$36</f>
        <v>1.5204698830364858</v>
      </c>
      <c r="AC79" s="114">
        <f>+(AC11+AC12+AC13)/AC$36</f>
        <v>1.5204698830364858</v>
      </c>
      <c r="AD79" s="126"/>
      <c r="AE79" s="116">
        <f>+(AE11+AE12+AE13)/AE$36</f>
        <v>0.99193705451728409</v>
      </c>
      <c r="AF79" s="77">
        <f>+(AF11+AF12+AF13)/AF$36</f>
        <v>0.82017493916103879</v>
      </c>
      <c r="AG79" s="77">
        <f>+(AG11+AG12+AG13)/AG$36</f>
        <v>0.7899563041447073</v>
      </c>
      <c r="AH79" s="77">
        <f>+(AH11+AH12+AH13)/AH$36</f>
        <v>0.83557721385869044</v>
      </c>
      <c r="AI79" s="114">
        <f>+(AI11+AI12+AI13)/AI$36</f>
        <v>0.83557721385869044</v>
      </c>
      <c r="AJ79" s="126"/>
      <c r="AK79" s="116">
        <f>+(AK11+AK12+AK13)/AK$36</f>
        <v>0.83271475184317068</v>
      </c>
      <c r="AL79" s="77">
        <f>+(AL11+AL12+AL13)/AL$36</f>
        <v>0.88936460357217573</v>
      </c>
      <c r="AM79" s="77">
        <f>+(AM11+AM12+AM13)/AM$36</f>
        <v>0.74557548677828855</v>
      </c>
      <c r="AN79" s="77">
        <f>+(AN11+AN12+AN13)/AN$36</f>
        <v>0.75968422620963005</v>
      </c>
      <c r="AO79" s="114">
        <f>+(AO11+AO12+AO13)/AO$36</f>
        <v>0.75968422620963005</v>
      </c>
      <c r="AP79" s="126"/>
      <c r="AQ79" s="116">
        <f>+(AQ11+AQ12+AQ13)/AQ$36</f>
        <v>0.76530096645009049</v>
      </c>
      <c r="AR79" s="77">
        <f>+(AR11+AR12+AR13)/AR$36</f>
        <v>0.72762538557893397</v>
      </c>
      <c r="AS79" s="77">
        <f>+(AS11+AS12+AS13)/AS$36</f>
        <v>0.7863784356172111</v>
      </c>
      <c r="AT79" s="77">
        <f>+(AT11+AT12+AT13)/AT$36</f>
        <v>0.81021940545366722</v>
      </c>
      <c r="AU79" s="114">
        <f>+(AU11+AU12+AU13)/AU$36</f>
        <v>0.81021940545366722</v>
      </c>
      <c r="AV79" s="126"/>
      <c r="AW79" s="116">
        <f>+(AW11+AW12+AW13)/AW$36</f>
        <v>0.89608886368564145</v>
      </c>
      <c r="AX79" s="77">
        <f>+(AX11+AX12+AX13)/AX$36</f>
        <v>0.9396384646627155</v>
      </c>
      <c r="AY79" s="77">
        <f>+(AY11+AY12+AY13)/AY$36</f>
        <v>0.97303215705466106</v>
      </c>
      <c r="AZ79" s="77">
        <f>+(AZ11+AZ12+AZ13)/AZ$36</f>
        <v>0.78991407366565858</v>
      </c>
      <c r="BA79" s="114">
        <f>+(BA11+BA12+BA13)/BA$36</f>
        <v>0.78991407366565858</v>
      </c>
      <c r="BB79" s="126"/>
      <c r="BC79" s="116">
        <f>+(BC11+BC12+BC13)/BC$36</f>
        <v>0.78261641003486893</v>
      </c>
      <c r="BD79" s="77">
        <f>+(BD11+BD12+BD13)/BD$36</f>
        <v>0.76883816208133071</v>
      </c>
      <c r="BE79" s="77">
        <f>+(BE11+BE12+BE13)/BE$36</f>
        <v>0.79270146479400783</v>
      </c>
      <c r="BF79" s="77">
        <f>+(BF11+BF12+BF13)/BF$36</f>
        <v>0.84416843962143329</v>
      </c>
      <c r="BG79" s="114">
        <f>+(BG11+BG12+BG13)/BG$36</f>
        <v>0.84416843962143329</v>
      </c>
      <c r="BH79" s="126"/>
      <c r="BI79" s="116">
        <f>+(BI11+BI12+BI13)/BI$36</f>
        <v>1.0841792419855703</v>
      </c>
      <c r="BJ79" s="77">
        <f>+(BJ11+BJ12+BJ13)/BJ$36</f>
        <v>1.1995111090910104</v>
      </c>
      <c r="BK79" s="77">
        <f>+(BK11+BK12+BK13)/BK$36</f>
        <v>1.2965014667607047</v>
      </c>
      <c r="BL79" s="77">
        <f>+(BL11+BL12+BL13)/BL$36</f>
        <v>1.317929633171071</v>
      </c>
      <c r="BM79" s="114">
        <f>+(BM11+BM12+BM13)/BM$36</f>
        <v>1.317929633171071</v>
      </c>
      <c r="BN79" s="126"/>
      <c r="BO79" s="116">
        <f>+(BO11+BO12+BO13)/BO$36</f>
        <v>0.97549623732331736</v>
      </c>
      <c r="BP79" s="77">
        <f>+(BP11+BP12+BP13)/BP$36</f>
        <v>1.0892452658025784</v>
      </c>
      <c r="BQ79" s="77">
        <f>+(BQ11+BQ12+BQ13)/BQ$36</f>
        <v>1.1910339163747024</v>
      </c>
      <c r="BR79" s="77">
        <f>+(BR11+BR12+BR13)/BR$36</f>
        <v>1.1655799493699077</v>
      </c>
      <c r="BS79" s="114">
        <f>+(BS11+BS12+BS13)/BS$36</f>
        <v>1.1655799493699077</v>
      </c>
      <c r="BT79" s="126"/>
      <c r="BU79" s="116">
        <f>+(BU11+BU12+BU13)/BU$36</f>
        <v>1.1443889700362984</v>
      </c>
      <c r="BV79" s="77">
        <f>+(BV11+BV12+BV13)/BV$36</f>
        <v>0.85277939203456143</v>
      </c>
      <c r="BW79" s="77">
        <f>+(BW11+BW12+BW13)/BW$36</f>
        <v>0.84670665507512077</v>
      </c>
      <c r="BX79" s="77">
        <f>+(BX11+BX12+BX13)/BX$36</f>
        <v>0.85974878404459398</v>
      </c>
      <c r="BY79" s="114">
        <f>+(BY11+BY12+BY13)/BY$36</f>
        <v>0.85974878404459398</v>
      </c>
      <c r="BZ79" s="126"/>
      <c r="CA79" s="116">
        <f>+(CA11+CA12+CA13)/CA$36</f>
        <v>1.0325039884311216</v>
      </c>
      <c r="CB79" s="77">
        <f>+(CB11+CB12+CB13)/CB$36</f>
        <v>1.0453604374121057</v>
      </c>
      <c r="CC79" s="77">
        <f>+(CC11+CC12+CC13)/CC$36</f>
        <v>1.1502975203376937</v>
      </c>
      <c r="CD79" s="77">
        <f>+(CD11+CD12+CD13)/CD$36</f>
        <v>1.1759111766244263</v>
      </c>
      <c r="CE79" s="114">
        <f>+(CE11+CE12+CE13)/CE$36</f>
        <v>1.1759111766244263</v>
      </c>
      <c r="CF79" s="126"/>
      <c r="CG79" s="116">
        <f>+(CG11+CG12+CG13)/CG$36</f>
        <v>1.3419075512542977</v>
      </c>
      <c r="CH79" s="77">
        <f>+(CH11+CH12+CH13)/CH$36</f>
        <v>1.3566364186327888</v>
      </c>
      <c r="CI79" s="77">
        <f>+(CI11+CI12+CI13)/CI$36</f>
        <v>1.2544515586297145</v>
      </c>
      <c r="CJ79" s="77">
        <f>+(CJ11+CJ12+CJ13)/CJ$36</f>
        <v>1.4409092903848686</v>
      </c>
      <c r="CK79" s="114">
        <f>+(CK11+CK12+CK13)/CK$36</f>
        <v>1.4409092903848686</v>
      </c>
      <c r="CL79" s="126"/>
      <c r="CM79" s="116">
        <f>+(CM11+CM12+CM13)/CM$36</f>
        <v>1.5830545488337517</v>
      </c>
      <c r="CN79" s="77">
        <f>+(CN11+CN12+CN13)/CN$36</f>
        <v>1.577801983343545</v>
      </c>
      <c r="CO79" s="77">
        <f>+(CO11+CO12+CO13)/CO$36</f>
        <v>1.6826731676768578</v>
      </c>
      <c r="CP79" s="77">
        <f>+(CP11+CP12+CP13)/CP$36</f>
        <v>1.230338744348084</v>
      </c>
      <c r="CQ79" s="114">
        <f>+(CQ11+CQ12+CQ13)/CQ$36</f>
        <v>1.230338744348084</v>
      </c>
      <c r="CR79" s="126"/>
      <c r="CS79" s="116">
        <f>+(CS11+CS12+CS13)/CS$36</f>
        <v>1.2029600016152806</v>
      </c>
      <c r="CT79" s="77">
        <f>+(CT11+CT12+CT13)/CT$36</f>
        <v>1.3662473296938047</v>
      </c>
      <c r="CU79" s="77">
        <f>+(CU11+CU12+CU13)/CU$36</f>
        <v>0.66541457985531438</v>
      </c>
      <c r="CV79" s="77">
        <f>+(CV11+CV12+CV13)/CV$36</f>
        <v>0.77059834046415143</v>
      </c>
      <c r="CW79" s="114">
        <f>+(CW11+CW12+CW13)/CW$36</f>
        <v>0.77059834046415143</v>
      </c>
      <c r="CX79" s="126"/>
      <c r="CY79" s="116">
        <f>+(CY11+CY12+CY13)/CY$36</f>
        <v>0.85232931802379119</v>
      </c>
      <c r="CZ79" s="77">
        <f>+(CZ11+CZ12+CZ13)/CZ$36</f>
        <v>1.0082856751267772</v>
      </c>
      <c r="DA79" s="77">
        <f>+(DA11+DA12+DA13)/DA$36</f>
        <v>0.85090481588781131</v>
      </c>
      <c r="DB79" s="77">
        <f>+(DB11+DB12+DB13)/DB$36</f>
        <v>0.60369508292115215</v>
      </c>
      <c r="DC79" s="114">
        <f>+(DC11+DC12+DC13)/DC$36</f>
        <v>0.60369508292115215</v>
      </c>
      <c r="DD79" s="126"/>
      <c r="DE79" s="116">
        <f>+(DE11+DE12+DE13)/DE$36</f>
        <v>0.63946960736952574</v>
      </c>
      <c r="DF79" s="77">
        <f>+(DF11+DF12+DF13)/DF$36</f>
        <v>0.93780040927045161</v>
      </c>
      <c r="DG79" s="77">
        <f>+(DG11+DG12+DG13)/DG$36</f>
        <v>0.88961823361823356</v>
      </c>
      <c r="DH79" s="77">
        <f>+(DH11+DH12+DH13)/DH$36</f>
        <v>0.86641070049871671</v>
      </c>
      <c r="DI79" s="114">
        <f>+(DI11+DI12+DI13)/DI$36</f>
        <v>0.86641070049871671</v>
      </c>
      <c r="DJ79" s="126"/>
      <c r="DK79" s="116">
        <f>+(DK11+DK12+DK13)/DK$36</f>
        <v>1.094664302913757</v>
      </c>
      <c r="DL79" s="77">
        <f>+(DL11+DL12+DL13)/DL$36</f>
        <v>1.2980888870505989</v>
      </c>
      <c r="DM79" s="77">
        <f>+(DM11+DM12+DM13)/DM$36</f>
        <v>1.4791221176766278</v>
      </c>
      <c r="DN79" s="77">
        <f>+(DN11+DN12+DN13)/DN$36</f>
        <v>1.631227404305104</v>
      </c>
      <c r="DO79" s="114">
        <f>+(DO11+DO12+DO13)/DO$36</f>
        <v>1.631227404305104</v>
      </c>
      <c r="DP79" s="126"/>
      <c r="DQ79" s="116">
        <f>+(DQ11+DQ12+DQ13)/DQ$36</f>
        <v>1.9214463000351085</v>
      </c>
      <c r="DR79" s="77">
        <f>+(DR11+DR12+DR13)/DR$36</f>
        <v>2.0803946892290166</v>
      </c>
      <c r="DS79" s="77">
        <f>+(DS11+DS12+DS13)/DS$36</f>
        <v>2.2953676081443599</v>
      </c>
      <c r="DT79" s="77">
        <f>+(DT11+DT12+DT13)/DT$36</f>
        <v>2.3767418150651767</v>
      </c>
      <c r="DU79" s="114">
        <f>+(DU11+DU12+DU13)/DU$36</f>
        <v>2.3767418150651767</v>
      </c>
      <c r="DV79" s="126"/>
      <c r="DW79" s="116">
        <f>+(DW11+DW12+DW13)/DW$36</f>
        <v>2.7932132159968956</v>
      </c>
      <c r="DX79" s="77">
        <f>+(DX11+DX12+DX13)/DX$36</f>
        <v>2.9028200421822459</v>
      </c>
      <c r="DY79" s="77">
        <f>+(DY11+DY12+DY13)/DY$36</f>
        <v>3.1526766026460247</v>
      </c>
      <c r="DZ79" s="77">
        <f>+(DZ11+DZ12+DZ13)/DZ$36</f>
        <v>3.1863425887296266</v>
      </c>
      <c r="EA79" s="114">
        <f>+(EA11+EA12+EA13)/EA$36</f>
        <v>3.1863425887296266</v>
      </c>
      <c r="EB79" s="126"/>
      <c r="EC79" s="116">
        <f t="shared" ref="EC79:EG79" si="322">+(EC11+EC12+EC13)/EC$36</f>
        <v>3.7336734739567481</v>
      </c>
      <c r="ED79" s="77">
        <f t="shared" si="322"/>
        <v>3.8214674115471228</v>
      </c>
      <c r="EE79" s="77">
        <f t="shared" si="322"/>
        <v>4.1495150036327644</v>
      </c>
      <c r="EF79" s="77">
        <f t="shared" si="322"/>
        <v>4.0918975365925228</v>
      </c>
      <c r="EG79" s="114">
        <f t="shared" si="322"/>
        <v>4.0918975365925228</v>
      </c>
      <c r="EH79" s="7"/>
      <c r="EI79" s="482"/>
      <c r="EJ79" s="7"/>
    </row>
    <row r="80" spans="1:140" ht="11.25" customHeight="1" outlineLevel="1" x14ac:dyDescent="0.2">
      <c r="A80" s="51" t="s">
        <v>267</v>
      </c>
      <c r="B80" s="2"/>
      <c r="C80" s="2"/>
      <c r="D80" s="2"/>
      <c r="E80" s="114">
        <f>+E11/E$36</f>
        <v>0.122042678145846</v>
      </c>
      <c r="F80" s="126"/>
      <c r="G80" s="114">
        <f>+G11/G$36</f>
        <v>6.8161529620133304E-2</v>
      </c>
      <c r="H80" s="126"/>
      <c r="I80" s="114">
        <f>+I11/I$36</f>
        <v>0.36722085368503327</v>
      </c>
      <c r="J80" s="126"/>
      <c r="K80" s="114">
        <f>+K11/K$36</f>
        <v>0.17370353643450431</v>
      </c>
      <c r="L80" s="126"/>
      <c r="M80" s="116">
        <f>+M11/M$36</f>
        <v>0.6697430231557373</v>
      </c>
      <c r="N80" s="77">
        <f>+N11/N$36</f>
        <v>0.69376341302299871</v>
      </c>
      <c r="O80" s="77">
        <f>+O11/O$36</f>
        <v>0.66491677560629925</v>
      </c>
      <c r="P80" s="77">
        <f>+P11/P$36</f>
        <v>0.69454749561090501</v>
      </c>
      <c r="Q80" s="114">
        <f>+Q11/Q$36</f>
        <v>0.69454749561090501</v>
      </c>
      <c r="R80" s="126"/>
      <c r="S80" s="116">
        <f>+S11/S$36</f>
        <v>0.46002072078381556</v>
      </c>
      <c r="T80" s="77">
        <f>+T11/T$36</f>
        <v>0.53483409769810653</v>
      </c>
      <c r="U80" s="77">
        <f>+U11/U$36</f>
        <v>0.5849854477970674</v>
      </c>
      <c r="V80" s="77">
        <f>+V11/V$36</f>
        <v>0.64052423433904049</v>
      </c>
      <c r="W80" s="114">
        <f>+W11/W$36</f>
        <v>0.64052423433904049</v>
      </c>
      <c r="X80" s="126"/>
      <c r="Y80" s="116">
        <f>+Y11/Y$36</f>
        <v>0.66599626249063071</v>
      </c>
      <c r="Z80" s="77">
        <f>+Z11/Z$36</f>
        <v>0.81380615579430493</v>
      </c>
      <c r="AA80" s="77">
        <f>+AA11/AA$36</f>
        <v>0.86463511990482766</v>
      </c>
      <c r="AB80" s="77">
        <f>+AB11/AB$36</f>
        <v>0.89141545344466633</v>
      </c>
      <c r="AC80" s="114">
        <f>+AC11/AC$36</f>
        <v>0.89141545344466633</v>
      </c>
      <c r="AD80" s="126"/>
      <c r="AE80" s="116">
        <f>+AE11/AE$36</f>
        <v>0.3997784836709487</v>
      </c>
      <c r="AF80" s="77">
        <f>+AF11/AF$36</f>
        <v>0.17801779444237706</v>
      </c>
      <c r="AG80" s="77">
        <f>+AG11/AG$36</f>
        <v>0.25577134587275757</v>
      </c>
      <c r="AH80" s="77">
        <f>+AH11/AH$36</f>
        <v>0.27658305960261292</v>
      </c>
      <c r="AI80" s="114">
        <f>+AI11/AI$36</f>
        <v>0.27658305960261292</v>
      </c>
      <c r="AJ80" s="126"/>
      <c r="AK80" s="116">
        <f>+AK11/AK$36</f>
        <v>0.30498098943736807</v>
      </c>
      <c r="AL80" s="77">
        <f>+AL11/AL$36</f>
        <v>0.36226865281155735</v>
      </c>
      <c r="AM80" s="77">
        <f>+AM11/AM$36</f>
        <v>0.1253071063174338</v>
      </c>
      <c r="AN80" s="77">
        <f>+AN11/AN$36</f>
        <v>0.13909589497598943</v>
      </c>
      <c r="AO80" s="114">
        <f>+AO11/AO$36</f>
        <v>0.13909589497598943</v>
      </c>
      <c r="AP80" s="126"/>
      <c r="AQ80" s="116">
        <f>+AQ11/AQ$36</f>
        <v>0.12101992987216541</v>
      </c>
      <c r="AR80" s="77">
        <f>+AR11/AR$36</f>
        <v>0.11222800574200247</v>
      </c>
      <c r="AS80" s="77">
        <f>+AS11/AS$36</f>
        <v>0.11162285589110055</v>
      </c>
      <c r="AT80" s="77">
        <f>+AT11/AT$36</f>
        <v>0.1292143785301087</v>
      </c>
      <c r="AU80" s="114">
        <f>+AU11/AU$36</f>
        <v>0.1292143785301087</v>
      </c>
      <c r="AV80" s="126"/>
      <c r="AW80" s="116">
        <f>+AW11/AW$36</f>
        <v>9.4145566227224753E-2</v>
      </c>
      <c r="AX80" s="77">
        <f>+AX11/AX$36</f>
        <v>8.5836793520479196E-2</v>
      </c>
      <c r="AY80" s="77">
        <f>+AY11/AY$36</f>
        <v>0.10001873430643399</v>
      </c>
      <c r="AZ80" s="77">
        <f>+AZ11/AZ$36</f>
        <v>8.4945110810404664E-2</v>
      </c>
      <c r="BA80" s="114">
        <f>+BA11/BA$36</f>
        <v>8.4945110810404664E-2</v>
      </c>
      <c r="BB80" s="126"/>
      <c r="BC80" s="116">
        <f>+BC11/BC$36</f>
        <v>7.8424749886296705E-2</v>
      </c>
      <c r="BD80" s="77">
        <f>+BD11/BD$36</f>
        <v>9.1837100831059504E-2</v>
      </c>
      <c r="BE80" s="77">
        <f>+BE11/BE$36</f>
        <v>9.5137895974854711E-2</v>
      </c>
      <c r="BF80" s="77">
        <f>+BF11/BF$36</f>
        <v>0.14498089268349387</v>
      </c>
      <c r="BG80" s="114">
        <f>+BG11/BG$36</f>
        <v>0.14498089268349387</v>
      </c>
      <c r="BH80" s="126"/>
      <c r="BI80" s="116">
        <f>+BI11/BI$36</f>
        <v>0.39436024980250572</v>
      </c>
      <c r="BJ80" s="77">
        <f>+BJ11/BJ$36</f>
        <v>0.50173356521961021</v>
      </c>
      <c r="BK80" s="77">
        <f>+BK11/BK$36</f>
        <v>0.61090984714102081</v>
      </c>
      <c r="BL80" s="77">
        <f>+BL11/BL$36</f>
        <v>0.62366713027352805</v>
      </c>
      <c r="BM80" s="114">
        <f>+BM11/BM$36</f>
        <v>0.62366713027352805</v>
      </c>
      <c r="BN80" s="126"/>
      <c r="BO80" s="116">
        <f>+BO11/BO$36</f>
        <v>0.28216330989577326</v>
      </c>
      <c r="BP80" s="77">
        <f>+BP11/BP$36</f>
        <v>0.41209117547672869</v>
      </c>
      <c r="BQ80" s="77">
        <f>+BQ11/BQ$36</f>
        <v>0.53095624608084557</v>
      </c>
      <c r="BR80" s="77">
        <f>+BR11/BR$36</f>
        <v>0.49413057673884353</v>
      </c>
      <c r="BS80" s="114">
        <f>+BS11/BS$36</f>
        <v>0.49413057673884353</v>
      </c>
      <c r="BT80" s="126"/>
      <c r="BU80" s="116">
        <f>+BU11/BU$36</f>
        <v>0.47943096194027718</v>
      </c>
      <c r="BV80" s="77">
        <f>+BV11/BV$36</f>
        <v>0.12883552083294403</v>
      </c>
      <c r="BW80" s="77">
        <f>+BW11/BW$36</f>
        <v>0.1174597054340828</v>
      </c>
      <c r="BX80" s="77">
        <f>+BX11/BX$36</f>
        <v>0.12871462032373704</v>
      </c>
      <c r="BY80" s="114">
        <f>+BY11/BY$36</f>
        <v>0.12871462032373704</v>
      </c>
      <c r="BZ80" s="126"/>
      <c r="CA80" s="116">
        <f>+CA11/CA$36</f>
        <v>0.26664930380727125</v>
      </c>
      <c r="CB80" s="77">
        <f>+CB11/CB$36</f>
        <v>0.27749949686093334</v>
      </c>
      <c r="CC80" s="77">
        <f>+CC11/CC$36</f>
        <v>0.39172981651154637</v>
      </c>
      <c r="CD80" s="77">
        <f>+CD11/CD$36</f>
        <v>0.3991108152445258</v>
      </c>
      <c r="CE80" s="114">
        <f>+CE11/CE$36</f>
        <v>0.3991108152445258</v>
      </c>
      <c r="CF80" s="126"/>
      <c r="CG80" s="116">
        <f>+CG11/CG$36</f>
        <v>0.54773971730548832</v>
      </c>
      <c r="CH80" s="77">
        <f>+CH11/CH$36</f>
        <v>0.56258923169993957</v>
      </c>
      <c r="CI80" s="77">
        <f>+CI11/CI$36</f>
        <v>0.46632705519465345</v>
      </c>
      <c r="CJ80" s="77">
        <f>+CJ11/CJ$36</f>
        <v>0.68354763681046216</v>
      </c>
      <c r="CK80" s="114">
        <f>+CK11/CK$36</f>
        <v>0.68354763681046216</v>
      </c>
      <c r="CL80" s="126"/>
      <c r="CM80" s="116">
        <f>+CM11/CM$36</f>
        <v>0.77746027320880962</v>
      </c>
      <c r="CN80" s="77">
        <f>+CN11/CN$36</f>
        <v>0.75364785440352189</v>
      </c>
      <c r="CO80" s="77">
        <f>+CO11/CO$36</f>
        <v>0.90029299277582697</v>
      </c>
      <c r="CP80" s="77">
        <f>+CP11/CP$36</f>
        <v>0.5569639018604996</v>
      </c>
      <c r="CQ80" s="114">
        <f>+CQ11/CQ$36</f>
        <v>0.5569639018604996</v>
      </c>
      <c r="CR80" s="126"/>
      <c r="CS80" s="116">
        <f>+CS11/CS$36</f>
        <v>0.50699618389969114</v>
      </c>
      <c r="CT80" s="77">
        <f>+CT11/CT$36</f>
        <v>0.66104913363398998</v>
      </c>
      <c r="CU80" s="77">
        <f>+CU11/CU$36</f>
        <v>0.21256492301984789</v>
      </c>
      <c r="CV80" s="77">
        <f>+CV11/CV$36</f>
        <v>0.12816024893037728</v>
      </c>
      <c r="CW80" s="114">
        <f>+CW11/CW$36</f>
        <v>0.12816024893037728</v>
      </c>
      <c r="CX80" s="126"/>
      <c r="CY80" s="116">
        <f>+CY11/CY$36</f>
        <v>0.1248379155469528</v>
      </c>
      <c r="CZ80" s="77">
        <f>+CZ11/CZ$36</f>
        <v>0.51054710375160428</v>
      </c>
      <c r="DA80" s="77">
        <f>+DA11/DA$36</f>
        <v>0.20392996599067895</v>
      </c>
      <c r="DB80" s="77">
        <f>+DB11/DB$36</f>
        <v>0.14019493744544662</v>
      </c>
      <c r="DC80" s="114">
        <f>+DC11/DC$36</f>
        <v>0.14019493744544662</v>
      </c>
      <c r="DD80" s="126"/>
      <c r="DE80" s="116">
        <f>+DE11/DE$36</f>
        <v>0.13391414435874796</v>
      </c>
      <c r="DF80" s="77">
        <f>+DF11/DF$36</f>
        <v>0.17284538143054298</v>
      </c>
      <c r="DG80" s="77">
        <f>+DG11/DG$36</f>
        <v>0.14782905982905983</v>
      </c>
      <c r="DH80" s="77">
        <f>+DH11/DH$36</f>
        <v>0.13152348559146965</v>
      </c>
      <c r="DI80" s="114">
        <f>+DI11/DI$36</f>
        <v>0.13152348559146965</v>
      </c>
      <c r="DJ80" s="126"/>
      <c r="DK80" s="116">
        <f>+DK11/DK$36</f>
        <v>0.35886693668076675</v>
      </c>
      <c r="DL80" s="77">
        <f>+DL11/DL$36</f>
        <v>0.57093196343342112</v>
      </c>
      <c r="DM80" s="77">
        <f>+DM11/DM$36</f>
        <v>0.74452914232590151</v>
      </c>
      <c r="DN80" s="77">
        <f>+DN11/DN$36</f>
        <v>0.8800791704725911</v>
      </c>
      <c r="DO80" s="114">
        <f>+DO11/DO$36</f>
        <v>0.8800791704725911</v>
      </c>
      <c r="DP80" s="126"/>
      <c r="DQ80" s="116">
        <f>+DQ11/DQ$36</f>
        <v>1.18308344067632</v>
      </c>
      <c r="DR80" s="77">
        <f>+DR11/DR$36</f>
        <v>1.3530876905924059</v>
      </c>
      <c r="DS80" s="77">
        <f>+DS11/DS$36</f>
        <v>1.5629233443550994</v>
      </c>
      <c r="DT80" s="77">
        <f>+DT11/DT$36</f>
        <v>1.6300998199679708</v>
      </c>
      <c r="DU80" s="114">
        <f>+DU11/DU$36</f>
        <v>1.6300998199679708</v>
      </c>
      <c r="DV80" s="126"/>
      <c r="DW80" s="116">
        <f>+DW11/DW$36</f>
        <v>2.0547200447694252</v>
      </c>
      <c r="DX80" s="77">
        <f>+DX11/DX$36</f>
        <v>2.1767723690294849</v>
      </c>
      <c r="DY80" s="77">
        <f>+DY11/DY$36</f>
        <v>2.4212202593954579</v>
      </c>
      <c r="DZ80" s="77">
        <f>+DZ11/DZ$36</f>
        <v>2.4430369301699009</v>
      </c>
      <c r="EA80" s="114">
        <f>+EA11/EA$36</f>
        <v>2.4430369301699009</v>
      </c>
      <c r="EB80" s="126"/>
      <c r="EC80" s="116">
        <f t="shared" ref="EC80:EG80" si="323">+EC11/EC$36</f>
        <v>2.9975664054774285</v>
      </c>
      <c r="ED80" s="77">
        <f t="shared" si="323"/>
        <v>3.098992937640888</v>
      </c>
      <c r="EE80" s="77">
        <f t="shared" si="323"/>
        <v>3.4214652258430385</v>
      </c>
      <c r="EF80" s="77">
        <f t="shared" si="323"/>
        <v>3.3558234173480614</v>
      </c>
      <c r="EG80" s="114">
        <f t="shared" si="323"/>
        <v>3.3558234173480614</v>
      </c>
      <c r="EH80" s="7"/>
      <c r="EI80" s="482"/>
      <c r="EJ80" s="7"/>
    </row>
    <row r="81" spans="1:140" ht="11.25" customHeight="1" outlineLevel="1" x14ac:dyDescent="0.2">
      <c r="A81" s="105" t="s">
        <v>268</v>
      </c>
      <c r="B81" s="2"/>
      <c r="C81" s="2"/>
      <c r="D81" s="2"/>
      <c r="E81" s="115">
        <f>+(E17-E14)/E$36</f>
        <v>0.97696696691521723</v>
      </c>
      <c r="F81" s="126"/>
      <c r="G81" s="115">
        <f>+(G17-G14)/G$36</f>
        <v>0.84737025237933628</v>
      </c>
      <c r="H81" s="126"/>
      <c r="I81" s="115">
        <f>+(I17-I14)/I$36</f>
        <v>1.2379533455796248</v>
      </c>
      <c r="J81" s="126"/>
      <c r="K81" s="115">
        <f>+(K17-K14)/K$36</f>
        <v>0.99524417303198698</v>
      </c>
      <c r="L81" s="126"/>
      <c r="M81" s="117">
        <f>+(M17-M14)/M$36</f>
        <v>1.4111659531200897</v>
      </c>
      <c r="N81" s="118">
        <f>+(N17-N14)/N$36</f>
        <v>1.472958215576109</v>
      </c>
      <c r="O81" s="118">
        <f>+(O17-O14)/O$36</f>
        <v>1.4474194420987998</v>
      </c>
      <c r="P81" s="118">
        <f>+(P17-P14)/P$36</f>
        <v>1.4414505541170988</v>
      </c>
      <c r="Q81" s="115">
        <f>+(Q17-Q14)/Q$36</f>
        <v>1.4414505541170988</v>
      </c>
      <c r="R81" s="126"/>
      <c r="S81" s="117">
        <f>+(S17-S14)/S$36</f>
        <v>1.1646722710993367</v>
      </c>
      <c r="T81" s="118">
        <f>+(T17-T14)/T$36</f>
        <v>1.2546965575518885</v>
      </c>
      <c r="U81" s="118">
        <f>+(U17-U14)/U$36</f>
        <v>1.2819835278968208</v>
      </c>
      <c r="V81" s="118">
        <f>+(V17-V14)/V$36</f>
        <v>1.502932873473104</v>
      </c>
      <c r="W81" s="115">
        <f>+(W17-W14)/W$36</f>
        <v>1.502932873473104</v>
      </c>
      <c r="X81" s="126"/>
      <c r="Y81" s="117">
        <f>+(Y17-Y14)/Y$36</f>
        <v>1.4538312393247936</v>
      </c>
      <c r="Z81" s="118">
        <f>+(Z17-Z14)/Z$36</f>
        <v>1.6321121656824029</v>
      </c>
      <c r="AA81" s="118">
        <f>+(AA17-AA14)/AA$36</f>
        <v>1.7536621063177011</v>
      </c>
      <c r="AB81" s="118">
        <f>+(AB17-AB14)/AB$36</f>
        <v>1.7434193983636261</v>
      </c>
      <c r="AC81" s="115">
        <f>+(AC17-AC14)/AC$36</f>
        <v>1.7434193983636261</v>
      </c>
      <c r="AD81" s="126"/>
      <c r="AE81" s="117">
        <f>+(AE17-AE14)/AE$36</f>
        <v>1.1771222166566591</v>
      </c>
      <c r="AF81" s="118">
        <f>+(AF17-AF14)/AF$36</f>
        <v>0.98486216292045803</v>
      </c>
      <c r="AG81" s="118">
        <f>+(AG17-AG14)/AG$36</f>
        <v>0.91543297964163828</v>
      </c>
      <c r="AH81" s="118">
        <f>+(AH17-AH14)/AH$36</f>
        <v>1.0056341456105156</v>
      </c>
      <c r="AI81" s="115">
        <f>+(AI17-AI14)/AI$36</f>
        <v>1.0056341456105156</v>
      </c>
      <c r="AJ81" s="126"/>
      <c r="AK81" s="117">
        <f>+(AK17-AK14)/AK$36</f>
        <v>0.98316984083326597</v>
      </c>
      <c r="AL81" s="118">
        <f>+(AL17-AL14)/AL$36</f>
        <v>1.0247500556626499</v>
      </c>
      <c r="AM81" s="118">
        <f>+(AM17-AM14)/AM$36</f>
        <v>0.8736326835681979</v>
      </c>
      <c r="AN81" s="118">
        <f>+(AN17-AN14)/AN$36</f>
        <v>0.93439525766270271</v>
      </c>
      <c r="AO81" s="115">
        <f>+(AO17-AO14)/AO$36</f>
        <v>0.93439525766270271</v>
      </c>
      <c r="AP81" s="126"/>
      <c r="AQ81" s="117">
        <f>+(AQ17-AQ14)/AQ$36</f>
        <v>0.98113267078289923</v>
      </c>
      <c r="AR81" s="118">
        <f>+(AR17-AR14)/AR$36</f>
        <v>0.88068238701443458</v>
      </c>
      <c r="AS81" s="118">
        <f>+(AS17-AS14)/AS$36</f>
        <v>0.93345053045299631</v>
      </c>
      <c r="AT81" s="118">
        <f>+(AT17-AT14)/AT$36</f>
        <v>0.97153388660392359</v>
      </c>
      <c r="AU81" s="115">
        <f>+(AU17-AU14)/AU$36</f>
        <v>0.97153388660392359</v>
      </c>
      <c r="AV81" s="126"/>
      <c r="AW81" s="117">
        <f>+(AW17-AW14)/AW$36</f>
        <v>1.0750409221847086</v>
      </c>
      <c r="AX81" s="118">
        <f>+(AX17-AX14)/AX$36</f>
        <v>1.099252165820843</v>
      </c>
      <c r="AY81" s="118">
        <f>+(AY17-AY14)/AY$36</f>
        <v>1.1017019543896103</v>
      </c>
      <c r="AZ81" s="118">
        <f>+(AZ17-AZ14)/AZ$36</f>
        <v>1.0146718141231532</v>
      </c>
      <c r="BA81" s="115">
        <f>+(BA17-BA14)/BA$36</f>
        <v>1.0146718141231532</v>
      </c>
      <c r="BB81" s="126"/>
      <c r="BC81" s="117">
        <f>+(BC17-BC14)/BC$36</f>
        <v>0.96026489177727303</v>
      </c>
      <c r="BD81" s="118">
        <f>+(BD17-BD14)/BD$36</f>
        <v>0.93559119204298269</v>
      </c>
      <c r="BE81" s="118">
        <f>+(BE17-BE14)/BE$36</f>
        <v>0.94507835987167055</v>
      </c>
      <c r="BF81" s="118">
        <f>+(BF17-BF14)/BF$36</f>
        <v>1.1236725904575973</v>
      </c>
      <c r="BG81" s="115">
        <f>+(BG17-BG14)/BG$36</f>
        <v>1.1236725904575973</v>
      </c>
      <c r="BH81" s="126"/>
      <c r="BI81" s="117">
        <f>+(BI17-BI14)/BI$36</f>
        <v>1.3591167610531143</v>
      </c>
      <c r="BJ81" s="118">
        <f>+(BJ17-BJ14)/BJ$36</f>
        <v>1.48381580510708</v>
      </c>
      <c r="BK81" s="118">
        <f>+(BK17-BK14)/BK$36</f>
        <v>1.5410056411575632</v>
      </c>
      <c r="BL81" s="118">
        <f>+(BL17-BL14)/BL$36</f>
        <v>1.5312108831710709</v>
      </c>
      <c r="BM81" s="115">
        <f>+(BM17-BM14)/BM$36</f>
        <v>1.5312108831710709</v>
      </c>
      <c r="BN81" s="126"/>
      <c r="BO81" s="117">
        <f>+(BO17-BO14)/BO$36</f>
        <v>1.1733420673061785</v>
      </c>
      <c r="BP81" s="118">
        <f>+(BP17-BP14)/BP$36</f>
        <v>1.2721804631904596</v>
      </c>
      <c r="BQ81" s="118">
        <f>+(BQ17-BQ14)/BQ$36</f>
        <v>1.368997544023612</v>
      </c>
      <c r="BR81" s="118">
        <f>+(BR17-BR14)/BR$36</f>
        <v>1.3629946434742193</v>
      </c>
      <c r="BS81" s="115">
        <f>+(BS17-BS14)/BS$36</f>
        <v>1.3629946434742193</v>
      </c>
      <c r="BT81" s="126"/>
      <c r="BU81" s="117">
        <f>+(BU17-BU14)/BU$36</f>
        <v>1.4582344897716657</v>
      </c>
      <c r="BV81" s="118">
        <f>+(BV17-BV14)/BV$36</f>
        <v>1.0486896958304215</v>
      </c>
      <c r="BW81" s="118">
        <f>+(BW17-BW14)/BW$36</f>
        <v>1.0533373588492847</v>
      </c>
      <c r="BX81" s="118">
        <f>+(BX17-BX14)/BX$36</f>
        <v>1.0764561024039148</v>
      </c>
      <c r="BY81" s="115">
        <f>+(BY17-BY14)/BY$36</f>
        <v>1.0764561024039148</v>
      </c>
      <c r="BZ81" s="126"/>
      <c r="CA81" s="117">
        <f>+(CA17-CA14)/CA$36</f>
        <v>1.1895375055654014</v>
      </c>
      <c r="CB81" s="118">
        <f>+(CB17-CB14)/CB$36</f>
        <v>1.1799098742065477</v>
      </c>
      <c r="CC81" s="118">
        <f>+(CC17-CC14)/CC$36</f>
        <v>1.2772623198428135</v>
      </c>
      <c r="CD81" s="118">
        <f>+(CD17-CD14)/CD$36</f>
        <v>1.3728632224626136</v>
      </c>
      <c r="CE81" s="115">
        <f>+(CE17-CE14)/CE$36</f>
        <v>1.3728632224626136</v>
      </c>
      <c r="CF81" s="126"/>
      <c r="CG81" s="117">
        <f>+(CG17-CG14)/CG$36</f>
        <v>1.5391570100598497</v>
      </c>
      <c r="CH81" s="118">
        <f>+(CH17-CH14)/CH$36</f>
        <v>1.5293405928614641</v>
      </c>
      <c r="CI81" s="118">
        <f>+(CI17-CI14)/CI$36</f>
        <v>1.4156190120110295</v>
      </c>
      <c r="CJ81" s="118">
        <f>+(CJ17-CJ14)/CJ$36</f>
        <v>1.6084170799139859</v>
      </c>
      <c r="CK81" s="115">
        <f>+(CK17-CK14)/CK$36</f>
        <v>1.6084170799139859</v>
      </c>
      <c r="CL81" s="126"/>
      <c r="CM81" s="117">
        <f>+(CM17-CM14)/CM$36</f>
        <v>1.7500696961248954</v>
      </c>
      <c r="CN81" s="118">
        <f>+(CN17-CN14)/CN$36</f>
        <v>1.7276193069643955</v>
      </c>
      <c r="CO81" s="118">
        <f>+(CO17-CO14)/CO$36</f>
        <v>1.8151014291785017</v>
      </c>
      <c r="CP81" s="118">
        <f>+(CP17-CP14)/CP$36</f>
        <v>1.4083092431991697</v>
      </c>
      <c r="CQ81" s="115">
        <f>+(CQ17-CQ14)/CQ$36</f>
        <v>1.4083092431991697</v>
      </c>
      <c r="CR81" s="126"/>
      <c r="CS81" s="117">
        <f>+(CS17-CS14)/CS$36</f>
        <v>1.3885759282815435</v>
      </c>
      <c r="CT81" s="118">
        <f>+(CT17-CT14)/CT$36</f>
        <v>1.5314304929187434</v>
      </c>
      <c r="CU81" s="118">
        <f>+(CU17-CU14)/CU$36</f>
        <v>0.76414394360971993</v>
      </c>
      <c r="CV81" s="118">
        <f>+(CV17-CV14)/CV$36</f>
        <v>0.9304583171269285</v>
      </c>
      <c r="CW81" s="115">
        <f>+(CW17-CW14)/CW$36</f>
        <v>0.9304583171269285</v>
      </c>
      <c r="CX81" s="126"/>
      <c r="CY81" s="117">
        <f>+(CY17-CY14)/CY$36</f>
        <v>1.0353672974649051</v>
      </c>
      <c r="CZ81" s="118">
        <f>+(CZ17-CZ14)/CZ$36</f>
        <v>1.1202232771402583</v>
      </c>
      <c r="DA81" s="118">
        <f>+(DA17-DA14)/DA$36</f>
        <v>1.0036948398202967</v>
      </c>
      <c r="DB81" s="118">
        <f>+(DB17-DB14)/DB$36</f>
        <v>0.72093395402967719</v>
      </c>
      <c r="DC81" s="115">
        <f>+(DC17-DC14)/DC$36</f>
        <v>0.72093395402967719</v>
      </c>
      <c r="DD81" s="126"/>
      <c r="DE81" s="117">
        <f>+(DE17-DE14)/DE$36</f>
        <v>0.75860805250620511</v>
      </c>
      <c r="DF81" s="118">
        <f>+(DF17-DF14)/DF$36</f>
        <v>1.0624137438728407</v>
      </c>
      <c r="DG81" s="118">
        <f>+(DG17-DG14)/DG$36</f>
        <v>0.99553276353276343</v>
      </c>
      <c r="DH81" s="118">
        <f>+(DH17-DH14)/DH$36</f>
        <v>1.0452601047513721</v>
      </c>
      <c r="DI81" s="115">
        <f>+(DI17-DI14)/DI$36</f>
        <v>1.0452601047513721</v>
      </c>
      <c r="DJ81" s="126"/>
      <c r="DK81" s="117">
        <f>+(DK17-DK14)/DK$36</f>
        <v>1.2764495345713194</v>
      </c>
      <c r="DL81" s="118">
        <f>+(DL17-DL14)/DL$36</f>
        <v>1.4777394211207251</v>
      </c>
      <c r="DM81" s="118">
        <f>+(DM17-DM14)/DM$36</f>
        <v>1.6606097939397484</v>
      </c>
      <c r="DN81" s="118">
        <f>+(DN17-DN14)/DN$36</f>
        <v>1.8168052032519604</v>
      </c>
      <c r="DO81" s="115">
        <f>+(DO17-DO14)/DO$36</f>
        <v>1.8168052032519604</v>
      </c>
      <c r="DP81" s="126"/>
      <c r="DQ81" s="117">
        <f>+(DQ17-DQ14)/DQ$36</f>
        <v>2.1198124413553798</v>
      </c>
      <c r="DR81" s="118">
        <f>+(DR17-DR14)/DR$36</f>
        <v>2.2757905993104943</v>
      </c>
      <c r="DS81" s="118">
        <f>+(DS17-DS14)/DS$36</f>
        <v>2.4921436790131164</v>
      </c>
      <c r="DT81" s="118">
        <f>+(DT17-DT14)/DT$36</f>
        <v>2.5773322018077094</v>
      </c>
      <c r="DU81" s="115">
        <f>+(DU17-DU14)/DU$36</f>
        <v>2.5773322018077094</v>
      </c>
      <c r="DV81" s="126"/>
      <c r="DW81" s="117">
        <f>+(DW17-DW14)/DW$36</f>
        <v>2.9946204445134788</v>
      </c>
      <c r="DX81" s="118">
        <f>+(DX17-DX14)/DX$36</f>
        <v>3.1008330439511806</v>
      </c>
      <c r="DY81" s="118">
        <f>+(DY17-DY14)/DY$36</f>
        <v>3.3521646962598157</v>
      </c>
      <c r="DZ81" s="118">
        <f>+(DZ17-DZ14)/DZ$36</f>
        <v>3.3890623137913698</v>
      </c>
      <c r="EA81" s="115">
        <f>+(EA17-EA14)/EA$36</f>
        <v>3.3890623137913698</v>
      </c>
      <c r="EB81" s="126"/>
      <c r="EC81" s="117">
        <f t="shared" ref="EC81:EG81" si="324">+(EC17-EC14)/EC$36</f>
        <v>3.9375185083048678</v>
      </c>
      <c r="ED81" s="118">
        <f t="shared" si="324"/>
        <v>4.0215372658596182</v>
      </c>
      <c r="EE81" s="118">
        <f t="shared" si="324"/>
        <v>4.351128788251458</v>
      </c>
      <c r="EF81" s="118">
        <f t="shared" si="324"/>
        <v>4.2957334465371426</v>
      </c>
      <c r="EG81" s="115">
        <f t="shared" si="324"/>
        <v>4.2957334465371426</v>
      </c>
      <c r="EH81" s="7"/>
      <c r="EI81" s="482"/>
      <c r="EJ81" s="7"/>
    </row>
    <row r="82" spans="1:140" ht="11.25" customHeight="1" outlineLevel="1" x14ac:dyDescent="0.2">
      <c r="A82" s="2"/>
      <c r="B82" s="2"/>
      <c r="C82" s="2"/>
      <c r="D82" s="2"/>
      <c r="E82" s="67"/>
      <c r="F82" s="126"/>
      <c r="G82" s="67"/>
      <c r="H82" s="126"/>
      <c r="I82" s="67"/>
      <c r="J82" s="126"/>
      <c r="K82" s="67"/>
      <c r="L82" s="126"/>
      <c r="M82" s="67"/>
      <c r="N82" s="67"/>
      <c r="O82" s="67"/>
      <c r="P82" s="67"/>
      <c r="Q82" s="67"/>
      <c r="R82" s="126"/>
      <c r="S82" s="67"/>
      <c r="T82" s="67"/>
      <c r="U82" s="67"/>
      <c r="V82" s="67"/>
      <c r="W82" s="67"/>
      <c r="X82" s="126"/>
      <c r="Y82" s="67"/>
      <c r="Z82" s="67"/>
      <c r="AA82" s="67"/>
      <c r="AB82" s="67"/>
      <c r="AC82" s="67"/>
      <c r="AD82" s="126"/>
      <c r="AE82" s="67"/>
      <c r="AF82" s="67"/>
      <c r="AG82" s="67"/>
      <c r="AH82" s="67"/>
      <c r="AI82" s="67"/>
      <c r="AJ82" s="126"/>
      <c r="AK82" s="67"/>
      <c r="AL82" s="67"/>
      <c r="AM82" s="67"/>
      <c r="AN82" s="67"/>
      <c r="AO82" s="67"/>
      <c r="AP82" s="126"/>
      <c r="AQ82" s="67"/>
      <c r="AR82" s="67"/>
      <c r="AS82" s="67"/>
      <c r="AT82" s="67"/>
      <c r="AU82" s="67"/>
      <c r="AV82" s="126"/>
      <c r="AW82" s="67"/>
      <c r="AX82" s="67"/>
      <c r="AY82" s="67"/>
      <c r="AZ82" s="67"/>
      <c r="BA82" s="67"/>
      <c r="BB82" s="126"/>
      <c r="BC82" s="67"/>
      <c r="BD82" s="67"/>
      <c r="BE82" s="67"/>
      <c r="BF82" s="67"/>
      <c r="BG82" s="67"/>
      <c r="BH82" s="126"/>
      <c r="BI82" s="67"/>
      <c r="BJ82" s="67"/>
      <c r="BK82" s="67"/>
      <c r="BL82" s="67"/>
      <c r="BM82" s="67"/>
      <c r="BN82" s="126"/>
      <c r="BO82" s="67"/>
      <c r="BP82" s="67"/>
      <c r="BQ82" s="67"/>
      <c r="BR82" s="67"/>
      <c r="BS82" s="67"/>
      <c r="BT82" s="126"/>
      <c r="BU82" s="67"/>
      <c r="BV82" s="67"/>
      <c r="BW82" s="67"/>
      <c r="BX82" s="67"/>
      <c r="BY82" s="67"/>
      <c r="BZ82" s="126"/>
      <c r="CA82" s="67"/>
      <c r="CB82" s="67"/>
      <c r="CC82" s="67"/>
      <c r="CD82" s="67"/>
      <c r="CE82" s="67"/>
      <c r="CF82" s="126"/>
      <c r="CG82" s="67"/>
      <c r="CH82" s="67"/>
      <c r="CI82" s="67"/>
      <c r="CJ82" s="67"/>
      <c r="CK82" s="67"/>
      <c r="CL82" s="126"/>
      <c r="CM82" s="67"/>
      <c r="CN82" s="67"/>
      <c r="CO82" s="67"/>
      <c r="CP82" s="67"/>
      <c r="CQ82" s="67"/>
      <c r="CR82" s="126"/>
      <c r="CS82" s="67"/>
      <c r="CT82" s="67"/>
      <c r="CU82" s="67"/>
      <c r="CV82" s="67"/>
      <c r="CW82" s="67"/>
      <c r="CX82" s="126"/>
      <c r="CY82" s="67"/>
      <c r="CZ82" s="67"/>
      <c r="DA82" s="67"/>
      <c r="DB82" s="67"/>
      <c r="DC82" s="67"/>
      <c r="DD82" s="126"/>
      <c r="DE82" s="67"/>
      <c r="DF82" s="67"/>
      <c r="DG82" s="67"/>
      <c r="DH82" s="67"/>
      <c r="DI82" s="67"/>
      <c r="DJ82" s="126"/>
      <c r="DK82" s="67"/>
      <c r="DL82" s="67"/>
      <c r="DM82" s="67"/>
      <c r="DN82" s="67"/>
      <c r="DO82" s="67"/>
      <c r="DP82" s="126"/>
      <c r="DQ82" s="67"/>
      <c r="DR82" s="67"/>
      <c r="DS82" s="67"/>
      <c r="DT82" s="67"/>
      <c r="DU82" s="67"/>
      <c r="DV82" s="126"/>
      <c r="DW82" s="67"/>
      <c r="DX82" s="67"/>
      <c r="DY82" s="67"/>
      <c r="DZ82" s="67"/>
      <c r="EA82" s="67"/>
      <c r="EB82" s="126"/>
      <c r="EC82" s="67"/>
      <c r="ED82" s="67"/>
      <c r="EE82" s="67"/>
      <c r="EF82" s="67"/>
      <c r="EG82" s="67"/>
      <c r="EH82" s="7"/>
      <c r="EI82" s="482"/>
      <c r="EJ82" s="7"/>
    </row>
    <row r="83" spans="1:140" ht="11.25" customHeight="1" x14ac:dyDescent="0.2">
      <c r="A83" s="106" t="s">
        <v>269</v>
      </c>
      <c r="B83" s="170"/>
      <c r="C83" s="170"/>
      <c r="D83" s="170"/>
      <c r="E83" s="171"/>
      <c r="F83" s="171"/>
      <c r="G83" s="171"/>
      <c r="H83" s="171"/>
      <c r="I83" s="171"/>
      <c r="J83" s="171"/>
      <c r="K83" s="171"/>
      <c r="L83" s="171"/>
      <c r="M83" s="172"/>
      <c r="N83" s="172"/>
      <c r="O83" s="172"/>
      <c r="P83" s="172"/>
      <c r="Q83" s="171"/>
      <c r="R83" s="171"/>
      <c r="S83" s="172"/>
      <c r="T83" s="172"/>
      <c r="U83" s="172"/>
      <c r="V83" s="172"/>
      <c r="W83" s="171"/>
      <c r="X83" s="171"/>
      <c r="Y83" s="172"/>
      <c r="Z83" s="172"/>
      <c r="AA83" s="172"/>
      <c r="AB83" s="172"/>
      <c r="AC83" s="171"/>
      <c r="AD83" s="171"/>
      <c r="AE83" s="172"/>
      <c r="AF83" s="172"/>
      <c r="AG83" s="172"/>
      <c r="AH83" s="172"/>
      <c r="AI83" s="171"/>
      <c r="AJ83" s="171"/>
      <c r="AK83" s="172"/>
      <c r="AL83" s="172"/>
      <c r="AM83" s="172"/>
      <c r="AN83" s="172"/>
      <c r="AO83" s="171"/>
      <c r="AP83" s="171"/>
      <c r="AQ83" s="172"/>
      <c r="AR83" s="172"/>
      <c r="AS83" s="172"/>
      <c r="AT83" s="172"/>
      <c r="AU83" s="171"/>
      <c r="AV83" s="171"/>
      <c r="AW83" s="172"/>
      <c r="AX83" s="172"/>
      <c r="AY83" s="172"/>
      <c r="AZ83" s="172"/>
      <c r="BA83" s="171"/>
      <c r="BB83" s="171"/>
      <c r="BC83" s="172"/>
      <c r="BD83" s="172"/>
      <c r="BE83" s="172"/>
      <c r="BF83" s="172"/>
      <c r="BG83" s="171"/>
      <c r="BH83" s="171"/>
      <c r="BI83" s="172"/>
      <c r="BJ83" s="172"/>
      <c r="BK83" s="172"/>
      <c r="BL83" s="172"/>
      <c r="BM83" s="171"/>
      <c r="BN83" s="171"/>
      <c r="BO83" s="172"/>
      <c r="BP83" s="172"/>
      <c r="BQ83" s="172"/>
      <c r="BR83" s="172"/>
      <c r="BS83" s="171"/>
      <c r="BT83" s="171"/>
      <c r="BU83" s="172"/>
      <c r="BV83" s="172"/>
      <c r="BW83" s="172"/>
      <c r="BX83" s="172"/>
      <c r="BY83" s="171"/>
      <c r="BZ83" s="171"/>
      <c r="CA83" s="172"/>
      <c r="CB83" s="172"/>
      <c r="CC83" s="172"/>
      <c r="CD83" s="172"/>
      <c r="CE83" s="171"/>
      <c r="CF83" s="171"/>
      <c r="CG83" s="172"/>
      <c r="CH83" s="172"/>
      <c r="CI83" s="172"/>
      <c r="CJ83" s="172"/>
      <c r="CK83" s="171"/>
      <c r="CL83" s="171"/>
      <c r="CM83" s="172"/>
      <c r="CN83" s="172"/>
      <c r="CO83" s="172"/>
      <c r="CP83" s="172"/>
      <c r="CQ83" s="171"/>
      <c r="CR83" s="171"/>
      <c r="CS83" s="172"/>
      <c r="CT83" s="172"/>
      <c r="CU83" s="172"/>
      <c r="CV83" s="172"/>
      <c r="CW83" s="171"/>
      <c r="CX83" s="171"/>
      <c r="CY83" s="172"/>
      <c r="CZ83" s="172"/>
      <c r="DA83" s="172"/>
      <c r="DB83" s="172"/>
      <c r="DC83" s="171"/>
      <c r="DD83" s="171"/>
      <c r="DE83" s="172"/>
      <c r="DF83" s="172"/>
      <c r="DG83" s="172"/>
      <c r="DH83" s="172"/>
      <c r="DI83" s="171"/>
      <c r="DJ83" s="171"/>
      <c r="DK83" s="172"/>
      <c r="DL83" s="172"/>
      <c r="DM83" s="172"/>
      <c r="DN83" s="172"/>
      <c r="DO83" s="171"/>
      <c r="DP83" s="171"/>
      <c r="DQ83" s="172"/>
      <c r="DR83" s="172"/>
      <c r="DS83" s="172"/>
      <c r="DT83" s="172"/>
      <c r="DU83" s="171"/>
      <c r="DV83" s="171"/>
      <c r="DW83" s="172"/>
      <c r="DX83" s="172"/>
      <c r="DY83" s="172"/>
      <c r="DZ83" s="172"/>
      <c r="EA83" s="171"/>
      <c r="EB83" s="171"/>
      <c r="EC83" s="172"/>
      <c r="ED83" s="172"/>
      <c r="EE83" s="172"/>
      <c r="EF83" s="172"/>
      <c r="EG83" s="171"/>
      <c r="EH83" s="7"/>
      <c r="EI83" s="482"/>
      <c r="EJ83" s="7"/>
    </row>
    <row r="84" spans="1:140" ht="11.25" customHeight="1" x14ac:dyDescent="0.2">
      <c r="A84" s="51" t="s">
        <v>270</v>
      </c>
      <c r="B84" s="2"/>
      <c r="C84" s="2"/>
      <c r="D84" s="2"/>
      <c r="E84" s="141">
        <f>365*E122</f>
        <v>59.152556179775281</v>
      </c>
      <c r="F84" s="126"/>
      <c r="G84" s="141">
        <f>365*G122</f>
        <v>58.161266450067281</v>
      </c>
      <c r="H84" s="126"/>
      <c r="I84" s="141">
        <f>365*I122</f>
        <v>62.188593144001011</v>
      </c>
      <c r="J84" s="126"/>
      <c r="K84" s="141">
        <f>365*K122</f>
        <v>68.039513714017531</v>
      </c>
      <c r="L84" s="126"/>
      <c r="M84" s="137">
        <f>365*M122/4</f>
        <v>14.699685934209571</v>
      </c>
      <c r="N84" s="138">
        <f>365*N122/4</f>
        <v>15.149535915249295</v>
      </c>
      <c r="O84" s="138">
        <f>365*O122/4</f>
        <v>16.011749199745339</v>
      </c>
      <c r="P84" s="138">
        <f>365*P122/4</f>
        <v>14.530527694105766</v>
      </c>
      <c r="Q84" s="141">
        <f>365*Q122</f>
        <v>56.482282355006447</v>
      </c>
      <c r="R84" s="126"/>
      <c r="S84" s="137">
        <f>365*S122/4</f>
        <v>16.383654278948462</v>
      </c>
      <c r="T84" s="138">
        <f>365*T122/4</f>
        <v>14.853858381036458</v>
      </c>
      <c r="U84" s="138">
        <f>365*U122/4</f>
        <v>14.994255878810925</v>
      </c>
      <c r="V84" s="138">
        <f>365*V122/4</f>
        <v>13.580882376009626</v>
      </c>
      <c r="W84" s="141">
        <f>365*W122</f>
        <v>60.526803098466495</v>
      </c>
      <c r="X84" s="126"/>
      <c r="Y84" s="137">
        <f>365*Y122/4</f>
        <v>14.690802604464919</v>
      </c>
      <c r="Z84" s="138">
        <f>365*Z122/4</f>
        <v>13.764794444803576</v>
      </c>
      <c r="AA84" s="138">
        <f>365*AA122/4</f>
        <v>14.574518729605002</v>
      </c>
      <c r="AB84" s="138">
        <f>365*AB122/4</f>
        <v>13.301823920356155</v>
      </c>
      <c r="AC84" s="141">
        <f>365*AC122</f>
        <v>59.853197354830371</v>
      </c>
      <c r="AD84" s="126"/>
      <c r="AE84" s="137">
        <f>365*AE122/4</f>
        <v>14.068100813509151</v>
      </c>
      <c r="AF84" s="138">
        <f>365*AF122/4</f>
        <v>15.394056149749112</v>
      </c>
      <c r="AG84" s="138">
        <f>365*AG122/4</f>
        <v>14.512406462268338</v>
      </c>
      <c r="AH84" s="138">
        <f>365*AH122/4</f>
        <v>14.186301356109949</v>
      </c>
      <c r="AI84" s="141">
        <f>365*AI122</f>
        <v>65.222185563406967</v>
      </c>
      <c r="AJ84" s="126"/>
      <c r="AK84" s="137">
        <f>365*AK122/4</f>
        <v>14.550841535465414</v>
      </c>
      <c r="AL84" s="138">
        <f>365*AL122/4</f>
        <v>13.917038844214046</v>
      </c>
      <c r="AM84" s="138">
        <f>365*AM122/4</f>
        <v>15.827881253575741</v>
      </c>
      <c r="AN84" s="138">
        <f>AO84</f>
        <v>64.356571013778336</v>
      </c>
      <c r="AO84" s="141">
        <f>365*AO122</f>
        <v>64.356571013778336</v>
      </c>
      <c r="AP84" s="126"/>
      <c r="AQ84" s="137">
        <f>365*AQ122/4</f>
        <v>14.985678386165102</v>
      </c>
      <c r="AR84" s="138">
        <f>365*AR122/4</f>
        <v>15.363143482178518</v>
      </c>
      <c r="AS84" s="138">
        <f>365*AS122/4</f>
        <v>15.112817729536495</v>
      </c>
      <c r="AT84" s="138">
        <f>AU84</f>
        <v>64.58487568634709</v>
      </c>
      <c r="AU84" s="141">
        <f>365*AU122</f>
        <v>64.58487568634709</v>
      </c>
      <c r="AV84" s="126"/>
      <c r="AW84" s="137">
        <f>365*AW122/4</f>
        <v>15.224050047487713</v>
      </c>
      <c r="AX84" s="138">
        <f>365*AX122/4</f>
        <v>15.014141242873453</v>
      </c>
      <c r="AY84" s="138">
        <f>365*AY122/4</f>
        <v>15.257962325224787</v>
      </c>
      <c r="AZ84" s="138">
        <f>365*AZ122</f>
        <v>57.64560226946778</v>
      </c>
      <c r="BA84" s="141">
        <f>AZ84</f>
        <v>57.64560226946778</v>
      </c>
      <c r="BB84" s="126"/>
      <c r="BC84" s="137">
        <f>365*BC122/4</f>
        <v>15.812815670113713</v>
      </c>
      <c r="BD84" s="138">
        <f>365*BD122/4</f>
        <v>14.548761931334585</v>
      </c>
      <c r="BE84" s="138">
        <f>365*BE122/4</f>
        <v>14.938180214115102</v>
      </c>
      <c r="BF84" s="138">
        <f>365*BF122</f>
        <v>54.424855879384452</v>
      </c>
      <c r="BG84" s="141">
        <f>BF84</f>
        <v>54.424855879384452</v>
      </c>
      <c r="BH84" s="126"/>
      <c r="BI84" s="137">
        <f>365*BI122</f>
        <v>59.282218765460293</v>
      </c>
      <c r="BJ84" s="138">
        <f>365*BJ122/4</f>
        <v>14.932852941726511</v>
      </c>
      <c r="BK84" s="138">
        <f>365*BK122/4</f>
        <v>15.228693491656667</v>
      </c>
      <c r="BL84" s="138">
        <f>365*BL122</f>
        <v>55.830326135529383</v>
      </c>
      <c r="BM84" s="141">
        <f>BL84</f>
        <v>55.830326135529383</v>
      </c>
      <c r="BN84" s="126"/>
      <c r="BO84" s="137">
        <f>365*BO122/4</f>
        <v>15.027906921171617</v>
      </c>
      <c r="BP84" s="138">
        <f>365*BP122/4</f>
        <v>14.364898093180827</v>
      </c>
      <c r="BQ84" s="138">
        <f>365*BQ122/4</f>
        <v>14.992912268009571</v>
      </c>
      <c r="BR84" s="138">
        <f>365*BR122/4</f>
        <v>14.430801980586121</v>
      </c>
      <c r="BS84" s="141">
        <f>BR84</f>
        <v>14.430801980586121</v>
      </c>
      <c r="BT84" s="126"/>
      <c r="BU84" s="137">
        <f>365*BU122/4</f>
        <v>15.378270351053773</v>
      </c>
      <c r="BV84" s="138">
        <f>365*BV122/4</f>
        <v>19.399531682991739</v>
      </c>
      <c r="BW84" s="138">
        <f>365*BW122/4</f>
        <v>15.412272808968567</v>
      </c>
      <c r="BX84" s="138">
        <f>365*BX122</f>
        <v>59.003735397629704</v>
      </c>
      <c r="BY84" s="141">
        <f>BX84</f>
        <v>59.003735397629704</v>
      </c>
      <c r="BZ84" s="126"/>
      <c r="CA84" s="137">
        <f>365*CA122/4</f>
        <v>15.837235371970714</v>
      </c>
      <c r="CB84" s="138">
        <f>365*CB122/4</f>
        <v>15.501828950258043</v>
      </c>
      <c r="CC84" s="138">
        <f>365*CC122/4</f>
        <v>15.420475031140302</v>
      </c>
      <c r="CD84" s="138">
        <f>365*CD122</f>
        <v>59.925455258080085</v>
      </c>
      <c r="CE84" s="141">
        <f>CD84</f>
        <v>59.925455258080085</v>
      </c>
      <c r="CF84" s="126"/>
      <c r="CG84" s="137">
        <f>365*CG122</f>
        <v>64.018915787342237</v>
      </c>
      <c r="CH84" s="138">
        <f>365*CH122</f>
        <v>63.20374670184696</v>
      </c>
      <c r="CI84" s="138">
        <f>365*CI122/4</f>
        <v>16.478490233663873</v>
      </c>
      <c r="CJ84" s="138">
        <f>365*CJ122</f>
        <v>59.801868342605431</v>
      </c>
      <c r="CK84" s="141">
        <f>365*CK122</f>
        <v>65.897792656135579</v>
      </c>
      <c r="CL84" s="126"/>
      <c r="CM84" s="137">
        <f>365*CM122</f>
        <v>71.278270859614338</v>
      </c>
      <c r="CN84" s="138">
        <f>365*CN122</f>
        <v>69.280181875195993</v>
      </c>
      <c r="CO84" s="138">
        <f>365*CO122</f>
        <v>67.81279875082322</v>
      </c>
      <c r="CP84" s="138">
        <f>365*CP122</f>
        <v>63.470818498526093</v>
      </c>
      <c r="CQ84" s="141">
        <f>365*CQ122</f>
        <v>69.245953847760262</v>
      </c>
      <c r="CR84" s="126"/>
      <c r="CS84" s="137">
        <f>365*CS122</f>
        <v>98.530676336069192</v>
      </c>
      <c r="CT84" s="138">
        <f>365*CT122</f>
        <v>95.506708158412351</v>
      </c>
      <c r="CU84" s="138">
        <f>365*CU122</f>
        <v>101.48386339046752</v>
      </c>
      <c r="CV84" s="138">
        <f>365*CV122</f>
        <v>83.674329169558177</v>
      </c>
      <c r="CW84" s="141">
        <f>365*CW122</f>
        <v>100.24432404719511</v>
      </c>
      <c r="CX84" s="126"/>
      <c r="CY84" s="137">
        <f>365*CY122</f>
        <v>90.019877169287227</v>
      </c>
      <c r="CZ84" s="138">
        <f>365*CZ122</f>
        <v>85.934486904453209</v>
      </c>
      <c r="DA84" s="138">
        <f>365*DA122</f>
        <v>68.056012681203256</v>
      </c>
      <c r="DB84" s="138">
        <f>365*DB122</f>
        <v>63.418978906267036</v>
      </c>
      <c r="DC84" s="141">
        <f>365*DC122</f>
        <v>68.883956072596305</v>
      </c>
      <c r="DD84" s="126"/>
      <c r="DE84" s="137">
        <f>365*DE122</f>
        <v>65.847451078298505</v>
      </c>
      <c r="DF84" s="138">
        <f>365*DF122</f>
        <v>65.043014567304496</v>
      </c>
      <c r="DG84" s="138">
        <f>365*DG122</f>
        <v>65.58505587209045</v>
      </c>
      <c r="DH84" s="138">
        <f>365*DH122</f>
        <v>63.189777218475342</v>
      </c>
      <c r="DI84" s="141">
        <f>365*DI122</f>
        <v>70.129734801988022</v>
      </c>
      <c r="DJ84" s="126"/>
      <c r="DK84" s="137">
        <f>365*DK122</f>
        <v>62.050000000000004</v>
      </c>
      <c r="DL84" s="138">
        <f>365*DL122</f>
        <v>62.050000000000004</v>
      </c>
      <c r="DM84" s="138">
        <f>365*DM122</f>
        <v>62.050000000000004</v>
      </c>
      <c r="DN84" s="138">
        <f>365*DN122</f>
        <v>62.050000000000004</v>
      </c>
      <c r="DO84" s="141">
        <f>365*DO122</f>
        <v>67.779223520882354</v>
      </c>
      <c r="DP84" s="126"/>
      <c r="DQ84" s="137">
        <f>365*DQ122</f>
        <v>61.137500000000003</v>
      </c>
      <c r="DR84" s="138">
        <f>365*DR122</f>
        <v>61.137500000000003</v>
      </c>
      <c r="DS84" s="138">
        <f>365*DS122</f>
        <v>61.137500000000003</v>
      </c>
      <c r="DT84" s="138">
        <f>365*DT122</f>
        <v>61.137500000000003</v>
      </c>
      <c r="DU84" s="141">
        <f>365*DU122</f>
        <v>66.521374411020474</v>
      </c>
      <c r="DV84" s="126"/>
      <c r="DW84" s="137">
        <f>365*DW122</f>
        <v>60.225000000000001</v>
      </c>
      <c r="DX84" s="138">
        <f>365*DX122</f>
        <v>60.225000000000001</v>
      </c>
      <c r="DY84" s="138">
        <f>365*DY122</f>
        <v>60.225000000000001</v>
      </c>
      <c r="DZ84" s="138">
        <f>365*DZ122</f>
        <v>60.225000000000001</v>
      </c>
      <c r="EA84" s="141">
        <f>365*EA122</f>
        <v>65.526029675836298</v>
      </c>
      <c r="EB84" s="126"/>
      <c r="EC84" s="137">
        <f t="shared" ref="EC84:EG84" si="325">365*EC122</f>
        <v>59.3125</v>
      </c>
      <c r="ED84" s="138">
        <f t="shared" si="325"/>
        <v>59.3125</v>
      </c>
      <c r="EE84" s="138">
        <f t="shared" si="325"/>
        <v>59.3125</v>
      </c>
      <c r="EF84" s="138">
        <f t="shared" si="325"/>
        <v>59.3125</v>
      </c>
      <c r="EG84" s="141">
        <f t="shared" si="325"/>
        <v>64.530766387674745</v>
      </c>
      <c r="EH84" s="7"/>
      <c r="EI84" s="482"/>
      <c r="EJ84" s="7"/>
    </row>
    <row r="85" spans="1:140" ht="11.25" customHeight="1" x14ac:dyDescent="0.2">
      <c r="A85" s="51" t="s">
        <v>271</v>
      </c>
      <c r="B85" s="2"/>
      <c r="C85" s="2"/>
      <c r="D85" s="2"/>
      <c r="E85" s="93">
        <f>365*E126</f>
        <v>60.540323604834988</v>
      </c>
      <c r="F85" s="126"/>
      <c r="G85" s="93">
        <f>365*G126</f>
        <v>65.201500188701317</v>
      </c>
      <c r="H85" s="126"/>
      <c r="I85" s="93">
        <f>365*I126</f>
        <v>60.436717356292412</v>
      </c>
      <c r="J85" s="126"/>
      <c r="K85" s="93">
        <f>365*K126</f>
        <v>72.600250201772141</v>
      </c>
      <c r="L85" s="126"/>
      <c r="M85" s="82">
        <f t="shared" ref="M85:P86" si="326">365*M126/4</f>
        <v>16.730817239370904</v>
      </c>
      <c r="N85" s="67">
        <f t="shared" si="326"/>
        <v>17.869059113194567</v>
      </c>
      <c r="O85" s="67">
        <f t="shared" si="326"/>
        <v>19.277755966619797</v>
      </c>
      <c r="P85" s="67">
        <f t="shared" si="326"/>
        <v>16.037230241224442</v>
      </c>
      <c r="Q85" s="93">
        <f>365*Q126</f>
        <v>63.731573673015745</v>
      </c>
      <c r="R85" s="126"/>
      <c r="S85" s="82">
        <f t="shared" ref="S85:V86" si="327">365*S126/4</f>
        <v>17.688163420271771</v>
      </c>
      <c r="T85" s="67">
        <f t="shared" si="327"/>
        <v>15.49987542883113</v>
      </c>
      <c r="U85" s="67">
        <f t="shared" si="327"/>
        <v>16.044161914731191</v>
      </c>
      <c r="V85" s="67">
        <f t="shared" si="327"/>
        <v>14.396867100534806</v>
      </c>
      <c r="W85" s="93">
        <f>365*W126</f>
        <v>63.499871917740734</v>
      </c>
      <c r="X85" s="126"/>
      <c r="Y85" s="82">
        <f t="shared" ref="Y85:AB86" si="328">365*Y126/4</f>
        <v>16.521108379892866</v>
      </c>
      <c r="Z85" s="67">
        <f t="shared" si="328"/>
        <v>15.523124191461836</v>
      </c>
      <c r="AA85" s="67">
        <f t="shared" si="328"/>
        <v>16.055734873811524</v>
      </c>
      <c r="AB85" s="67">
        <f t="shared" si="328"/>
        <v>13.830064745692189</v>
      </c>
      <c r="AC85" s="93">
        <f>365*AC126</f>
        <v>62.039526006170256</v>
      </c>
      <c r="AD85" s="126"/>
      <c r="AE85" s="82">
        <f t="shared" ref="AE85:AH86" si="329">365*AE126/4</f>
        <v>15.619907092649655</v>
      </c>
      <c r="AF85" s="67">
        <f t="shared" si="329"/>
        <v>19.11136002516205</v>
      </c>
      <c r="AG85" s="67">
        <f t="shared" si="329"/>
        <v>17.852664947099949</v>
      </c>
      <c r="AH85" s="67">
        <f t="shared" si="329"/>
        <v>14.039879034302608</v>
      </c>
      <c r="AI85" s="93">
        <f>365*AI126</f>
        <v>64.293706006751677</v>
      </c>
      <c r="AJ85" s="126"/>
      <c r="AK85" s="82">
        <f t="shared" ref="AK85:AM86" si="330">365*AK126/4</f>
        <v>16.221311350598231</v>
      </c>
      <c r="AL85" s="67">
        <f t="shared" si="330"/>
        <v>15.913553011795846</v>
      </c>
      <c r="AM85" s="67">
        <f t="shared" si="330"/>
        <v>17.913979297347172</v>
      </c>
      <c r="AN85" s="67">
        <f>AO85</f>
        <v>66.352782095866047</v>
      </c>
      <c r="AO85" s="93">
        <f>365*AO126</f>
        <v>66.352782095866047</v>
      </c>
      <c r="AP85" s="126"/>
      <c r="AQ85" s="82">
        <f t="shared" ref="AQ85:AS86" si="331">365*AQ126/4</f>
        <v>16.754057034256753</v>
      </c>
      <c r="AR85" s="67">
        <f t="shared" si="331"/>
        <v>17.763779195518406</v>
      </c>
      <c r="AS85" s="67">
        <f t="shared" si="331"/>
        <v>17.652956458699503</v>
      </c>
      <c r="AT85" s="67">
        <f>AU85</f>
        <v>69.64446357522381</v>
      </c>
      <c r="AU85" s="93">
        <f>365*AU126</f>
        <v>69.64446357522381</v>
      </c>
      <c r="AV85" s="126"/>
      <c r="AW85" s="82">
        <f t="shared" ref="AW85:AZ86" si="332">365*AW126/4</f>
        <v>17.336463879386397</v>
      </c>
      <c r="AX85" s="67">
        <f t="shared" si="332"/>
        <v>16.724803915606646</v>
      </c>
      <c r="AY85" s="67">
        <f t="shared" si="332"/>
        <v>16.637974546877743</v>
      </c>
      <c r="AZ85" s="67">
        <f t="shared" si="332"/>
        <v>16.105870821939767</v>
      </c>
      <c r="BA85" s="93">
        <f>365*BA126</f>
        <v>72.79329549665816</v>
      </c>
      <c r="BB85" s="126"/>
      <c r="BC85" s="82">
        <f t="shared" ref="BC85:BF86" si="333">365*BC126/4</f>
        <v>18.297724563636841</v>
      </c>
      <c r="BD85" s="67">
        <f t="shared" si="333"/>
        <v>17.172362316923454</v>
      </c>
      <c r="BE85" s="67">
        <f t="shared" si="333"/>
        <v>17.131450277772707</v>
      </c>
      <c r="BF85" s="67">
        <f t="shared" si="333"/>
        <v>15.10752471741791</v>
      </c>
      <c r="BG85" s="93">
        <f>365*BG126</f>
        <v>61.702918282582502</v>
      </c>
      <c r="BH85" s="126"/>
      <c r="BI85" s="82">
        <f t="shared" ref="BI85:BL86" si="334">365*BI126/4</f>
        <v>18.891352934517048</v>
      </c>
      <c r="BJ85" s="67">
        <f t="shared" si="334"/>
        <v>17.247898052559979</v>
      </c>
      <c r="BK85" s="67">
        <f t="shared" si="334"/>
        <v>17.095461592210032</v>
      </c>
      <c r="BL85" s="67">
        <f t="shared" si="334"/>
        <v>13.368594818433916</v>
      </c>
      <c r="BM85" s="93">
        <f>365*BM126</f>
        <v>61.383259962626489</v>
      </c>
      <c r="BN85" s="126"/>
      <c r="BO85" s="82">
        <f t="shared" ref="BO85:BR86" si="335">365*BO126/4</f>
        <v>17.606724545632332</v>
      </c>
      <c r="BP85" s="67">
        <f t="shared" si="335"/>
        <v>17.530940093059325</v>
      </c>
      <c r="BQ85" s="67">
        <f t="shared" si="335"/>
        <v>19.176951860725328</v>
      </c>
      <c r="BR85" s="67">
        <f t="shared" si="335"/>
        <v>18.464892804714012</v>
      </c>
      <c r="BS85" s="93">
        <f>365*BS126</f>
        <v>72.765350274485002</v>
      </c>
      <c r="BT85" s="126"/>
      <c r="BU85" s="82">
        <f t="shared" ref="BU85:BX86" si="336">365*BU126/4</f>
        <v>18.99280735777025</v>
      </c>
      <c r="BV85" s="67">
        <f t="shared" si="336"/>
        <v>27.41570704421007</v>
      </c>
      <c r="BW85" s="67">
        <f t="shared" si="336"/>
        <v>19.870484720507214</v>
      </c>
      <c r="BX85" s="67">
        <f t="shared" si="336"/>
        <v>17.006333261771054</v>
      </c>
      <c r="BY85" s="93">
        <f>365*BY126</f>
        <v>82.15841494080037</v>
      </c>
      <c r="BZ85" s="126"/>
      <c r="CA85" s="82">
        <f t="shared" ref="CA85:CD86" si="337">365*CA126/4</f>
        <v>20.711594505454897</v>
      </c>
      <c r="CB85" s="67">
        <f t="shared" si="337"/>
        <v>19.26100474863512</v>
      </c>
      <c r="CC85" s="67">
        <f t="shared" si="337"/>
        <v>20.08962134502924</v>
      </c>
      <c r="CD85" s="67">
        <f t="shared" si="337"/>
        <v>17.024646075970203</v>
      </c>
      <c r="CE85" s="93">
        <f>365*CE126</f>
        <v>74.822916313403653</v>
      </c>
      <c r="CF85" s="126"/>
      <c r="CG85" s="82">
        <f t="shared" ref="CG85:CJ86" si="338">365*CG126/4</f>
        <v>20.094162930627654</v>
      </c>
      <c r="CH85" s="67">
        <f t="shared" si="338"/>
        <v>19.444552854594111</v>
      </c>
      <c r="CI85" s="67">
        <f t="shared" si="338"/>
        <v>19.979741244876134</v>
      </c>
      <c r="CJ85" s="67">
        <f t="shared" si="338"/>
        <v>15.924107142857146</v>
      </c>
      <c r="CK85" s="93">
        <f>365*CK126</f>
        <v>71.064309418802679</v>
      </c>
      <c r="CL85" s="126"/>
      <c r="CM85" s="82">
        <f t="shared" ref="CM85:CP86" si="339">365*CM126/4</f>
        <v>19.318051973029231</v>
      </c>
      <c r="CN85" s="67">
        <f t="shared" si="339"/>
        <v>18.43963365195869</v>
      </c>
      <c r="CO85" s="67">
        <f t="shared" si="339"/>
        <v>18.959830140145467</v>
      </c>
      <c r="CP85" s="67">
        <f t="shared" si="339"/>
        <v>17.029874358033759</v>
      </c>
      <c r="CQ85" s="93">
        <f>365*CQ126</f>
        <v>72.181041743148981</v>
      </c>
      <c r="CR85" s="126"/>
      <c r="CS85" s="82">
        <f t="shared" ref="CS85:CV86" si="340">365*CS126/4</f>
        <v>29.835843788777058</v>
      </c>
      <c r="CT85" s="67">
        <f t="shared" si="340"/>
        <v>28.559684758412988</v>
      </c>
      <c r="CU85" s="67">
        <f t="shared" si="340"/>
        <v>32.984270756115642</v>
      </c>
      <c r="CV85" s="67">
        <f t="shared" si="340"/>
        <v>23.139370945880529</v>
      </c>
      <c r="CW85" s="93">
        <f>365*CW126</f>
        <v>114.79317383604</v>
      </c>
      <c r="CX85" s="126"/>
      <c r="CY85" s="82">
        <f t="shared" ref="CY85:DB86" si="341">365*CY126/4</f>
        <v>29.057110228825138</v>
      </c>
      <c r="CZ85" s="67">
        <f t="shared" si="341"/>
        <v>27.46671100720198</v>
      </c>
      <c r="DA85" s="67">
        <f t="shared" si="341"/>
        <v>21.157880125670335</v>
      </c>
      <c r="DB85" s="67">
        <f t="shared" si="341"/>
        <v>18.709248908506453</v>
      </c>
      <c r="DC85" s="93">
        <f>365*DC126</f>
        <v>82.66395505975251</v>
      </c>
      <c r="DD85" s="126"/>
      <c r="DE85" s="82">
        <f t="shared" ref="DE85:DF85" si="342">365*DE126/4</f>
        <v>21.514257374158383</v>
      </c>
      <c r="DF85" s="67">
        <f t="shared" si="342"/>
        <v>20.367329205700617</v>
      </c>
      <c r="DG85" s="67">
        <f t="shared" ref="DG85:DH86" si="343">365*DG126/4</f>
        <v>21.677259089083055</v>
      </c>
      <c r="DH85" s="67">
        <f t="shared" si="343"/>
        <v>18.691912222914628</v>
      </c>
      <c r="DI85" s="93">
        <f>365*DI126</f>
        <v>82.784061506616396</v>
      </c>
      <c r="DJ85" s="126"/>
      <c r="DK85" s="82">
        <f t="shared" ref="DK85:DN86" si="344">365*DK126/4</f>
        <v>20.601757374158382</v>
      </c>
      <c r="DL85" s="67">
        <f t="shared" si="344"/>
        <v>19.454829205700616</v>
      </c>
      <c r="DM85" s="67">
        <f t="shared" si="344"/>
        <v>20.764759089083054</v>
      </c>
      <c r="DN85" s="67">
        <f t="shared" si="344"/>
        <v>17.779412222914626</v>
      </c>
      <c r="DO85" s="93">
        <f>365*DO126</f>
        <v>76.495416890866082</v>
      </c>
      <c r="DP85" s="126"/>
      <c r="DQ85" s="82">
        <f t="shared" ref="DQ85:DT86" si="345">365*DQ126/4</f>
        <v>19.689257374158384</v>
      </c>
      <c r="DR85" s="67">
        <f t="shared" si="345"/>
        <v>18.542329205700618</v>
      </c>
      <c r="DS85" s="67">
        <f t="shared" si="345"/>
        <v>19.852259089083052</v>
      </c>
      <c r="DT85" s="67">
        <f t="shared" si="345"/>
        <v>16.866912222914625</v>
      </c>
      <c r="DU85" s="93">
        <f>365*DU126</f>
        <v>72.609427293267288</v>
      </c>
      <c r="DV85" s="126"/>
      <c r="DW85" s="82">
        <f t="shared" ref="DW85:DZ85" si="346">365*DW126/4</f>
        <v>18.320507374158382</v>
      </c>
      <c r="DX85" s="67">
        <f t="shared" si="346"/>
        <v>17.173579205700616</v>
      </c>
      <c r="DY85" s="67">
        <f t="shared" si="346"/>
        <v>18.483509089083054</v>
      </c>
      <c r="DZ85" s="67">
        <f t="shared" si="346"/>
        <v>15.498162222914626</v>
      </c>
      <c r="EA85" s="93">
        <f>365*EA126</f>
        <v>66.885801497265504</v>
      </c>
      <c r="EB85" s="126"/>
      <c r="EC85" s="82">
        <f t="shared" ref="EC85:EF85" si="347">365*EC126/4</f>
        <v>16.95175737415838</v>
      </c>
      <c r="ED85" s="67">
        <f t="shared" si="347"/>
        <v>15.804829205700614</v>
      </c>
      <c r="EE85" s="67">
        <f t="shared" si="347"/>
        <v>17.114759089083055</v>
      </c>
      <c r="EF85" s="67">
        <f t="shared" si="347"/>
        <v>14.129412222914624</v>
      </c>
      <c r="EG85" s="93">
        <f t="shared" ref="EG85:EG86" si="348">365*EG126</f>
        <v>61.223923223183384</v>
      </c>
      <c r="EH85" s="7"/>
      <c r="EI85" s="482"/>
      <c r="EJ85" s="7"/>
    </row>
    <row r="86" spans="1:140" ht="11.25" customHeight="1" x14ac:dyDescent="0.2">
      <c r="A86" s="51" t="s">
        <v>272</v>
      </c>
      <c r="B86" s="2"/>
      <c r="C86" s="2"/>
      <c r="D86" s="2"/>
      <c r="E86" s="93">
        <f>365*E127</f>
        <v>34.724107577993671</v>
      </c>
      <c r="F86" s="126"/>
      <c r="G86" s="93">
        <f>365*G127</f>
        <v>31.256364368745135</v>
      </c>
      <c r="H86" s="126"/>
      <c r="I86" s="93">
        <f>365*I127</f>
        <v>39.688092544861291</v>
      </c>
      <c r="J86" s="126"/>
      <c r="K86" s="93">
        <f>365*K127</f>
        <v>41.310789120152556</v>
      </c>
      <c r="L86" s="126"/>
      <c r="M86" s="82">
        <f t="shared" si="326"/>
        <v>9.2161493683093223</v>
      </c>
      <c r="N86" s="67">
        <f t="shared" si="326"/>
        <v>10.624707014450371</v>
      </c>
      <c r="O86" s="67">
        <f t="shared" si="326"/>
        <v>10.514586719135183</v>
      </c>
      <c r="P86" s="67">
        <f t="shared" si="326"/>
        <v>9.2514715974059065</v>
      </c>
      <c r="Q86" s="93">
        <f>365*Q127</f>
        <v>36.7651293162996</v>
      </c>
      <c r="R86" s="126"/>
      <c r="S86" s="82">
        <f t="shared" si="327"/>
        <v>11.012595433821938</v>
      </c>
      <c r="T86" s="67">
        <f t="shared" si="327"/>
        <v>10.664031557554551</v>
      </c>
      <c r="U86" s="67">
        <f t="shared" si="327"/>
        <v>11.830738865723605</v>
      </c>
      <c r="V86" s="67">
        <f t="shared" si="327"/>
        <v>10.86871007622476</v>
      </c>
      <c r="W86" s="93">
        <f>365*W127</f>
        <v>47.938325257284113</v>
      </c>
      <c r="X86" s="126"/>
      <c r="Y86" s="82">
        <f t="shared" si="328"/>
        <v>12.369343308187526</v>
      </c>
      <c r="Z86" s="67">
        <f t="shared" si="328"/>
        <v>12.225477892855944</v>
      </c>
      <c r="AA86" s="67">
        <f t="shared" si="328"/>
        <v>13.072538001272578</v>
      </c>
      <c r="AB86" s="67">
        <f t="shared" si="328"/>
        <v>12.199194826675889</v>
      </c>
      <c r="AC86" s="93">
        <f>365*AC127</f>
        <v>54.723696426629949</v>
      </c>
      <c r="AD86" s="126"/>
      <c r="AE86" s="82">
        <f t="shared" si="329"/>
        <v>14.000420468128036</v>
      </c>
      <c r="AF86" s="67">
        <f t="shared" si="329"/>
        <v>14.313457739734227</v>
      </c>
      <c r="AG86" s="67">
        <f t="shared" si="329"/>
        <v>13.130124443942655</v>
      </c>
      <c r="AH86" s="67">
        <f t="shared" si="329"/>
        <v>12.206507708864056</v>
      </c>
      <c r="AI86" s="93">
        <f>365*AI127</f>
        <v>55.898032745538998</v>
      </c>
      <c r="AJ86" s="126"/>
      <c r="AK86" s="82">
        <f t="shared" si="330"/>
        <v>14.047731876520324</v>
      </c>
      <c r="AL86" s="67">
        <f t="shared" si="330"/>
        <v>13.834680692922493</v>
      </c>
      <c r="AM86" s="67">
        <f t="shared" si="330"/>
        <v>14.681224038984217</v>
      </c>
      <c r="AN86" s="67">
        <f>AO86</f>
        <v>62.943014378297732</v>
      </c>
      <c r="AO86" s="93">
        <f>365*AO127</f>
        <v>62.943014378297732</v>
      </c>
      <c r="AP86" s="126"/>
      <c r="AQ86" s="82">
        <f t="shared" si="331"/>
        <v>15.254984662576685</v>
      </c>
      <c r="AR86" s="67">
        <f t="shared" si="331"/>
        <v>14.44115016270068</v>
      </c>
      <c r="AS86" s="67">
        <f t="shared" si="331"/>
        <v>14.601015970625841</v>
      </c>
      <c r="AT86" s="67">
        <f>AU86</f>
        <v>65.971392842203713</v>
      </c>
      <c r="AU86" s="93">
        <f>365*AU127</f>
        <v>65.971392842203713</v>
      </c>
      <c r="AV86" s="126"/>
      <c r="AW86" s="82">
        <f t="shared" si="332"/>
        <v>15.67295869665748</v>
      </c>
      <c r="AX86" s="67">
        <f t="shared" si="332"/>
        <v>15.751253465246876</v>
      </c>
      <c r="AY86" s="67">
        <f t="shared" si="332"/>
        <v>15.640325983170708</v>
      </c>
      <c r="AZ86" s="67">
        <f t="shared" si="332"/>
        <v>15.188120287676847</v>
      </c>
      <c r="BA86" s="93">
        <f>365*BA127</f>
        <v>68.645361704601925</v>
      </c>
      <c r="BB86" s="126"/>
      <c r="BC86" s="82">
        <f t="shared" si="333"/>
        <v>16.207166095752246</v>
      </c>
      <c r="BD86" s="67">
        <f t="shared" si="333"/>
        <v>15.797467910113509</v>
      </c>
      <c r="BE86" s="67">
        <f t="shared" si="333"/>
        <v>15.433384032030895</v>
      </c>
      <c r="BF86" s="67">
        <f t="shared" si="333"/>
        <v>14.666483165371615</v>
      </c>
      <c r="BG86" s="93">
        <f>365*BG127</f>
        <v>59.901594018405682</v>
      </c>
      <c r="BH86" s="126"/>
      <c r="BI86" s="82">
        <f t="shared" si="334"/>
        <v>15.509287570254211</v>
      </c>
      <c r="BJ86" s="67">
        <f t="shared" si="334"/>
        <v>14.653088111298484</v>
      </c>
      <c r="BK86" s="67">
        <f t="shared" si="334"/>
        <v>15.527410960834727</v>
      </c>
      <c r="BL86" s="67">
        <f t="shared" si="334"/>
        <v>14.155767540352446</v>
      </c>
      <c r="BM86" s="93">
        <f>365*BM127</f>
        <v>64.997643409896966</v>
      </c>
      <c r="BN86" s="126"/>
      <c r="BO86" s="82">
        <f t="shared" si="335"/>
        <v>17.219845656632991</v>
      </c>
      <c r="BP86" s="67">
        <f t="shared" si="335"/>
        <v>17.321436603334629</v>
      </c>
      <c r="BQ86" s="67">
        <f t="shared" si="335"/>
        <v>18.159794484911551</v>
      </c>
      <c r="BR86" s="67">
        <f t="shared" si="335"/>
        <v>18.324230270425261</v>
      </c>
      <c r="BS86" s="93">
        <f>365*BS127</f>
        <v>72.211035733573894</v>
      </c>
      <c r="BT86" s="126"/>
      <c r="BU86" s="82">
        <f t="shared" si="336"/>
        <v>18.315903355886036</v>
      </c>
      <c r="BV86" s="67">
        <f t="shared" si="336"/>
        <v>20.114725678119139</v>
      </c>
      <c r="BW86" s="67">
        <f t="shared" si="336"/>
        <v>14.793746541751336</v>
      </c>
      <c r="BX86" s="67">
        <f t="shared" si="336"/>
        <v>13.579828507901354</v>
      </c>
      <c r="BY86" s="93">
        <f>365*BY127</f>
        <v>65.604805468858586</v>
      </c>
      <c r="BZ86" s="126"/>
      <c r="CA86" s="82">
        <f t="shared" si="337"/>
        <v>16.072818943144135</v>
      </c>
      <c r="CB86" s="67">
        <f t="shared" si="337"/>
        <v>15.682929509781619</v>
      </c>
      <c r="CC86" s="67">
        <f t="shared" si="337"/>
        <v>15.930136842105265</v>
      </c>
      <c r="CD86" s="67">
        <f t="shared" si="337"/>
        <v>14.517045454545451</v>
      </c>
      <c r="CE86" s="93">
        <f>365*CE127</f>
        <v>63.802070969127634</v>
      </c>
      <c r="CF86" s="126"/>
      <c r="CG86" s="82">
        <f t="shared" si="338"/>
        <v>16.519953397829166</v>
      </c>
      <c r="CH86" s="67">
        <f t="shared" si="338"/>
        <v>16.497853479036575</v>
      </c>
      <c r="CI86" s="67">
        <f t="shared" si="338"/>
        <v>17.112424255925859</v>
      </c>
      <c r="CJ86" s="67">
        <f t="shared" si="338"/>
        <v>15.876785714285717</v>
      </c>
      <c r="CK86" s="93">
        <f>365*CK127</f>
        <v>70.853128684336937</v>
      </c>
      <c r="CL86" s="126"/>
      <c r="CM86" s="82">
        <f t="shared" si="339"/>
        <v>17.398944474613089</v>
      </c>
      <c r="CN86" s="67">
        <f t="shared" si="339"/>
        <v>16.887908594350087</v>
      </c>
      <c r="CO86" s="67">
        <f t="shared" si="339"/>
        <v>17.037542132339894</v>
      </c>
      <c r="CP86" s="67">
        <f t="shared" si="339"/>
        <v>17.434351308388369</v>
      </c>
      <c r="CQ86" s="93">
        <f>365*CQ127</f>
        <v>73.895415379964163</v>
      </c>
      <c r="CR86" s="126"/>
      <c r="CS86" s="82">
        <f t="shared" si="340"/>
        <v>27.242584964842134</v>
      </c>
      <c r="CT86" s="67">
        <f t="shared" si="340"/>
        <v>26.04902530443891</v>
      </c>
      <c r="CU86" s="67">
        <f t="shared" si="340"/>
        <v>25.639401099579938</v>
      </c>
      <c r="CV86" s="67">
        <f t="shared" si="340"/>
        <v>15.370664512537516</v>
      </c>
      <c r="CW86" s="93">
        <f>365*CW127</f>
        <v>76.253039354005949</v>
      </c>
      <c r="CX86" s="126"/>
      <c r="CY86" s="82">
        <f t="shared" si="341"/>
        <v>24.916111680327869</v>
      </c>
      <c r="CZ86" s="67">
        <f t="shared" si="341"/>
        <v>24.438286036762339</v>
      </c>
      <c r="DA86" s="67">
        <f t="shared" si="341"/>
        <v>16.737734277666434</v>
      </c>
      <c r="DB86" s="67">
        <f t="shared" si="341"/>
        <v>16.253208511250779</v>
      </c>
      <c r="DC86" s="93">
        <f>365*DC127</f>
        <v>71.812316171599662</v>
      </c>
      <c r="DD86" s="126"/>
      <c r="DE86" s="82">
        <f t="shared" ref="DE86:DF86" si="349">365*DE127/4</f>
        <v>17.092918403334401</v>
      </c>
      <c r="DF86" s="67">
        <f t="shared" si="349"/>
        <v>16.221565427546345</v>
      </c>
      <c r="DG86" s="67">
        <f t="shared" si="343"/>
        <v>17.203882946670682</v>
      </c>
      <c r="DH86" s="67">
        <f t="shared" si="343"/>
        <v>15.331876502270099</v>
      </c>
      <c r="DI86" s="93">
        <f>365*DI127</f>
        <v>67.902897907887919</v>
      </c>
      <c r="DJ86" s="126"/>
      <c r="DK86" s="82">
        <f t="shared" si="344"/>
        <v>15.512500000000001</v>
      </c>
      <c r="DL86" s="67">
        <f t="shared" si="344"/>
        <v>15.512500000000001</v>
      </c>
      <c r="DM86" s="67">
        <f t="shared" si="344"/>
        <v>15.512500000000001</v>
      </c>
      <c r="DN86" s="67">
        <f t="shared" si="344"/>
        <v>15.512500000000001</v>
      </c>
      <c r="DO86" s="93">
        <f>365*DO127</f>
        <v>66.742091338103407</v>
      </c>
      <c r="DP86" s="126"/>
      <c r="DQ86" s="82">
        <f t="shared" si="345"/>
        <v>15.512500000000001</v>
      </c>
      <c r="DR86" s="67">
        <f t="shared" si="345"/>
        <v>15.512500000000001</v>
      </c>
      <c r="DS86" s="67">
        <f t="shared" si="345"/>
        <v>15.512500000000001</v>
      </c>
      <c r="DT86" s="67">
        <f t="shared" si="345"/>
        <v>15.512500000000001</v>
      </c>
      <c r="DU86" s="93">
        <f>365*DU127</f>
        <v>66.778893848548961</v>
      </c>
      <c r="DV86" s="126"/>
      <c r="DW86" s="82">
        <f t="shared" ref="DW86:DZ86" si="350">365*DW127/4</f>
        <v>15.512500000000001</v>
      </c>
      <c r="DX86" s="67">
        <f t="shared" si="350"/>
        <v>15.512500000000001</v>
      </c>
      <c r="DY86" s="67">
        <f t="shared" si="350"/>
        <v>15.512500000000001</v>
      </c>
      <c r="DZ86" s="67">
        <f t="shared" si="350"/>
        <v>15.512500000000001</v>
      </c>
      <c r="EA86" s="93">
        <f>365*EA127</f>
        <v>66.94767939596413</v>
      </c>
      <c r="EB86" s="126"/>
      <c r="EC86" s="82">
        <f t="shared" ref="EC86:EF86" si="351">365*EC127/4</f>
        <v>15.512500000000001</v>
      </c>
      <c r="ED86" s="67">
        <f t="shared" si="351"/>
        <v>15.512500000000001</v>
      </c>
      <c r="EE86" s="67">
        <f t="shared" si="351"/>
        <v>15.512500000000001</v>
      </c>
      <c r="EF86" s="67">
        <f t="shared" si="351"/>
        <v>15.512500000000001</v>
      </c>
      <c r="EG86" s="93">
        <f t="shared" si="348"/>
        <v>67.216958074121507</v>
      </c>
      <c r="EH86" s="7"/>
      <c r="EI86" s="482"/>
      <c r="EJ86" s="7"/>
    </row>
    <row r="87" spans="1:140" ht="11.25" customHeight="1" x14ac:dyDescent="0.2">
      <c r="A87" s="105" t="s">
        <v>273</v>
      </c>
      <c r="B87" s="2"/>
      <c r="C87" s="2"/>
      <c r="D87" s="2"/>
      <c r="E87" s="96">
        <f>+E84+E85-E86</f>
        <v>84.968772206616592</v>
      </c>
      <c r="F87" s="126"/>
      <c r="G87" s="96">
        <f>+G84+G85-G86</f>
        <v>92.106402270023452</v>
      </c>
      <c r="H87" s="126"/>
      <c r="I87" s="96">
        <f>+I84+I85-I86</f>
        <v>82.937217955432132</v>
      </c>
      <c r="J87" s="126"/>
      <c r="K87" s="96">
        <f>+K84+K85-K86</f>
        <v>99.328974795637123</v>
      </c>
      <c r="L87" s="126"/>
      <c r="M87" s="86">
        <f t="shared" ref="M87:Q87" si="352">+M84+M85-M86</f>
        <v>22.214353805271152</v>
      </c>
      <c r="N87" s="87">
        <f t="shared" si="352"/>
        <v>22.393888013993489</v>
      </c>
      <c r="O87" s="87">
        <f t="shared" si="352"/>
        <v>24.77491844722995</v>
      </c>
      <c r="P87" s="87">
        <f t="shared" si="352"/>
        <v>21.3162863379243</v>
      </c>
      <c r="Q87" s="96">
        <f t="shared" si="352"/>
        <v>83.4487267117226</v>
      </c>
      <c r="R87" s="126"/>
      <c r="S87" s="86">
        <f t="shared" ref="S87" si="353">+S84+S85-S86</f>
        <v>23.059222265398297</v>
      </c>
      <c r="T87" s="87">
        <f t="shared" ref="T87" si="354">+T84+T85-T86</f>
        <v>19.689702252313037</v>
      </c>
      <c r="U87" s="87">
        <f t="shared" ref="U87" si="355">+U84+U85-U86</f>
        <v>19.207678927818513</v>
      </c>
      <c r="V87" s="87">
        <f t="shared" ref="V87" si="356">+V84+V85-V86</f>
        <v>17.109039400319674</v>
      </c>
      <c r="W87" s="96">
        <f t="shared" ref="W87" si="357">+W84+W85-W86</f>
        <v>76.08834975892313</v>
      </c>
      <c r="X87" s="126"/>
      <c r="Y87" s="86">
        <f t="shared" ref="Y87" si="358">+Y84+Y85-Y86</f>
        <v>18.842567676170262</v>
      </c>
      <c r="Z87" s="87">
        <f t="shared" ref="Z87" si="359">+Z84+Z85-Z86</f>
        <v>17.062440743409468</v>
      </c>
      <c r="AA87" s="87">
        <f t="shared" ref="AA87" si="360">+AA84+AA85-AA86</f>
        <v>17.557715602143951</v>
      </c>
      <c r="AB87" s="87">
        <f t="shared" ref="AB87" si="361">+AB84+AB85-AB86</f>
        <v>14.932693839372455</v>
      </c>
      <c r="AC87" s="96">
        <f t="shared" ref="AC87" si="362">+AC84+AC85-AC86</f>
        <v>67.169026934370692</v>
      </c>
      <c r="AD87" s="126"/>
      <c r="AE87" s="86">
        <f t="shared" ref="AE87" si="363">+AE84+AE85-AE86</f>
        <v>15.68758743803077</v>
      </c>
      <c r="AF87" s="87">
        <f t="shared" ref="AF87" si="364">+AF84+AF85-AF86</f>
        <v>20.191958435176936</v>
      </c>
      <c r="AG87" s="87">
        <f t="shared" ref="AG87" si="365">+AG84+AG85-AG86</f>
        <v>19.234946965425628</v>
      </c>
      <c r="AH87" s="87">
        <f t="shared" ref="AH87" si="366">+AH84+AH85-AH86</f>
        <v>16.019672681548503</v>
      </c>
      <c r="AI87" s="96">
        <f t="shared" ref="AI87" si="367">+AI84+AI85-AI86</f>
        <v>73.61785882461966</v>
      </c>
      <c r="AJ87" s="126"/>
      <c r="AK87" s="86">
        <f t="shared" ref="AK87" si="368">+AK84+AK85-AK86</f>
        <v>16.72442100954332</v>
      </c>
      <c r="AL87" s="87">
        <f t="shared" ref="AL87" si="369">+AL84+AL85-AL86</f>
        <v>15.995911163087399</v>
      </c>
      <c r="AM87" s="87">
        <f t="shared" ref="AM87" si="370">+AM84+AM85-AM86</f>
        <v>19.060636511938696</v>
      </c>
      <c r="AN87" s="87">
        <f t="shared" ref="AN87" si="371">+AN84+AN85-AN86</f>
        <v>67.76633873134665</v>
      </c>
      <c r="AO87" s="96">
        <f t="shared" ref="AO87" si="372">+AO84+AO85-AO86</f>
        <v>67.76633873134665</v>
      </c>
      <c r="AP87" s="126"/>
      <c r="AQ87" s="86">
        <f t="shared" ref="AQ87" si="373">+AQ84+AQ85-AQ86</f>
        <v>16.48475075784517</v>
      </c>
      <c r="AR87" s="87">
        <f t="shared" ref="AR87" si="374">+AR84+AR85-AR86</f>
        <v>18.685772514996245</v>
      </c>
      <c r="AS87" s="87">
        <f t="shared" ref="AS87" si="375">+AS84+AS85-AS86</f>
        <v>18.164758217610153</v>
      </c>
      <c r="AT87" s="87">
        <f t="shared" ref="AT87" si="376">+AT84+AT85-AT86</f>
        <v>68.257946419367173</v>
      </c>
      <c r="AU87" s="96">
        <f t="shared" ref="AU87" si="377">+AU84+AU85-AU86</f>
        <v>68.257946419367173</v>
      </c>
      <c r="AV87" s="126"/>
      <c r="AW87" s="86">
        <f t="shared" ref="AW87" si="378">+AW84+AW85-AW86</f>
        <v>16.887555230216627</v>
      </c>
      <c r="AX87" s="87">
        <f t="shared" ref="AX87" si="379">+AX84+AX85-AX86</f>
        <v>15.987691693233224</v>
      </c>
      <c r="AY87" s="87">
        <f t="shared" ref="AY87" si="380">+AY84+AY85-AY86</f>
        <v>16.255610888931823</v>
      </c>
      <c r="AZ87" s="87">
        <f t="shared" ref="AZ87" si="381">+AZ84+AZ85-AZ86</f>
        <v>58.563352803730702</v>
      </c>
      <c r="BA87" s="96">
        <f t="shared" ref="BA87" si="382">+BA84+BA85-BA86</f>
        <v>61.793536061524009</v>
      </c>
      <c r="BB87" s="126"/>
      <c r="BC87" s="86">
        <f t="shared" ref="BC87" si="383">+BC84+BC85-BC86</f>
        <v>17.903374137998309</v>
      </c>
      <c r="BD87" s="87">
        <f t="shared" ref="BD87" si="384">+BD84+BD85-BD86</f>
        <v>15.92365633814453</v>
      </c>
      <c r="BE87" s="87">
        <f t="shared" ref="BE87" si="385">+BE84+BE85-BE86</f>
        <v>16.636246459856913</v>
      </c>
      <c r="BF87" s="87">
        <f t="shared" ref="BF87" si="386">+BF84+BF85-BF86</f>
        <v>54.865897431430753</v>
      </c>
      <c r="BG87" s="96">
        <f t="shared" ref="BG87" si="387">+BG84+BG85-BG86</f>
        <v>56.226180143561272</v>
      </c>
      <c r="BH87" s="126"/>
      <c r="BI87" s="86">
        <f t="shared" ref="BI87" si="388">+BI84+BI85-BI86</f>
        <v>62.664284129723136</v>
      </c>
      <c r="BJ87" s="87">
        <f t="shared" ref="BJ87" si="389">+BJ84+BJ85-BJ86</f>
        <v>17.527662882988007</v>
      </c>
      <c r="BK87" s="87">
        <f t="shared" ref="BK87" si="390">+BK84+BK85-BK86</f>
        <v>16.796744123031971</v>
      </c>
      <c r="BL87" s="87">
        <f t="shared" ref="BL87" si="391">+BL84+BL85-BL86</f>
        <v>55.043153413610852</v>
      </c>
      <c r="BM87" s="96">
        <f t="shared" ref="BM87" si="392">+BM84+BM85-BM86</f>
        <v>52.215942688258906</v>
      </c>
      <c r="BN87" s="126"/>
      <c r="BO87" s="86">
        <f t="shared" ref="BO87" si="393">+BO84+BO85-BO86</f>
        <v>15.414785810170962</v>
      </c>
      <c r="BP87" s="87">
        <f t="shared" ref="BP87" si="394">+BP84+BP85-BP86</f>
        <v>14.574401582905523</v>
      </c>
      <c r="BQ87" s="87">
        <f t="shared" ref="BQ87" si="395">+BQ84+BQ85-BQ86</f>
        <v>16.01006964382335</v>
      </c>
      <c r="BR87" s="87">
        <f t="shared" ref="BR87" si="396">+BR84+BR85-BR86</f>
        <v>14.571464514874876</v>
      </c>
      <c r="BS87" s="96">
        <f t="shared" ref="BS87" si="397">+BS84+BS85-BS86</f>
        <v>14.985116521497233</v>
      </c>
      <c r="BT87" s="126"/>
      <c r="BU87" s="86">
        <f t="shared" ref="BU87" si="398">+BU84+BU85-BU86</f>
        <v>16.055174352937989</v>
      </c>
      <c r="BV87" s="87">
        <f t="shared" ref="BV87" si="399">+BV84+BV85-BV86</f>
        <v>26.700513049082669</v>
      </c>
      <c r="BW87" s="87">
        <f t="shared" ref="BW87" si="400">+BW84+BW85-BW86</f>
        <v>20.489010987724445</v>
      </c>
      <c r="BX87" s="87">
        <f t="shared" ref="BX87" si="401">+BX84+BX85-BX86</f>
        <v>62.430240151499405</v>
      </c>
      <c r="BY87" s="96">
        <f t="shared" ref="BY87" si="402">+BY84+BY85-BY86</f>
        <v>75.557344869571494</v>
      </c>
      <c r="BZ87" s="126"/>
      <c r="CA87" s="86">
        <f t="shared" ref="CA87" si="403">+CA84+CA85-CA86</f>
        <v>20.476010934281476</v>
      </c>
      <c r="CB87" s="87">
        <f t="shared" ref="CB87" si="404">+CB84+CB85-CB86</f>
        <v>19.079904189111542</v>
      </c>
      <c r="CC87" s="87">
        <f t="shared" ref="CC87" si="405">+CC84+CC85-CC86</f>
        <v>19.57995953406428</v>
      </c>
      <c r="CD87" s="87">
        <f t="shared" ref="CD87" si="406">+CD84+CD85-CD86</f>
        <v>62.433055879504835</v>
      </c>
      <c r="CE87" s="96">
        <f t="shared" ref="CE87" si="407">+CE84+CE85-CE86</f>
        <v>70.946300602356104</v>
      </c>
      <c r="CF87" s="126"/>
      <c r="CG87" s="86">
        <f t="shared" ref="CG87" si="408">+CG84+CG85-CG86</f>
        <v>67.593125320140729</v>
      </c>
      <c r="CH87" s="87">
        <f t="shared" ref="CH87" si="409">+CH84+CH85-CH86</f>
        <v>66.150446077404496</v>
      </c>
      <c r="CI87" s="87">
        <f t="shared" ref="CI87" si="410">+CI84+CI85-CI86</f>
        <v>19.345807222614148</v>
      </c>
      <c r="CJ87" s="87">
        <f t="shared" ref="CJ87" si="411">+CJ84+CJ85-CJ86</f>
        <v>59.849189771176867</v>
      </c>
      <c r="CK87" s="96">
        <f t="shared" ref="CK87" si="412">+CK84+CK85-CK86</f>
        <v>66.108973390601321</v>
      </c>
      <c r="CL87" s="126"/>
      <c r="CM87" s="86">
        <f t="shared" ref="CM87" si="413">+CM84+CM85-CM86</f>
        <v>73.197378358030477</v>
      </c>
      <c r="CN87" s="87">
        <f t="shared" ref="CN87" si="414">+CN84+CN85-CN86</f>
        <v>70.8319069328046</v>
      </c>
      <c r="CO87" s="87">
        <f t="shared" ref="CO87" si="415">+CO84+CO85-CO86</f>
        <v>69.735086758628796</v>
      </c>
      <c r="CP87" s="87">
        <f t="shared" ref="CP87" si="416">+CP84+CP85-CP86</f>
        <v>63.066341548171479</v>
      </c>
      <c r="CQ87" s="96">
        <f t="shared" ref="CQ87" si="417">+CQ84+CQ85-CQ86</f>
        <v>67.531580210945094</v>
      </c>
      <c r="CR87" s="126"/>
      <c r="CS87" s="86">
        <f t="shared" ref="CS87" si="418">+CS84+CS85-CS86</f>
        <v>101.12393516000412</v>
      </c>
      <c r="CT87" s="87">
        <f t="shared" ref="CT87" si="419">+CT84+CT85-CT86</f>
        <v>98.017367612386423</v>
      </c>
      <c r="CU87" s="87">
        <f t="shared" ref="CU87" si="420">+CU84+CU85-CU86</f>
        <v>108.82873304700323</v>
      </c>
      <c r="CV87" s="87">
        <f t="shared" ref="CV87" si="421">+CV84+CV85-CV86</f>
        <v>91.44303560290119</v>
      </c>
      <c r="CW87" s="96">
        <f t="shared" ref="CW87" si="422">+CW84+CW85-CW86</f>
        <v>138.78445852922917</v>
      </c>
      <c r="CX87" s="126"/>
      <c r="CY87" s="86">
        <f t="shared" ref="CY87" si="423">+CY84+CY85-CY86</f>
        <v>94.160875717784492</v>
      </c>
      <c r="CZ87" s="87">
        <f t="shared" ref="CZ87" si="424">+CZ84+CZ85-CZ86</f>
        <v>88.962911874892853</v>
      </c>
      <c r="DA87" s="87">
        <f t="shared" ref="DA87" si="425">+DA84+DA85-DA86</f>
        <v>72.476158529207154</v>
      </c>
      <c r="DB87" s="87">
        <f t="shared" ref="DB87" si="426">+DB84+DB85-DB86</f>
        <v>65.875019303522706</v>
      </c>
      <c r="DC87" s="96">
        <f t="shared" ref="DC87" si="427">+DC84+DC85-DC86</f>
        <v>79.735594960749154</v>
      </c>
      <c r="DD87" s="126"/>
      <c r="DE87" s="86">
        <f t="shared" ref="DE87:DF87" si="428">+DE84+DE85-DE86</f>
        <v>70.268790049122487</v>
      </c>
      <c r="DF87" s="87">
        <f t="shared" si="428"/>
        <v>69.188778345458758</v>
      </c>
      <c r="DG87" s="87">
        <f t="shared" ref="DG87" si="429">+DG84+DG85-DG86</f>
        <v>70.058432014502813</v>
      </c>
      <c r="DH87" s="87">
        <f t="shared" ref="DH87" si="430">+DH84+DH85-DH86</f>
        <v>66.549812939119874</v>
      </c>
      <c r="DI87" s="96">
        <f t="shared" ref="DI87" si="431">+DI84+DI85-DI86</f>
        <v>85.010898400716499</v>
      </c>
      <c r="DJ87" s="126"/>
      <c r="DK87" s="86">
        <f t="shared" ref="DK87" si="432">+DK84+DK85-DK86</f>
        <v>67.13925737415839</v>
      </c>
      <c r="DL87" s="87">
        <f t="shared" ref="DL87" si="433">+DL84+DL85-DL86</f>
        <v>65.992329205700614</v>
      </c>
      <c r="DM87" s="87">
        <f t="shared" ref="DM87" si="434">+DM84+DM85-DM86</f>
        <v>67.302259089083051</v>
      </c>
      <c r="DN87" s="87">
        <f t="shared" ref="DN87" si="435">+DN84+DN85-DN86</f>
        <v>64.316912222914624</v>
      </c>
      <c r="DO87" s="96">
        <f t="shared" ref="DO87" si="436">+DO84+DO85-DO86</f>
        <v>77.532549073645029</v>
      </c>
      <c r="DP87" s="126"/>
      <c r="DQ87" s="86">
        <f t="shared" ref="DQ87" si="437">+DQ84+DQ85-DQ86</f>
        <v>65.314257374158387</v>
      </c>
      <c r="DR87" s="87">
        <f t="shared" ref="DR87" si="438">+DR84+DR85-DR86</f>
        <v>64.167329205700625</v>
      </c>
      <c r="DS87" s="87">
        <f t="shared" ref="DS87" si="439">+DS84+DS85-DS86</f>
        <v>65.477259089083049</v>
      </c>
      <c r="DT87" s="87">
        <f t="shared" ref="DT87" si="440">+DT84+DT85-DT86</f>
        <v>62.491912222914621</v>
      </c>
      <c r="DU87" s="96">
        <f t="shared" ref="DU87" si="441">+DU84+DU85-DU86</f>
        <v>72.351907855738801</v>
      </c>
      <c r="DV87" s="126"/>
      <c r="DW87" s="86">
        <f t="shared" ref="DW87:EA87" si="442">+DW84+DW85-DW86</f>
        <v>63.033007374158373</v>
      </c>
      <c r="DX87" s="87">
        <f t="shared" si="442"/>
        <v>61.886079205700611</v>
      </c>
      <c r="DY87" s="87">
        <f t="shared" si="442"/>
        <v>63.196009089083049</v>
      </c>
      <c r="DZ87" s="87">
        <f t="shared" si="442"/>
        <v>60.210662222914621</v>
      </c>
      <c r="EA87" s="96">
        <f t="shared" si="442"/>
        <v>65.464151777137673</v>
      </c>
      <c r="EB87" s="126"/>
      <c r="EC87" s="86">
        <f t="shared" ref="EC87:EG87" si="443">+EC84+EC85-EC86</f>
        <v>60.751757374158373</v>
      </c>
      <c r="ED87" s="87">
        <f t="shared" si="443"/>
        <v>59.604829205700611</v>
      </c>
      <c r="EE87" s="87">
        <f t="shared" si="443"/>
        <v>60.914759089083049</v>
      </c>
      <c r="EF87" s="87">
        <f t="shared" si="443"/>
        <v>57.929412222914621</v>
      </c>
      <c r="EG87" s="96">
        <f t="shared" si="443"/>
        <v>58.537731536736615</v>
      </c>
      <c r="EH87" s="7"/>
      <c r="EI87" s="482"/>
      <c r="EJ87" s="7"/>
    </row>
    <row r="88" spans="1:140" ht="11.25" customHeight="1" x14ac:dyDescent="0.2">
      <c r="A88" s="2"/>
      <c r="B88" s="2"/>
      <c r="C88" s="2"/>
      <c r="D88" s="2"/>
      <c r="E88" s="67"/>
      <c r="F88" s="126"/>
      <c r="G88" s="67"/>
      <c r="H88" s="126"/>
      <c r="I88" s="67"/>
      <c r="J88" s="126"/>
      <c r="K88" s="67"/>
      <c r="L88" s="126"/>
      <c r="M88" s="67"/>
      <c r="N88" s="67"/>
      <c r="O88" s="67"/>
      <c r="P88" s="67"/>
      <c r="Q88" s="67"/>
      <c r="R88" s="126"/>
      <c r="S88" s="67"/>
      <c r="T88" s="67"/>
      <c r="U88" s="67"/>
      <c r="V88" s="67"/>
      <c r="W88" s="67"/>
      <c r="X88" s="126"/>
      <c r="Y88" s="67"/>
      <c r="Z88" s="67"/>
      <c r="AA88" s="67"/>
      <c r="AB88" s="67"/>
      <c r="AC88" s="67"/>
      <c r="AD88" s="126"/>
      <c r="AE88" s="67"/>
      <c r="AF88" s="67"/>
      <c r="AG88" s="67"/>
      <c r="AH88" s="67"/>
      <c r="AI88" s="67"/>
      <c r="AJ88" s="126"/>
      <c r="AK88" s="67"/>
      <c r="AL88" s="67"/>
      <c r="AM88" s="67"/>
      <c r="AN88" s="67"/>
      <c r="AO88" s="67"/>
      <c r="AP88" s="126"/>
      <c r="AQ88" s="67"/>
      <c r="AR88" s="67"/>
      <c r="AS88" s="67"/>
      <c r="AT88" s="67"/>
      <c r="AU88" s="67"/>
      <c r="AV88" s="126"/>
      <c r="AW88" s="67"/>
      <c r="AX88" s="67"/>
      <c r="AY88" s="67"/>
      <c r="AZ88" s="67"/>
      <c r="BA88" s="67"/>
      <c r="BB88" s="126"/>
      <c r="BC88" s="67"/>
      <c r="BD88" s="67"/>
      <c r="BE88" s="67"/>
      <c r="BF88" s="67"/>
      <c r="BG88" s="67"/>
      <c r="BH88" s="126"/>
      <c r="BI88" s="67"/>
      <c r="BJ88" s="67"/>
      <c r="BK88" s="67"/>
      <c r="BL88" s="67"/>
      <c r="BM88" s="67"/>
      <c r="BN88" s="126"/>
      <c r="BO88" s="67"/>
      <c r="BP88" s="67"/>
      <c r="BQ88" s="67"/>
      <c r="BR88" s="67"/>
      <c r="BS88" s="67"/>
      <c r="BT88" s="126"/>
      <c r="BU88" s="67"/>
      <c r="BV88" s="67"/>
      <c r="BW88" s="67"/>
      <c r="BX88" s="67"/>
      <c r="BY88" s="67"/>
      <c r="BZ88" s="126"/>
      <c r="CA88" s="67"/>
      <c r="CB88" s="67"/>
      <c r="CC88" s="67"/>
      <c r="CD88" s="67"/>
      <c r="CE88" s="67"/>
      <c r="CF88" s="126"/>
      <c r="CG88" s="67"/>
      <c r="CH88" s="67"/>
      <c r="CI88" s="67"/>
      <c r="CJ88" s="67"/>
      <c r="CK88" s="67"/>
      <c r="CL88" s="126"/>
      <c r="CM88" s="67"/>
      <c r="CN88" s="67"/>
      <c r="CO88" s="67"/>
      <c r="CP88" s="67"/>
      <c r="CQ88" s="67"/>
      <c r="CR88" s="126"/>
      <c r="CS88" s="67"/>
      <c r="CT88" s="67"/>
      <c r="CU88" s="67"/>
      <c r="CV88" s="67"/>
      <c r="CW88" s="67"/>
      <c r="CX88" s="126"/>
      <c r="CY88" s="67"/>
      <c r="CZ88" s="67"/>
      <c r="DA88" s="67"/>
      <c r="DB88" s="67"/>
      <c r="DC88" s="67"/>
      <c r="DD88" s="126"/>
      <c r="DE88" s="67"/>
      <c r="DF88" s="67"/>
      <c r="DG88" s="67"/>
      <c r="DH88" s="67"/>
      <c r="DI88" s="67"/>
      <c r="DJ88" s="126"/>
      <c r="DK88" s="67"/>
      <c r="DL88" s="67"/>
      <c r="DM88" s="67"/>
      <c r="DN88" s="67"/>
      <c r="DO88" s="67"/>
      <c r="DP88" s="126"/>
      <c r="DQ88" s="67"/>
      <c r="DR88" s="67"/>
      <c r="DS88" s="67"/>
      <c r="DT88" s="67"/>
      <c r="DU88" s="67"/>
      <c r="DV88" s="126"/>
      <c r="DW88" s="67"/>
      <c r="DX88" s="67"/>
      <c r="DY88" s="67"/>
      <c r="DZ88" s="67"/>
      <c r="EA88" s="67"/>
      <c r="EB88" s="126"/>
      <c r="EC88" s="67"/>
      <c r="ED88" s="67"/>
      <c r="EE88" s="67"/>
      <c r="EF88" s="67"/>
      <c r="EG88" s="67"/>
      <c r="EH88" s="7"/>
      <c r="EI88" s="482"/>
      <c r="EJ88" s="7"/>
    </row>
    <row r="89" spans="1:140" ht="11.25" customHeight="1" x14ac:dyDescent="0.2">
      <c r="A89" s="106" t="s">
        <v>274</v>
      </c>
      <c r="B89" s="170"/>
      <c r="C89" s="170"/>
      <c r="D89" s="170"/>
      <c r="E89" s="171"/>
      <c r="F89" s="171"/>
      <c r="G89" s="171"/>
      <c r="H89" s="171"/>
      <c r="I89" s="171"/>
      <c r="J89" s="171"/>
      <c r="K89" s="171"/>
      <c r="L89" s="171"/>
      <c r="M89" s="172"/>
      <c r="N89" s="172"/>
      <c r="O89" s="172"/>
      <c r="P89" s="172"/>
      <c r="Q89" s="171"/>
      <c r="R89" s="171"/>
      <c r="S89" s="172"/>
      <c r="T89" s="172"/>
      <c r="U89" s="172"/>
      <c r="V89" s="172"/>
      <c r="W89" s="171"/>
      <c r="X89" s="171"/>
      <c r="Y89" s="172"/>
      <c r="Z89" s="172"/>
      <c r="AA89" s="172"/>
      <c r="AB89" s="172"/>
      <c r="AC89" s="171"/>
      <c r="AD89" s="171"/>
      <c r="AE89" s="172"/>
      <c r="AF89" s="172"/>
      <c r="AG89" s="172"/>
      <c r="AH89" s="172"/>
      <c r="AI89" s="171"/>
      <c r="AJ89" s="171"/>
      <c r="AK89" s="172"/>
      <c r="AL89" s="172"/>
      <c r="AM89" s="172"/>
      <c r="AN89" s="172"/>
      <c r="AO89" s="171"/>
      <c r="AP89" s="171"/>
      <c r="AQ89" s="172"/>
      <c r="AR89" s="172"/>
      <c r="AS89" s="172"/>
      <c r="AT89" s="172"/>
      <c r="AU89" s="171"/>
      <c r="AV89" s="171"/>
      <c r="AW89" s="172"/>
      <c r="AX89" s="172"/>
      <c r="AY89" s="172"/>
      <c r="AZ89" s="172"/>
      <c r="BA89" s="171"/>
      <c r="BB89" s="171"/>
      <c r="BC89" s="172"/>
      <c r="BD89" s="172"/>
      <c r="BE89" s="172"/>
      <c r="BF89" s="172"/>
      <c r="BG89" s="171"/>
      <c r="BH89" s="171"/>
      <c r="BI89" s="172"/>
      <c r="BJ89" s="172"/>
      <c r="BK89" s="172"/>
      <c r="BL89" s="172"/>
      <c r="BM89" s="171"/>
      <c r="BN89" s="171"/>
      <c r="BO89" s="172"/>
      <c r="BP89" s="172"/>
      <c r="BQ89" s="172"/>
      <c r="BR89" s="172"/>
      <c r="BS89" s="171"/>
      <c r="BT89" s="171"/>
      <c r="BU89" s="172"/>
      <c r="BV89" s="172"/>
      <c r="BW89" s="172"/>
      <c r="BX89" s="172"/>
      <c r="BY89" s="171"/>
      <c r="BZ89" s="171"/>
      <c r="CA89" s="172"/>
      <c r="CB89" s="172"/>
      <c r="CC89" s="172"/>
      <c r="CD89" s="172"/>
      <c r="CE89" s="171"/>
      <c r="CF89" s="171"/>
      <c r="CG89" s="172"/>
      <c r="CH89" s="172"/>
      <c r="CI89" s="172"/>
      <c r="CJ89" s="172"/>
      <c r="CK89" s="171"/>
      <c r="CL89" s="171"/>
      <c r="CM89" s="172"/>
      <c r="CN89" s="172"/>
      <c r="CO89" s="172"/>
      <c r="CP89" s="172"/>
      <c r="CQ89" s="171"/>
      <c r="CR89" s="171"/>
      <c r="CS89" s="172"/>
      <c r="CT89" s="172"/>
      <c r="CU89" s="172"/>
      <c r="CV89" s="172"/>
      <c r="CW89" s="171"/>
      <c r="CX89" s="171"/>
      <c r="CY89" s="172"/>
      <c r="CZ89" s="172"/>
      <c r="DA89" s="172"/>
      <c r="DB89" s="172"/>
      <c r="DC89" s="171"/>
      <c r="DD89" s="171"/>
      <c r="DE89" s="172"/>
      <c r="DF89" s="172"/>
      <c r="DG89" s="172"/>
      <c r="DH89" s="172"/>
      <c r="DI89" s="171"/>
      <c r="DJ89" s="171"/>
      <c r="DK89" s="172"/>
      <c r="DL89" s="172"/>
      <c r="DM89" s="172"/>
      <c r="DN89" s="172"/>
      <c r="DO89" s="171"/>
      <c r="DP89" s="171"/>
      <c r="DQ89" s="172"/>
      <c r="DR89" s="172"/>
      <c r="DS89" s="172"/>
      <c r="DT89" s="172"/>
      <c r="DU89" s="171"/>
      <c r="DV89" s="171"/>
      <c r="DW89" s="172"/>
      <c r="DX89" s="172"/>
      <c r="DY89" s="172"/>
      <c r="DZ89" s="172"/>
      <c r="EA89" s="171"/>
      <c r="EB89" s="171"/>
      <c r="EC89" s="172"/>
      <c r="ED89" s="172"/>
      <c r="EE89" s="172"/>
      <c r="EF89" s="172"/>
      <c r="EG89" s="171"/>
      <c r="EH89" s="7"/>
      <c r="EI89" s="482"/>
      <c r="EJ89" s="7"/>
    </row>
    <row r="90" spans="1:140" ht="11.25" customHeight="1" x14ac:dyDescent="0.2">
      <c r="A90" s="1115" t="s">
        <v>275</v>
      </c>
      <c r="B90" s="1116"/>
      <c r="C90" s="1116"/>
      <c r="D90" s="1116"/>
      <c r="E90" s="1117">
        <f>+CF!E29+CF!E38+CF!E48</f>
        <v>415.65600000000001</v>
      </c>
      <c r="F90" s="1118"/>
      <c r="G90" s="1117">
        <f>+CF!G29+CF!G38+CF!G48</f>
        <v>-161.77900000000011</v>
      </c>
      <c r="H90" s="1118"/>
      <c r="I90" s="1117">
        <f>+CF!I29+CF!I38+CF!I48</f>
        <v>1027.9090000000001</v>
      </c>
      <c r="J90" s="1118"/>
      <c r="K90" s="1117">
        <f>+CF!K29+CF!K38+CF!K48</f>
        <v>-119.46800000000013</v>
      </c>
      <c r="L90" s="1118"/>
      <c r="M90" s="1119">
        <f>+CF!M29+CF!M38+CF!M48</f>
        <v>337.17899999999997</v>
      </c>
      <c r="N90" s="1120">
        <f>+CF!N29+CF!N38+CF!N48</f>
        <v>148.33700000000002</v>
      </c>
      <c r="O90" s="1120">
        <f>+CF!O29+CF!O38+CF!O48</f>
        <v>63.109999999999971</v>
      </c>
      <c r="P90" s="1120">
        <f>+CF!P29+CF!P38+CF!P48</f>
        <v>300.83500000000026</v>
      </c>
      <c r="Q90" s="1117">
        <f>+CF!Q29+CF!Q38+CF!Q48</f>
        <v>849.4609999999999</v>
      </c>
      <c r="R90" s="1118"/>
      <c r="S90" s="1119">
        <f>+CF!S29+CF!S38+CF!S48</f>
        <v>-859.25300000000016</v>
      </c>
      <c r="T90" s="1120">
        <f>+CF!T29+CF!T38+CF!T48</f>
        <v>833.79599999999982</v>
      </c>
      <c r="U90" s="1120">
        <f>+CF!U29+CF!U38+CF!U48</f>
        <v>293.27599999999995</v>
      </c>
      <c r="V90" s="1120">
        <f>+CF!V29+CF!V38+CF!V48</f>
        <v>72.749000000000208</v>
      </c>
      <c r="W90" s="1117">
        <f>+CF!W29+CF!W38+CF!W48</f>
        <v>340.56800000000004</v>
      </c>
      <c r="X90" s="1118"/>
      <c r="Y90" s="1119">
        <f>+CF!Y29+CF!Y38+CF!Y48</f>
        <v>403.49800000000005</v>
      </c>
      <c r="Z90" s="1120">
        <f>+CF!Z29+CF!Z38+CF!Z48</f>
        <v>666.38400000000001</v>
      </c>
      <c r="AA90" s="1120">
        <f>+CF!AA29+CF!AA38+CF!AA48</f>
        <v>366.86100000000016</v>
      </c>
      <c r="AB90" s="1120">
        <f>+CF!AB29+CF!AB38+CF!AB48</f>
        <v>446.95599999999985</v>
      </c>
      <c r="AC90" s="1117">
        <f>+CF!AC29+CF!AC38+CF!AC48</f>
        <v>1883.6990000000001</v>
      </c>
      <c r="AD90" s="1118"/>
      <c r="AE90" s="1119">
        <f>+CF!AE29+CF!AE38+CF!AE48</f>
        <v>-891.01299999999992</v>
      </c>
      <c r="AF90" s="1120">
        <f>+CF!AF29+CF!AF38+CF!AF48</f>
        <v>-349.67500000000018</v>
      </c>
      <c r="AG90" s="1120">
        <f>+CF!AG29+CF!AG38+CF!AG48</f>
        <v>735.14099999999985</v>
      </c>
      <c r="AH90" s="1120">
        <f>+CF!AH29+CF!AH38+CF!AH48</f>
        <v>366.15899999999965</v>
      </c>
      <c r="AI90" s="1117">
        <f>+CF!AI29+CF!AI38+CF!AI48</f>
        <v>-139.38800000000026</v>
      </c>
      <c r="AJ90" s="1118"/>
      <c r="AK90" s="1119">
        <f>+CF!AK29+CF!AK38+CF!AK48</f>
        <v>477.51999999999987</v>
      </c>
      <c r="AL90" s="1120">
        <f>+CF!AL29+CF!AL38+CF!AL48</f>
        <v>627.96300000000019</v>
      </c>
      <c r="AM90" s="1120">
        <f>+CF!AM29+CF!AM38+CF!AM48</f>
        <v>-196.22600000000011</v>
      </c>
      <c r="AN90" s="1120">
        <f>+CF!AN29+CF!AN38+CF!AN48</f>
        <v>552.01599999999985</v>
      </c>
      <c r="AO90" s="1117">
        <f>+CF!AO29+CF!AO38+CF!AO48</f>
        <v>1461.2729999999999</v>
      </c>
      <c r="AP90" s="1118"/>
      <c r="AQ90" s="1119">
        <f>+CF!AQ29+CF!AQ38+CF!AQ48</f>
        <v>555.69099999999992</v>
      </c>
      <c r="AR90" s="1120">
        <f>+CF!AR29+CF!AR38+CF!AR48</f>
        <v>-2890.0869999999995</v>
      </c>
      <c r="AS90" s="1120">
        <f>+CF!AS29+CF!AS38+CF!AS48</f>
        <v>1145.9700000000003</v>
      </c>
      <c r="AT90" s="1120">
        <f>+CF!AT29+CF!AT38+CF!AT48</f>
        <v>365.26499999999953</v>
      </c>
      <c r="AU90" s="1117">
        <f>+CF!AU29+CF!AU38+CF!AU48</f>
        <v>-823.16099999999983</v>
      </c>
      <c r="AV90" s="1118"/>
      <c r="AW90" s="1119">
        <f>+CF!AW29+CF!AW38+CF!AW48</f>
        <v>342.8250000000001</v>
      </c>
      <c r="AX90" s="1120">
        <f>+CF!AX29+CF!AX38+CF!AX48</f>
        <v>797.86299999999983</v>
      </c>
      <c r="AY90" s="1120">
        <f>+CF!AY29+CF!AY38+CF!AY48</f>
        <v>905.25400000000013</v>
      </c>
      <c r="AZ90" s="1120">
        <f>+CF!AZ29+CF!AZ38+CF!AZ48</f>
        <v>-3417.424</v>
      </c>
      <c r="BA90" s="1117">
        <f>+CF!BA29+CF!BA38+CF!BA48</f>
        <v>-1371.482</v>
      </c>
      <c r="BB90" s="1118"/>
      <c r="BC90" s="1119">
        <f>+CF!BC29+CF!BC38+CF!BC48</f>
        <v>911.60900000000015</v>
      </c>
      <c r="BD90" s="1120">
        <f>+CF!BD29+CF!BD38+CF!BD48</f>
        <v>1582.2459999999996</v>
      </c>
      <c r="BE90" s="1120">
        <f>+CF!BE29+CF!BE38+CF!BE48</f>
        <v>978.74300000000017</v>
      </c>
      <c r="BF90" s="1120">
        <f>+CF!BF29+CF!BF38+CF!BF48</f>
        <v>939.69700000000034</v>
      </c>
      <c r="BG90" s="1117">
        <f>+CF!BG29+CF!BG38+CF!BG48</f>
        <v>4412.2950000000001</v>
      </c>
      <c r="BH90" s="1118"/>
      <c r="BI90" s="1119">
        <f>+CF!BI29+CF!BI38+CF!BI48</f>
        <v>817.56899999999985</v>
      </c>
      <c r="BJ90" s="1120">
        <f>+CF!BJ29+CF!BJ38+CF!BJ48</f>
        <v>1071.2500000000002</v>
      </c>
      <c r="BK90" s="1120">
        <f>+CF!BK29+CF!BK38+CF!BK48</f>
        <v>1139.1879999999996</v>
      </c>
      <c r="BL90" s="1120">
        <f>+CF!BL29+CF!BL38+CF!BL48</f>
        <v>621.12900000000047</v>
      </c>
      <c r="BM90" s="1117">
        <f>+CF!BM29+CF!BM38+CF!BM48</f>
        <v>3649.1360000000004</v>
      </c>
      <c r="BN90" s="1118"/>
      <c r="BO90" s="1119">
        <f>+CF!BO29+CF!BO38+CF!BO48</f>
        <v>-900.5250000000002</v>
      </c>
      <c r="BP90" s="1120">
        <f>+CF!BP29+CF!BP38+CF!BP48</f>
        <v>430.47099999999978</v>
      </c>
      <c r="BQ90" s="1120">
        <f>+CF!BQ29+CF!BQ38+CF!BQ48</f>
        <v>382.74500000000012</v>
      </c>
      <c r="BR90" s="1120">
        <f>+CF!BR29+CF!BR38+CF!BR48</f>
        <v>-0.41499999999995651</v>
      </c>
      <c r="BS90" s="1117">
        <f>+CF!BS29+CF!BS38+CF!BS48</f>
        <v>-87.724000000000245</v>
      </c>
      <c r="BT90" s="1118"/>
      <c r="BU90" s="1119">
        <f>+CF!BU29+CF!BU38+CF!BU48</f>
        <v>-76.010000000000048</v>
      </c>
      <c r="BV90" s="1120">
        <f>+CF!BV29+CF!BV38+CF!BV48</f>
        <v>-1037.9769999999999</v>
      </c>
      <c r="BW90" s="1120">
        <f>+CF!BW29+CF!BW38+CF!BW48</f>
        <v>-67.2800000000002</v>
      </c>
      <c r="BX90" s="1120">
        <f>+CF!BX29+CF!BX38+CF!BX48</f>
        <v>48.867000000000644</v>
      </c>
      <c r="BY90" s="1117">
        <f>+CF!BY29+CF!BY38+CF!BY48</f>
        <v>-1132.3999999999996</v>
      </c>
      <c r="BZ90" s="1118"/>
      <c r="CA90" s="1119">
        <f>+CF!CA29+CF!CA38+CF!CA48</f>
        <v>501.40000000000003</v>
      </c>
      <c r="CB90" s="1120">
        <f>+CF!CB29+CF!CB38+CF!CB48</f>
        <v>88.099999999999881</v>
      </c>
      <c r="CC90" s="1120">
        <f>+CF!CC29+CF!CC38+CF!CC48</f>
        <v>414.60000000000014</v>
      </c>
      <c r="CD90" s="1120">
        <f>+CF!CD29+CF!CD38+CF!CD48</f>
        <v>134.89999999999975</v>
      </c>
      <c r="CE90" s="1117">
        <f>+CF!CE29+CF!CE38+CF!CE48</f>
        <v>1138.9999999999991</v>
      </c>
      <c r="CF90" s="1118"/>
      <c r="CG90" s="1119">
        <f>+CF!CG29+CF!CG38+CF!CG48</f>
        <v>480.70000000000005</v>
      </c>
      <c r="CH90" s="1120">
        <f>+CF!CH29+CF!CH38+CF!CH48</f>
        <v>180.3</v>
      </c>
      <c r="CI90" s="1120">
        <f>+CF!CI29+CF!CI38+CF!CI48</f>
        <v>-346.80000000000007</v>
      </c>
      <c r="CJ90" s="1120">
        <f>+CF!CJ29+CF!CJ38+CF!CJ48</f>
        <v>1112.8</v>
      </c>
      <c r="CK90" s="1117">
        <f>+CF!CK29+CF!CK38+CF!CK48</f>
        <v>1426.9999999999998</v>
      </c>
      <c r="CL90" s="1118"/>
      <c r="CM90" s="1119">
        <f>+CF!CM29+CF!CM38+CF!CM48</f>
        <v>241.2</v>
      </c>
      <c r="CN90" s="1120">
        <f>+CF!CN29+CF!CN38+CF!CN48</f>
        <v>-30.900000000000091</v>
      </c>
      <c r="CO90" s="1120">
        <f>+CF!CO29+CF!CO38+CF!CO48</f>
        <v>811.90000000000032</v>
      </c>
      <c r="CP90" s="1120">
        <f>+CF!CP29+CF!CP38+CF!CP48</f>
        <v>-926.3</v>
      </c>
      <c r="CQ90" s="1117">
        <f>+CF!CQ29+CF!CQ38+CF!CQ48</f>
        <v>95.89999999999992</v>
      </c>
      <c r="CR90" s="1118"/>
      <c r="CS90" s="1119">
        <f>+CF!CS29+CF!CS38+CF!CS48</f>
        <v>-427.90000000000015</v>
      </c>
      <c r="CT90" s="1120">
        <f>+CF!CT29+CF!CT38+CF!CT48</f>
        <v>808.50000000000011</v>
      </c>
      <c r="CU90" s="1120">
        <f>+CF!CU29+CF!CU38+CF!CU48</f>
        <v>-1471.1000000000022</v>
      </c>
      <c r="CV90" s="1120">
        <f>+CF!CV29+CF!CV38+CF!CV48</f>
        <v>-1008.4999999999987</v>
      </c>
      <c r="CW90" s="1117">
        <f>+CF!CW29+CF!CW38+CF!CW48</f>
        <v>-2099</v>
      </c>
      <c r="CX90" s="1118"/>
      <c r="CY90" s="1119">
        <f>+CF!CY29+CF!CY38+CF!CY48</f>
        <v>-109.5</v>
      </c>
      <c r="CZ90" s="1120">
        <f>+CF!CZ29+CF!CZ38+CF!CZ48</f>
        <v>3472.2999999999993</v>
      </c>
      <c r="DA90" s="1120">
        <f>+CF!DA29+CF!DA38+CF!DA48</f>
        <v>-3113.7999999999997</v>
      </c>
      <c r="DB90" s="1120">
        <f>+CF!DB29+CF!DB38+CF!DB48</f>
        <v>557.79999999999927</v>
      </c>
      <c r="DC90" s="1117">
        <f>+CF!DC29+CF!DC38+CF!DC48</f>
        <v>806.79999999999882</v>
      </c>
      <c r="DD90" s="1118"/>
      <c r="DE90" s="1119">
        <f>+CF!DE29+CF!DE38+CF!DE48</f>
        <v>-194.2</v>
      </c>
      <c r="DF90" s="1120">
        <f>+CF!DF29+CF!DF38+CF!DF48</f>
        <v>-123.69999999999993</v>
      </c>
      <c r="DG90" s="1120">
        <f>+CF!DG29+CF!DG38+CF!DG48</f>
        <v>-111.49999999999977</v>
      </c>
      <c r="DH90" s="1120">
        <f>+CF!DH29+CF!DH38+CF!DH48</f>
        <v>-34.700000000000273</v>
      </c>
      <c r="DI90" s="1117">
        <f>+CF!DI29+CF!DI38+CF!DI48</f>
        <v>-464.10000000000036</v>
      </c>
      <c r="DJ90" s="1118"/>
      <c r="DK90" s="1119">
        <f>+CF!DK29+CF!DK38+CF!DK48</f>
        <v>926.94421754857353</v>
      </c>
      <c r="DL90" s="1120">
        <f>+CF!DL29+CF!DL38+CF!DL48</f>
        <v>1075.0171101533736</v>
      </c>
      <c r="DM90" s="1120">
        <f>+CF!DM29+CF!DM38+CF!DM48</f>
        <v>710.7357187307324</v>
      </c>
      <c r="DN90" s="1120">
        <f>+CF!DN29+CF!DN38+CF!DN48</f>
        <v>989.79939371389389</v>
      </c>
      <c r="DO90" s="1117">
        <f>+CF!DO29+CF!DO38+CF!DO48</f>
        <v>3702.4964401465745</v>
      </c>
      <c r="DP90" s="1118"/>
      <c r="DQ90" s="1119">
        <f>+CF!DQ29+CF!DQ38+CF!DQ48</f>
        <v>942.25712390932131</v>
      </c>
      <c r="DR90" s="1120">
        <f>+CF!DR29+CF!DR38+CF!DR48</f>
        <v>1167.2750169841543</v>
      </c>
      <c r="DS90" s="1120">
        <f>+CF!DS29+CF!DS38+CF!DS48</f>
        <v>764.85933319715559</v>
      </c>
      <c r="DT90" s="1120">
        <f>+CF!DT29+CF!DT38+CF!DT48</f>
        <v>1058.7691526204062</v>
      </c>
      <c r="DU90" s="1117">
        <f>+CF!DU29+CF!DU38+CF!DU48</f>
        <v>3933.1606267110374</v>
      </c>
      <c r="DV90" s="1118"/>
      <c r="DW90" s="1119">
        <f>+CF!DW29+CF!DW38+CF!DW48</f>
        <v>1143.2435976139495</v>
      </c>
      <c r="DX90" s="1120">
        <f>+CF!DX29+CF!DX38+CF!DX48</f>
        <v>1255.5001212503432</v>
      </c>
      <c r="DY90" s="1120">
        <f>+CF!DY29+CF!DY38+CF!DY48</f>
        <v>819.98254945438646</v>
      </c>
      <c r="DZ90" s="1120">
        <f>+CF!DZ29+CF!DZ38+CF!DZ48</f>
        <v>1297.3086131404011</v>
      </c>
      <c r="EA90" s="1117">
        <f>+CF!EA29+CF!EA38+CF!EA48</f>
        <v>4516.0348814590789</v>
      </c>
      <c r="EB90" s="1118"/>
      <c r="EC90" s="1119">
        <f>+CF!EC29+CF!EC38+CF!EC48</f>
        <v>1361.5105112579095</v>
      </c>
      <c r="ED90" s="1120">
        <f>+CF!ED29+CF!ED38+CF!ED48</f>
        <v>1526.9904261495337</v>
      </c>
      <c r="EE90" s="1120">
        <f>+CF!EE29+CF!EE38+CF!EE48</f>
        <v>1075.546690972076</v>
      </c>
      <c r="EF90" s="1120">
        <f>+CF!EF29+CF!EF38+CF!EF48</f>
        <v>1462.523410732779</v>
      </c>
      <c r="EG90" s="1117">
        <f>+CF!EG29+CF!EG38+CF!EG48</f>
        <v>5426.5710391122975</v>
      </c>
      <c r="EH90" s="7"/>
      <c r="EI90" s="482"/>
      <c r="EJ90" s="7"/>
    </row>
    <row r="91" spans="1:140" ht="11.25" customHeight="1" x14ac:dyDescent="0.2">
      <c r="A91" s="1115" t="s">
        <v>276</v>
      </c>
      <c r="B91" s="1116"/>
      <c r="C91" s="1116"/>
      <c r="D91" s="1116"/>
      <c r="E91" s="1121">
        <f>+CF!E29</f>
        <v>302.33100000000002</v>
      </c>
      <c r="F91" s="1118"/>
      <c r="G91" s="1121">
        <f>+CF!G29</f>
        <v>352.68200000000002</v>
      </c>
      <c r="H91" s="1118"/>
      <c r="I91" s="1121">
        <f>+CF!I29</f>
        <v>419.10700000000003</v>
      </c>
      <c r="J91" s="1118"/>
      <c r="K91" s="1121">
        <f>+CF!K29</f>
        <v>512.245</v>
      </c>
      <c r="L91" s="1118"/>
      <c r="M91" s="1122">
        <f>+CF!M29</f>
        <v>173.69399999999999</v>
      </c>
      <c r="N91" s="1123">
        <f>+CF!N29</f>
        <v>137.559</v>
      </c>
      <c r="O91" s="1123">
        <f>+CF!O29</f>
        <v>119.07599999999999</v>
      </c>
      <c r="P91" s="1123">
        <f>+CF!P29</f>
        <v>178.14200000000008</v>
      </c>
      <c r="Q91" s="1121">
        <f>+CF!Q29</f>
        <v>608.471</v>
      </c>
      <c r="R91" s="1118"/>
      <c r="S91" s="1122">
        <f>+CF!S29</f>
        <v>263.24700000000001</v>
      </c>
      <c r="T91" s="1123">
        <f>+CF!T29</f>
        <v>130.19900000000001</v>
      </c>
      <c r="U91" s="1123">
        <f>+CF!U29</f>
        <v>171.98299999999995</v>
      </c>
      <c r="V91" s="1123">
        <f>+CF!V29</f>
        <v>144.91800000000001</v>
      </c>
      <c r="W91" s="1121">
        <f>+CF!W29</f>
        <v>710.34699999999998</v>
      </c>
      <c r="X91" s="1118"/>
      <c r="Y91" s="1122">
        <f>+CF!Y29</f>
        <v>214.33600000000001</v>
      </c>
      <c r="Z91" s="1123">
        <f>+CF!Z29</f>
        <v>234.91199999999998</v>
      </c>
      <c r="AA91" s="1123">
        <f>+CF!AA29</f>
        <v>170.11100000000005</v>
      </c>
      <c r="AB91" s="1123">
        <f>+CF!AB29</f>
        <v>242.18499999999995</v>
      </c>
      <c r="AC91" s="1121">
        <f>+CF!AC29</f>
        <v>861.54399999999998</v>
      </c>
      <c r="AD91" s="1118"/>
      <c r="AE91" s="1122">
        <f>+CF!AE29</f>
        <v>251.876</v>
      </c>
      <c r="AF91" s="1123">
        <f>+CF!AF29</f>
        <v>246.869</v>
      </c>
      <c r="AG91" s="1123">
        <f>+CF!AG29</f>
        <v>270.351</v>
      </c>
      <c r="AH91" s="1123">
        <f>+CF!AH29</f>
        <v>264.11999999999989</v>
      </c>
      <c r="AI91" s="1121">
        <f>+CF!AI29</f>
        <v>1033.2159999999999</v>
      </c>
      <c r="AJ91" s="1118"/>
      <c r="AK91" s="1122">
        <f>+CF!AK29</f>
        <v>311.99099999999999</v>
      </c>
      <c r="AL91" s="1123">
        <f>+CF!AL29</f>
        <v>282.59800000000007</v>
      </c>
      <c r="AM91" s="1123">
        <f>+CF!AM29</f>
        <v>307.86299999999994</v>
      </c>
      <c r="AN91" s="1123">
        <f>+CF!AN29</f>
        <v>301.34899999999993</v>
      </c>
      <c r="AO91" s="1121">
        <f>+CF!AO29</f>
        <v>1203.8009999999999</v>
      </c>
      <c r="AP91" s="1118"/>
      <c r="AQ91" s="1122">
        <f>+CF!AQ29</f>
        <v>337.22199999999998</v>
      </c>
      <c r="AR91" s="1123">
        <f>+CF!AR29</f>
        <v>314.41100000000006</v>
      </c>
      <c r="AS91" s="1123">
        <f>+CF!AS29</f>
        <v>432.42000000000007</v>
      </c>
      <c r="AT91" s="1123">
        <f>+CF!AT29</f>
        <v>463.19799999999987</v>
      </c>
      <c r="AU91" s="1121">
        <f>+CF!AU29</f>
        <v>1547.251</v>
      </c>
      <c r="AV91" s="1118"/>
      <c r="AW91" s="1122">
        <f>+CF!AW29</f>
        <v>322.89800000000002</v>
      </c>
      <c r="AX91" s="1123">
        <f>+CF!AX29</f>
        <v>368.76599999999996</v>
      </c>
      <c r="AY91" s="1123">
        <f>+CF!AY29</f>
        <v>382.79700000000003</v>
      </c>
      <c r="AZ91" s="1123">
        <f>+CF!AZ29</f>
        <v>571.31400000000008</v>
      </c>
      <c r="BA91" s="1121">
        <f>+CF!BA29</f>
        <v>1645.7750000000001</v>
      </c>
      <c r="BB91" s="1118"/>
      <c r="BC91" s="1122">
        <f>+CF!BC29</f>
        <v>333.15800000000002</v>
      </c>
      <c r="BD91" s="1123">
        <f>+CF!BD29</f>
        <v>581.14199999999994</v>
      </c>
      <c r="BE91" s="1123">
        <f>+CF!BE29</f>
        <v>435.37300000000005</v>
      </c>
      <c r="BF91" s="1123">
        <f>+CF!BF29</f>
        <v>509.35600000000011</v>
      </c>
      <c r="BG91" s="1121">
        <f>+CF!BG29</f>
        <v>1859.029</v>
      </c>
      <c r="BH91" s="1118"/>
      <c r="BI91" s="1122">
        <f>+CF!BI29</f>
        <v>316.67899999999997</v>
      </c>
      <c r="BJ91" s="1123">
        <f>+CF!BJ29</f>
        <v>485.66500000000008</v>
      </c>
      <c r="BK91" s="1123">
        <f>+CF!BK29</f>
        <v>503.14799999999991</v>
      </c>
      <c r="BL91" s="1123">
        <f>+CF!BL29</f>
        <v>495.34200000000021</v>
      </c>
      <c r="BM91" s="1121">
        <f>+CF!BM29</f>
        <v>1800.8340000000003</v>
      </c>
      <c r="BN91" s="1118"/>
      <c r="BO91" s="1122">
        <f>+CF!BO29</f>
        <v>393.87899999999996</v>
      </c>
      <c r="BP91" s="1123">
        <f>+CF!BP29</f>
        <v>537.92299999999989</v>
      </c>
      <c r="BQ91" s="1123">
        <f>+CF!BQ29</f>
        <v>579.26700000000005</v>
      </c>
      <c r="BR91" s="1123">
        <f>+CF!BR29</f>
        <v>573.28200000000004</v>
      </c>
      <c r="BS91" s="1121">
        <f>+CF!BS29</f>
        <v>2084.3509999999997</v>
      </c>
      <c r="BT91" s="1118"/>
      <c r="BU91" s="1122">
        <f>+CF!BU29</f>
        <v>436.483</v>
      </c>
      <c r="BV91" s="1123">
        <f>+CF!BV29</f>
        <v>662.649</v>
      </c>
      <c r="BW91" s="1123">
        <f>+CF!BW29</f>
        <v>699.94199999999989</v>
      </c>
      <c r="BX91" s="1123">
        <f>+CF!BX29</f>
        <v>827.22600000000023</v>
      </c>
      <c r="BY91" s="1121">
        <f>+CF!BY29</f>
        <v>2626.2999999999997</v>
      </c>
      <c r="BZ91" s="1118"/>
      <c r="CA91" s="1122">
        <f>+CF!CA29</f>
        <v>645.29999999999995</v>
      </c>
      <c r="CB91" s="1123">
        <f>+CF!CB29</f>
        <v>1008.8</v>
      </c>
      <c r="CC91" s="1123">
        <f>+CF!CC29</f>
        <v>961.2</v>
      </c>
      <c r="CD91" s="1123">
        <f>+CF!CD29</f>
        <v>799.69999999999993</v>
      </c>
      <c r="CE91" s="1121">
        <f>+CF!CE29</f>
        <v>3414.9999999999995</v>
      </c>
      <c r="CF91" s="1118"/>
      <c r="CG91" s="1122">
        <f>+CF!CG29</f>
        <v>636.5</v>
      </c>
      <c r="CH91" s="1123">
        <f>+CF!CH29</f>
        <v>899.2</v>
      </c>
      <c r="CI91" s="1123">
        <f>+CF!CI29</f>
        <v>971.4</v>
      </c>
      <c r="CJ91" s="1123">
        <f>+CF!CJ29</f>
        <v>1078.1999999999998</v>
      </c>
      <c r="CK91" s="1121">
        <f>+CF!CK29</f>
        <v>3585.2999999999997</v>
      </c>
      <c r="CL91" s="1118"/>
      <c r="CM91" s="1122">
        <f>+CF!CM29</f>
        <v>511.20000000000005</v>
      </c>
      <c r="CN91" s="1123">
        <f>+CF!CN29</f>
        <v>991.69999999999993</v>
      </c>
      <c r="CO91" s="1123">
        <f>+CF!CO29</f>
        <v>1016.1000000000001</v>
      </c>
      <c r="CP91" s="1123">
        <f>+CF!CP29</f>
        <v>1239.4000000000003</v>
      </c>
      <c r="CQ91" s="1121">
        <f>+CF!CQ29</f>
        <v>3758.4</v>
      </c>
      <c r="CR91" s="1118"/>
      <c r="CS91" s="1122">
        <f>+CF!CS29</f>
        <v>523.59999999999991</v>
      </c>
      <c r="CT91" s="1123">
        <f>+CF!CT29</f>
        <v>1094</v>
      </c>
      <c r="CU91" s="1123">
        <f>+CF!CU29</f>
        <v>952.60000000000036</v>
      </c>
      <c r="CV91" s="1123">
        <f>+CF!CV29</f>
        <v>1231.5999999999999</v>
      </c>
      <c r="CW91" s="1121">
        <f>+CF!CW29</f>
        <v>3801.7999999999997</v>
      </c>
      <c r="CX91" s="1118"/>
      <c r="CY91" s="1122">
        <f>+CF!CY29</f>
        <v>772.8</v>
      </c>
      <c r="CZ91" s="1123">
        <f>+CF!CZ29</f>
        <v>1281.7999999999997</v>
      </c>
      <c r="DA91" s="1123">
        <f>+CF!DA29</f>
        <v>818.20000000000027</v>
      </c>
      <c r="DB91" s="1123">
        <f>+CF!DB29</f>
        <v>648.99999999999977</v>
      </c>
      <c r="DC91" s="1121">
        <f>+CF!DC29</f>
        <v>3521.7999999999993</v>
      </c>
      <c r="DD91" s="1118"/>
      <c r="DE91" s="1122">
        <f>+CF!DE29</f>
        <v>560.20000000000005</v>
      </c>
      <c r="DF91" s="1123">
        <f>+CF!DF29</f>
        <v>1010.5</v>
      </c>
      <c r="DG91" s="1123">
        <f>+CF!DG29</f>
        <v>1072.4000000000001</v>
      </c>
      <c r="DH91" s="1123">
        <f>+CF!DH29</f>
        <v>834.69999999999993</v>
      </c>
      <c r="DI91" s="1121">
        <f>+CF!DI29</f>
        <v>3477.7999999999997</v>
      </c>
      <c r="DJ91" s="1118"/>
      <c r="DK91" s="1122">
        <f>+CF!DK29</f>
        <v>1059.7674175485736</v>
      </c>
      <c r="DL91" s="1123">
        <f>+CF!DL29</f>
        <v>1216.0187741533737</v>
      </c>
      <c r="DM91" s="1123">
        <f>+CF!DM29</f>
        <v>852.97416097073244</v>
      </c>
      <c r="DN91" s="1123">
        <f>+CF!DN29</f>
        <v>1153.418460248294</v>
      </c>
      <c r="DO91" s="1121">
        <f>+CF!DO29</f>
        <v>4282.1788129209745</v>
      </c>
      <c r="DP91" s="1118"/>
      <c r="DQ91" s="1122">
        <f>+CF!DQ29</f>
        <v>1067.6024825644945</v>
      </c>
      <c r="DR91" s="1123">
        <f>+CF!DR29</f>
        <v>1301.6546298178991</v>
      </c>
      <c r="DS91" s="1123">
        <f>+CF!DS29</f>
        <v>898.83955620146537</v>
      </c>
      <c r="DT91" s="1123">
        <f>+CF!DT29</f>
        <v>1214.831624946994</v>
      </c>
      <c r="DU91" s="1121">
        <f>+CF!DU29</f>
        <v>4482.9282935308529</v>
      </c>
      <c r="DV91" s="1118"/>
      <c r="DW91" s="1122">
        <f>+CF!DW29</f>
        <v>1286.6206284912669</v>
      </c>
      <c r="DX91" s="1123">
        <f>+CF!DX29</f>
        <v>1408.4039288143933</v>
      </c>
      <c r="DY91" s="1123">
        <f>+CF!DY29</f>
        <v>972.1670018560194</v>
      </c>
      <c r="DZ91" s="1123">
        <f>+CF!DZ29</f>
        <v>1472.351817180358</v>
      </c>
      <c r="EA91" s="1121">
        <f>+CF!EA29</f>
        <v>5139.5433763420369</v>
      </c>
      <c r="EB91" s="1118"/>
      <c r="EC91" s="1122">
        <f>+CF!EC29</f>
        <v>1523.7487656879432</v>
      </c>
      <c r="ED91" s="1123">
        <f>+CF!ED29</f>
        <v>1699.2101891871625</v>
      </c>
      <c r="EE91" s="1123">
        <f>+CF!EE29</f>
        <v>1246.6980921491659</v>
      </c>
      <c r="EF91" s="1123">
        <f>+CF!EF29</f>
        <v>1657.3167397883522</v>
      </c>
      <c r="EG91" s="1121">
        <f>+CF!EG29</f>
        <v>6126.9737868126231</v>
      </c>
      <c r="EH91" s="7"/>
      <c r="EI91" s="482"/>
      <c r="EJ91" s="7"/>
    </row>
    <row r="92" spans="1:140" ht="11.25" customHeight="1" x14ac:dyDescent="0.2">
      <c r="A92" s="1115" t="s">
        <v>42</v>
      </c>
      <c r="B92" s="1116"/>
      <c r="C92" s="1116"/>
      <c r="D92" s="1116"/>
      <c r="E92" s="1121">
        <f>+CF!E76</f>
        <v>215.45000000000002</v>
      </c>
      <c r="F92" s="1118"/>
      <c r="G92" s="1121">
        <f>+CF!G76</f>
        <v>251.06800000000001</v>
      </c>
      <c r="H92" s="1118"/>
      <c r="I92" s="1121">
        <f>+CF!I76</f>
        <v>330.19800000000004</v>
      </c>
      <c r="J92" s="1118"/>
      <c r="K92" s="1121">
        <f>+CF!K76</f>
        <v>423.74199999999996</v>
      </c>
      <c r="L92" s="1118"/>
      <c r="M92" s="1122">
        <f>+CF!M76</f>
        <v>152.58999999999997</v>
      </c>
      <c r="N92" s="1123">
        <f>+CF!N76</f>
        <v>119.245</v>
      </c>
      <c r="O92" s="1123">
        <f>+CF!O76</f>
        <v>101.27</v>
      </c>
      <c r="P92" s="1123">
        <f>+CF!P76</f>
        <v>154.78100000000006</v>
      </c>
      <c r="Q92" s="1121">
        <f>+CF!Q76</f>
        <v>527.88599999999997</v>
      </c>
      <c r="R92" s="1118"/>
      <c r="S92" s="1122">
        <f>+CF!S76</f>
        <v>253.233</v>
      </c>
      <c r="T92" s="1123">
        <f>+CF!T76</f>
        <v>123.70700000000002</v>
      </c>
      <c r="U92" s="1123">
        <f>+CF!U76</f>
        <v>162.83099999999996</v>
      </c>
      <c r="V92" s="1123">
        <f>+CF!V76</f>
        <v>131.61199999999999</v>
      </c>
      <c r="W92" s="1121">
        <f>+CF!W76</f>
        <v>671.38299999999992</v>
      </c>
      <c r="X92" s="1118"/>
      <c r="Y92" s="1122">
        <f>+CF!Y76</f>
        <v>204.42200000000003</v>
      </c>
      <c r="Z92" s="1123">
        <f>+CF!Z76</f>
        <v>214.011</v>
      </c>
      <c r="AA92" s="1123">
        <f>+CF!AA76</f>
        <v>156.79300000000006</v>
      </c>
      <c r="AB92" s="1123">
        <f>+CF!AB76</f>
        <v>218.90099999999995</v>
      </c>
      <c r="AC92" s="1121">
        <f>+CF!AC76</f>
        <v>794.12700000000007</v>
      </c>
      <c r="AD92" s="1118"/>
      <c r="AE92" s="1122">
        <f>+CF!AE76</f>
        <v>239.142</v>
      </c>
      <c r="AF92" s="1123">
        <f>+CF!AF76</f>
        <v>227.684</v>
      </c>
      <c r="AG92" s="1123">
        <f>+CF!AG76</f>
        <v>258.67899999999997</v>
      </c>
      <c r="AH92" s="1123">
        <f>+CF!AH76</f>
        <v>222.69899999999987</v>
      </c>
      <c r="AI92" s="1121">
        <f>+CF!AI76</f>
        <v>948.20399999999995</v>
      </c>
      <c r="AJ92" s="1118"/>
      <c r="AK92" s="1122">
        <f>+CF!AK76</f>
        <v>292.41599999999994</v>
      </c>
      <c r="AL92" s="1123">
        <f>+CF!AL76</f>
        <v>254.26500000000007</v>
      </c>
      <c r="AM92" s="1123">
        <f>+CF!AM76</f>
        <v>284.11399999999998</v>
      </c>
      <c r="AN92" s="1123">
        <f>+CF!AN76</f>
        <v>270.58299999999997</v>
      </c>
      <c r="AO92" s="1121">
        <f>+CF!AO76</f>
        <v>1101.3779999999999</v>
      </c>
      <c r="AP92" s="1118"/>
      <c r="AQ92" s="1122">
        <f>+CF!AQ76</f>
        <v>310.291</v>
      </c>
      <c r="AR92" s="1123">
        <f>+CF!AR76</f>
        <v>285.16600000000005</v>
      </c>
      <c r="AS92" s="1123">
        <f>+CF!AS76</f>
        <v>397.1760000000001</v>
      </c>
      <c r="AT92" s="1123">
        <f>+CF!AT76</f>
        <v>426.89999999999986</v>
      </c>
      <c r="AU92" s="1121">
        <f>+CF!AU76</f>
        <v>1419.5330000000001</v>
      </c>
      <c r="AV92" s="1118"/>
      <c r="AW92" s="1122">
        <f>+CF!AW76</f>
        <v>291.69600000000003</v>
      </c>
      <c r="AX92" s="1123">
        <f>+CF!AX76</f>
        <v>341.32499999999993</v>
      </c>
      <c r="AY92" s="1123">
        <f>+CF!AY76</f>
        <v>355.37200000000001</v>
      </c>
      <c r="AZ92" s="1123">
        <f>+CF!AZ76</f>
        <v>510.84800000000007</v>
      </c>
      <c r="BA92" s="1121">
        <f>+CF!BA76</f>
        <v>1499.2410000000002</v>
      </c>
      <c r="BB92" s="1118"/>
      <c r="BC92" s="1122">
        <f>+CF!BC76</f>
        <v>294.42</v>
      </c>
      <c r="BD92" s="1123">
        <f>+CF!BD76</f>
        <v>536.51199999999994</v>
      </c>
      <c r="BE92" s="1123">
        <f>+CF!BE76</f>
        <v>401.47700000000003</v>
      </c>
      <c r="BF92" s="1123">
        <f>+CF!BF76</f>
        <v>433.92500000000018</v>
      </c>
      <c r="BG92" s="1121">
        <f>+CF!BG76</f>
        <v>1666.3340000000001</v>
      </c>
      <c r="BH92" s="1118"/>
      <c r="BI92" s="1122">
        <f>+CF!BI76</f>
        <v>280.60499999999996</v>
      </c>
      <c r="BJ92" s="1123">
        <f>+CF!BJ76</f>
        <v>439.9620000000001</v>
      </c>
      <c r="BK92" s="1123">
        <f>+CF!BK76</f>
        <v>472.89799999999991</v>
      </c>
      <c r="BL92" s="1123">
        <f>+CF!BL76</f>
        <v>424.91200000000015</v>
      </c>
      <c r="BM92" s="1121">
        <f>+CF!BM76</f>
        <v>1618.3770000000002</v>
      </c>
      <c r="BN92" s="1118"/>
      <c r="BO92" s="1122">
        <f>+CF!BO76</f>
        <v>358.21299999999997</v>
      </c>
      <c r="BP92" s="1123">
        <f>+CF!BP76</f>
        <v>468.81799999999993</v>
      </c>
      <c r="BQ92" s="1123">
        <f>+CF!BQ76</f>
        <v>509.8660000000001</v>
      </c>
      <c r="BR92" s="1123">
        <f>+CF!BR76</f>
        <v>490.69100000000003</v>
      </c>
      <c r="BS92" s="1121">
        <f>+CF!BS76</f>
        <v>1827.5879999999997</v>
      </c>
      <c r="BT92" s="1118"/>
      <c r="BU92" s="1122">
        <f>+CF!BU76</f>
        <v>387.97300000000001</v>
      </c>
      <c r="BV92" s="1123">
        <f>+CF!BV76</f>
        <v>734.58800000000008</v>
      </c>
      <c r="BW92" s="1123">
        <f>+CF!BW76</f>
        <v>578.45999999999992</v>
      </c>
      <c r="BX92" s="1123">
        <f>+CF!BX76</f>
        <v>696.57900000000018</v>
      </c>
      <c r="BY92" s="1121">
        <f>+CF!BY76</f>
        <v>2397.6</v>
      </c>
      <c r="BZ92" s="1118"/>
      <c r="CA92" s="1122">
        <f>+CF!CA76</f>
        <v>533.6</v>
      </c>
      <c r="CB92" s="1123">
        <f>+CF!CB76</f>
        <v>933.8</v>
      </c>
      <c r="CC92" s="1123">
        <f>+CF!CC76</f>
        <v>870.50000000000011</v>
      </c>
      <c r="CD92" s="1123">
        <f>+CF!CD76</f>
        <v>705.89999999999986</v>
      </c>
      <c r="CE92" s="1121">
        <f>+CF!CE76</f>
        <v>3043.7999999999993</v>
      </c>
      <c r="CF92" s="1118"/>
      <c r="CG92" s="1122">
        <f>+CF!CG76</f>
        <v>520.20000000000005</v>
      </c>
      <c r="CH92" s="1123">
        <f>+CF!CH76</f>
        <v>763</v>
      </c>
      <c r="CI92" s="1123">
        <f>+CF!CI76</f>
        <v>832.09999999999991</v>
      </c>
      <c r="CJ92" s="1123">
        <f>+CF!CJ76</f>
        <v>918.49999999999977</v>
      </c>
      <c r="CK92" s="1121">
        <f>+CF!CK76</f>
        <v>3033.7999999999997</v>
      </c>
      <c r="CL92" s="1118"/>
      <c r="CM92" s="1122">
        <f>+CF!CM76</f>
        <v>380.30000000000007</v>
      </c>
      <c r="CN92" s="1123">
        <f>+CF!CN76</f>
        <v>843.99999999999989</v>
      </c>
      <c r="CO92" s="1123">
        <f>+CF!CO76</f>
        <v>817.2</v>
      </c>
      <c r="CP92" s="1123">
        <f>+CF!CP76</f>
        <v>995.90000000000032</v>
      </c>
      <c r="CQ92" s="1121">
        <f>+CF!CQ76</f>
        <v>3037.4</v>
      </c>
      <c r="CR92" s="1118"/>
      <c r="CS92" s="1122">
        <f>+CF!CS76</f>
        <v>412.59999999999991</v>
      </c>
      <c r="CT92" s="1123">
        <f>+CF!CT76</f>
        <v>965.09999999999991</v>
      </c>
      <c r="CU92" s="1123">
        <f>+CF!CU76</f>
        <v>159.20000000000027</v>
      </c>
      <c r="CV92" s="1123">
        <f>+CF!CV76</f>
        <v>782.39999999999986</v>
      </c>
      <c r="CW92" s="1121">
        <f>+CF!CW76</f>
        <v>2319.2999999999997</v>
      </c>
      <c r="CX92" s="1118"/>
      <c r="CY92" s="1122">
        <f>+CF!CY76</f>
        <v>621.79999999999995</v>
      </c>
      <c r="CZ92" s="1123">
        <f>+CF!CZ76</f>
        <v>1097.8999999999996</v>
      </c>
      <c r="DA92" s="1123">
        <f>+CF!DA76</f>
        <v>296.70000000000016</v>
      </c>
      <c r="DB92" s="1123">
        <f>+CF!DB76</f>
        <v>481.49999999999977</v>
      </c>
      <c r="DC92" s="1121">
        <f>+CF!DC76</f>
        <v>2497.8999999999992</v>
      </c>
      <c r="DD92" s="1118"/>
      <c r="DE92" s="1122">
        <f>+CF!DE76</f>
        <v>401.6</v>
      </c>
      <c r="DF92" s="1123">
        <f>+CF!DF76</f>
        <v>862.6</v>
      </c>
      <c r="DG92" s="1123">
        <f>+CF!DG76</f>
        <v>933.10000000000014</v>
      </c>
      <c r="DH92" s="1123">
        <f>+CF!DH76</f>
        <v>660.89999999999986</v>
      </c>
      <c r="DI92" s="1121">
        <f>+CF!DI76</f>
        <v>2858.2</v>
      </c>
      <c r="DJ92" s="1118"/>
      <c r="DK92" s="1122">
        <f>+CF!DK76</f>
        <v>909.5146175485736</v>
      </c>
      <c r="DL92" s="1123">
        <f>+CF!DL76</f>
        <v>1058.2526141533735</v>
      </c>
      <c r="DM92" s="1123">
        <f>+CF!DM76</f>
        <v>697.75614497073241</v>
      </c>
      <c r="DN92" s="1123">
        <f>+CF!DN76</f>
        <v>979.39281224829392</v>
      </c>
      <c r="DO92" s="1121">
        <f>+CF!DO76</f>
        <v>3644.9161889209745</v>
      </c>
      <c r="DP92" s="1118"/>
      <c r="DQ92" s="1122">
        <f>+CF!DQ76</f>
        <v>910.36484256449444</v>
      </c>
      <c r="DR92" s="1123">
        <f>+CF!DR76</f>
        <v>1136.2643923778992</v>
      </c>
      <c r="DS92" s="1123">
        <f>+CF!DS76</f>
        <v>737.52337764146534</v>
      </c>
      <c r="DT92" s="1123">
        <f>+CF!DT76</f>
        <v>1034.003268626994</v>
      </c>
      <c r="DU92" s="1121">
        <f>+CF!DU76</f>
        <v>3818.1558812108528</v>
      </c>
      <c r="DV92" s="1118"/>
      <c r="DW92" s="1122">
        <f>+CF!DW76</f>
        <v>1122.655082531267</v>
      </c>
      <c r="DX92" s="1123">
        <f>+CF!DX76</f>
        <v>1235.9365988991933</v>
      </c>
      <c r="DY92" s="1123">
        <f>+CF!DY76</f>
        <v>803.94640130721939</v>
      </c>
      <c r="DZ92" s="1123">
        <f>+CF!DZ76</f>
        <v>1283.795108273958</v>
      </c>
      <c r="EA92" s="1121">
        <f>+CF!EA76</f>
        <v>4446.3331910116367</v>
      </c>
      <c r="EB92" s="1118"/>
      <c r="EC92" s="1122">
        <f>+CF!EC76</f>
        <v>1352.7607126589432</v>
      </c>
      <c r="ED92" s="1123">
        <f>+CF!ED76</f>
        <v>1519.3557344306585</v>
      </c>
      <c r="EE92" s="1123">
        <f>+CF!EE76</f>
        <v>1071.2705905860857</v>
      </c>
      <c r="EF92" s="1123">
        <f>+CF!EF76</f>
        <v>1460.6935478030362</v>
      </c>
      <c r="EG92" s="1121">
        <f>+CF!EG76</f>
        <v>5404.0805854787232</v>
      </c>
      <c r="EH92" s="7"/>
      <c r="EI92" s="482"/>
      <c r="EJ92" s="7"/>
    </row>
    <row r="93" spans="1:140" ht="11.25" customHeight="1" x14ac:dyDescent="0.2">
      <c r="A93" s="1124" t="s">
        <v>277</v>
      </c>
      <c r="B93" s="1116"/>
      <c r="C93" s="1116"/>
      <c r="D93" s="1116"/>
      <c r="E93" s="1125">
        <v>0.39107311406374795</v>
      </c>
      <c r="F93" s="1118"/>
      <c r="G93" s="1125">
        <v>0.43592129845055461</v>
      </c>
      <c r="H93" s="1118"/>
      <c r="I93" s="1125">
        <v>0.56506307798670685</v>
      </c>
      <c r="J93" s="1118"/>
      <c r="K93" s="1125">
        <v>0.72808404181472031</v>
      </c>
      <c r="L93" s="1118"/>
      <c r="M93" s="1126">
        <v>0.25352903646006403</v>
      </c>
      <c r="N93" s="1127">
        <v>0.19530175181142806</v>
      </c>
      <c r="O93" s="1127">
        <v>0.16634581269136256</v>
      </c>
      <c r="P93" s="1127">
        <v>0.25544116870428568</v>
      </c>
      <c r="Q93" s="1125">
        <v>0.87119101687306899</v>
      </c>
      <c r="R93" s="1118"/>
      <c r="S93" s="1126">
        <v>0.41129550947220705</v>
      </c>
      <c r="T93" s="1127">
        <v>0.19323783935768071</v>
      </c>
      <c r="U93" s="1127">
        <v>0.25504351203864389</v>
      </c>
      <c r="V93" s="1127">
        <v>0.20614493988509563</v>
      </c>
      <c r="W93" s="1125">
        <v>1.0590839969207859</v>
      </c>
      <c r="X93" s="1118"/>
      <c r="Y93" s="1126">
        <v>0.31808336497227185</v>
      </c>
      <c r="Z93" s="1127">
        <v>0.33190085669443736</v>
      </c>
      <c r="AA93" s="1127">
        <v>0.24230702659932879</v>
      </c>
      <c r="AB93" s="1127">
        <v>0.33870922819830407</v>
      </c>
      <c r="AC93" s="1125">
        <v>1.2287661694621528</v>
      </c>
      <c r="AD93" s="1118"/>
      <c r="AE93" s="1126">
        <v>0.36535664523698941</v>
      </c>
      <c r="AF93" s="1127">
        <v>0.34785132855850792</v>
      </c>
      <c r="AG93" s="1127">
        <v>0.39436742111248996</v>
      </c>
      <c r="AH93" s="1127">
        <v>0.33978993045489614</v>
      </c>
      <c r="AI93" s="1125">
        <v>1.4467517645658694</v>
      </c>
      <c r="AJ93" s="1118"/>
      <c r="AK93" s="1126">
        <v>0.44387504174382941</v>
      </c>
      <c r="AL93" s="1127">
        <v>0.38674541560701392</v>
      </c>
      <c r="AM93" s="1127">
        <v>0.43227428056733008</v>
      </c>
      <c r="AN93" s="1127">
        <v>0.41602936066445872</v>
      </c>
      <c r="AO93" s="1125">
        <v>1.6790169002661721</v>
      </c>
      <c r="AP93" s="1118"/>
      <c r="AQ93" s="1126">
        <v>0.47877763890817632</v>
      </c>
      <c r="AR93" s="1127">
        <v>0.44006691296068257</v>
      </c>
      <c r="AS93" s="1127">
        <v>0.60965561279310376</v>
      </c>
      <c r="AT93" s="1127">
        <v>0.65231542178174229</v>
      </c>
      <c r="AU93" s="1125">
        <v>2.1822115842841376</v>
      </c>
      <c r="AV93" s="1118"/>
      <c r="AW93" s="1126">
        <v>0.4447263302332673</v>
      </c>
      <c r="AX93" s="1127">
        <v>0.52073162545463414</v>
      </c>
      <c r="AY93" s="1127">
        <v>0.54150108491601046</v>
      </c>
      <c r="AZ93" s="1127">
        <v>0.76471275070132017</v>
      </c>
      <c r="BA93" s="1125">
        <v>2.2753073978856251</v>
      </c>
      <c r="BB93" s="1118"/>
      <c r="BC93" s="1126">
        <v>0.43815890515337502</v>
      </c>
      <c r="BD93" s="1127">
        <v>0.7970738461629886</v>
      </c>
      <c r="BE93" s="1127">
        <v>0.595073428708639</v>
      </c>
      <c r="BF93" s="1127">
        <v>0.65038085331526763</v>
      </c>
      <c r="BG93" s="1125">
        <v>2.4806751562392999</v>
      </c>
      <c r="BH93" s="1118"/>
      <c r="BI93" s="1126">
        <v>0.42072112054359911</v>
      </c>
      <c r="BJ93" s="1127">
        <v>0.6575626233036409</v>
      </c>
      <c r="BK93" s="1127">
        <v>0.70315641095792636</v>
      </c>
      <c r="BL93" s="1127">
        <v>0.63103243435903544</v>
      </c>
      <c r="BM93" s="1125">
        <v>2.4101497578497777</v>
      </c>
      <c r="BN93" s="1118"/>
      <c r="BO93" s="1126">
        <v>0.52668932926739609</v>
      </c>
      <c r="BP93" s="1127">
        <v>0.68707590666209406</v>
      </c>
      <c r="BQ93" s="1127">
        <v>0.74603873690248179</v>
      </c>
      <c r="BR93" s="1127">
        <v>0.71403667308394714</v>
      </c>
      <c r="BS93" s="1125">
        <v>2.6747473564816504</v>
      </c>
      <c r="BT93" s="1118"/>
      <c r="BU93" s="1126">
        <v>0.56364552945688684</v>
      </c>
      <c r="BV93" s="1127">
        <v>1.0575713469210293</v>
      </c>
      <c r="BW93" s="1127">
        <v>0.81427021000755895</v>
      </c>
      <c r="BX93" s="1127">
        <v>0.97916643238684309</v>
      </c>
      <c r="BY93" s="1125">
        <v>3.4192812321734167</v>
      </c>
      <c r="BZ93" s="1118"/>
      <c r="CA93" s="1126">
        <v>0.7473389355742297</v>
      </c>
      <c r="CB93" s="1127">
        <v>1.3061966708630577</v>
      </c>
      <c r="CC93" s="1127">
        <v>1.2193584535649253</v>
      </c>
      <c r="CD93" s="1127">
        <v>0.99478579481397944</v>
      </c>
      <c r="CE93" s="1125">
        <v>4.2684055532183409</v>
      </c>
      <c r="CF93" s="1118"/>
      <c r="CG93" s="1126">
        <v>0.73433088650479961</v>
      </c>
      <c r="CH93" s="1127">
        <v>1.0749506903353059</v>
      </c>
      <c r="CI93" s="1127">
        <v>1.168843938755443</v>
      </c>
      <c r="CJ93" s="1127">
        <v>1.286775007004763</v>
      </c>
      <c r="CK93" s="1125">
        <v>4.2669479606188467</v>
      </c>
      <c r="CL93" s="1118"/>
      <c r="CM93" s="1126">
        <v>0.53203693340794644</v>
      </c>
      <c r="CN93" s="1127">
        <v>1.1794298490776969</v>
      </c>
      <c r="CO93" s="1127">
        <v>1.14102206087685</v>
      </c>
      <c r="CP93" s="1127">
        <v>1.3878205128205132</v>
      </c>
      <c r="CQ93" s="1125">
        <v>4.241586370618629</v>
      </c>
      <c r="CR93" s="1118"/>
      <c r="CS93" s="1126">
        <f>+CS92/'Pro Forma IS'!CS41</f>
        <v>0.57409211075553068</v>
      </c>
      <c r="CT93" s="1127">
        <f>+CT92/'Pro Forma IS'!CT41</f>
        <v>1.3411617565314062</v>
      </c>
      <c r="CU93" s="1127">
        <f>+CU92/'Pro Forma IS'!CU41</f>
        <v>0.22785172463145881</v>
      </c>
      <c r="CV93" s="1127">
        <f>+CV92/'Pro Forma IS'!CV41</f>
        <v>1.1223640797590013</v>
      </c>
      <c r="CW93" s="1125">
        <f>+CW92/'Pro Forma IS'!CW41</f>
        <v>3.2735356386732528</v>
      </c>
      <c r="CX93" s="1118"/>
      <c r="CY93" s="1126">
        <f>+CY92/'Pro Forma IS'!CY41</f>
        <v>0.89198106440969727</v>
      </c>
      <c r="CZ93" s="1127">
        <f>+CZ92/'Pro Forma IS'!CZ41</f>
        <v>1.5708971240520815</v>
      </c>
      <c r="DA93" s="1127">
        <f>+DA92/'Pro Forma IS'!DA41</f>
        <v>0.42307143875659514</v>
      </c>
      <c r="DB93" s="1127">
        <f>+DB92/'Pro Forma IS'!DB41</f>
        <v>0.68599515600512861</v>
      </c>
      <c r="DC93" s="1125">
        <f>+DC92/'Pro Forma IS'!DC41</f>
        <v>3.5694484138325224</v>
      </c>
      <c r="DD93" s="1118"/>
      <c r="DE93" s="1126">
        <f>+DE92/'Pro Forma IS'!DE41</f>
        <v>0.56908034575598698</v>
      </c>
      <c r="DF93" s="1127">
        <f>+DF92/'Pro Forma IS'!DF41</f>
        <v>1.2228522823929686</v>
      </c>
      <c r="DG93" s="1127">
        <f>+DG92/'Pro Forma IS'!DG41</f>
        <v>1.3224206349206351</v>
      </c>
      <c r="DH93" s="1127">
        <f>+DH92/'Pro Forma IS'!DH41</f>
        <v>0.93400226116449947</v>
      </c>
      <c r="DI93" s="1125">
        <f>+DI92/'Pro Forma IS'!DI41</f>
        <v>4.0478685738563938</v>
      </c>
      <c r="DJ93" s="1118"/>
      <c r="DK93" s="1126">
        <f>+DK92/'Pro Forma IS'!DK41</f>
        <v>1.2819092565871368</v>
      </c>
      <c r="DL93" s="1127">
        <f>+DL92/'Pro Forma IS'!DL41</f>
        <v>1.4888190970081225</v>
      </c>
      <c r="DM93" s="1127">
        <f>+DM92/'Pro Forma IS'!DM41</f>
        <v>0.97862011917353753</v>
      </c>
      <c r="DN93" s="1127">
        <f>+DN92/'Pro Forma IS'!DN41</f>
        <v>1.3693971088482855</v>
      </c>
      <c r="DO93" s="1125">
        <f>+DO92/'Pro Forma IS'!DO41</f>
        <v>5.1199834090756768</v>
      </c>
      <c r="DP93" s="1118"/>
      <c r="DQ93" s="1126">
        <f>+DQ92/'Pro Forma IS'!DQ41</f>
        <v>1.2689780353561395</v>
      </c>
      <c r="DR93" s="1127">
        <f>+DR92/'Pro Forma IS'!DR41</f>
        <v>1.5790222239826281</v>
      </c>
      <c r="DS93" s="1127">
        <f>+DS92/'Pro Forma IS'!DS41</f>
        <v>1.0217835655880649</v>
      </c>
      <c r="DT93" s="1127">
        <f>+DT92/'Pro Forma IS'!DT41</f>
        <v>1.4281813102582788</v>
      </c>
      <c r="DU93" s="1125">
        <f>+DU92/'Pro Forma IS'!DU41</f>
        <v>5.2978435981835048</v>
      </c>
      <c r="DV93" s="1118"/>
      <c r="DW93" s="1126">
        <f>+DW92/'Pro Forma IS'!DW41</f>
        <v>1.5459309866858535</v>
      </c>
      <c r="DX93" s="1127">
        <f>+DX92/'Pro Forma IS'!DX41</f>
        <v>1.6967828101306877</v>
      </c>
      <c r="DY93" s="1127">
        <f>+DY92/'Pro Forma IS'!DY41</f>
        <v>1.1003920083591829</v>
      </c>
      <c r="DZ93" s="1127">
        <f>+DZ92/'Pro Forma IS'!DZ41</f>
        <v>1.7519038049590032</v>
      </c>
      <c r="EA93" s="1125">
        <f>+EA92/'Pro Forma IS'!EA41</f>
        <v>6.0950420712976507</v>
      </c>
      <c r="EB93" s="1118"/>
      <c r="EC93" s="1126">
        <f>+EC92/'Pro Forma IS'!EC41</f>
        <v>1.8404907655223715</v>
      </c>
      <c r="ED93" s="1127">
        <f>+ED92/'Pro Forma IS'!ED41</f>
        <v>2.0609817341707246</v>
      </c>
      <c r="EE93" s="1127">
        <f>+EE92/'Pro Forma IS'!EE41</f>
        <v>1.4488376935164802</v>
      </c>
      <c r="EF93" s="1127">
        <f>+EF92/'Pro Forma IS'!EF41</f>
        <v>1.9696514938012886</v>
      </c>
      <c r="EG93" s="1125">
        <f>+EG92/'Pro Forma IS'!EG41</f>
        <v>7.3196269612335376</v>
      </c>
      <c r="EH93" s="7"/>
      <c r="EI93" s="482"/>
      <c r="EJ93" s="7"/>
    </row>
    <row r="94" spans="1:140" ht="11.25" customHeight="1" x14ac:dyDescent="0.2">
      <c r="A94" s="2"/>
      <c r="B94" s="2"/>
      <c r="C94" s="2"/>
      <c r="D94" s="2"/>
      <c r="E94" s="67"/>
      <c r="F94" s="126"/>
      <c r="G94" s="67"/>
      <c r="H94" s="126"/>
      <c r="I94" s="67"/>
      <c r="J94" s="126"/>
      <c r="K94" s="67"/>
      <c r="L94" s="126"/>
      <c r="M94" s="67"/>
      <c r="N94" s="67"/>
      <c r="O94" s="67"/>
      <c r="P94" s="67"/>
      <c r="Q94" s="67"/>
      <c r="R94" s="126"/>
      <c r="S94" s="67"/>
      <c r="T94" s="67"/>
      <c r="U94" s="67"/>
      <c r="V94" s="67"/>
      <c r="W94" s="67"/>
      <c r="X94" s="126"/>
      <c r="Y94" s="67"/>
      <c r="Z94" s="67"/>
      <c r="AA94" s="67"/>
      <c r="AB94" s="67"/>
      <c r="AC94" s="67"/>
      <c r="AD94" s="126"/>
      <c r="AE94" s="67"/>
      <c r="AF94" s="67"/>
      <c r="AG94" s="67"/>
      <c r="AH94" s="67"/>
      <c r="AI94" s="67"/>
      <c r="AJ94" s="126"/>
      <c r="AK94" s="67"/>
      <c r="AL94" s="67"/>
      <c r="AM94" s="67"/>
      <c r="AN94" s="67"/>
      <c r="AO94" s="67"/>
      <c r="AP94" s="126"/>
      <c r="AQ94" s="67"/>
      <c r="AR94" s="67"/>
      <c r="AS94" s="67"/>
      <c r="AT94" s="67"/>
      <c r="AU94" s="67"/>
      <c r="AV94" s="126"/>
      <c r="AW94" s="67"/>
      <c r="AX94" s="67"/>
      <c r="AY94" s="67"/>
      <c r="AZ94" s="67"/>
      <c r="BA94" s="67"/>
      <c r="BB94" s="126"/>
      <c r="BC94" s="67"/>
      <c r="BD94" s="67"/>
      <c r="BE94" s="67"/>
      <c r="BF94" s="67"/>
      <c r="BG94" s="67"/>
      <c r="BH94" s="126"/>
      <c r="BI94" s="67"/>
      <c r="BJ94" s="67"/>
      <c r="BK94" s="67"/>
      <c r="BL94" s="67"/>
      <c r="BM94" s="67"/>
      <c r="BN94" s="126"/>
      <c r="BO94" s="67"/>
      <c r="BP94" s="67"/>
      <c r="BQ94" s="67"/>
      <c r="BR94" s="67"/>
      <c r="BS94" s="67"/>
      <c r="BT94" s="126"/>
      <c r="BU94" s="67"/>
      <c r="BV94" s="67"/>
      <c r="BW94" s="67"/>
      <c r="BX94" s="67"/>
      <c r="BY94" s="67"/>
      <c r="BZ94" s="126"/>
      <c r="CA94" s="67"/>
      <c r="CB94" s="67"/>
      <c r="CC94" s="67"/>
      <c r="CD94" s="67"/>
      <c r="CE94" s="67"/>
      <c r="CF94" s="126"/>
      <c r="CG94" s="67"/>
      <c r="CH94" s="67"/>
      <c r="CI94" s="67"/>
      <c r="CJ94" s="67"/>
      <c r="CK94" s="67"/>
      <c r="CL94" s="126"/>
      <c r="CM94" s="67"/>
      <c r="CN94" s="67"/>
      <c r="CO94" s="67"/>
      <c r="CP94" s="67"/>
      <c r="CQ94" s="67"/>
      <c r="CR94" s="126"/>
      <c r="CS94" s="67"/>
      <c r="CT94" s="67"/>
      <c r="CU94" s="67"/>
      <c r="CV94" s="67"/>
      <c r="CW94" s="67"/>
      <c r="CX94" s="126"/>
      <c r="CY94" s="67"/>
      <c r="CZ94" s="67"/>
      <c r="DA94" s="67"/>
      <c r="DB94" s="67"/>
      <c r="DC94" s="67"/>
      <c r="DD94" s="126"/>
      <c r="DE94" s="67"/>
      <c r="DF94" s="67"/>
      <c r="DG94" s="67"/>
      <c r="DH94" s="67"/>
      <c r="DI94" s="67"/>
      <c r="DJ94" s="126"/>
      <c r="DK94" s="67"/>
      <c r="DL94" s="67"/>
      <c r="DM94" s="67"/>
      <c r="DN94" s="67"/>
      <c r="DO94" s="67"/>
      <c r="DP94" s="126"/>
      <c r="DQ94" s="67"/>
      <c r="DR94" s="67"/>
      <c r="DS94" s="67"/>
      <c r="DT94" s="67"/>
      <c r="DU94" s="67"/>
      <c r="DV94" s="126"/>
      <c r="DW94" s="67"/>
      <c r="DX94" s="67"/>
      <c r="DY94" s="67"/>
      <c r="DZ94" s="67"/>
      <c r="EA94" s="67"/>
      <c r="EB94" s="126"/>
      <c r="EC94" s="67"/>
      <c r="ED94" s="67"/>
      <c r="EE94" s="67"/>
      <c r="EF94" s="67"/>
      <c r="EG94" s="67"/>
      <c r="EH94" s="7"/>
      <c r="EI94" s="482"/>
      <c r="EJ94" s="7"/>
    </row>
    <row r="95" spans="1:140" ht="11.25" customHeight="1" x14ac:dyDescent="0.2">
      <c r="A95" s="106" t="s">
        <v>113</v>
      </c>
      <c r="B95" s="170"/>
      <c r="C95" s="170"/>
      <c r="D95" s="170"/>
      <c r="E95" s="171"/>
      <c r="F95" s="171"/>
      <c r="G95" s="171"/>
      <c r="H95" s="171"/>
      <c r="I95" s="171"/>
      <c r="J95" s="171"/>
      <c r="K95" s="171"/>
      <c r="L95" s="171"/>
      <c r="M95" s="172"/>
      <c r="N95" s="172"/>
      <c r="O95" s="172"/>
      <c r="P95" s="172"/>
      <c r="Q95" s="171"/>
      <c r="R95" s="171"/>
      <c r="S95" s="172"/>
      <c r="T95" s="172"/>
      <c r="U95" s="172"/>
      <c r="V95" s="172"/>
      <c r="W95" s="171"/>
      <c r="X95" s="171"/>
      <c r="Y95" s="172"/>
      <c r="Z95" s="172"/>
      <c r="AA95" s="172"/>
      <c r="AB95" s="172"/>
      <c r="AC95" s="171"/>
      <c r="AD95" s="171"/>
      <c r="AE95" s="172"/>
      <c r="AF95" s="172"/>
      <c r="AG95" s="172"/>
      <c r="AH95" s="172"/>
      <c r="AI95" s="171"/>
      <c r="AJ95" s="171"/>
      <c r="AK95" s="172"/>
      <c r="AL95" s="172"/>
      <c r="AM95" s="172"/>
      <c r="AN95" s="172"/>
      <c r="AO95" s="171"/>
      <c r="AP95" s="171"/>
      <c r="AQ95" s="172"/>
      <c r="AR95" s="172"/>
      <c r="AS95" s="172"/>
      <c r="AT95" s="172"/>
      <c r="AU95" s="171"/>
      <c r="AV95" s="171"/>
      <c r="AW95" s="172"/>
      <c r="AX95" s="172"/>
      <c r="AY95" s="172"/>
      <c r="AZ95" s="172"/>
      <c r="BA95" s="171"/>
      <c r="BB95" s="171"/>
      <c r="BC95" s="172"/>
      <c r="BD95" s="172"/>
      <c r="BE95" s="172"/>
      <c r="BF95" s="172"/>
      <c r="BG95" s="171"/>
      <c r="BH95" s="171"/>
      <c r="BI95" s="172"/>
      <c r="BJ95" s="172"/>
      <c r="BK95" s="172"/>
      <c r="BL95" s="172"/>
      <c r="BM95" s="171"/>
      <c r="BN95" s="171"/>
      <c r="BO95" s="172"/>
      <c r="BP95" s="172"/>
      <c r="BQ95" s="172"/>
      <c r="BR95" s="172"/>
      <c r="BS95" s="171"/>
      <c r="BT95" s="171"/>
      <c r="BU95" s="172"/>
      <c r="BV95" s="172"/>
      <c r="BW95" s="172"/>
      <c r="BX95" s="172"/>
      <c r="BY95" s="171"/>
      <c r="BZ95" s="171"/>
      <c r="CA95" s="172"/>
      <c r="CB95" s="172"/>
      <c r="CC95" s="172"/>
      <c r="CD95" s="172"/>
      <c r="CE95" s="171"/>
      <c r="CF95" s="171"/>
      <c r="CG95" s="172"/>
      <c r="CH95" s="172"/>
      <c r="CI95" s="172"/>
      <c r="CJ95" s="172"/>
      <c r="CK95" s="171"/>
      <c r="CL95" s="171"/>
      <c r="CM95" s="172"/>
      <c r="CN95" s="172"/>
      <c r="CO95" s="172"/>
      <c r="CP95" s="172"/>
      <c r="CQ95" s="171"/>
      <c r="CR95" s="171"/>
      <c r="CS95" s="172"/>
      <c r="CT95" s="172"/>
      <c r="CU95" s="172"/>
      <c r="CV95" s="172"/>
      <c r="CW95" s="171"/>
      <c r="CX95" s="171"/>
      <c r="CY95" s="172"/>
      <c r="CZ95" s="172"/>
      <c r="DA95" s="172"/>
      <c r="DB95" s="172"/>
      <c r="DC95" s="171"/>
      <c r="DD95" s="171"/>
      <c r="DE95" s="172"/>
      <c r="DF95" s="172"/>
      <c r="DG95" s="172"/>
      <c r="DH95" s="172"/>
      <c r="DI95" s="171"/>
      <c r="DJ95" s="171"/>
      <c r="DK95" s="172"/>
      <c r="DL95" s="172"/>
      <c r="DM95" s="172"/>
      <c r="DN95" s="172"/>
      <c r="DO95" s="171"/>
      <c r="DP95" s="171"/>
      <c r="DQ95" s="172"/>
      <c r="DR95" s="172"/>
      <c r="DS95" s="172"/>
      <c r="DT95" s="172"/>
      <c r="DU95" s="171"/>
      <c r="DV95" s="171"/>
      <c r="DW95" s="172"/>
      <c r="DX95" s="172"/>
      <c r="DY95" s="172"/>
      <c r="DZ95" s="172"/>
      <c r="EA95" s="171"/>
      <c r="EB95" s="171"/>
      <c r="EC95" s="172"/>
      <c r="ED95" s="172"/>
      <c r="EE95" s="172"/>
      <c r="EF95" s="172"/>
      <c r="EG95" s="171"/>
      <c r="EH95" s="7"/>
      <c r="EI95" s="482"/>
      <c r="EJ95" s="7"/>
    </row>
    <row r="96" spans="1:140" ht="11.25" customHeight="1" x14ac:dyDescent="0.2">
      <c r="A96" s="51" t="s">
        <v>116</v>
      </c>
      <c r="B96" s="2"/>
      <c r="C96" s="2"/>
      <c r="D96" s="2"/>
      <c r="E96" s="141">
        <f>E13</f>
        <v>403.858</v>
      </c>
      <c r="F96" s="126"/>
      <c r="G96" s="141">
        <f>G13</f>
        <v>485.54300000000001</v>
      </c>
      <c r="H96" s="126"/>
      <c r="I96" s="141">
        <f>I13</f>
        <v>544.73800000000006</v>
      </c>
      <c r="J96" s="126"/>
      <c r="K96" s="141">
        <f>K13</f>
        <v>704.21400000000006</v>
      </c>
      <c r="L96" s="126"/>
      <c r="M96" s="137">
        <f t="shared" ref="M96:Q97" si="444">M13</f>
        <v>647.774</v>
      </c>
      <c r="N96" s="138">
        <f t="shared" si="444"/>
        <v>635.29499999999996</v>
      </c>
      <c r="O96" s="138">
        <f t="shared" si="444"/>
        <v>632.81100000000004</v>
      </c>
      <c r="P96" s="138">
        <f t="shared" si="444"/>
        <v>585.31799999999998</v>
      </c>
      <c r="Q96" s="141">
        <f t="shared" si="444"/>
        <v>585.31799999999998</v>
      </c>
      <c r="R96" s="126"/>
      <c r="S96" s="137">
        <f t="shared" ref="S96:W97" si="445">S13</f>
        <v>721.20899999999995</v>
      </c>
      <c r="T96" s="138">
        <f t="shared" si="445"/>
        <v>746.40499999999997</v>
      </c>
      <c r="U96" s="138">
        <f t="shared" si="445"/>
        <v>757.00599999999997</v>
      </c>
      <c r="V96" s="138">
        <f t="shared" si="445"/>
        <v>759.02800000000002</v>
      </c>
      <c r="W96" s="141">
        <f t="shared" si="445"/>
        <v>759.02800000000002</v>
      </c>
      <c r="X96" s="126"/>
      <c r="Y96" s="137">
        <f t="shared" ref="Y96:AC97" si="446">Y13</f>
        <v>770.33900000000006</v>
      </c>
      <c r="Z96" s="138">
        <f t="shared" si="446"/>
        <v>784.06200000000001</v>
      </c>
      <c r="AA96" s="138">
        <f t="shared" si="446"/>
        <v>836.58600000000001</v>
      </c>
      <c r="AB96" s="138">
        <f t="shared" si="446"/>
        <v>868.09699999999998</v>
      </c>
      <c r="AC96" s="141">
        <f t="shared" si="446"/>
        <v>868.09699999999998</v>
      </c>
      <c r="AD96" s="126"/>
      <c r="AE96" s="137">
        <f t="shared" ref="AE96:AI97" si="447">AE13</f>
        <v>951.66099999999994</v>
      </c>
      <c r="AF96" s="138">
        <f t="shared" si="447"/>
        <v>1094.029</v>
      </c>
      <c r="AG96" s="138">
        <f t="shared" si="447"/>
        <v>1110.2809999999999</v>
      </c>
      <c r="AH96" s="138">
        <f t="shared" si="447"/>
        <v>1231.0650000000001</v>
      </c>
      <c r="AI96" s="141">
        <f t="shared" si="447"/>
        <v>1231.0650000000001</v>
      </c>
      <c r="AJ96" s="126"/>
      <c r="AK96" s="137">
        <f t="shared" ref="AK96:AO97" si="448">AK13</f>
        <v>1164.672</v>
      </c>
      <c r="AL96" s="138">
        <f t="shared" si="448"/>
        <v>1176.5820000000001</v>
      </c>
      <c r="AM96" s="138">
        <f t="shared" si="448"/>
        <v>1364.32</v>
      </c>
      <c r="AN96" s="138">
        <f t="shared" si="448"/>
        <v>1407.8579999999999</v>
      </c>
      <c r="AO96" s="141">
        <f t="shared" si="448"/>
        <v>1407.8579999999999</v>
      </c>
      <c r="AP96" s="126"/>
      <c r="AQ96" s="137">
        <f t="shared" ref="AQ96:AU97" si="449">AQ13</f>
        <v>1388.559</v>
      </c>
      <c r="AR96" s="138">
        <f t="shared" si="449"/>
        <v>1561.3209999999999</v>
      </c>
      <c r="AS96" s="138">
        <f t="shared" si="449"/>
        <v>1595.579</v>
      </c>
      <c r="AT96" s="138">
        <f t="shared" si="449"/>
        <v>1674.97</v>
      </c>
      <c r="AU96" s="141">
        <f t="shared" si="449"/>
        <v>1674.97</v>
      </c>
      <c r="AV96" s="126"/>
      <c r="AW96" s="137">
        <f t="shared" ref="AW96:BA97" si="450">AW13</f>
        <v>1682.874</v>
      </c>
      <c r="AX96" s="138">
        <f t="shared" si="450"/>
        <v>1732.1859999999999</v>
      </c>
      <c r="AY96" s="138">
        <f t="shared" si="450"/>
        <v>1826.7090000000001</v>
      </c>
      <c r="AZ96" s="138">
        <f t="shared" si="450"/>
        <v>1984.384</v>
      </c>
      <c r="BA96" s="141">
        <f t="shared" si="450"/>
        <v>1984.384</v>
      </c>
      <c r="BB96" s="126"/>
      <c r="BC96" s="137">
        <f t="shared" ref="BC96:BG97" si="451">BC13</f>
        <v>2099.5079999999998</v>
      </c>
      <c r="BD96" s="138">
        <f t="shared" si="451"/>
        <v>2094.317</v>
      </c>
      <c r="BE96" s="138">
        <f t="shared" si="451"/>
        <v>2100.7950000000001</v>
      </c>
      <c r="BF96" s="138">
        <f t="shared" si="451"/>
        <v>1894.585</v>
      </c>
      <c r="BG96" s="141">
        <f t="shared" si="451"/>
        <v>1894.585</v>
      </c>
      <c r="BH96" s="126"/>
      <c r="BI96" s="137">
        <f t="shared" ref="BI96:BM97" si="452">BI13</f>
        <v>1707.133</v>
      </c>
      <c r="BJ96" s="138">
        <f t="shared" si="452"/>
        <v>1750.114</v>
      </c>
      <c r="BK96" s="138">
        <f t="shared" si="452"/>
        <v>1836.2550000000001</v>
      </c>
      <c r="BL96" s="138">
        <f t="shared" si="452"/>
        <v>1916.8309999999999</v>
      </c>
      <c r="BM96" s="141">
        <f t="shared" si="452"/>
        <v>1916.8309999999999</v>
      </c>
      <c r="BN96" s="126"/>
      <c r="BO96" s="137">
        <f t="shared" ref="BO96:BS97" si="453">BO13</f>
        <v>1981.4110000000001</v>
      </c>
      <c r="BP96" s="138">
        <f t="shared" si="453"/>
        <v>2025.9780000000001</v>
      </c>
      <c r="BQ96" s="138">
        <f t="shared" si="453"/>
        <v>2032.6610000000001</v>
      </c>
      <c r="BR96" s="138">
        <f t="shared" si="453"/>
        <v>2218.9749999999999</v>
      </c>
      <c r="BS96" s="141">
        <f t="shared" si="453"/>
        <v>2218.9749999999999</v>
      </c>
      <c r="BT96" s="126"/>
      <c r="BU96" s="137">
        <f t="shared" ref="BU96:BY97" si="454">BU13</f>
        <v>2210.2240000000002</v>
      </c>
      <c r="BV96" s="138">
        <f t="shared" si="454"/>
        <v>3099.4180000000001</v>
      </c>
      <c r="BW96" s="138">
        <f t="shared" si="454"/>
        <v>3007.192</v>
      </c>
      <c r="BX96" s="138">
        <f t="shared" si="454"/>
        <v>3049.895</v>
      </c>
      <c r="BY96" s="141">
        <f t="shared" si="454"/>
        <v>3049.895</v>
      </c>
      <c r="BZ96" s="126"/>
      <c r="CA96" s="137">
        <f t="shared" ref="CA96:CE97" si="455">CA13</f>
        <v>2996.4569999999999</v>
      </c>
      <c r="CB96" s="138">
        <f t="shared" si="455"/>
        <v>3094.25</v>
      </c>
      <c r="CC96" s="138">
        <f t="shared" si="455"/>
        <v>2984.7280000000001</v>
      </c>
      <c r="CD96" s="138">
        <f t="shared" si="455"/>
        <v>3267.3</v>
      </c>
      <c r="CE96" s="141">
        <f t="shared" si="455"/>
        <v>3267.3</v>
      </c>
      <c r="CF96" s="126"/>
      <c r="CG96" s="137">
        <f t="shared" ref="CG96:CK97" si="456">CG13</f>
        <v>3118.3</v>
      </c>
      <c r="CH96" s="138">
        <f t="shared" si="456"/>
        <v>3281.4</v>
      </c>
      <c r="CI96" s="138">
        <f t="shared" si="456"/>
        <v>3372.7</v>
      </c>
      <c r="CJ96" s="138">
        <f t="shared" si="456"/>
        <v>3451.6</v>
      </c>
      <c r="CK96" s="141">
        <f t="shared" si="456"/>
        <v>3451.6</v>
      </c>
      <c r="CL96" s="126"/>
      <c r="CM96" s="137">
        <f t="shared" ref="CM96:CQ97" si="457">CM13</f>
        <v>3467.6</v>
      </c>
      <c r="CN96" s="138">
        <f t="shared" si="457"/>
        <v>3631.8</v>
      </c>
      <c r="CO96" s="138">
        <f t="shared" si="457"/>
        <v>3498.1</v>
      </c>
      <c r="CP96" s="138">
        <f t="shared" si="457"/>
        <v>3633.8</v>
      </c>
      <c r="CQ96" s="141">
        <f t="shared" si="457"/>
        <v>3633.8</v>
      </c>
      <c r="CR96" s="126"/>
      <c r="CS96" s="137">
        <f t="shared" ref="CS96:CW97" si="458">CS13</f>
        <v>3446.9</v>
      </c>
      <c r="CT96" s="138">
        <f t="shared" si="458"/>
        <v>3565.2</v>
      </c>
      <c r="CU96" s="138">
        <f t="shared" si="458"/>
        <v>3906.1</v>
      </c>
      <c r="CV96" s="138">
        <f t="shared" si="458"/>
        <v>3964.1</v>
      </c>
      <c r="CW96" s="141">
        <f t="shared" si="458"/>
        <v>3964.1</v>
      </c>
      <c r="CX96" s="126"/>
      <c r="CY96" s="137">
        <f t="shared" ref="CY96:DC97" si="459">CY13</f>
        <v>3871.2</v>
      </c>
      <c r="CZ96" s="138">
        <f t="shared" si="459"/>
        <v>3994.8</v>
      </c>
      <c r="DA96" s="138">
        <f t="shared" si="459"/>
        <v>3081.8</v>
      </c>
      <c r="DB96" s="138">
        <f t="shared" si="459"/>
        <v>3186.1</v>
      </c>
      <c r="DC96" s="141">
        <f t="shared" si="459"/>
        <v>3186.1</v>
      </c>
      <c r="DD96" s="126"/>
      <c r="DE96" s="137">
        <f t="shared" ref="DE96:DI97" si="460">DE13</f>
        <v>3034.9</v>
      </c>
      <c r="DF96" s="138">
        <f t="shared" si="460"/>
        <v>3214.8</v>
      </c>
      <c r="DG96" s="138">
        <f t="shared" si="460"/>
        <v>3254.6</v>
      </c>
      <c r="DH96" s="138">
        <f t="shared" si="460"/>
        <v>3521.8</v>
      </c>
      <c r="DI96" s="141">
        <f t="shared" si="460"/>
        <v>3521.8</v>
      </c>
      <c r="DJ96" s="126"/>
      <c r="DK96" s="137">
        <f t="shared" ref="DK96:DO97" si="461">DK13</f>
        <v>3192.8719999999998</v>
      </c>
      <c r="DL96" s="138">
        <f t="shared" si="461"/>
        <v>3352.5309000000002</v>
      </c>
      <c r="DM96" s="138">
        <f t="shared" si="461"/>
        <v>3298.3828400000002</v>
      </c>
      <c r="DN96" s="138">
        <f t="shared" si="461"/>
        <v>3698.04502</v>
      </c>
      <c r="DO96" s="141">
        <f t="shared" si="461"/>
        <v>3698.04502</v>
      </c>
      <c r="DP96" s="126"/>
      <c r="DQ96" s="137">
        <f t="shared" ref="DQ96:DU97" si="462">DQ13</f>
        <v>3292.1630875000005</v>
      </c>
      <c r="DR96" s="138">
        <f t="shared" si="462"/>
        <v>3462.8580964000002</v>
      </c>
      <c r="DS96" s="138">
        <f t="shared" si="462"/>
        <v>3377.5574886000009</v>
      </c>
      <c r="DT96" s="138">
        <f t="shared" si="462"/>
        <v>3786.0937104500008</v>
      </c>
      <c r="DU96" s="141">
        <f t="shared" si="462"/>
        <v>3786.0937104500008</v>
      </c>
      <c r="DV96" s="126"/>
      <c r="DW96" s="137">
        <f t="shared" ref="DW96:EA97" si="463">DW13</f>
        <v>3381.7893854250001</v>
      </c>
      <c r="DX96" s="138">
        <f t="shared" si="463"/>
        <v>3557.1386795010003</v>
      </c>
      <c r="DY96" s="138">
        <f t="shared" si="463"/>
        <v>3469.5498863190005</v>
      </c>
      <c r="DZ96" s="138">
        <f t="shared" si="463"/>
        <v>3888.9821211945014</v>
      </c>
      <c r="EA96" s="141">
        <f t="shared" si="463"/>
        <v>3888.9821211945014</v>
      </c>
      <c r="EB96" s="126"/>
      <c r="EC96" s="137">
        <f t="shared" ref="EC96:EG96" si="464">EC13</f>
        <v>3473.1948271515625</v>
      </c>
      <c r="ED96" s="138">
        <f t="shared" si="464"/>
        <v>3653.2936122414881</v>
      </c>
      <c r="EE96" s="138">
        <f t="shared" si="464"/>
        <v>3563.3711255000626</v>
      </c>
      <c r="EF96" s="138">
        <f t="shared" si="464"/>
        <v>3993.9085872017317</v>
      </c>
      <c r="EG96" s="141">
        <f t="shared" si="464"/>
        <v>3993.9085872017317</v>
      </c>
      <c r="EH96" s="7"/>
      <c r="EI96" s="482"/>
      <c r="EJ96" s="7"/>
    </row>
    <row r="97" spans="1:140" ht="11.25" customHeight="1" x14ac:dyDescent="0.2">
      <c r="A97" s="51" t="s">
        <v>103</v>
      </c>
      <c r="B97" s="2"/>
      <c r="C97" s="2"/>
      <c r="D97" s="2"/>
      <c r="E97" s="93">
        <f>E14</f>
        <v>265.12200000000001</v>
      </c>
      <c r="F97" s="126"/>
      <c r="G97" s="93">
        <f>G14</f>
        <v>337.48099999999999</v>
      </c>
      <c r="H97" s="126"/>
      <c r="I97" s="93">
        <f>I14</f>
        <v>324.673</v>
      </c>
      <c r="J97" s="126"/>
      <c r="K97" s="93">
        <f>K14</f>
        <v>460.61</v>
      </c>
      <c r="L97" s="126"/>
      <c r="M97" s="82">
        <f t="shared" si="444"/>
        <v>460.86700000000002</v>
      </c>
      <c r="N97" s="67">
        <f t="shared" si="444"/>
        <v>455.33300000000003</v>
      </c>
      <c r="O97" s="67">
        <f t="shared" si="444"/>
        <v>462.77600000000001</v>
      </c>
      <c r="P97" s="67">
        <f t="shared" si="444"/>
        <v>408.23599999999999</v>
      </c>
      <c r="Q97" s="93">
        <f t="shared" si="444"/>
        <v>408.23599999999999</v>
      </c>
      <c r="R97" s="126"/>
      <c r="S97" s="82">
        <f t="shared" si="445"/>
        <v>487.07600000000002</v>
      </c>
      <c r="T97" s="67">
        <f t="shared" si="445"/>
        <v>476.90899999999999</v>
      </c>
      <c r="U97" s="67">
        <f t="shared" si="445"/>
        <v>486.44</v>
      </c>
      <c r="V97" s="67">
        <f t="shared" si="445"/>
        <v>485.58699999999999</v>
      </c>
      <c r="W97" s="93">
        <f t="shared" si="445"/>
        <v>485.58699999999999</v>
      </c>
      <c r="X97" s="126"/>
      <c r="Y97" s="82">
        <f t="shared" si="446"/>
        <v>527.81799999999998</v>
      </c>
      <c r="Z97" s="67">
        <f t="shared" si="446"/>
        <v>527.05200000000002</v>
      </c>
      <c r="AA97" s="67">
        <f t="shared" si="446"/>
        <v>539.78800000000001</v>
      </c>
      <c r="AB97" s="67">
        <f t="shared" si="446"/>
        <v>536.22699999999998</v>
      </c>
      <c r="AC97" s="93">
        <f t="shared" si="446"/>
        <v>536.22699999999998</v>
      </c>
      <c r="AD97" s="126"/>
      <c r="AE97" s="82">
        <f t="shared" si="447"/>
        <v>624.40599999999995</v>
      </c>
      <c r="AF97" s="67">
        <f t="shared" si="447"/>
        <v>783.75300000000004</v>
      </c>
      <c r="AG97" s="67">
        <f t="shared" si="447"/>
        <v>786.72400000000005</v>
      </c>
      <c r="AH97" s="67">
        <f t="shared" si="447"/>
        <v>703.99599999999998</v>
      </c>
      <c r="AI97" s="93">
        <f t="shared" si="447"/>
        <v>703.99599999999998</v>
      </c>
      <c r="AJ97" s="126"/>
      <c r="AK97" s="82">
        <f t="shared" si="448"/>
        <v>747.16800000000001</v>
      </c>
      <c r="AL97" s="67">
        <f t="shared" si="448"/>
        <v>752.70600000000002</v>
      </c>
      <c r="AM97" s="67">
        <f t="shared" si="448"/>
        <v>878.32799999999997</v>
      </c>
      <c r="AN97" s="67">
        <f t="shared" si="448"/>
        <v>825.26300000000003</v>
      </c>
      <c r="AO97" s="93">
        <f t="shared" si="448"/>
        <v>825.26300000000003</v>
      </c>
      <c r="AP97" s="126"/>
      <c r="AQ97" s="82">
        <f t="shared" si="449"/>
        <v>886.58100000000002</v>
      </c>
      <c r="AR97" s="67">
        <f t="shared" si="449"/>
        <v>1009.847</v>
      </c>
      <c r="AS97" s="67">
        <f t="shared" si="449"/>
        <v>1020.982</v>
      </c>
      <c r="AT97" s="67">
        <f t="shared" si="449"/>
        <v>1005.36</v>
      </c>
      <c r="AU97" s="93">
        <f t="shared" si="449"/>
        <v>1005.36</v>
      </c>
      <c r="AV97" s="126"/>
      <c r="AW97" s="82">
        <f t="shared" si="450"/>
        <v>1050.106</v>
      </c>
      <c r="AX97" s="67">
        <f t="shared" si="450"/>
        <v>1048.8579999999999</v>
      </c>
      <c r="AY97" s="67">
        <f t="shared" si="450"/>
        <v>1080.8320000000001</v>
      </c>
      <c r="AZ97" s="67">
        <f t="shared" si="450"/>
        <v>1193.615</v>
      </c>
      <c r="BA97" s="93">
        <f t="shared" si="450"/>
        <v>1193.615</v>
      </c>
      <c r="BB97" s="126"/>
      <c r="BC97" s="82">
        <f t="shared" si="451"/>
        <v>1292.297</v>
      </c>
      <c r="BD97" s="67">
        <f t="shared" si="451"/>
        <v>1297.4559999999999</v>
      </c>
      <c r="BE97" s="67">
        <f t="shared" si="451"/>
        <v>1274.8510000000001</v>
      </c>
      <c r="BF97" s="67">
        <f t="shared" si="451"/>
        <v>1142.309</v>
      </c>
      <c r="BG97" s="93">
        <f t="shared" si="451"/>
        <v>1142.309</v>
      </c>
      <c r="BH97" s="126"/>
      <c r="BI97" s="82">
        <f t="shared" si="452"/>
        <v>1133.8</v>
      </c>
      <c r="BJ97" s="67">
        <f t="shared" si="452"/>
        <v>1067.075</v>
      </c>
      <c r="BK97" s="67">
        <f t="shared" si="452"/>
        <v>1071.43</v>
      </c>
      <c r="BL97" s="67">
        <f t="shared" si="452"/>
        <v>993.01599999999996</v>
      </c>
      <c r="BM97" s="93">
        <f t="shared" si="452"/>
        <v>993.01599999999996</v>
      </c>
      <c r="BN97" s="126"/>
      <c r="BO97" s="82">
        <f t="shared" si="453"/>
        <v>1187.893</v>
      </c>
      <c r="BP97" s="67">
        <f t="shared" si="453"/>
        <v>1238.693</v>
      </c>
      <c r="BQ97" s="67">
        <f t="shared" si="453"/>
        <v>1244.895</v>
      </c>
      <c r="BR97" s="67">
        <f t="shared" si="453"/>
        <v>1225.1510000000001</v>
      </c>
      <c r="BS97" s="93">
        <f t="shared" si="453"/>
        <v>1225.1510000000001</v>
      </c>
      <c r="BT97" s="126"/>
      <c r="BU97" s="82">
        <f t="shared" si="454"/>
        <v>1284.932</v>
      </c>
      <c r="BV97" s="67">
        <f t="shared" si="454"/>
        <v>2065.049</v>
      </c>
      <c r="BW97" s="67">
        <f t="shared" si="454"/>
        <v>1970.896</v>
      </c>
      <c r="BX97" s="67">
        <f t="shared" si="454"/>
        <v>1781.3520000000001</v>
      </c>
      <c r="BY97" s="93">
        <f t="shared" si="454"/>
        <v>1781.3520000000001</v>
      </c>
      <c r="BZ97" s="126"/>
      <c r="CA97" s="82">
        <f t="shared" si="455"/>
        <v>1889.079</v>
      </c>
      <c r="CB97" s="67">
        <f t="shared" si="455"/>
        <v>1855.8109999999999</v>
      </c>
      <c r="CC97" s="67">
        <f t="shared" si="455"/>
        <v>1882.37</v>
      </c>
      <c r="CD97" s="67">
        <f t="shared" si="455"/>
        <v>1813.4</v>
      </c>
      <c r="CE97" s="93">
        <f t="shared" si="455"/>
        <v>1813.4</v>
      </c>
      <c r="CF97" s="126"/>
      <c r="CG97" s="82">
        <f t="shared" si="456"/>
        <v>1866.5</v>
      </c>
      <c r="CH97" s="67">
        <f t="shared" si="456"/>
        <v>1911</v>
      </c>
      <c r="CI97" s="67">
        <f t="shared" si="456"/>
        <v>1965.7</v>
      </c>
      <c r="CJ97" s="67">
        <f t="shared" si="456"/>
        <v>1783.5</v>
      </c>
      <c r="CK97" s="93">
        <f t="shared" si="456"/>
        <v>1783.5</v>
      </c>
      <c r="CL97" s="126"/>
      <c r="CM97" s="82">
        <f t="shared" si="457"/>
        <v>1871.3</v>
      </c>
      <c r="CN97" s="67">
        <f t="shared" si="457"/>
        <v>1894.2</v>
      </c>
      <c r="CO97" s="67">
        <f t="shared" si="457"/>
        <v>1874</v>
      </c>
      <c r="CP97" s="67">
        <f t="shared" si="457"/>
        <v>1831.5</v>
      </c>
      <c r="CQ97" s="93">
        <f t="shared" si="457"/>
        <v>1831.5</v>
      </c>
      <c r="CR97" s="126"/>
      <c r="CS97" s="82">
        <f t="shared" si="458"/>
        <v>1897.2</v>
      </c>
      <c r="CT97" s="67">
        <f t="shared" si="458"/>
        <v>1912.2</v>
      </c>
      <c r="CU97" s="67">
        <f t="shared" si="458"/>
        <v>2340.6</v>
      </c>
      <c r="CV97" s="67">
        <f t="shared" si="458"/>
        <v>2095.4</v>
      </c>
      <c r="CW97" s="93">
        <f t="shared" si="458"/>
        <v>2095.4</v>
      </c>
      <c r="CX97" s="126"/>
      <c r="CY97" s="82">
        <f t="shared" si="459"/>
        <v>2237.6999999999998</v>
      </c>
      <c r="CZ97" s="67">
        <f t="shared" si="459"/>
        <v>2240.1999999999998</v>
      </c>
      <c r="DA97" s="67">
        <f t="shared" si="459"/>
        <v>1712.2</v>
      </c>
      <c r="DB97" s="67">
        <f t="shared" si="459"/>
        <v>1709.4</v>
      </c>
      <c r="DC97" s="93">
        <f t="shared" si="459"/>
        <v>1709.4</v>
      </c>
      <c r="DD97" s="126"/>
      <c r="DE97" s="82">
        <f t="shared" si="460"/>
        <v>1764.9</v>
      </c>
      <c r="DF97" s="67">
        <f t="shared" si="460"/>
        <v>1791.7</v>
      </c>
      <c r="DG97" s="67">
        <f t="shared" si="460"/>
        <v>1892.3</v>
      </c>
      <c r="DH97" s="67">
        <f t="shared" si="460"/>
        <v>1840.8</v>
      </c>
      <c r="DI97" s="93">
        <f t="shared" si="460"/>
        <v>1840.8</v>
      </c>
      <c r="DJ97" s="126"/>
      <c r="DK97" s="82">
        <f t="shared" si="461"/>
        <v>1852.9615684514267</v>
      </c>
      <c r="DL97" s="67">
        <f t="shared" si="461"/>
        <v>1864.2709693891172</v>
      </c>
      <c r="DM97" s="67">
        <f t="shared" si="461"/>
        <v>1935.5502834121148</v>
      </c>
      <c r="DN97" s="67">
        <f t="shared" si="461"/>
        <v>1824.3811131851082</v>
      </c>
      <c r="DO97" s="93">
        <f t="shared" si="461"/>
        <v>1824.3811131851082</v>
      </c>
      <c r="DP97" s="126"/>
      <c r="DQ97" s="82">
        <f t="shared" si="462"/>
        <v>1821.9047791058451</v>
      </c>
      <c r="DR97" s="67">
        <f t="shared" si="462"/>
        <v>1837.4859333305237</v>
      </c>
      <c r="DS97" s="67">
        <f t="shared" si="462"/>
        <v>1902.7369538938394</v>
      </c>
      <c r="DT97" s="67">
        <f t="shared" si="462"/>
        <v>1784.7874345805039</v>
      </c>
      <c r="DU97" s="93">
        <f t="shared" si="462"/>
        <v>1784.7874345805039</v>
      </c>
      <c r="DV97" s="126"/>
      <c r="DW97" s="82">
        <f t="shared" si="463"/>
        <v>1743.188071776616</v>
      </c>
      <c r="DX97" s="67">
        <f t="shared" si="463"/>
        <v>1753.3190975516816</v>
      </c>
      <c r="DY97" s="67">
        <f t="shared" si="463"/>
        <v>1824.4931218870106</v>
      </c>
      <c r="DZ97" s="67">
        <f t="shared" si="463"/>
        <v>1694.1605698235742</v>
      </c>
      <c r="EA97" s="93">
        <f t="shared" si="463"/>
        <v>1694.1605698235742</v>
      </c>
      <c r="EB97" s="126"/>
      <c r="EC97" s="82">
        <f t="shared" ref="EC97:EG97" si="465">EC14</f>
        <v>1664.0922222713691</v>
      </c>
      <c r="ED97" s="67">
        <f t="shared" si="465"/>
        <v>1667.5358767342875</v>
      </c>
      <c r="EE97" s="67">
        <f t="shared" si="465"/>
        <v>1745.4894173105915</v>
      </c>
      <c r="EF97" s="67">
        <f t="shared" si="465"/>
        <v>1604.0065380488386</v>
      </c>
      <c r="EG97" s="93">
        <f t="shared" si="465"/>
        <v>1604.0065380488386</v>
      </c>
      <c r="EH97" s="7"/>
      <c r="EI97" s="482"/>
      <c r="EJ97" s="7"/>
    </row>
    <row r="98" spans="1:140" ht="11.25" customHeight="1" x14ac:dyDescent="0.2">
      <c r="A98" s="51" t="s">
        <v>44</v>
      </c>
      <c r="B98" s="2"/>
      <c r="C98" s="2"/>
      <c r="D98" s="2"/>
      <c r="E98" s="93">
        <f>-E32</f>
        <v>-152.066</v>
      </c>
      <c r="F98" s="126"/>
      <c r="G98" s="93">
        <f>-G32</f>
        <v>-161.78200000000001</v>
      </c>
      <c r="H98" s="126"/>
      <c r="I98" s="93">
        <f>-I32</f>
        <v>-213.209</v>
      </c>
      <c r="J98" s="126"/>
      <c r="K98" s="93">
        <f>-K32</f>
        <v>-262.09500000000003</v>
      </c>
      <c r="L98" s="126"/>
      <c r="M98" s="82">
        <f>-M32</f>
        <v>-253.86799999999999</v>
      </c>
      <c r="N98" s="67">
        <f>-N32</f>
        <v>-270.73500000000001</v>
      </c>
      <c r="O98" s="67">
        <f>-O32</f>
        <v>-252.41</v>
      </c>
      <c r="P98" s="67">
        <f>-P32</f>
        <v>-235.501</v>
      </c>
      <c r="Q98" s="93">
        <f>-Q32</f>
        <v>-235.501</v>
      </c>
      <c r="R98" s="126"/>
      <c r="S98" s="82">
        <f>-S32</f>
        <v>-303.25200000000001</v>
      </c>
      <c r="T98" s="67">
        <f>-T32</f>
        <v>-328.11700000000002</v>
      </c>
      <c r="U98" s="67">
        <f>-U32</f>
        <v>-358.69400000000002</v>
      </c>
      <c r="V98" s="67">
        <f>-V32</f>
        <v>-366.58699999999999</v>
      </c>
      <c r="W98" s="93">
        <f>-W32</f>
        <v>-366.58699999999999</v>
      </c>
      <c r="X98" s="126"/>
      <c r="Y98" s="82">
        <f>-Y32</f>
        <v>-395.17700000000002</v>
      </c>
      <c r="Z98" s="67">
        <f>-Z32</f>
        <v>-415.08800000000002</v>
      </c>
      <c r="AA98" s="67">
        <f>-AA32</f>
        <v>-439.49400000000003</v>
      </c>
      <c r="AB98" s="67">
        <f>-AB32</f>
        <v>-472.99400000000003</v>
      </c>
      <c r="AC98" s="93">
        <f>-AC32</f>
        <v>-472.99400000000003</v>
      </c>
      <c r="AD98" s="126"/>
      <c r="AE98" s="82">
        <f>-AE32</f>
        <v>-559.66700000000003</v>
      </c>
      <c r="AF98" s="67">
        <f>-AF32</f>
        <v>-586.99199999999996</v>
      </c>
      <c r="AG98" s="67">
        <f>-AG32</f>
        <v>-578.61300000000006</v>
      </c>
      <c r="AH98" s="67">
        <f>-AH32</f>
        <v>-612.06600000000003</v>
      </c>
      <c r="AI98" s="93">
        <f>-AI32</f>
        <v>-612.06600000000003</v>
      </c>
      <c r="AJ98" s="126"/>
      <c r="AK98" s="82">
        <f>-AK32</f>
        <v>-647.05100000000004</v>
      </c>
      <c r="AL98" s="67">
        <f>-AL32</f>
        <v>-654.37599999999998</v>
      </c>
      <c r="AM98" s="67">
        <f>-AM32</f>
        <v>-719.82500000000005</v>
      </c>
      <c r="AN98" s="67">
        <f>-AN32</f>
        <v>-782.85400000000004</v>
      </c>
      <c r="AO98" s="93">
        <f>-AO32</f>
        <v>-782.85400000000004</v>
      </c>
      <c r="AP98" s="126"/>
      <c r="AQ98" s="82">
        <f>-AQ32</f>
        <v>-807.25400000000002</v>
      </c>
      <c r="AR98" s="67">
        <f>-AR32</f>
        <v>-820.96</v>
      </c>
      <c r="AS98" s="67">
        <f>-AS32</f>
        <v>-844.46900000000005</v>
      </c>
      <c r="AT98" s="67">
        <f>-AT32</f>
        <v>-952.33699999999999</v>
      </c>
      <c r="AU98" s="93">
        <f>-AU32</f>
        <v>-952.33699999999999</v>
      </c>
      <c r="AV98" s="126"/>
      <c r="AW98" s="82">
        <f>-AW32</f>
        <v>-949.34400000000005</v>
      </c>
      <c r="AX98" s="67">
        <f>-AX32</f>
        <v>-987.80399999999997</v>
      </c>
      <c r="AY98" s="67">
        <f>-AY32</f>
        <v>-1016.023</v>
      </c>
      <c r="AZ98" s="67">
        <f>-AZ32</f>
        <v>-1125.5999999999999</v>
      </c>
      <c r="BA98" s="93">
        <f>-BA32</f>
        <v>-1125.5999999999999</v>
      </c>
      <c r="BB98" s="126"/>
      <c r="BC98" s="82">
        <f>-BC32</f>
        <v>-1144.6489999999999</v>
      </c>
      <c r="BD98" s="67">
        <f>-BD32</f>
        <v>-1193.576</v>
      </c>
      <c r="BE98" s="67">
        <f>-BE32</f>
        <v>-1148.4880000000001</v>
      </c>
      <c r="BF98" s="67">
        <f>-BF32</f>
        <v>-1108.961</v>
      </c>
      <c r="BG98" s="93">
        <f>-BG32</f>
        <v>-1108.961</v>
      </c>
      <c r="BH98" s="126"/>
      <c r="BI98" s="82">
        <f>-BI32</f>
        <v>-930.81899999999996</v>
      </c>
      <c r="BJ98" s="67">
        <f>-BJ32</f>
        <v>-906.54200000000003</v>
      </c>
      <c r="BK98" s="67">
        <f>-BK32</f>
        <v>-973.15499999999997</v>
      </c>
      <c r="BL98" s="67">
        <f>-BL32</f>
        <v>-1051.4870000000001</v>
      </c>
      <c r="BM98" s="93">
        <f>-BM32</f>
        <v>-1051.4870000000001</v>
      </c>
      <c r="BN98" s="126"/>
      <c r="BO98" s="82">
        <f>-BO32</f>
        <v>-1161.7909999999999</v>
      </c>
      <c r="BP98" s="67">
        <f>-BP32</f>
        <v>-1223.8900000000001</v>
      </c>
      <c r="BQ98" s="67">
        <f>-BQ32</f>
        <v>-1178.865</v>
      </c>
      <c r="BR98" s="67">
        <f>-BR32</f>
        <v>-1215.818</v>
      </c>
      <c r="BS98" s="93">
        <f>-BS32</f>
        <v>-1215.818</v>
      </c>
      <c r="BT98" s="126"/>
      <c r="BU98" s="82">
        <f>-BU32</f>
        <v>-1239.1369999999999</v>
      </c>
      <c r="BV98" s="67">
        <f>-BV32</f>
        <v>-1515.1130000000001</v>
      </c>
      <c r="BW98" s="67">
        <f>-BW32</f>
        <v>-1467.3489999999999</v>
      </c>
      <c r="BX98" s="67">
        <f>-BX32</f>
        <v>-1422.4380000000001</v>
      </c>
      <c r="BY98" s="93">
        <f>-BY32</f>
        <v>-1422.4380000000001</v>
      </c>
      <c r="BZ98" s="126"/>
      <c r="CA98" s="82">
        <f>-CA32</f>
        <v>-1465.982</v>
      </c>
      <c r="CB98" s="67">
        <f>-CB32</f>
        <v>-1511.0609999999999</v>
      </c>
      <c r="CC98" s="67">
        <f>-CC32</f>
        <v>-1492.6320000000001</v>
      </c>
      <c r="CD98" s="67">
        <f>-CD32</f>
        <v>-1546.3</v>
      </c>
      <c r="CE98" s="93">
        <f>-CE32</f>
        <v>-1546.3</v>
      </c>
      <c r="CF98" s="126"/>
      <c r="CG98" s="82">
        <f>-CG32</f>
        <v>-1534.5</v>
      </c>
      <c r="CH98" s="67">
        <f>-CH32</f>
        <v>-1621.4</v>
      </c>
      <c r="CI98" s="67">
        <f>-CI32</f>
        <v>-1683.6</v>
      </c>
      <c r="CJ98" s="67">
        <f>-CJ32</f>
        <v>-1778.2</v>
      </c>
      <c r="CK98" s="93">
        <f>-CK32</f>
        <v>-1778.2</v>
      </c>
      <c r="CL98" s="126"/>
      <c r="CM98" s="82">
        <f>-CM32</f>
        <v>-1685.4</v>
      </c>
      <c r="CN98" s="67">
        <f>-CN32</f>
        <v>-1734.8</v>
      </c>
      <c r="CO98" s="67">
        <f>-CO32</f>
        <v>-1684</v>
      </c>
      <c r="CP98" s="67">
        <f>-CP32</f>
        <v>-1875</v>
      </c>
      <c r="CQ98" s="93">
        <f>-CQ32</f>
        <v>-1875</v>
      </c>
      <c r="CR98" s="126"/>
      <c r="CS98" s="82">
        <f>-CS32</f>
        <v>-1732.3</v>
      </c>
      <c r="CT98" s="67">
        <f>-CT32</f>
        <v>-1744.1</v>
      </c>
      <c r="CU98" s="67">
        <f>-CU32</f>
        <v>-1819.4</v>
      </c>
      <c r="CV98" s="67">
        <f>-CV32</f>
        <v>-1391.9</v>
      </c>
      <c r="CW98" s="93">
        <f>-CW32</f>
        <v>-1391.9</v>
      </c>
      <c r="CX98" s="126"/>
      <c r="CY98" s="82">
        <f>-CY32</f>
        <v>-1918.8</v>
      </c>
      <c r="CZ98" s="67">
        <f>-CZ32</f>
        <v>-1993.2</v>
      </c>
      <c r="DA98" s="67">
        <f>-DA32</f>
        <v>-1354.5</v>
      </c>
      <c r="DB98" s="67">
        <f>-DB32</f>
        <v>-1485</v>
      </c>
      <c r="DC98" s="93">
        <f>-DC32</f>
        <v>-1485</v>
      </c>
      <c r="DD98" s="126"/>
      <c r="DE98" s="82">
        <f>-DE32</f>
        <v>-1402.2</v>
      </c>
      <c r="DF98" s="67">
        <f>-DF32</f>
        <v>-1427</v>
      </c>
      <c r="DG98" s="67">
        <f>-DG32</f>
        <v>-1501.8</v>
      </c>
      <c r="DH98" s="67">
        <f>-DH32</f>
        <v>-1509.9</v>
      </c>
      <c r="DI98" s="93">
        <f>-DI32</f>
        <v>-1509.9</v>
      </c>
      <c r="DJ98" s="126"/>
      <c r="DK98" s="82">
        <f>-DK32</f>
        <v>-1395.2240000000002</v>
      </c>
      <c r="DL98" s="67">
        <f>-DL32</f>
        <v>-1486.4948495242891</v>
      </c>
      <c r="DM98" s="67">
        <f>-DM32</f>
        <v>-1445.9702442305729</v>
      </c>
      <c r="DN98" s="67">
        <f>-DN32</f>
        <v>-1591.768707730912</v>
      </c>
      <c r="DO98" s="93">
        <f>-DO32</f>
        <v>-1591.768707730912</v>
      </c>
      <c r="DP98" s="126"/>
      <c r="DQ98" s="82">
        <f>-DQ32</f>
        <v>-1435.4171591546628</v>
      </c>
      <c r="DR98" s="67">
        <f>-DR32</f>
        <v>-1537.2394818676039</v>
      </c>
      <c r="DS98" s="67">
        <f>-DS32</f>
        <v>-1486.7933601324712</v>
      </c>
      <c r="DT98" s="67">
        <f>-DT32</f>
        <v>-1641.4690912611984</v>
      </c>
      <c r="DU98" s="93">
        <f>-DU32</f>
        <v>-1641.4690912611984</v>
      </c>
      <c r="DV98" s="126"/>
      <c r="DW98" s="82">
        <f>-DW32</f>
        <v>-1476.0074276969631</v>
      </c>
      <c r="DX98" s="67">
        <f>-DX32</f>
        <v>-1583.7329059362423</v>
      </c>
      <c r="DY98" s="67">
        <f>-DY32</f>
        <v>-1531.2270747327182</v>
      </c>
      <c r="DZ98" s="67">
        <f>-DZ32</f>
        <v>-1695.7278844669227</v>
      </c>
      <c r="EA98" s="93">
        <f>-EA32</f>
        <v>-1695.7278844669227</v>
      </c>
      <c r="EB98" s="126"/>
      <c r="EC98" s="82">
        <f t="shared" ref="EC98:EG98" si="466">-EC32</f>
        <v>-1522.8055727919027</v>
      </c>
      <c r="ED98" s="67">
        <f t="shared" si="466"/>
        <v>-1636.6928076964275</v>
      </c>
      <c r="EE98" s="67">
        <f t="shared" si="466"/>
        <v>-1582.0792127481379</v>
      </c>
      <c r="EF98" s="67">
        <f t="shared" si="466"/>
        <v>-1761.0181534041126</v>
      </c>
      <c r="EG98" s="93">
        <f t="shared" si="466"/>
        <v>-1761.0181534041126</v>
      </c>
      <c r="EH98" s="7"/>
      <c r="EI98" s="482"/>
      <c r="EJ98" s="7"/>
    </row>
    <row r="99" spans="1:140" ht="11.25" customHeight="1" x14ac:dyDescent="0.2">
      <c r="A99" s="50" t="s">
        <v>55</v>
      </c>
      <c r="B99" s="3"/>
      <c r="C99" s="3"/>
      <c r="D99" s="3"/>
      <c r="E99" s="163">
        <f>SUM(E96:E98)</f>
        <v>516.91399999999999</v>
      </c>
      <c r="F99" s="166"/>
      <c r="G99" s="163">
        <f>SUM(G96:G98)</f>
        <v>661.24199999999996</v>
      </c>
      <c r="H99" s="166"/>
      <c r="I99" s="163">
        <f>SUM(I96:I98)</f>
        <v>656.202</v>
      </c>
      <c r="J99" s="166"/>
      <c r="K99" s="163">
        <f t="shared" ref="K99:BK99" si="467">SUM(K96:K98)</f>
        <v>902.72900000000004</v>
      </c>
      <c r="L99" s="166"/>
      <c r="M99" s="165">
        <f t="shared" si="467"/>
        <v>854.77300000000014</v>
      </c>
      <c r="N99" s="164">
        <f>SUM(N96:N98)</f>
        <v>819.89299999999992</v>
      </c>
      <c r="O99" s="164">
        <f>SUM(O96:O98)</f>
        <v>843.17700000000002</v>
      </c>
      <c r="P99" s="164">
        <f>SUM(P96:P98)</f>
        <v>758.053</v>
      </c>
      <c r="Q99" s="163">
        <f t="shared" si="467"/>
        <v>758.053</v>
      </c>
      <c r="R99" s="166"/>
      <c r="S99" s="165">
        <f>SUM(S96:S98)</f>
        <v>905.0329999999999</v>
      </c>
      <c r="T99" s="164">
        <f>SUM(T96:T98)</f>
        <v>895.19699999999989</v>
      </c>
      <c r="U99" s="164">
        <f>SUM(U96:U98)</f>
        <v>884.75199999999995</v>
      </c>
      <c r="V99" s="164">
        <f>SUM(V96:V98)</f>
        <v>878.02800000000002</v>
      </c>
      <c r="W99" s="163">
        <f t="shared" si="467"/>
        <v>878.02800000000002</v>
      </c>
      <c r="X99" s="166"/>
      <c r="Y99" s="165">
        <f>SUM(Y96:Y98)</f>
        <v>902.98000000000013</v>
      </c>
      <c r="Z99" s="164">
        <f>SUM(Z96:Z98)</f>
        <v>896.02600000000007</v>
      </c>
      <c r="AA99" s="164">
        <f>SUM(AA96:AA98)</f>
        <v>936.88</v>
      </c>
      <c r="AB99" s="164">
        <f>SUM(AB96:AB98)</f>
        <v>931.33</v>
      </c>
      <c r="AC99" s="163">
        <f t="shared" si="467"/>
        <v>931.33</v>
      </c>
      <c r="AD99" s="166"/>
      <c r="AE99" s="165">
        <f t="shared" si="467"/>
        <v>1016.4</v>
      </c>
      <c r="AF99" s="164">
        <f t="shared" si="467"/>
        <v>1290.7900000000002</v>
      </c>
      <c r="AG99" s="164">
        <f t="shared" si="467"/>
        <v>1318.3920000000001</v>
      </c>
      <c r="AH99" s="164">
        <f t="shared" si="467"/>
        <v>1322.9950000000001</v>
      </c>
      <c r="AI99" s="163">
        <f t="shared" si="467"/>
        <v>1322.9950000000001</v>
      </c>
      <c r="AJ99" s="166"/>
      <c r="AK99" s="165">
        <f t="shared" si="467"/>
        <v>1264.7890000000002</v>
      </c>
      <c r="AL99" s="164">
        <f t="shared" si="467"/>
        <v>1274.912</v>
      </c>
      <c r="AM99" s="164">
        <f t="shared" si="467"/>
        <v>1522.8230000000001</v>
      </c>
      <c r="AN99" s="164">
        <f t="shared" si="467"/>
        <v>1450.2670000000001</v>
      </c>
      <c r="AO99" s="163">
        <f t="shared" si="467"/>
        <v>1450.2670000000001</v>
      </c>
      <c r="AP99" s="166"/>
      <c r="AQ99" s="165">
        <f t="shared" si="467"/>
        <v>1467.886</v>
      </c>
      <c r="AR99" s="164">
        <f t="shared" si="467"/>
        <v>1750.2079999999996</v>
      </c>
      <c r="AS99" s="164">
        <f t="shared" si="467"/>
        <v>1772.0919999999996</v>
      </c>
      <c r="AT99" s="164">
        <f t="shared" si="467"/>
        <v>1727.9929999999999</v>
      </c>
      <c r="AU99" s="163">
        <f t="shared" si="467"/>
        <v>1727.9929999999999</v>
      </c>
      <c r="AV99" s="166"/>
      <c r="AW99" s="165">
        <f t="shared" si="467"/>
        <v>1783.636</v>
      </c>
      <c r="AX99" s="164">
        <f t="shared" si="467"/>
        <v>1793.2399999999998</v>
      </c>
      <c r="AY99" s="164">
        <f t="shared" si="467"/>
        <v>1891.518</v>
      </c>
      <c r="AZ99" s="164">
        <f t="shared" si="467"/>
        <v>2052.3989999999999</v>
      </c>
      <c r="BA99" s="163">
        <f t="shared" si="467"/>
        <v>2052.3989999999999</v>
      </c>
      <c r="BB99" s="166"/>
      <c r="BC99" s="165">
        <f t="shared" si="467"/>
        <v>2247.1559999999999</v>
      </c>
      <c r="BD99" s="164">
        <f t="shared" si="467"/>
        <v>2198.1970000000001</v>
      </c>
      <c r="BE99" s="164">
        <f t="shared" si="467"/>
        <v>2227.1580000000004</v>
      </c>
      <c r="BF99" s="164">
        <f t="shared" si="467"/>
        <v>1927.9330000000002</v>
      </c>
      <c r="BG99" s="163">
        <f t="shared" si="467"/>
        <v>1927.9330000000002</v>
      </c>
      <c r="BH99" s="166"/>
      <c r="BI99" s="165">
        <f t="shared" si="467"/>
        <v>1910.114</v>
      </c>
      <c r="BJ99" s="164">
        <f t="shared" si="467"/>
        <v>1910.6470000000004</v>
      </c>
      <c r="BK99" s="164">
        <f t="shared" si="467"/>
        <v>1934.5300000000004</v>
      </c>
      <c r="BL99" s="164">
        <f t="shared" ref="BL99:DC99" si="468">SUM(BL96:BL98)</f>
        <v>1858.3599999999997</v>
      </c>
      <c r="BM99" s="163">
        <f t="shared" si="468"/>
        <v>1858.3599999999997</v>
      </c>
      <c r="BN99" s="166"/>
      <c r="BO99" s="165">
        <f t="shared" si="468"/>
        <v>2007.5130000000001</v>
      </c>
      <c r="BP99" s="164">
        <f t="shared" si="468"/>
        <v>2040.7810000000002</v>
      </c>
      <c r="BQ99" s="164">
        <f t="shared" si="468"/>
        <v>2098.6909999999998</v>
      </c>
      <c r="BR99" s="164">
        <f t="shared" si="468"/>
        <v>2228.308</v>
      </c>
      <c r="BS99" s="163">
        <f t="shared" si="468"/>
        <v>2228.308</v>
      </c>
      <c r="BT99" s="166"/>
      <c r="BU99" s="165">
        <f t="shared" si="468"/>
        <v>2256.0190000000002</v>
      </c>
      <c r="BV99" s="164">
        <f t="shared" si="468"/>
        <v>3649.3540000000003</v>
      </c>
      <c r="BW99" s="164">
        <f t="shared" si="468"/>
        <v>3510.7389999999996</v>
      </c>
      <c r="BX99" s="164">
        <f t="shared" si="468"/>
        <v>3408.8090000000002</v>
      </c>
      <c r="BY99" s="163">
        <f t="shared" si="468"/>
        <v>3408.8090000000002</v>
      </c>
      <c r="BZ99" s="166"/>
      <c r="CA99" s="165">
        <f t="shared" si="468"/>
        <v>3419.5540000000001</v>
      </c>
      <c r="CB99" s="164">
        <f t="shared" si="468"/>
        <v>3439</v>
      </c>
      <c r="CC99" s="164">
        <f t="shared" si="468"/>
        <v>3374.4659999999999</v>
      </c>
      <c r="CD99" s="164">
        <f t="shared" si="468"/>
        <v>3534.4000000000005</v>
      </c>
      <c r="CE99" s="163">
        <f t="shared" si="468"/>
        <v>3534.4000000000005</v>
      </c>
      <c r="CF99" s="166"/>
      <c r="CG99" s="165">
        <f t="shared" si="468"/>
        <v>3450.3</v>
      </c>
      <c r="CH99" s="164">
        <f>SUM(CH96:CH98)</f>
        <v>3570.9999999999995</v>
      </c>
      <c r="CI99" s="164">
        <f t="shared" si="468"/>
        <v>3654.7999999999997</v>
      </c>
      <c r="CJ99" s="164">
        <f t="shared" si="468"/>
        <v>3456.9000000000005</v>
      </c>
      <c r="CK99" s="163">
        <f t="shared" si="468"/>
        <v>3456.9000000000005</v>
      </c>
      <c r="CL99" s="166"/>
      <c r="CM99" s="165">
        <f t="shared" si="468"/>
        <v>3653.4999999999995</v>
      </c>
      <c r="CN99" s="164">
        <f>SUM(CN96:CN98)</f>
        <v>3791.2</v>
      </c>
      <c r="CO99" s="164">
        <f>SUM(CO96:CO98)</f>
        <v>3688.1000000000004</v>
      </c>
      <c r="CP99" s="164">
        <f>SUM(CP96:CP98)</f>
        <v>3590.3</v>
      </c>
      <c r="CQ99" s="163">
        <f t="shared" si="468"/>
        <v>3590.3</v>
      </c>
      <c r="CR99" s="166"/>
      <c r="CS99" s="165">
        <f>SUM(CS96:CS98)</f>
        <v>3611.8</v>
      </c>
      <c r="CT99" s="164">
        <f>SUM(CT96:CT98)</f>
        <v>3733.2999999999997</v>
      </c>
      <c r="CU99" s="164">
        <f>SUM(CU96:CU98)</f>
        <v>4427.2999999999993</v>
      </c>
      <c r="CV99" s="164">
        <f>SUM(CV96:CV98)</f>
        <v>4667.6000000000004</v>
      </c>
      <c r="CW99" s="163">
        <f t="shared" si="468"/>
        <v>4667.6000000000004</v>
      </c>
      <c r="CX99" s="166"/>
      <c r="CY99" s="165">
        <f>SUM(CY96:CY98)</f>
        <v>4190.0999999999995</v>
      </c>
      <c r="CZ99" s="164">
        <f>SUM(CZ96:CZ98)</f>
        <v>4241.8</v>
      </c>
      <c r="DA99" s="164">
        <f>SUM(DA96:DA98)</f>
        <v>3439.5</v>
      </c>
      <c r="DB99" s="164">
        <f>SUM(DB96:DB98)</f>
        <v>3410.5</v>
      </c>
      <c r="DC99" s="163">
        <f t="shared" si="468"/>
        <v>3410.5</v>
      </c>
      <c r="DD99" s="166"/>
      <c r="DE99" s="165">
        <f>SUM(DE96:DE98)</f>
        <v>3397.6000000000004</v>
      </c>
      <c r="DF99" s="164">
        <f>SUM(DF96:DF98)</f>
        <v>3579.5</v>
      </c>
      <c r="DG99" s="164">
        <f t="shared" ref="DG99:DI99" si="469">SUM(DG96:DG98)</f>
        <v>3645.0999999999995</v>
      </c>
      <c r="DH99" s="164">
        <f t="shared" si="469"/>
        <v>3852.7000000000003</v>
      </c>
      <c r="DI99" s="163">
        <f t="shared" si="469"/>
        <v>3852.7000000000003</v>
      </c>
      <c r="DJ99" s="166"/>
      <c r="DK99" s="165">
        <f>SUM(DK96:DK98)</f>
        <v>3650.6095684514266</v>
      </c>
      <c r="DL99" s="164">
        <f t="shared" ref="DL99:DO99" si="470">SUM(DL96:DL98)</f>
        <v>3730.3070198648284</v>
      </c>
      <c r="DM99" s="164">
        <f t="shared" si="470"/>
        <v>3787.9628791815417</v>
      </c>
      <c r="DN99" s="164">
        <f t="shared" si="470"/>
        <v>3930.6574254541965</v>
      </c>
      <c r="DO99" s="163">
        <f t="shared" si="470"/>
        <v>3930.6574254541965</v>
      </c>
      <c r="DP99" s="166"/>
      <c r="DQ99" s="165">
        <f>SUM(DQ96:DQ98)</f>
        <v>3678.6507074511828</v>
      </c>
      <c r="DR99" s="164">
        <f t="shared" ref="DR99:DU99" si="471">SUM(DR96:DR98)</f>
        <v>3763.1045478629203</v>
      </c>
      <c r="DS99" s="164">
        <f t="shared" si="471"/>
        <v>3793.5010823613693</v>
      </c>
      <c r="DT99" s="164">
        <f t="shared" si="471"/>
        <v>3929.4120537693061</v>
      </c>
      <c r="DU99" s="163">
        <f t="shared" si="471"/>
        <v>3929.4120537693061</v>
      </c>
      <c r="DV99" s="166"/>
      <c r="DW99" s="165">
        <f>SUM(DW96:DW98)</f>
        <v>3648.9700295046528</v>
      </c>
      <c r="DX99" s="164">
        <f t="shared" ref="DX99:EA99" si="472">SUM(DX96:DX98)</f>
        <v>3726.7248711164398</v>
      </c>
      <c r="DY99" s="164">
        <f t="shared" si="472"/>
        <v>3762.8159334732927</v>
      </c>
      <c r="DZ99" s="164">
        <f t="shared" si="472"/>
        <v>3887.4148065511527</v>
      </c>
      <c r="EA99" s="163">
        <f t="shared" si="472"/>
        <v>3887.4148065511527</v>
      </c>
      <c r="EB99" s="166"/>
      <c r="EC99" s="165">
        <f t="shared" ref="EC99:EG99" si="473">SUM(EC96:EC98)</f>
        <v>3614.4814766310292</v>
      </c>
      <c r="ED99" s="164">
        <f t="shared" si="473"/>
        <v>3684.1366812793476</v>
      </c>
      <c r="EE99" s="164">
        <f t="shared" si="473"/>
        <v>3726.7813300625157</v>
      </c>
      <c r="EF99" s="164">
        <f t="shared" si="473"/>
        <v>3836.8969718464582</v>
      </c>
      <c r="EG99" s="163">
        <f t="shared" si="473"/>
        <v>3836.8969718464582</v>
      </c>
      <c r="EH99" s="7"/>
      <c r="EI99" s="482"/>
      <c r="EJ99" s="7"/>
    </row>
    <row r="100" spans="1:140" ht="11.25" customHeight="1" x14ac:dyDescent="0.2">
      <c r="A100" s="51" t="s">
        <v>56</v>
      </c>
      <c r="B100" s="2"/>
      <c r="C100" s="2"/>
      <c r="D100" s="2"/>
      <c r="E100" s="152">
        <f t="shared" ref="E100" si="474">E99/E119</f>
        <v>0.20742937399678973</v>
      </c>
      <c r="F100" s="121"/>
      <c r="G100" s="152">
        <f t="shared" ref="G100" si="475">G99/G119</f>
        <v>0.21700699025302747</v>
      </c>
      <c r="H100" s="121"/>
      <c r="I100" s="152">
        <f t="shared" ref="I100" si="476">I99/I119</f>
        <v>0.20524271237332667</v>
      </c>
      <c r="J100" s="121"/>
      <c r="K100" s="152">
        <f t="shared" ref="K100" si="477">K99/K119</f>
        <v>0.23895772566776705</v>
      </c>
      <c r="L100" s="121"/>
      <c r="M100" s="149"/>
      <c r="N100" s="22"/>
      <c r="O100" s="22"/>
      <c r="P100" s="22">
        <f t="shared" ref="P100" si="478">P99/(P119+O119+N119+M119)</f>
        <v>0.20041354214365104</v>
      </c>
      <c r="Q100" s="152">
        <f t="shared" ref="Q100" si="479">Q99/Q119</f>
        <v>0.20041354214365104</v>
      </c>
      <c r="R100" s="121"/>
      <c r="S100" s="149">
        <f t="shared" ref="S100" si="480">S99/(S119+P119+O119+N119)</f>
        <v>0.23934010125436084</v>
      </c>
      <c r="T100" s="22">
        <f t="shared" ref="T100" si="481">T99/(T119+S119+P119+O119)</f>
        <v>0.22543063514891387</v>
      </c>
      <c r="U100" s="22">
        <f t="shared" ref="U100" si="482">U99/(U119+T119+S119+P119)</f>
        <v>0.20959796606925163</v>
      </c>
      <c r="V100" s="22">
        <f t="shared" ref="V100" si="483">V99/(V119+U119+T119+S119)</f>
        <v>0.19182510303170125</v>
      </c>
      <c r="W100" s="152">
        <f t="shared" ref="W100:CE100" si="484">W99/W119</f>
        <v>0.19182510303170125</v>
      </c>
      <c r="X100" s="121"/>
      <c r="Y100" s="149">
        <f t="shared" ref="Y100" si="485">Y99/(Y119+V119+U119+T119)</f>
        <v>0.18933414967583936</v>
      </c>
      <c r="Z100" s="22">
        <f t="shared" ref="Z100" si="486">Z99/(Z119+Y119+V119+U119)</f>
        <v>0.18203230735913326</v>
      </c>
      <c r="AA100" s="22">
        <f t="shared" ref="AA100" si="487">AA99/(AA119+Z119+Y119+V119)</f>
        <v>0.18442243777455297</v>
      </c>
      <c r="AB100" s="22">
        <f t="shared" ref="AB100" si="488">AB99/(AB119+AA119+Z119+Y119)</f>
        <v>0.17592591892972181</v>
      </c>
      <c r="AC100" s="152">
        <f t="shared" si="484"/>
        <v>0.17592591892972181</v>
      </c>
      <c r="AD100" s="121"/>
      <c r="AE100" s="149">
        <f t="shared" ref="AE100" si="489">AE99/(AE119+AB119+AA119+Z119)</f>
        <v>0.18018554643872947</v>
      </c>
      <c r="AF100" s="22">
        <f t="shared" ref="AF100" si="490">AF99/(AF119+AE119+AB119+AA119)</f>
        <v>0.21647870541108719</v>
      </c>
      <c r="AG100" s="22">
        <f t="shared" ref="AG100" si="491">AG99/(AG119+AF119+AE119+AB119)</f>
        <v>0.20604707447793616</v>
      </c>
      <c r="AH100" s="22">
        <f t="shared" ref="AH100" si="492">AH99/(AH119+AG119+AF119+AE119)</f>
        <v>0.19203469585101887</v>
      </c>
      <c r="AI100" s="152">
        <f t="shared" si="484"/>
        <v>0.19203469585101887</v>
      </c>
      <c r="AJ100" s="121"/>
      <c r="AK100" s="149">
        <f t="shared" ref="AK100" si="493">AK99/(AK119+AH119+AG119+AF119)</f>
        <v>0.17634821881591073</v>
      </c>
      <c r="AL100" s="22">
        <f t="shared" ref="AL100" si="494">AL99/(AL119+AK119+AH119+AG119)</f>
        <v>0.17045433427105289</v>
      </c>
      <c r="AM100" s="22">
        <f t="shared" ref="AM100" si="495">AM99/(AM119+AL119+AK119+AH119)</f>
        <v>0.19775424795758972</v>
      </c>
      <c r="AN100" s="22">
        <f t="shared" ref="AN100" si="496">AN99/(AN119+AM119+AL119+AK119)</f>
        <v>0.18163063006084759</v>
      </c>
      <c r="AO100" s="152">
        <f t="shared" si="484"/>
        <v>0.18163065280816923</v>
      </c>
      <c r="AP100" s="121"/>
      <c r="AQ100" s="149">
        <f t="shared" ref="AQ100" si="497">AQ99/(AQ119+AN119+AM119+AL119)</f>
        <v>0.1774407431234559</v>
      </c>
      <c r="AR100" s="22">
        <f t="shared" ref="AR100" si="498">AR99/(AR119+AQ119+AN119+AM119)</f>
        <v>0.20204894844866206</v>
      </c>
      <c r="AS100" s="22">
        <f t="shared" ref="AS100" si="499">AS99/(AS119+AR119+AQ119+AN119)</f>
        <v>0.19464090891267385</v>
      </c>
      <c r="AT100" s="22">
        <f t="shared" ref="AT100" si="500">AT99/(AT119+AS119+AR119+AQ119)</f>
        <v>0.18254624734947694</v>
      </c>
      <c r="AU100" s="152">
        <f t="shared" si="484"/>
        <v>0.18254624734947689</v>
      </c>
      <c r="AV100" s="121"/>
      <c r="AW100" s="149">
        <f t="shared" ref="AW100" si="501">AW99/(AW119+AT119+AS119+AR119)</f>
        <v>0.18064009878087611</v>
      </c>
      <c r="AX100" s="22">
        <f t="shared" ref="AX100" si="502">AX99/(AX119+AW119+AT119+AS119)</f>
        <v>0.1760239211290644</v>
      </c>
      <c r="AY100" s="22">
        <f t="shared" ref="AY100" si="503">AY99/(AY119+AX119+AW119+AT119)</f>
        <v>0.17997085670165036</v>
      </c>
      <c r="AZ100" s="22">
        <f t="shared" ref="AZ100" si="504">AZ99/(AZ119+AY119+AX119+AW119)</f>
        <v>0.18614314019023179</v>
      </c>
      <c r="BA100" s="152">
        <f t="shared" si="484"/>
        <v>0.18614314019023179</v>
      </c>
      <c r="BB100" s="121"/>
      <c r="BC100" s="149">
        <f t="shared" ref="BC100" si="505">BC99/(BC119+AZ119+AY119+AX119)</f>
        <v>0.19484427716534178</v>
      </c>
      <c r="BD100" s="22">
        <f t="shared" ref="BD100" si="506">BD99/(BD119+BC119+AZ119+AY119)</f>
        <v>0.18040045146952874</v>
      </c>
      <c r="BE100" s="22">
        <f t="shared" ref="BE100" si="507">BE99/(BE119+BD119+BC119+AZ119)</f>
        <v>0.17589130167467126</v>
      </c>
      <c r="BF100" s="22">
        <f t="shared" ref="BF100" si="508">BF99/(BF119+BE119+BD119+BC119)</f>
        <v>0.15183616308652695</v>
      </c>
      <c r="BG100" s="152">
        <f t="shared" si="484"/>
        <v>0.15183616308652692</v>
      </c>
      <c r="BH100" s="121"/>
      <c r="BI100" s="149">
        <f t="shared" ref="BI100" si="509">BI99/(BI119+BF119+BE119+BD119)</f>
        <v>0.15534077699259011</v>
      </c>
      <c r="BJ100" s="22">
        <f t="shared" ref="BJ100" si="510">BJ99/(BJ119+BI119+BF119+BE119)</f>
        <v>0.16349898386845718</v>
      </c>
      <c r="BK100" s="22">
        <f t="shared" ref="BK100" si="511">BK99/(BK119+BJ119+BI119+BF119)</f>
        <v>0.17228739068225107</v>
      </c>
      <c r="BL100" s="22">
        <f t="shared" ref="BL100" si="512">BL99/(BL119+BK119+BJ119+BI119)</f>
        <v>0.16614900446137199</v>
      </c>
      <c r="BM100" s="152">
        <f t="shared" si="484"/>
        <v>0.16614900446137201</v>
      </c>
      <c r="BN100" s="121"/>
      <c r="BO100" s="149">
        <f t="shared" ref="BO100" si="513">BO99/(BO119+BL119+BK119+BJ119)</f>
        <v>0.1735852140077821</v>
      </c>
      <c r="BP100" s="22">
        <f t="shared" ref="BP100" si="514">BP99/(BP119+BO119+BL119+BK119)</f>
        <v>0.1685370144027484</v>
      </c>
      <c r="BQ100" s="22">
        <f t="shared" ref="BQ100" si="515">BQ99/(BQ119+BP119+BO119+BL119)</f>
        <v>0.16855737336256812</v>
      </c>
      <c r="BR100" s="22">
        <f t="shared" ref="BR100" si="516">BR99/(BR119+BQ119+BP119+BO119)</f>
        <v>0.17373637511890094</v>
      </c>
      <c r="BS100" s="152">
        <f t="shared" si="484"/>
        <v>0.17373637511890094</v>
      </c>
      <c r="BT100" s="121"/>
      <c r="BU100" s="149">
        <f t="shared" ref="BU100" si="517">BU99/(BU119+BR119+BQ119+BP119)</f>
        <v>0.17225858422350671</v>
      </c>
      <c r="BV100" s="22">
        <f t="shared" ref="BV100" si="518">BV99/(BV119+BU119+BR119+BQ119)</f>
        <v>0.26984279798876076</v>
      </c>
      <c r="BW100" s="22">
        <f t="shared" ref="BW100" si="519">BW99/(BW119+BV119+BU119+BR119)</f>
        <v>0.23590029766904308</v>
      </c>
      <c r="BX100" s="22">
        <f t="shared" ref="BX100" si="520">BX99/(BX119+BW119+BV119+BU119)</f>
        <v>0.21184305707467435</v>
      </c>
      <c r="BY100" s="152">
        <f t="shared" si="484"/>
        <v>0.21184305707467438</v>
      </c>
      <c r="BZ100" s="121"/>
      <c r="CA100" s="149">
        <f t="shared" ref="CA100" si="521">CA99/(CA119+BX119+BW119+BV119)</f>
        <v>0.19963885175173832</v>
      </c>
      <c r="CB100" s="22">
        <f t="shared" ref="CB100" si="522">CB99/(CB119+CA119+BX119+BW119)</f>
        <v>0.19065835065835066</v>
      </c>
      <c r="CC100" s="22">
        <f t="shared" ref="CC100" si="523">CC99/(CC119+CB119+CA119+BX119)</f>
        <v>0.1874505468867175</v>
      </c>
      <c r="CD100" s="22">
        <f t="shared" ref="CD100" si="524">CD99/(CD119+CC119+CB119+CA119)</f>
        <v>0.1935554533307047</v>
      </c>
      <c r="CE100" s="152">
        <f t="shared" si="484"/>
        <v>0.19355545333070476</v>
      </c>
      <c r="CF100" s="121"/>
      <c r="CG100" s="149">
        <f t="shared" ref="CG100" si="525">CG99/(CG119+CD119+CC119+CB119)</f>
        <v>0.18762949387945987</v>
      </c>
      <c r="CH100" s="22">
        <f t="shared" ref="CH100" si="526">CH99/(CH119+CG119+CD119+CC119)</f>
        <v>0.19226938173360106</v>
      </c>
      <c r="CI100" s="22">
        <f t="shared" ref="CI100" si="527">CI99/(CI119+CH119+CG119+CD119)</f>
        <v>0.19413061376251559</v>
      </c>
      <c r="CJ100" s="22">
        <f t="shared" ref="CJ100" si="528">CJ99/(CJ119+CI119+CH119+CG119)</f>
        <v>0.18081912333926145</v>
      </c>
      <c r="CK100" s="152">
        <f t="shared" ref="CK100:CW100" si="529">CK99/CK119</f>
        <v>0.18081912333926145</v>
      </c>
      <c r="CL100" s="121"/>
      <c r="CM100" s="149">
        <f t="shared" ref="CM100" si="530">CM99/(CM119+CJ119+CI119+CH119)</f>
        <v>0.19115761935905817</v>
      </c>
      <c r="CN100" s="22">
        <f t="shared" ref="CN100" si="531">CN99/(CN119+CM119+CJ119+CI119)</f>
        <v>0.1978860557976877</v>
      </c>
      <c r="CO100" s="22">
        <f t="shared" ref="CO100" si="532">CO99/(CO119+CN119+CM119+CJ119)</f>
        <v>0.19212356419138907</v>
      </c>
      <c r="CP100" s="22">
        <f t="shared" ref="CP100" si="533">CP99/(CP119+CO119+CN119+CM119)</f>
        <v>0.1874438759528036</v>
      </c>
      <c r="CQ100" s="152">
        <f t="shared" si="529"/>
        <v>0.1874438759528036</v>
      </c>
      <c r="CR100" s="121"/>
      <c r="CS100" s="149">
        <f t="shared" ref="CS100" si="534">CS99/(CS119+CP119+CO119+CN119)</f>
        <v>0.20169766013290893</v>
      </c>
      <c r="CT100" s="22">
        <f t="shared" ref="CT100" si="535">CT99/(CT119+CS119+CP119+CO119)</f>
        <v>0.22585270239204341</v>
      </c>
      <c r="CU100" s="22">
        <f t="shared" ref="CU100" si="536">CU99/(CU119+CT119+CS119+CP119)</f>
        <v>0.28870745815101495</v>
      </c>
      <c r="CV100" s="22">
        <f t="shared" ref="CV100" si="537">CV99/(CV119+CU119+CT119+CS119)</f>
        <v>0.32338208498167487</v>
      </c>
      <c r="CW100" s="152">
        <f t="shared" si="529"/>
        <v>0.32338208498167487</v>
      </c>
      <c r="CX100" s="121"/>
      <c r="CY100" s="149">
        <f t="shared" ref="CY100" si="538">CY99/(CY119+CV119+CU119+CT119)</f>
        <v>0.27628976103813896</v>
      </c>
      <c r="CZ100" s="22">
        <f t="shared" ref="CZ100" si="539">CZ99/(CZ119+CY119+CV119+CU119)</f>
        <v>0.26509261805364598</v>
      </c>
      <c r="DA100" s="22">
        <f t="shared" ref="DA100" si="540">DA99/(DA119+CZ119+CY119+CV119)</f>
        <v>0.20693576237433145</v>
      </c>
      <c r="DB100" s="22">
        <f t="shared" ref="DB100" si="541">DB99/(DB119+DA119+CZ119+CY119)</f>
        <v>0.20201511633417049</v>
      </c>
      <c r="DC100" s="152">
        <f t="shared" ref="DC100" si="542">DC99/DC119</f>
        <v>0.20201511633417049</v>
      </c>
      <c r="DD100" s="121"/>
      <c r="DE100" s="149">
        <f t="shared" ref="DE100" si="543">DE99/(DE119+DB119+DA119+CZ119)</f>
        <v>0.19794919599161037</v>
      </c>
      <c r="DF100" s="22">
        <f t="shared" ref="DF100" si="544">DF99/(DF119+DE119+DB119+DA119)</f>
        <v>0.20533839676001886</v>
      </c>
      <c r="DG100" s="22">
        <f t="shared" ref="DG100" si="545">DG99/(DG119+DF119+DE119+DB119)</f>
        <v>0.20445583706803228</v>
      </c>
      <c r="DH100" s="22">
        <f t="shared" ref="DH100" si="546">DH99/(DH119+DG119+DF119+DE119)</f>
        <v>0.21018892835125508</v>
      </c>
      <c r="DI100" s="152">
        <f t="shared" ref="DI100:DU100" si="547">DI99/DI119</f>
        <v>0.21018892835125508</v>
      </c>
      <c r="DJ100" s="121"/>
      <c r="DK100" s="149">
        <f t="shared" ref="DK100" si="548">DK99/(DK119+DH119+DG119+DF119)</f>
        <v>0.19398118794708791</v>
      </c>
      <c r="DL100" s="22">
        <f t="shared" ref="DL100" si="549">DL99/(DL119+DK119+DH119+DG119)</f>
        <v>0.19388801549026452</v>
      </c>
      <c r="DM100" s="22">
        <f t="shared" ref="DM100" si="550">DM99/(DM119+DL119+DK119+DH119)</f>
        <v>0.19364026480931434</v>
      </c>
      <c r="DN100" s="22">
        <f t="shared" ref="DN100" si="551">DN99/(DN119+DM119+DL119+DK119)</f>
        <v>0.19737708266181681</v>
      </c>
      <c r="DO100" s="152">
        <f t="shared" si="547"/>
        <v>0.19737708266181683</v>
      </c>
      <c r="DP100" s="121"/>
      <c r="DQ100" s="149">
        <f t="shared" ref="DQ100" si="552">DQ99/(DQ119+DN119+DM119+DL119)</f>
        <v>0.18271988516269555</v>
      </c>
      <c r="DR100" s="22">
        <f t="shared" ref="DR100" si="553">DR99/(DR119+DQ119+DN119+DM119)</f>
        <v>0.1847286434158549</v>
      </c>
      <c r="DS100" s="22">
        <f t="shared" ref="DS100" si="554">DS99/(DS119+DR119+DQ119+DN119)</f>
        <v>0.18449486944092461</v>
      </c>
      <c r="DT100" s="22">
        <f t="shared" ref="DT100" si="555">DT99/(DT119+DS119+DR119+DQ119)</f>
        <v>0.18914922368964074</v>
      </c>
      <c r="DU100" s="152">
        <f t="shared" si="547"/>
        <v>0.18914922368964074</v>
      </c>
      <c r="DV100" s="121"/>
      <c r="DW100" s="149">
        <f t="shared" ref="DW100" si="556">DW99/(DW119+DT119+DS119+DR119)</f>
        <v>0.17388977751081236</v>
      </c>
      <c r="DX100" s="22">
        <f t="shared" ref="DX100" si="557">DX99/(DX119+DW119+DT119+DS119)</f>
        <v>0.17574294986183667</v>
      </c>
      <c r="DY100" s="22">
        <f t="shared" ref="DY100" si="558">DY99/(DY119+DX119+DW119+DT119)</f>
        <v>0.17565762376099867</v>
      </c>
      <c r="DZ100" s="22">
        <f t="shared" ref="DZ100" si="559">DZ99/(DZ119+DY119+DX119+DW119)</f>
        <v>0.17945101852527778</v>
      </c>
      <c r="EA100" s="152">
        <f t="shared" ref="EA100" si="560">EA99/EA119</f>
        <v>0.17945101852527778</v>
      </c>
      <c r="EB100" s="121"/>
      <c r="EC100" s="149">
        <f t="shared" ref="EC100" si="561">EC99/(EC119+DZ119+DY119+DX119)</f>
        <v>0.16517853066223392</v>
      </c>
      <c r="ED100" s="22">
        <f t="shared" ref="ED100" si="562">ED99/(ED119+EC119+DZ119+DY119)</f>
        <v>0.16660411555551</v>
      </c>
      <c r="EE100" s="22">
        <f t="shared" ref="EE100" si="563">EE99/(EE119+ED119+EC119+DZ119)</f>
        <v>0.16683344300997521</v>
      </c>
      <c r="EF100" s="22">
        <f t="shared" ref="EF100" si="564">EF99/(EF119+EE119+ED119+EC119)</f>
        <v>0.16984625512112819</v>
      </c>
      <c r="EG100" s="152">
        <f t="shared" ref="EG100" si="565">EG99/EG119</f>
        <v>0.16984625512112819</v>
      </c>
      <c r="EH100" s="9"/>
      <c r="EI100" s="486"/>
      <c r="EJ100" s="9"/>
    </row>
    <row r="101" spans="1:140" ht="11.25" customHeight="1" outlineLevel="1" x14ac:dyDescent="0.2">
      <c r="A101" s="51"/>
      <c r="B101" s="2"/>
      <c r="C101" s="2"/>
      <c r="D101" s="2"/>
      <c r="E101" s="152"/>
      <c r="F101" s="121"/>
      <c r="G101" s="152"/>
      <c r="H101" s="121"/>
      <c r="I101" s="152"/>
      <c r="J101" s="121"/>
      <c r="K101" s="152"/>
      <c r="L101" s="121"/>
      <c r="M101" s="149"/>
      <c r="N101" s="22"/>
      <c r="O101" s="22"/>
      <c r="P101" s="22"/>
      <c r="Q101" s="152"/>
      <c r="R101" s="121"/>
      <c r="S101" s="149"/>
      <c r="T101" s="22"/>
      <c r="U101" s="22"/>
      <c r="V101" s="22"/>
      <c r="W101" s="152"/>
      <c r="X101" s="121"/>
      <c r="Y101" s="149"/>
      <c r="Z101" s="22"/>
      <c r="AA101" s="22"/>
      <c r="AB101" s="22"/>
      <c r="AC101" s="152"/>
      <c r="AD101" s="121"/>
      <c r="AE101" s="149"/>
      <c r="AF101" s="22"/>
      <c r="AG101" s="22"/>
      <c r="AH101" s="22"/>
      <c r="AI101" s="152"/>
      <c r="AJ101" s="121"/>
      <c r="AK101" s="149"/>
      <c r="AL101" s="22"/>
      <c r="AM101" s="22"/>
      <c r="AN101" s="22"/>
      <c r="AO101" s="152"/>
      <c r="AP101" s="121"/>
      <c r="AQ101" s="149"/>
      <c r="AR101" s="22"/>
      <c r="AS101" s="22"/>
      <c r="AT101" s="22"/>
      <c r="AU101" s="152"/>
      <c r="AV101" s="121"/>
      <c r="AW101" s="149"/>
      <c r="AX101" s="22"/>
      <c r="AY101" s="22"/>
      <c r="AZ101" s="22"/>
      <c r="BA101" s="152"/>
      <c r="BB101" s="121"/>
      <c r="BC101" s="149"/>
      <c r="BD101" s="22"/>
      <c r="BE101" s="22"/>
      <c r="BF101" s="22"/>
      <c r="BG101" s="152"/>
      <c r="BH101" s="121"/>
      <c r="BI101" s="149"/>
      <c r="BJ101" s="22"/>
      <c r="BK101" s="22"/>
      <c r="BL101" s="22"/>
      <c r="BM101" s="152"/>
      <c r="BN101" s="121"/>
      <c r="BO101" s="149"/>
      <c r="BP101" s="22"/>
      <c r="BQ101" s="22"/>
      <c r="BR101" s="22"/>
      <c r="BS101" s="152"/>
      <c r="BT101" s="121"/>
      <c r="BU101" s="149"/>
      <c r="BV101" s="22"/>
      <c r="BW101" s="22"/>
      <c r="BX101" s="22"/>
      <c r="BY101" s="152"/>
      <c r="BZ101" s="121"/>
      <c r="CA101" s="149"/>
      <c r="CB101" s="22"/>
      <c r="CC101" s="22"/>
      <c r="CD101" s="22"/>
      <c r="CE101" s="152"/>
      <c r="CF101" s="121"/>
      <c r="CG101" s="149"/>
      <c r="CH101" s="22"/>
      <c r="CI101" s="22"/>
      <c r="CJ101" s="22"/>
      <c r="CK101" s="152"/>
      <c r="CL101" s="121"/>
      <c r="CM101" s="149"/>
      <c r="CN101" s="22"/>
      <c r="CO101" s="22"/>
      <c r="CP101" s="22"/>
      <c r="CQ101" s="152"/>
      <c r="CR101" s="121"/>
      <c r="CS101" s="149"/>
      <c r="CT101" s="22"/>
      <c r="CU101" s="22"/>
      <c r="CV101" s="22"/>
      <c r="CW101" s="152"/>
      <c r="CX101" s="121"/>
      <c r="CY101" s="149"/>
      <c r="CZ101" s="22"/>
      <c r="DA101" s="22"/>
      <c r="DB101" s="22"/>
      <c r="DC101" s="152"/>
      <c r="DD101" s="121"/>
      <c r="DE101" s="149"/>
      <c r="DF101" s="22"/>
      <c r="DG101" s="22"/>
      <c r="DH101" s="22"/>
      <c r="DI101" s="152"/>
      <c r="DJ101" s="121"/>
      <c r="DK101" s="149"/>
      <c r="DL101" s="22"/>
      <c r="DM101" s="22"/>
      <c r="DN101" s="22"/>
      <c r="DO101" s="152"/>
      <c r="DP101" s="121"/>
      <c r="DQ101" s="149"/>
      <c r="DR101" s="22"/>
      <c r="DS101" s="22"/>
      <c r="DT101" s="22"/>
      <c r="DU101" s="152"/>
      <c r="DV101" s="121"/>
      <c r="DW101" s="149"/>
      <c r="DX101" s="22"/>
      <c r="DY101" s="22"/>
      <c r="DZ101" s="22"/>
      <c r="EA101" s="152"/>
      <c r="EB101" s="121"/>
      <c r="EC101" s="149"/>
      <c r="ED101" s="22"/>
      <c r="EE101" s="22"/>
      <c r="EF101" s="22"/>
      <c r="EG101" s="152"/>
      <c r="EH101" s="9"/>
      <c r="EI101" s="486"/>
      <c r="EJ101" s="9"/>
    </row>
    <row r="102" spans="1:140" ht="11.25" customHeight="1" outlineLevel="1" x14ac:dyDescent="0.2">
      <c r="A102" s="104" t="s">
        <v>279</v>
      </c>
      <c r="B102" s="2"/>
      <c r="C102" s="2"/>
      <c r="D102" s="2"/>
      <c r="E102" s="153"/>
      <c r="G102" s="153"/>
      <c r="I102" s="153"/>
      <c r="K102" s="153"/>
      <c r="M102" s="150"/>
      <c r="Q102" s="153"/>
      <c r="S102" s="150"/>
      <c r="W102" s="153"/>
      <c r="Y102" s="150"/>
      <c r="AC102" s="153"/>
      <c r="AE102" s="150"/>
      <c r="AI102" s="153"/>
      <c r="AK102" s="150"/>
      <c r="AO102" s="153"/>
      <c r="AQ102" s="150"/>
      <c r="AU102" s="153"/>
      <c r="AW102" s="150"/>
      <c r="BA102" s="153"/>
      <c r="BC102" s="150"/>
      <c r="BG102" s="153"/>
      <c r="BI102" s="150"/>
      <c r="BM102" s="153"/>
      <c r="BO102" s="150"/>
      <c r="BS102" s="153"/>
      <c r="BU102" s="150"/>
      <c r="BY102" s="153"/>
      <c r="CA102" s="150"/>
      <c r="CE102" s="153"/>
      <c r="CG102" s="150"/>
      <c r="CK102" s="153"/>
      <c r="CM102" s="150"/>
      <c r="CQ102" s="153"/>
      <c r="CS102" s="150"/>
      <c r="CW102" s="153"/>
      <c r="CY102" s="150"/>
      <c r="DC102" s="153"/>
      <c r="DE102" s="150"/>
      <c r="DI102" s="153"/>
      <c r="DK102" s="150"/>
      <c r="DO102" s="153"/>
      <c r="DQ102" s="150"/>
      <c r="DU102" s="153"/>
      <c r="DW102" s="150"/>
      <c r="EA102" s="153"/>
      <c r="EC102" s="150"/>
      <c r="EG102" s="153"/>
    </row>
    <row r="103" spans="1:140" ht="11.25" customHeight="1" outlineLevel="1" x14ac:dyDescent="0.2">
      <c r="A103" s="104" t="s">
        <v>217</v>
      </c>
      <c r="B103" s="2"/>
      <c r="C103" s="2"/>
      <c r="D103" s="2"/>
      <c r="E103" s="93"/>
      <c r="F103" s="126"/>
      <c r="G103" s="93"/>
      <c r="H103" s="126"/>
      <c r="I103" s="93"/>
      <c r="J103" s="126"/>
      <c r="K103" s="93"/>
      <c r="L103" s="126"/>
      <c r="M103" s="82"/>
      <c r="N103" s="67"/>
      <c r="O103" s="67"/>
      <c r="P103" s="67"/>
      <c r="Q103" s="93"/>
      <c r="R103" s="126"/>
      <c r="S103" s="82"/>
      <c r="T103" s="67"/>
      <c r="U103" s="67"/>
      <c r="V103" s="67"/>
      <c r="W103" s="93"/>
      <c r="X103" s="126"/>
      <c r="Y103" s="82"/>
      <c r="Z103" s="67"/>
      <c r="AA103" s="67"/>
      <c r="AB103" s="67"/>
      <c r="AC103" s="93"/>
      <c r="AD103" s="126"/>
      <c r="AE103" s="82"/>
      <c r="AF103" s="67"/>
      <c r="AG103" s="67"/>
      <c r="AH103" s="67"/>
      <c r="AI103" s="93"/>
      <c r="AJ103" s="126"/>
      <c r="AK103" s="82"/>
      <c r="AL103" s="67"/>
      <c r="AM103" s="67"/>
      <c r="AN103" s="67"/>
      <c r="AO103" s="93"/>
      <c r="AP103" s="126"/>
      <c r="AQ103" s="82"/>
      <c r="AR103" s="67"/>
      <c r="AS103" s="67"/>
      <c r="AT103" s="67"/>
      <c r="AU103" s="93"/>
      <c r="AV103" s="126"/>
      <c r="AW103" s="82"/>
      <c r="AX103" s="67"/>
      <c r="AY103" s="67"/>
      <c r="AZ103" s="67"/>
      <c r="BA103" s="93"/>
      <c r="BB103" s="126"/>
      <c r="BC103" s="82"/>
      <c r="BD103" s="67"/>
      <c r="BE103" s="67"/>
      <c r="BF103" s="67"/>
      <c r="BG103" s="93"/>
      <c r="BH103" s="126"/>
      <c r="BI103" s="82"/>
      <c r="BJ103" s="67"/>
      <c r="BK103" s="67"/>
      <c r="BL103" s="67"/>
      <c r="BM103" s="93"/>
      <c r="BN103" s="126"/>
      <c r="BO103" s="82"/>
      <c r="BP103" s="67"/>
      <c r="BQ103" s="67"/>
      <c r="BR103" s="67"/>
      <c r="BS103" s="93"/>
      <c r="BT103" s="126"/>
      <c r="BU103" s="82"/>
      <c r="BV103" s="67"/>
      <c r="BW103" s="67"/>
      <c r="BX103" s="67"/>
      <c r="BY103" s="93"/>
      <c r="BZ103" s="126"/>
      <c r="CA103" s="82"/>
      <c r="CB103" s="67"/>
      <c r="CC103" s="67"/>
      <c r="CD103" s="67"/>
      <c r="CE103" s="93"/>
      <c r="CF103" s="126"/>
      <c r="CG103" s="82"/>
      <c r="CH103" s="67"/>
      <c r="CI103" s="67"/>
      <c r="CJ103" s="67"/>
      <c r="CK103" s="93"/>
      <c r="CL103" s="126"/>
      <c r="CM103" s="82"/>
      <c r="CN103" s="67"/>
      <c r="CO103" s="67"/>
      <c r="CP103" s="67"/>
      <c r="CQ103" s="93"/>
      <c r="CR103" s="126"/>
      <c r="CS103" s="82">
        <f>CS130+CS131+CS133</f>
        <v>3611.8</v>
      </c>
      <c r="CT103" s="67">
        <f>CT130+CT131+CT133</f>
        <v>3733.2999999999997</v>
      </c>
      <c r="CU103" s="67">
        <f>CU130+CU131+CU133</f>
        <v>4427.2999999999993</v>
      </c>
      <c r="CV103" s="67">
        <f>CV130+CV131+CV133</f>
        <v>4667.6000000000004</v>
      </c>
      <c r="CW103" s="93">
        <f>CW130+CW131+CW133</f>
        <v>4667.6000000000004</v>
      </c>
      <c r="CX103" s="126"/>
      <c r="CY103" s="82">
        <f>CY130+CY131+CY133</f>
        <v>4190.0999999999995</v>
      </c>
      <c r="CZ103" s="67">
        <f>CZ130+CZ131+CZ133</f>
        <v>4241.8</v>
      </c>
      <c r="DA103" s="67"/>
      <c r="DB103" s="67"/>
      <c r="DC103" s="93"/>
      <c r="DD103" s="126"/>
      <c r="DE103" s="82"/>
      <c r="DF103" s="67"/>
      <c r="DG103" s="67"/>
      <c r="DH103" s="67"/>
      <c r="DI103" s="93"/>
      <c r="DJ103" s="126"/>
      <c r="DK103" s="82"/>
      <c r="DL103" s="67"/>
      <c r="DM103" s="67"/>
      <c r="DN103" s="67"/>
      <c r="DO103" s="93"/>
      <c r="DP103" s="126"/>
      <c r="DQ103" s="82"/>
      <c r="DR103" s="67"/>
      <c r="DS103" s="67"/>
      <c r="DT103" s="67"/>
      <c r="DU103" s="93"/>
      <c r="DV103" s="126"/>
      <c r="DW103" s="82"/>
      <c r="DX103" s="67"/>
      <c r="DY103" s="67"/>
      <c r="DZ103" s="67"/>
      <c r="EA103" s="93"/>
      <c r="EB103" s="126"/>
      <c r="EC103" s="82"/>
      <c r="ED103" s="67"/>
      <c r="EE103" s="67"/>
      <c r="EF103" s="67"/>
      <c r="EG103" s="93"/>
      <c r="EH103" s="7"/>
      <c r="EI103" s="482"/>
      <c r="EJ103" s="7"/>
    </row>
    <row r="104" spans="1:140" ht="11.25" customHeight="1" outlineLevel="1" x14ac:dyDescent="0.2">
      <c r="A104" s="104" t="s">
        <v>218</v>
      </c>
      <c r="B104" s="2"/>
      <c r="C104" s="2"/>
      <c r="D104" s="2"/>
      <c r="E104" s="93"/>
      <c r="F104" s="126"/>
      <c r="G104" s="93"/>
      <c r="H104" s="126"/>
      <c r="I104" s="93"/>
      <c r="J104" s="126"/>
      <c r="K104" s="93"/>
      <c r="L104" s="126"/>
      <c r="M104" s="82"/>
      <c r="N104" s="67"/>
      <c r="O104" s="67"/>
      <c r="P104" s="67"/>
      <c r="Q104" s="93"/>
      <c r="R104" s="126"/>
      <c r="S104" s="82"/>
      <c r="T104" s="67"/>
      <c r="U104" s="67"/>
      <c r="V104" s="67"/>
      <c r="W104" s="93"/>
      <c r="X104" s="126"/>
      <c r="Y104" s="82"/>
      <c r="Z104" s="67"/>
      <c r="AA104" s="67"/>
      <c r="AB104" s="67"/>
      <c r="AC104" s="93"/>
      <c r="AD104" s="126"/>
      <c r="AE104" s="82"/>
      <c r="AF104" s="67"/>
      <c r="AG104" s="67"/>
      <c r="AH104" s="67"/>
      <c r="AI104" s="93"/>
      <c r="AJ104" s="126"/>
      <c r="AK104" s="82"/>
      <c r="AL104" s="67"/>
      <c r="AM104" s="67"/>
      <c r="AN104" s="67"/>
      <c r="AO104" s="93"/>
      <c r="AP104" s="126"/>
      <c r="AQ104" s="82"/>
      <c r="AR104" s="67"/>
      <c r="AS104" s="67"/>
      <c r="AT104" s="67"/>
      <c r="AU104" s="93"/>
      <c r="AV104" s="126"/>
      <c r="AW104" s="82"/>
      <c r="AX104" s="67"/>
      <c r="AY104" s="67"/>
      <c r="AZ104" s="67"/>
      <c r="BA104" s="93"/>
      <c r="BB104" s="126"/>
      <c r="BC104" s="82"/>
      <c r="BD104" s="67"/>
      <c r="BE104" s="67"/>
      <c r="BF104" s="67"/>
      <c r="BG104" s="93"/>
      <c r="BH104" s="126"/>
      <c r="BI104" s="82"/>
      <c r="BJ104" s="67"/>
      <c r="BK104" s="67"/>
      <c r="BL104" s="67"/>
      <c r="BM104" s="93"/>
      <c r="BN104" s="126"/>
      <c r="BO104" s="82"/>
      <c r="BP104" s="67"/>
      <c r="BQ104" s="67"/>
      <c r="BR104" s="67"/>
      <c r="BS104" s="93"/>
      <c r="BT104" s="126"/>
      <c r="BU104" s="82"/>
      <c r="BV104" s="67"/>
      <c r="BW104" s="67"/>
      <c r="BX104" s="67"/>
      <c r="BY104" s="93"/>
      <c r="BZ104" s="126"/>
      <c r="CA104" s="82"/>
      <c r="CB104" s="67"/>
      <c r="CC104" s="67"/>
      <c r="CD104" s="67"/>
      <c r="CE104" s="93"/>
      <c r="CF104" s="126"/>
      <c r="CG104" s="82"/>
      <c r="CH104" s="67"/>
      <c r="CI104" s="67"/>
      <c r="CJ104" s="67"/>
      <c r="CK104" s="93"/>
      <c r="CL104" s="126"/>
      <c r="CM104" s="82"/>
      <c r="CN104" s="67"/>
      <c r="CO104" s="67"/>
      <c r="CP104" s="67"/>
      <c r="CQ104" s="93"/>
      <c r="CR104" s="126"/>
      <c r="CS104" s="82"/>
      <c r="CT104" s="67"/>
      <c r="CU104" s="67">
        <v>912.59999999999991</v>
      </c>
      <c r="CV104" s="67">
        <v>845.0999999999998</v>
      </c>
      <c r="CW104" s="93">
        <f>+CV104</f>
        <v>845.0999999999998</v>
      </c>
      <c r="CX104" s="126"/>
      <c r="CY104" s="82">
        <v>857.6</v>
      </c>
      <c r="CZ104" s="67">
        <v>876.23800717654467</v>
      </c>
      <c r="DA104" s="67"/>
      <c r="DB104" s="67"/>
      <c r="DC104" s="93"/>
      <c r="DD104" s="126"/>
      <c r="DE104" s="82"/>
      <c r="DF104" s="67"/>
      <c r="DG104" s="67"/>
      <c r="DH104" s="67"/>
      <c r="DI104" s="93"/>
      <c r="DJ104" s="126"/>
      <c r="DK104" s="82"/>
      <c r="DL104" s="67"/>
      <c r="DM104" s="67"/>
      <c r="DN104" s="67"/>
      <c r="DO104" s="93"/>
      <c r="DP104" s="126"/>
      <c r="DQ104" s="82"/>
      <c r="DR104" s="67"/>
      <c r="DS104" s="67"/>
      <c r="DT104" s="67"/>
      <c r="DU104" s="93"/>
      <c r="DV104" s="126"/>
      <c r="DW104" s="82"/>
      <c r="DX104" s="67"/>
      <c r="DY104" s="67"/>
      <c r="DZ104" s="67"/>
      <c r="EA104" s="93"/>
      <c r="EB104" s="126"/>
      <c r="EC104" s="82"/>
      <c r="ED104" s="67"/>
      <c r="EE104" s="67"/>
      <c r="EF104" s="67"/>
      <c r="EG104" s="93"/>
      <c r="EH104" s="7"/>
      <c r="EI104" s="482"/>
      <c r="EJ104" s="7"/>
    </row>
    <row r="105" spans="1:140" ht="11.25" customHeight="1" outlineLevel="1" x14ac:dyDescent="0.2">
      <c r="A105" s="104" t="s">
        <v>219</v>
      </c>
      <c r="B105" s="2"/>
      <c r="C105" s="2"/>
      <c r="D105" s="2"/>
      <c r="E105" s="93"/>
      <c r="F105" s="126"/>
      <c r="G105" s="93"/>
      <c r="H105" s="126"/>
      <c r="I105" s="93"/>
      <c r="J105" s="126"/>
      <c r="K105" s="93"/>
      <c r="L105" s="126"/>
      <c r="M105" s="82"/>
      <c r="N105" s="67"/>
      <c r="O105" s="67"/>
      <c r="P105" s="67"/>
      <c r="Q105" s="93"/>
      <c r="R105" s="126"/>
      <c r="S105" s="82"/>
      <c r="T105" s="67"/>
      <c r="U105" s="67"/>
      <c r="V105" s="67"/>
      <c r="W105" s="93"/>
      <c r="X105" s="126"/>
      <c r="Y105" s="82"/>
      <c r="Z105" s="67"/>
      <c r="AA105" s="67"/>
      <c r="AB105" s="67"/>
      <c r="AC105" s="93"/>
      <c r="AD105" s="126"/>
      <c r="AE105" s="82"/>
      <c r="AF105" s="67"/>
      <c r="AG105" s="67"/>
      <c r="AH105" s="67"/>
      <c r="AI105" s="93"/>
      <c r="AJ105" s="126"/>
      <c r="AK105" s="82"/>
      <c r="AL105" s="67"/>
      <c r="AM105" s="67"/>
      <c r="AN105" s="67"/>
      <c r="AO105" s="93"/>
      <c r="AP105" s="126"/>
      <c r="AQ105" s="82"/>
      <c r="AR105" s="67"/>
      <c r="AS105" s="67"/>
      <c r="AT105" s="67"/>
      <c r="AU105" s="93"/>
      <c r="AV105" s="126"/>
      <c r="AW105" s="82"/>
      <c r="AX105" s="67"/>
      <c r="AY105" s="67"/>
      <c r="AZ105" s="67"/>
      <c r="BA105" s="93"/>
      <c r="BB105" s="126"/>
      <c r="BC105" s="82"/>
      <c r="BD105" s="67"/>
      <c r="BE105" s="67"/>
      <c r="BF105" s="67"/>
      <c r="BG105" s="93"/>
      <c r="BH105" s="126"/>
      <c r="BI105" s="82"/>
      <c r="BJ105" s="67"/>
      <c r="BK105" s="67"/>
      <c r="BL105" s="67"/>
      <c r="BM105" s="93"/>
      <c r="BN105" s="126"/>
      <c r="BO105" s="82"/>
      <c r="BP105" s="67"/>
      <c r="BQ105" s="67"/>
      <c r="BR105" s="67"/>
      <c r="BS105" s="93"/>
      <c r="BT105" s="126"/>
      <c r="BU105" s="82"/>
      <c r="BV105" s="67"/>
      <c r="BW105" s="67"/>
      <c r="BX105" s="67"/>
      <c r="BY105" s="93"/>
      <c r="BZ105" s="126"/>
      <c r="CA105" s="82"/>
      <c r="CB105" s="67"/>
      <c r="CC105" s="67"/>
      <c r="CD105" s="67"/>
      <c r="CE105" s="93"/>
      <c r="CF105" s="126"/>
      <c r="CG105" s="82"/>
      <c r="CH105" s="67"/>
      <c r="CI105" s="67"/>
      <c r="CJ105" s="67"/>
      <c r="CK105" s="93"/>
      <c r="CL105" s="126"/>
      <c r="CM105" s="82"/>
      <c r="CN105" s="67"/>
      <c r="CO105" s="67"/>
      <c r="CP105" s="67"/>
      <c r="CQ105" s="93"/>
      <c r="CR105" s="126"/>
      <c r="CS105" s="82"/>
      <c r="CT105" s="67"/>
      <c r="CU105" s="67">
        <f>CU103-CU104</f>
        <v>3514.6999999999994</v>
      </c>
      <c r="CV105" s="67">
        <f>CV103-CV104</f>
        <v>3822.5000000000005</v>
      </c>
      <c r="CW105" s="93">
        <f>CW103-CW104</f>
        <v>3822.5000000000005</v>
      </c>
      <c r="CX105" s="126"/>
      <c r="CY105" s="82">
        <f>CY103-CY104</f>
        <v>3332.4999999999995</v>
      </c>
      <c r="CZ105" s="67">
        <f>CZ103-CZ104</f>
        <v>3365.5619928234555</v>
      </c>
      <c r="DA105" s="67">
        <f>DA130+DA131+DA133</f>
        <v>3439.5</v>
      </c>
      <c r="DB105" s="67">
        <f>DB130+DB131+DB133</f>
        <v>3410.5</v>
      </c>
      <c r="DC105" s="93">
        <f>DC130+DC131+DC133</f>
        <v>3410.5</v>
      </c>
      <c r="DD105" s="126"/>
      <c r="DE105" s="82">
        <f>DE130+DE131+DE133</f>
        <v>3397.6000000000004</v>
      </c>
      <c r="DF105" s="67">
        <f>DF130+DF131+DF133</f>
        <v>3579.5</v>
      </c>
      <c r="DG105" s="67">
        <f>DG130+DG131+DG133</f>
        <v>3645.0999999999995</v>
      </c>
      <c r="DH105" s="67">
        <f>DH130+DH131+DH133</f>
        <v>3852.7000000000003</v>
      </c>
      <c r="DI105" s="93">
        <f>DI130+DI131+DI133</f>
        <v>3852.7000000000003</v>
      </c>
      <c r="DJ105" s="126"/>
      <c r="DK105" s="82">
        <f>DK130+DK131+DK133</f>
        <v>3650.6095684514266</v>
      </c>
      <c r="DL105" s="67">
        <f>DL130+DL131+DL133</f>
        <v>3730.3070198648284</v>
      </c>
      <c r="DM105" s="67">
        <f>DM130+DM131+DM133</f>
        <v>3787.9628791815417</v>
      </c>
      <c r="DN105" s="67">
        <f>DN130+DN131+DN133</f>
        <v>3930.6574254541965</v>
      </c>
      <c r="DO105" s="93">
        <f>DO130+DO131+DO133</f>
        <v>3930.6574254541965</v>
      </c>
      <c r="DP105" s="126"/>
      <c r="DQ105" s="82">
        <f>DQ130+DQ131+DQ133</f>
        <v>3678.6507074511828</v>
      </c>
      <c r="DR105" s="67">
        <f>DR130+DR131+DR133</f>
        <v>3763.1045478629203</v>
      </c>
      <c r="DS105" s="67">
        <f>DS130+DS131+DS133</f>
        <v>3793.5010823613693</v>
      </c>
      <c r="DT105" s="67">
        <f>DT130+DT131+DT133</f>
        <v>3929.4120537693061</v>
      </c>
      <c r="DU105" s="93">
        <f>DU130+DU131+DU133</f>
        <v>3929.4120537693061</v>
      </c>
      <c r="DV105" s="126"/>
      <c r="DW105" s="82">
        <f>DW130+DW131+DW133</f>
        <v>3648.9700295046528</v>
      </c>
      <c r="DX105" s="67">
        <f>DX130+DX131+DX133</f>
        <v>3726.7248711164398</v>
      </c>
      <c r="DY105" s="67">
        <f>DY130+DY131+DY133</f>
        <v>3762.8159334732927</v>
      </c>
      <c r="DZ105" s="67">
        <f>DZ130+DZ131+DZ133</f>
        <v>3887.4148065511527</v>
      </c>
      <c r="EA105" s="93">
        <f>EA130+EA131+EA133</f>
        <v>3887.4148065511527</v>
      </c>
      <c r="EB105" s="126"/>
      <c r="EC105" s="82">
        <f t="shared" ref="EC105:EG105" si="566">EC130+EC131+EC133</f>
        <v>3614.4814766310292</v>
      </c>
      <c r="ED105" s="67">
        <f t="shared" si="566"/>
        <v>3684.1366812793476</v>
      </c>
      <c r="EE105" s="67">
        <f t="shared" si="566"/>
        <v>3726.7813300625157</v>
      </c>
      <c r="EF105" s="67">
        <f t="shared" si="566"/>
        <v>3836.8969718464582</v>
      </c>
      <c r="EG105" s="93">
        <f t="shared" si="566"/>
        <v>3836.8969718464582</v>
      </c>
      <c r="EH105" s="7"/>
      <c r="EI105" s="482"/>
      <c r="EJ105" s="7"/>
    </row>
    <row r="106" spans="1:140" ht="11.25" customHeight="1" outlineLevel="1" x14ac:dyDescent="0.2">
      <c r="A106" s="104"/>
      <c r="B106" s="2"/>
      <c r="C106" s="2"/>
      <c r="D106" s="2"/>
      <c r="E106" s="93"/>
      <c r="F106" s="126"/>
      <c r="G106" s="93"/>
      <c r="H106" s="126"/>
      <c r="I106" s="93"/>
      <c r="J106" s="126"/>
      <c r="K106" s="93"/>
      <c r="L106" s="126"/>
      <c r="M106" s="82"/>
      <c r="N106" s="67"/>
      <c r="O106" s="67"/>
      <c r="P106" s="67"/>
      <c r="Q106" s="93"/>
      <c r="R106" s="126"/>
      <c r="S106" s="82"/>
      <c r="T106" s="67"/>
      <c r="U106" s="67"/>
      <c r="V106" s="67"/>
      <c r="W106" s="93"/>
      <c r="X106" s="126"/>
      <c r="Y106" s="82"/>
      <c r="Z106" s="67"/>
      <c r="AA106" s="67"/>
      <c r="AB106" s="67"/>
      <c r="AC106" s="93"/>
      <c r="AD106" s="126"/>
      <c r="AE106" s="82"/>
      <c r="AF106" s="67"/>
      <c r="AG106" s="67"/>
      <c r="AH106" s="67"/>
      <c r="AI106" s="93"/>
      <c r="AJ106" s="126"/>
      <c r="AK106" s="82"/>
      <c r="AL106" s="67"/>
      <c r="AM106" s="67"/>
      <c r="AN106" s="67"/>
      <c r="AO106" s="93"/>
      <c r="AP106" s="126"/>
      <c r="AQ106" s="82"/>
      <c r="AR106" s="67"/>
      <c r="AS106" s="67"/>
      <c r="AT106" s="67"/>
      <c r="AU106" s="93"/>
      <c r="AV106" s="126"/>
      <c r="AW106" s="82"/>
      <c r="AX106" s="67"/>
      <c r="AY106" s="67"/>
      <c r="AZ106" s="67"/>
      <c r="BA106" s="93"/>
      <c r="BB106" s="126"/>
      <c r="BC106" s="82"/>
      <c r="BD106" s="67"/>
      <c r="BE106" s="67"/>
      <c r="BF106" s="67"/>
      <c r="BG106" s="93"/>
      <c r="BH106" s="126"/>
      <c r="BI106" s="82"/>
      <c r="BJ106" s="67"/>
      <c r="BK106" s="67"/>
      <c r="BL106" s="67"/>
      <c r="BM106" s="93"/>
      <c r="BN106" s="126"/>
      <c r="BO106" s="82"/>
      <c r="BP106" s="67"/>
      <c r="BQ106" s="67"/>
      <c r="BR106" s="67"/>
      <c r="BS106" s="93"/>
      <c r="BT106" s="126"/>
      <c r="BU106" s="82"/>
      <c r="BV106" s="67"/>
      <c r="BW106" s="67"/>
      <c r="BX106" s="67"/>
      <c r="BY106" s="93"/>
      <c r="BZ106" s="126"/>
      <c r="CA106" s="82"/>
      <c r="CB106" s="67"/>
      <c r="CC106" s="67"/>
      <c r="CD106" s="67"/>
      <c r="CE106" s="93"/>
      <c r="CF106" s="126"/>
      <c r="CG106" s="82"/>
      <c r="CH106" s="67"/>
      <c r="CI106" s="67"/>
      <c r="CJ106" s="67"/>
      <c r="CK106" s="93"/>
      <c r="CL106" s="126"/>
      <c r="CM106" s="82"/>
      <c r="CN106" s="67"/>
      <c r="CO106" s="67"/>
      <c r="CP106" s="67"/>
      <c r="CQ106" s="93"/>
      <c r="CR106" s="126"/>
      <c r="CS106" s="82"/>
      <c r="CT106" s="67"/>
      <c r="CU106" s="67"/>
      <c r="CV106" s="67"/>
      <c r="CW106" s="93"/>
      <c r="CX106" s="126"/>
      <c r="CY106" s="82"/>
      <c r="CZ106" s="67"/>
      <c r="DA106" s="67"/>
      <c r="DB106" s="67"/>
      <c r="DC106" s="93"/>
      <c r="DD106" s="126"/>
      <c r="DE106" s="82"/>
      <c r="DF106" s="67"/>
      <c r="DG106" s="67"/>
      <c r="DH106" s="67"/>
      <c r="DI106" s="93"/>
      <c r="DJ106" s="126"/>
      <c r="DK106" s="82"/>
      <c r="DL106" s="67"/>
      <c r="DM106" s="67"/>
      <c r="DN106" s="67"/>
      <c r="DO106" s="93"/>
      <c r="DP106" s="126"/>
      <c r="DQ106" s="82"/>
      <c r="DR106" s="67"/>
      <c r="DS106" s="67"/>
      <c r="DT106" s="67"/>
      <c r="DU106" s="93"/>
      <c r="DV106" s="126"/>
      <c r="DW106" s="82"/>
      <c r="DX106" s="67"/>
      <c r="DY106" s="67"/>
      <c r="DZ106" s="67"/>
      <c r="EA106" s="93"/>
      <c r="EB106" s="126"/>
      <c r="EC106" s="82"/>
      <c r="ED106" s="67"/>
      <c r="EE106" s="67"/>
      <c r="EF106" s="67"/>
      <c r="EG106" s="93"/>
      <c r="EH106" s="7"/>
      <c r="EI106" s="482"/>
      <c r="EJ106" s="7"/>
    </row>
    <row r="107" spans="1:140" ht="11.25" customHeight="1" outlineLevel="1" x14ac:dyDescent="0.2">
      <c r="A107" s="104" t="s">
        <v>214</v>
      </c>
      <c r="B107" s="2"/>
      <c r="C107" s="2"/>
      <c r="D107" s="2"/>
      <c r="E107" s="93"/>
      <c r="F107" s="126"/>
      <c r="G107" s="93"/>
      <c r="H107" s="126"/>
      <c r="I107" s="93"/>
      <c r="J107" s="126"/>
      <c r="K107" s="93"/>
      <c r="L107" s="126"/>
      <c r="M107" s="82"/>
      <c r="N107" s="67"/>
      <c r="O107" s="67"/>
      <c r="P107" s="67"/>
      <c r="Q107" s="93"/>
      <c r="R107" s="126"/>
      <c r="S107" s="82"/>
      <c r="T107" s="67"/>
      <c r="U107" s="67"/>
      <c r="V107" s="67"/>
      <c r="W107" s="93"/>
      <c r="X107" s="126"/>
      <c r="Y107" s="82"/>
      <c r="Z107" s="67"/>
      <c r="AA107" s="67"/>
      <c r="AB107" s="67"/>
      <c r="AC107" s="93"/>
      <c r="AD107" s="126"/>
      <c r="AE107" s="82"/>
      <c r="AF107" s="67"/>
      <c r="AG107" s="67"/>
      <c r="AH107" s="67"/>
      <c r="AI107" s="93"/>
      <c r="AJ107" s="126"/>
      <c r="AK107" s="82"/>
      <c r="AL107" s="67"/>
      <c r="AM107" s="67"/>
      <c r="AN107" s="67"/>
      <c r="AO107" s="93"/>
      <c r="AP107" s="126"/>
      <c r="AQ107" s="82"/>
      <c r="AR107" s="67"/>
      <c r="AS107" s="67"/>
      <c r="AT107" s="67"/>
      <c r="AU107" s="93"/>
      <c r="AV107" s="126"/>
      <c r="AW107" s="82"/>
      <c r="AX107" s="67"/>
      <c r="AY107" s="67"/>
      <c r="AZ107" s="67"/>
      <c r="BA107" s="93"/>
      <c r="BB107" s="126"/>
      <c r="BC107" s="82"/>
      <c r="BD107" s="67"/>
      <c r="BE107" s="67"/>
      <c r="BF107" s="67"/>
      <c r="BG107" s="93"/>
      <c r="BH107" s="126"/>
      <c r="BI107" s="82"/>
      <c r="BJ107" s="67"/>
      <c r="BK107" s="67"/>
      <c r="BL107" s="67"/>
      <c r="BM107" s="93"/>
      <c r="BN107" s="126"/>
      <c r="BO107" s="82"/>
      <c r="BP107" s="67"/>
      <c r="BQ107" s="67"/>
      <c r="BR107" s="67"/>
      <c r="BS107" s="93"/>
      <c r="BT107" s="126"/>
      <c r="BU107" s="82"/>
      <c r="BV107" s="67"/>
      <c r="BW107" s="67"/>
      <c r="BX107" s="67"/>
      <c r="BY107" s="93"/>
      <c r="BZ107" s="126"/>
      <c r="CA107" s="82"/>
      <c r="CB107" s="67"/>
      <c r="CC107" s="67"/>
      <c r="CD107" s="67"/>
      <c r="CE107" s="93"/>
      <c r="CF107" s="126"/>
      <c r="CG107" s="82"/>
      <c r="CH107" s="67"/>
      <c r="CI107" s="67"/>
      <c r="CJ107" s="67"/>
      <c r="CK107" s="93"/>
      <c r="CL107" s="126"/>
      <c r="CM107" s="82"/>
      <c r="CN107" s="67"/>
      <c r="CO107" s="67"/>
      <c r="CP107" s="67"/>
      <c r="CQ107" s="93"/>
      <c r="CR107" s="126"/>
      <c r="CS107" s="82">
        <f>CS136</f>
        <v>1434.4000000000005</v>
      </c>
      <c r="CT107" s="67">
        <f>CT136</f>
        <v>1366.9999999999995</v>
      </c>
      <c r="CU107" s="67">
        <f>CU136</f>
        <v>1961.9999999999995</v>
      </c>
      <c r="CV107" s="67">
        <f>CV136</f>
        <v>3044.6</v>
      </c>
      <c r="CW107" s="93">
        <f>CW136</f>
        <v>3044.6</v>
      </c>
      <c r="CX107" s="126"/>
      <c r="CY107" s="82">
        <f>CY136</f>
        <v>1958.5999999999995</v>
      </c>
      <c r="CZ107" s="67">
        <f>CZ136</f>
        <v>1752</v>
      </c>
      <c r="DA107" s="67"/>
      <c r="DB107" s="67"/>
      <c r="DC107" s="93"/>
      <c r="DD107" s="126"/>
      <c r="DE107" s="82"/>
      <c r="DF107" s="67"/>
      <c r="DG107" s="67"/>
      <c r="DH107" s="67"/>
      <c r="DI107" s="93"/>
      <c r="DJ107" s="126"/>
      <c r="DK107" s="82"/>
      <c r="DL107" s="67"/>
      <c r="DM107" s="67"/>
      <c r="DN107" s="67"/>
      <c r="DO107" s="93"/>
      <c r="DP107" s="126"/>
      <c r="DQ107" s="82"/>
      <c r="DR107" s="67"/>
      <c r="DS107" s="67"/>
      <c r="DT107" s="67"/>
      <c r="DU107" s="93"/>
      <c r="DV107" s="126"/>
      <c r="DW107" s="82"/>
      <c r="DX107" s="67"/>
      <c r="DY107" s="67"/>
      <c r="DZ107" s="67"/>
      <c r="EA107" s="93"/>
      <c r="EB107" s="126"/>
      <c r="EC107" s="82"/>
      <c r="ED107" s="67"/>
      <c r="EE107" s="67"/>
      <c r="EF107" s="67"/>
      <c r="EG107" s="93"/>
      <c r="EH107" s="7"/>
      <c r="EI107" s="482"/>
      <c r="EJ107" s="7"/>
    </row>
    <row r="108" spans="1:140" ht="11.25" customHeight="1" outlineLevel="1" x14ac:dyDescent="0.2">
      <c r="A108" s="104" t="s">
        <v>215</v>
      </c>
      <c r="B108" s="2"/>
      <c r="C108" s="2"/>
      <c r="D108" s="2"/>
      <c r="E108" s="93"/>
      <c r="F108" s="126"/>
      <c r="G108" s="93"/>
      <c r="H108" s="126"/>
      <c r="I108" s="93"/>
      <c r="J108" s="126"/>
      <c r="K108" s="93"/>
      <c r="L108" s="126"/>
      <c r="M108" s="82"/>
      <c r="N108" s="67"/>
      <c r="O108" s="67"/>
      <c r="P108" s="67"/>
      <c r="Q108" s="93"/>
      <c r="R108" s="126"/>
      <c r="S108" s="82"/>
      <c r="T108" s="67"/>
      <c r="U108" s="67"/>
      <c r="V108" s="67"/>
      <c r="W108" s="93"/>
      <c r="X108" s="126"/>
      <c r="Y108" s="82"/>
      <c r="Z108" s="67"/>
      <c r="AA108" s="67"/>
      <c r="AB108" s="67"/>
      <c r="AC108" s="93"/>
      <c r="AD108" s="126"/>
      <c r="AE108" s="82"/>
      <c r="AF108" s="67"/>
      <c r="AG108" s="67"/>
      <c r="AH108" s="67"/>
      <c r="AI108" s="93"/>
      <c r="AJ108" s="126"/>
      <c r="AK108" s="82"/>
      <c r="AL108" s="67"/>
      <c r="AM108" s="67"/>
      <c r="AN108" s="67"/>
      <c r="AO108" s="93"/>
      <c r="AP108" s="126"/>
      <c r="AQ108" s="82"/>
      <c r="AR108" s="67"/>
      <c r="AS108" s="67"/>
      <c r="AT108" s="67"/>
      <c r="AU108" s="93"/>
      <c r="AV108" s="126"/>
      <c r="AW108" s="82"/>
      <c r="AX108" s="67"/>
      <c r="AY108" s="67"/>
      <c r="AZ108" s="67"/>
      <c r="BA108" s="93"/>
      <c r="BB108" s="126"/>
      <c r="BC108" s="82"/>
      <c r="BD108" s="67"/>
      <c r="BE108" s="67"/>
      <c r="BF108" s="67"/>
      <c r="BG108" s="93"/>
      <c r="BH108" s="126"/>
      <c r="BI108" s="82"/>
      <c r="BJ108" s="67"/>
      <c r="BK108" s="67"/>
      <c r="BL108" s="67"/>
      <c r="BM108" s="93"/>
      <c r="BN108" s="126"/>
      <c r="BO108" s="82"/>
      <c r="BP108" s="67"/>
      <c r="BQ108" s="67"/>
      <c r="BR108" s="67"/>
      <c r="BS108" s="93"/>
      <c r="BT108" s="126"/>
      <c r="BU108" s="82"/>
      <c r="BV108" s="67"/>
      <c r="BW108" s="67"/>
      <c r="BX108" s="67"/>
      <c r="BY108" s="93"/>
      <c r="BZ108" s="126"/>
      <c r="CA108" s="82"/>
      <c r="CB108" s="67"/>
      <c r="CC108" s="67"/>
      <c r="CD108" s="67"/>
      <c r="CE108" s="93"/>
      <c r="CF108" s="126"/>
      <c r="CG108" s="82"/>
      <c r="CH108" s="67"/>
      <c r="CI108" s="67"/>
      <c r="CJ108" s="67"/>
      <c r="CK108" s="93"/>
      <c r="CL108" s="126"/>
      <c r="CM108" s="82"/>
      <c r="CN108" s="67"/>
      <c r="CO108" s="67"/>
      <c r="CP108" s="67"/>
      <c r="CQ108" s="93"/>
      <c r="CR108" s="126"/>
      <c r="CS108" s="82"/>
      <c r="CT108" s="67"/>
      <c r="CU108" s="67">
        <v>474.09999999999991</v>
      </c>
      <c r="CV108" s="67">
        <v>270.59999999999991</v>
      </c>
      <c r="CW108" s="93">
        <f>+CV108</f>
        <v>270.59999999999991</v>
      </c>
      <c r="CX108" s="126"/>
      <c r="CY108" s="82">
        <v>327.20000000000016</v>
      </c>
      <c r="CZ108" s="67">
        <v>296.98676130152518</v>
      </c>
      <c r="DA108" s="67"/>
      <c r="DB108" s="67"/>
      <c r="DC108" s="93"/>
      <c r="DD108" s="126"/>
      <c r="DE108" s="82"/>
      <c r="DF108" s="67"/>
      <c r="DG108" s="67"/>
      <c r="DH108" s="67"/>
      <c r="DI108" s="93"/>
      <c r="DJ108" s="126"/>
      <c r="DK108" s="82"/>
      <c r="DL108" s="67"/>
      <c r="DM108" s="67"/>
      <c r="DN108" s="67"/>
      <c r="DO108" s="93"/>
      <c r="DP108" s="126"/>
      <c r="DQ108" s="82"/>
      <c r="DR108" s="67"/>
      <c r="DS108" s="67"/>
      <c r="DT108" s="67"/>
      <c r="DU108" s="93"/>
      <c r="DV108" s="126"/>
      <c r="DW108" s="82"/>
      <c r="DX108" s="67"/>
      <c r="DY108" s="67"/>
      <c r="DZ108" s="67"/>
      <c r="EA108" s="93"/>
      <c r="EB108" s="126"/>
      <c r="EC108" s="82"/>
      <c r="ED108" s="67"/>
      <c r="EE108" s="67"/>
      <c r="EF108" s="67"/>
      <c r="EG108" s="93"/>
      <c r="EH108" s="7"/>
      <c r="EI108" s="482"/>
      <c r="EJ108" s="7"/>
    </row>
    <row r="109" spans="1:140" ht="11.25" customHeight="1" outlineLevel="1" x14ac:dyDescent="0.2">
      <c r="A109" s="104" t="s">
        <v>216</v>
      </c>
      <c r="B109" s="2"/>
      <c r="C109" s="2"/>
      <c r="D109" s="2"/>
      <c r="E109" s="93"/>
      <c r="F109" s="126"/>
      <c r="G109" s="93"/>
      <c r="H109" s="126"/>
      <c r="I109" s="93"/>
      <c r="J109" s="126"/>
      <c r="K109" s="93"/>
      <c r="L109" s="126"/>
      <c r="M109" s="82"/>
      <c r="N109" s="67"/>
      <c r="O109" s="67"/>
      <c r="P109" s="67"/>
      <c r="Q109" s="93"/>
      <c r="R109" s="126"/>
      <c r="S109" s="82"/>
      <c r="T109" s="67"/>
      <c r="U109" s="67"/>
      <c r="V109" s="67"/>
      <c r="W109" s="93"/>
      <c r="X109" s="126"/>
      <c r="Y109" s="82"/>
      <c r="Z109" s="67"/>
      <c r="AA109" s="67"/>
      <c r="AB109" s="67"/>
      <c r="AC109" s="93"/>
      <c r="AD109" s="126"/>
      <c r="AE109" s="82"/>
      <c r="AF109" s="67"/>
      <c r="AG109" s="67"/>
      <c r="AH109" s="67"/>
      <c r="AI109" s="93"/>
      <c r="AJ109" s="126"/>
      <c r="AK109" s="82"/>
      <c r="AL109" s="67"/>
      <c r="AM109" s="67"/>
      <c r="AN109" s="67"/>
      <c r="AO109" s="93"/>
      <c r="AP109" s="126"/>
      <c r="AQ109" s="82"/>
      <c r="AR109" s="67"/>
      <c r="AS109" s="67"/>
      <c r="AT109" s="67"/>
      <c r="AU109" s="93"/>
      <c r="AV109" s="126"/>
      <c r="AW109" s="82"/>
      <c r="AX109" s="67"/>
      <c r="AY109" s="67"/>
      <c r="AZ109" s="67"/>
      <c r="BA109" s="93"/>
      <c r="BB109" s="126"/>
      <c r="BC109" s="82"/>
      <c r="BD109" s="67"/>
      <c r="BE109" s="67"/>
      <c r="BF109" s="67"/>
      <c r="BG109" s="93"/>
      <c r="BH109" s="126"/>
      <c r="BI109" s="82"/>
      <c r="BJ109" s="67"/>
      <c r="BK109" s="67"/>
      <c r="BL109" s="67"/>
      <c r="BM109" s="93"/>
      <c r="BN109" s="126"/>
      <c r="BO109" s="82"/>
      <c r="BP109" s="67"/>
      <c r="BQ109" s="67"/>
      <c r="BR109" s="67"/>
      <c r="BS109" s="93"/>
      <c r="BT109" s="126"/>
      <c r="BU109" s="82"/>
      <c r="BV109" s="67"/>
      <c r="BW109" s="67"/>
      <c r="BX109" s="67"/>
      <c r="BY109" s="93"/>
      <c r="BZ109" s="126"/>
      <c r="CA109" s="82"/>
      <c r="CB109" s="67"/>
      <c r="CC109" s="67"/>
      <c r="CD109" s="67"/>
      <c r="CE109" s="93"/>
      <c r="CF109" s="126"/>
      <c r="CG109" s="82"/>
      <c r="CH109" s="67"/>
      <c r="CI109" s="67"/>
      <c r="CJ109" s="67"/>
      <c r="CK109" s="93"/>
      <c r="CL109" s="126"/>
      <c r="CM109" s="82"/>
      <c r="CN109" s="67"/>
      <c r="CO109" s="67"/>
      <c r="CP109" s="67"/>
      <c r="CQ109" s="93"/>
      <c r="CR109" s="126"/>
      <c r="CS109" s="82"/>
      <c r="CT109" s="67"/>
      <c r="CU109" s="67">
        <f>CU107-CU108</f>
        <v>1487.8999999999996</v>
      </c>
      <c r="CV109" s="67">
        <f>CV107-CV108</f>
        <v>2774</v>
      </c>
      <c r="CW109" s="93">
        <f>CW107-CW108</f>
        <v>2774</v>
      </c>
      <c r="CX109" s="126"/>
      <c r="CY109" s="82">
        <f>CY107-CY108</f>
        <v>1631.3999999999992</v>
      </c>
      <c r="CZ109" s="67">
        <f>CZ107-CZ108</f>
        <v>1455.0132386984749</v>
      </c>
      <c r="DA109" s="67">
        <f>DA136</f>
        <v>1567.5</v>
      </c>
      <c r="DB109" s="67">
        <f>DB136</f>
        <v>1422.1999999999998</v>
      </c>
      <c r="DC109" s="93">
        <f>DC136</f>
        <v>1422.1999999999998</v>
      </c>
      <c r="DD109" s="126"/>
      <c r="DE109" s="82">
        <f>DE136</f>
        <v>1732.9</v>
      </c>
      <c r="DF109" s="67">
        <f>DF136</f>
        <v>1497.1</v>
      </c>
      <c r="DG109" s="67">
        <f>DG136</f>
        <v>1406.2999999999993</v>
      </c>
      <c r="DH109" s="67">
        <f>DH136</f>
        <v>1622.1000000000013</v>
      </c>
      <c r="DI109" s="93">
        <f>DI136</f>
        <v>1622.1000000000013</v>
      </c>
      <c r="DJ109" s="126"/>
      <c r="DK109" s="82">
        <f>DK136</f>
        <v>1690.0247684514261</v>
      </c>
      <c r="DL109" s="67">
        <f>DL136</f>
        <v>1629.3100975669654</v>
      </c>
      <c r="DM109" s="67">
        <f>DM136</f>
        <v>1753.4455113154117</v>
      </c>
      <c r="DN109" s="67">
        <f>DN136</f>
        <v>1707.5713886903404</v>
      </c>
      <c r="DO109" s="93">
        <f>DO136</f>
        <v>1707.5713886903404</v>
      </c>
      <c r="DP109" s="126"/>
      <c r="DQ109" s="82">
        <f>DQ136</f>
        <v>1734.4962658817003</v>
      </c>
      <c r="DR109" s="67">
        <f>DR136</f>
        <v>1664.1585956649956</v>
      </c>
      <c r="DS109" s="67">
        <f>DS136</f>
        <v>1771.0470829709116</v>
      </c>
      <c r="DT109" s="67">
        <f>DT136</f>
        <v>1711.911878231062</v>
      </c>
      <c r="DU109" s="93">
        <f>DU136</f>
        <v>1711.911878231062</v>
      </c>
      <c r="DV109" s="126"/>
      <c r="DW109" s="82">
        <f>DW136</f>
        <v>1662.6733533032843</v>
      </c>
      <c r="DX109" s="67">
        <f>DX136</f>
        <v>1575.9681696033144</v>
      </c>
      <c r="DY109" s="67">
        <f>DY136</f>
        <v>1691.6387525281716</v>
      </c>
      <c r="DZ109" s="67">
        <f>DZ136</f>
        <v>1606.4648747589522</v>
      </c>
      <c r="EA109" s="93">
        <f>EA136</f>
        <v>1606.4648747589522</v>
      </c>
      <c r="EB109" s="126"/>
      <c r="EC109" s="82">
        <f t="shared" ref="EC109:EG109" si="567">EC136</f>
        <v>1575.4665285351107</v>
      </c>
      <c r="ED109" s="67">
        <f t="shared" si="567"/>
        <v>1470.5703976476052</v>
      </c>
      <c r="EE109" s="67">
        <f t="shared" si="567"/>
        <v>1595.9343424099807</v>
      </c>
      <c r="EF109" s="67">
        <f t="shared" si="567"/>
        <v>1472.6607715263453</v>
      </c>
      <c r="EG109" s="93">
        <f t="shared" si="567"/>
        <v>1472.6607715263453</v>
      </c>
      <c r="EH109" s="7"/>
      <c r="EI109" s="482"/>
      <c r="EJ109" s="7"/>
    </row>
    <row r="110" spans="1:140" ht="11.25" customHeight="1" x14ac:dyDescent="0.2">
      <c r="A110" s="51"/>
      <c r="B110" s="2"/>
      <c r="C110" s="2"/>
      <c r="D110" s="2"/>
      <c r="E110" s="154"/>
      <c r="F110" s="122"/>
      <c r="G110" s="154"/>
      <c r="H110" s="122"/>
      <c r="I110" s="154"/>
      <c r="J110" s="122"/>
      <c r="K110" s="154"/>
      <c r="L110" s="122"/>
      <c r="M110" s="151"/>
      <c r="N110" s="21"/>
      <c r="O110" s="21"/>
      <c r="P110" s="21"/>
      <c r="Q110" s="154"/>
      <c r="R110" s="122"/>
      <c r="S110" s="151"/>
      <c r="T110" s="21"/>
      <c r="U110" s="21"/>
      <c r="V110" s="21"/>
      <c r="W110" s="154"/>
      <c r="X110" s="122"/>
      <c r="Y110" s="151"/>
      <c r="Z110" s="21"/>
      <c r="AA110" s="21"/>
      <c r="AB110" s="21"/>
      <c r="AC110" s="154"/>
      <c r="AD110" s="122"/>
      <c r="AE110" s="151"/>
      <c r="AF110" s="21"/>
      <c r="AG110" s="21"/>
      <c r="AH110" s="21"/>
      <c r="AI110" s="154"/>
      <c r="AJ110" s="122"/>
      <c r="AK110" s="151"/>
      <c r="AL110" s="21"/>
      <c r="AM110" s="21"/>
      <c r="AN110" s="21"/>
      <c r="AO110" s="154"/>
      <c r="AP110" s="122"/>
      <c r="AQ110" s="151"/>
      <c r="AR110" s="21"/>
      <c r="AS110" s="21"/>
      <c r="AT110" s="21"/>
      <c r="AU110" s="154"/>
      <c r="AV110" s="122"/>
      <c r="AW110" s="151"/>
      <c r="AX110" s="21"/>
      <c r="AY110" s="21"/>
      <c r="AZ110" s="21"/>
      <c r="BA110" s="154"/>
      <c r="BB110" s="122"/>
      <c r="BC110" s="151"/>
      <c r="BD110" s="21"/>
      <c r="BE110" s="21"/>
      <c r="BF110" s="21"/>
      <c r="BG110" s="154"/>
      <c r="BH110" s="122"/>
      <c r="BI110" s="151"/>
      <c r="BJ110" s="21"/>
      <c r="BK110" s="21"/>
      <c r="BL110" s="21"/>
      <c r="BM110" s="154"/>
      <c r="BN110" s="122"/>
      <c r="BO110" s="151"/>
      <c r="BP110" s="21"/>
      <c r="BQ110" s="21"/>
      <c r="BR110" s="21"/>
      <c r="BS110" s="154"/>
      <c r="BT110" s="122"/>
      <c r="BU110" s="151"/>
      <c r="BV110" s="21"/>
      <c r="BW110" s="21"/>
      <c r="BX110" s="21"/>
      <c r="BY110" s="154"/>
      <c r="BZ110" s="122"/>
      <c r="CA110" s="151"/>
      <c r="CB110" s="21"/>
      <c r="CC110" s="21"/>
      <c r="CD110" s="21"/>
      <c r="CE110" s="154"/>
      <c r="CF110" s="122"/>
      <c r="CG110" s="151"/>
      <c r="CH110" s="21"/>
      <c r="CI110" s="21"/>
      <c r="CJ110" s="21"/>
      <c r="CK110" s="154"/>
      <c r="CL110" s="122"/>
      <c r="CM110" s="151"/>
      <c r="CN110" s="21"/>
      <c r="CO110" s="21"/>
      <c r="CP110" s="21"/>
      <c r="CQ110" s="154"/>
      <c r="CR110" s="122"/>
      <c r="CS110" s="151"/>
      <c r="CT110" s="21"/>
      <c r="CU110" s="21"/>
      <c r="CV110" s="21"/>
      <c r="CW110" s="154"/>
      <c r="CX110" s="122"/>
      <c r="CY110" s="151"/>
      <c r="CZ110" s="21"/>
      <c r="DA110" s="21"/>
      <c r="DB110" s="21"/>
      <c r="DC110" s="154"/>
      <c r="DD110" s="122"/>
      <c r="DE110" s="151"/>
      <c r="DF110" s="21"/>
      <c r="DG110" s="21"/>
      <c r="DH110" s="21"/>
      <c r="DI110" s="154"/>
      <c r="DJ110" s="122"/>
      <c r="DK110" s="151"/>
      <c r="DL110" s="21"/>
      <c r="DM110" s="21"/>
      <c r="DN110" s="21"/>
      <c r="DO110" s="154"/>
      <c r="DP110" s="122"/>
      <c r="DQ110" s="151"/>
      <c r="DR110" s="21"/>
      <c r="DS110" s="21"/>
      <c r="DT110" s="21"/>
      <c r="DU110" s="154"/>
      <c r="DV110" s="122"/>
      <c r="DW110" s="151"/>
      <c r="DX110" s="21"/>
      <c r="DY110" s="21"/>
      <c r="DZ110" s="21"/>
      <c r="EA110" s="154"/>
      <c r="EB110" s="122"/>
      <c r="EC110" s="151"/>
      <c r="ED110" s="21"/>
      <c r="EE110" s="21"/>
      <c r="EF110" s="21"/>
      <c r="EG110" s="154"/>
      <c r="EH110" s="9"/>
      <c r="EI110" s="486"/>
      <c r="EJ110" s="7"/>
    </row>
    <row r="111" spans="1:140" ht="11.25" customHeight="1" x14ac:dyDescent="0.2">
      <c r="A111" s="51" t="s">
        <v>90</v>
      </c>
      <c r="B111" s="2"/>
      <c r="C111" s="2"/>
      <c r="D111" s="2"/>
      <c r="E111" s="114"/>
      <c r="F111" s="126"/>
      <c r="G111" s="114">
        <f>G119/(AVERAGE(BS!G14,BS!A14))</f>
        <v>9.0289527410431987</v>
      </c>
      <c r="H111" s="126"/>
      <c r="I111" s="114">
        <f>I119/(AVERAGE(BS!I14,BS!C14))</f>
        <v>9.8474465077169953</v>
      </c>
      <c r="J111" s="126"/>
      <c r="K111" s="114">
        <f>K119/(AVERAGE(BS!K14,BS!E14))</f>
        <v>10.41094233132892</v>
      </c>
      <c r="L111" s="126"/>
      <c r="M111" s="116"/>
      <c r="N111" s="77"/>
      <c r="O111" s="77"/>
      <c r="P111" s="77">
        <f>(P119+O119+N119+M119)/(AVERAGE(BS!P14,BS!O14))</f>
        <v>8.6851708128016618</v>
      </c>
      <c r="Q111" s="114">
        <f>Q119/(AVERAGE(BS!Q14,BS!K14))</f>
        <v>8.7068226129831991</v>
      </c>
      <c r="R111" s="126"/>
      <c r="S111" s="116">
        <f>(S119+P119+O119+N119)/(AVERAGE(BS!S14,BS!Q14))</f>
        <v>8.4470396911914509</v>
      </c>
      <c r="T111" s="77">
        <f>(T119+S119+P119+O119)/(AVERAGE(BS!T14,BS!S14))</f>
        <v>8.2388273676457615</v>
      </c>
      <c r="U111" s="77">
        <f>(U119+T119+S119+P119)/(AVERAGE(BS!U14,BS!T14))</f>
        <v>8.7635654368250755</v>
      </c>
      <c r="V111" s="77">
        <f>(V119+U119+T119+S119)/(AVERAGE(BS!V14,BS!U14))</f>
        <v>9.4179112308608701</v>
      </c>
      <c r="W111" s="114">
        <f>W119/(AVERAGE(BS!W14,BS!Q14))</f>
        <v>10.241920380209505</v>
      </c>
      <c r="X111" s="126"/>
      <c r="Y111" s="116">
        <f>(Y119+V119+U119+T119)/(AVERAGE(BS!Y14,BS!W14))</f>
        <v>9.4123080111110564</v>
      </c>
      <c r="Z111" s="77">
        <f>(Z119+Y119+V119+U119)/(AVERAGE(BS!Z14,BS!Y14))</f>
        <v>9.3326116014295604</v>
      </c>
      <c r="AA111" s="77">
        <f>(AA119+Z119+Y119+V119)/(AVERAGE(BS!AA14,BS!Z14))</f>
        <v>9.5235949158261768</v>
      </c>
      <c r="AB111" s="77">
        <f>(AB119+AA119+Z119+Y119)/(AVERAGE(BS!AB14,BS!AA14))</f>
        <v>9.8397810439445568</v>
      </c>
      <c r="AC111" s="114">
        <f>AC119/(AVERAGE(BS!AC14,BS!W14))</f>
        <v>10.361721409180145</v>
      </c>
      <c r="AD111" s="126"/>
      <c r="AE111" s="116">
        <f>(AE119+AB119+AA119+Z119)/(AVERAGE(BS!AE14,BS!AC14))</f>
        <v>9.7203026279625018</v>
      </c>
      <c r="AF111" s="77">
        <f>(AF119+AE119+AB119+AA119)/(AVERAGE(BS!AF14,BS!AE14))</f>
        <v>8.468738260381107</v>
      </c>
      <c r="AG111" s="77">
        <f>(AG119+AF119+AE119+AB119)/(AVERAGE(BS!AG14,BS!AF14))</f>
        <v>8.1484784559086183</v>
      </c>
      <c r="AH111" s="77">
        <f>(AH119+AG119+AF119+AE119)/(AVERAGE(BS!AH14,BS!AG14))</f>
        <v>9.2429886229472995</v>
      </c>
      <c r="AI111" s="114">
        <f>AI119/(AVERAGE(BS!AI14,BS!AC14))</f>
        <v>11.109863306840785</v>
      </c>
      <c r="AJ111" s="126"/>
      <c r="AK111" s="116">
        <f>(AK119+AH119+AG119+AF119)/(AVERAGE(BS!AK14,BS!AI14))</f>
        <v>9.8846319230631394</v>
      </c>
      <c r="AL111" s="77">
        <f>(AL119+AK119+AH119+AG119)/(AVERAGE(BS!AL14,BS!AK14))</f>
        <v>9.9734951069223143</v>
      </c>
      <c r="AM111" s="77">
        <f>(AM119+AL119+AK119+AH119)/(AVERAGE(BS!AM14,BS!AL14))</f>
        <v>9.4425781436806329</v>
      </c>
      <c r="AN111" s="77">
        <f>(AN119+AM119+AL119+AK119)/(AVERAGE(BS!AN14,BS!AM14))</f>
        <v>9.3739694562838149</v>
      </c>
      <c r="AO111" s="114">
        <f>AO119/(AVERAGE(BS!AO14,BS!AI14))</f>
        <v>10.442579052992331</v>
      </c>
      <c r="AP111" s="126"/>
      <c r="AQ111" s="116">
        <f>(AQ119+AN119+AM119+AL119)/(AVERAGE(BS!AQ14,BS!AO14))</f>
        <v>9.6650652746395114</v>
      </c>
      <c r="AR111" s="77">
        <f>(AR119+AQ119+AN119+AM119)/(AVERAGE(BS!AR14,BS!AQ14))</f>
        <v>9.1353818863674228</v>
      </c>
      <c r="AS111" s="77">
        <f>(AS119+AR119+AQ119+AN119)/(AVERAGE(BS!AS14,BS!AR14))</f>
        <v>8.9662073960929263</v>
      </c>
      <c r="AT111" s="77">
        <f>(AT119+AS119+AR119+AQ119)/(AVERAGE(BS!AT14,BS!AS14))</f>
        <v>9.3429993554888551</v>
      </c>
      <c r="AU111" s="114">
        <f>AU119/(AVERAGE(BS!AU14,BS!AO14))</f>
        <v>10.341895627881874</v>
      </c>
      <c r="AV111" s="126"/>
      <c r="AW111" s="116">
        <f>(AW119+AT119+AS119+AR119)/(AVERAGE(BS!AW14,BS!AU14))</f>
        <v>9.6075303605119231</v>
      </c>
      <c r="AX111" s="77">
        <f>(AX119+AW119+AT119+AS119)/(AVERAGE(BS!AX14,BS!AW14))</f>
        <v>9.7071498129553433</v>
      </c>
      <c r="AY111" s="77">
        <f>(AY119+AX119+AW119+AT119)/(AVERAGE(BS!AY14,BS!AX14))</f>
        <v>9.8701078560729503</v>
      </c>
      <c r="AZ111" s="77">
        <f>(AZ119+AY119+AX119+AW119)/(AVERAGE(BS!AZ14,BS!AY14))</f>
        <v>9.6954714706475897</v>
      </c>
      <c r="BA111" s="114">
        <f>BA119/(AVERAGE(BS!BA14,BS!AU14))</f>
        <v>10.028234063597813</v>
      </c>
      <c r="BB111" s="126"/>
      <c r="BC111" s="116">
        <f>(BC119+AZ119+AY119+AX119)/(AVERAGE(BS!BC14,BS!BA14))</f>
        <v>9.2787572528713795</v>
      </c>
      <c r="BD111" s="77">
        <f>(BD119+BC119+AZ119+AY119)/(AVERAGE(BS!BD14,BS!BC14))</f>
        <v>9.4102387370533034</v>
      </c>
      <c r="BE111" s="77">
        <f>(BE119+BD119+BC119+AZ119)/(AVERAGE(BS!BE14,BS!BD14))</f>
        <v>9.8449578530089923</v>
      </c>
      <c r="BF111" s="77">
        <f>(BF119+BE119+BD119+BC119)/(AVERAGE(BS!BF14,BS!BE14))</f>
        <v>10.506094755829155</v>
      </c>
      <c r="BG111" s="114">
        <f>BG119/(AVERAGE(BS!BG14,BS!BA14))</f>
        <v>10.871463283908211</v>
      </c>
      <c r="BH111" s="126"/>
      <c r="BI111" s="116">
        <f>(BI119+BF119+BE119+BD119)/(AVERAGE(BS!BI14,BS!BG14))</f>
        <v>10.804651271094663</v>
      </c>
      <c r="BJ111" s="77">
        <f>(BJ119+BI119+BF119+BE119)/(AVERAGE(BS!BJ14,BS!BI14))</f>
        <v>10.619400920088601</v>
      </c>
      <c r="BK111" s="77">
        <f>(BK119+BJ119+BI119+BF119)/(AVERAGE(BS!BK14,BS!BJ14))</f>
        <v>10.501267006623786</v>
      </c>
      <c r="BL111" s="77">
        <f>(BL119+BK119+BJ119+BI119)/(AVERAGE(BS!BL14,BS!BK14))</f>
        <v>10.835739951541481</v>
      </c>
      <c r="BM111" s="114">
        <f>BM119/(AVERAGE(BS!BM14,BS!BG14))</f>
        <v>10.476063362719961</v>
      </c>
      <c r="BN111" s="126"/>
      <c r="BO111" s="116">
        <f>(BO119+BL119+BK119+BJ119)/(AVERAGE(BS!BO14,BS!BM14))</f>
        <v>10.605669470849083</v>
      </c>
      <c r="BP111" s="77">
        <f>(BP119+BO119+BL119+BK119)/(AVERAGE(BS!BP14,BS!BO14))</f>
        <v>9.9801119762497592</v>
      </c>
      <c r="BQ111" s="77">
        <f>(BQ119+BP119+BO119+BL119)/(AVERAGE(BS!BQ14,BS!BP14))</f>
        <v>10.026542244526873</v>
      </c>
      <c r="BR111" s="77">
        <f>(BR119+BQ119+BP119+BO119)/(AVERAGE(BS!BR14,BS!BQ14))</f>
        <v>10.385069751737417</v>
      </c>
      <c r="BS111" s="114">
        <f>BS119/(AVERAGE(BS!BS14,BS!BM14))</f>
        <v>11.564323155109603</v>
      </c>
      <c r="BT111" s="126"/>
      <c r="BU111" s="116">
        <f>(BU119+BR119+BQ119+BP119)/(AVERAGE(BS!BU14,BS!BS14))</f>
        <v>10.435272459117886</v>
      </c>
      <c r="BV111" s="77">
        <f>(BV119+BU119+BR119+BQ119)/(AVERAGE(BS!BV14,BS!BU14))</f>
        <v>8.0740756440111152</v>
      </c>
      <c r="BW111" s="77">
        <f>(BW119+BV119+BU119+BR119)/(AVERAGE(BS!BW14,BS!BV14))</f>
        <v>7.3748775070026973</v>
      </c>
      <c r="BX111" s="77">
        <f>(BX119+BW119+BV119+BU119)/(AVERAGE(BS!BX14,BS!BW14))</f>
        <v>8.5768318085584969</v>
      </c>
      <c r="BY111" s="114">
        <f>BY119/(AVERAGE(BS!BY14,BS!BS14))</f>
        <v>10.704263391721211</v>
      </c>
      <c r="BZ111" s="126"/>
      <c r="CA111" s="116">
        <f>(CA119+BX119+BW119+BV119)/(AVERAGE(BS!CA14,BS!BY14))</f>
        <v>9.3333453210263322</v>
      </c>
      <c r="CB111" s="77">
        <f>(CB119+CA119+BX119+BW119)/(AVERAGE(BS!CB14,BS!CA14))</f>
        <v>9.6331267407053343</v>
      </c>
      <c r="CC111" s="77">
        <f>(CC119+CB119+CA119+BX119)/(AVERAGE(BS!CC14,BS!CB14))</f>
        <v>9.631368839550575</v>
      </c>
      <c r="CD111" s="77">
        <f>(CD119+CC119+CB119+CA119)/(AVERAGE(BS!CD14,BS!CC14))</f>
        <v>9.8817837690115997</v>
      </c>
      <c r="CE111" s="114">
        <f>CE119/(AVERAGE(BS!CE14,BS!BY14))</f>
        <v>10.159476926363764</v>
      </c>
      <c r="CF111" s="126"/>
      <c r="CG111" s="116">
        <f>(CG119+CD119+CC119+CB119)/(AVERAGE(BS!CG14,BS!CE14))</f>
        <v>9.9942389738851602</v>
      </c>
      <c r="CH111" s="77">
        <f>(CH119+CG119+CD119+CC119)/(AVERAGE(BS!CH14,BS!CG14))</f>
        <v>9.8334348113831904</v>
      </c>
      <c r="CI111" s="77">
        <f>(CI119+CH119+CG119+CD119)/(AVERAGE(BS!CI14,BS!CH14))</f>
        <v>9.7126421956818945</v>
      </c>
      <c r="CJ111" s="77">
        <f>(CJ119+CI119+CH119+CG119)/(AVERAGE(BS!CJ14,BS!CI14))</f>
        <v>10.198442334364666</v>
      </c>
      <c r="CK111" s="114">
        <f>CK119/(AVERAGE(BS!CK14,BS!CE14))</f>
        <v>10.630264950373933</v>
      </c>
      <c r="CL111" s="126"/>
      <c r="CM111" s="116">
        <f>(CM119+CJ119+CI119+CH119)/(AVERAGE(BS!CM14,BS!CK14))</f>
        <v>10.458848637408339</v>
      </c>
      <c r="CN111" s="77">
        <f>(CN119+CM119+CJ119+CI119)/(AVERAGE(BS!CN14,BS!CM14))</f>
        <v>10.175806665781437</v>
      </c>
      <c r="CO111" s="77">
        <f>(CO119+CN119+CM119+CJ119)/(AVERAGE(BS!CO14,BS!CN14))</f>
        <v>10.188684252428216</v>
      </c>
      <c r="CP111" s="77">
        <f>(CP119+CO119+CN119+CM119)/(AVERAGE(BS!CP14,BS!CO14))</f>
        <v>10.338145999190393</v>
      </c>
      <c r="CQ111" s="114">
        <f>CQ119/(AVERAGE(BS!CQ14,BS!CK14))</f>
        <v>10.596957123098202</v>
      </c>
      <c r="CR111" s="126"/>
      <c r="CS111" s="116">
        <f>(CS119+CP119+CO119+CN119)/(AVERAGE(BS!CS14,BS!CQ14))</f>
        <v>9.6049561509373245</v>
      </c>
      <c r="CT111" s="77">
        <f>(CT119+CS119+CP119+CO119)/(AVERAGE(BS!CT14,BS!CS14))</f>
        <v>8.6784270488790902</v>
      </c>
      <c r="CU111" s="77">
        <f>(CU119+CT119+CS119+CP119)/(AVERAGE(BS!CU14,BS!CT14))</f>
        <v>7.2116723100075246</v>
      </c>
      <c r="CV111" s="77">
        <f>(CV119+CU119+CT119+CS119)/(AVERAGE(BS!CV14,BS!CU14))</f>
        <v>6.5075293056807935</v>
      </c>
      <c r="CW111" s="114">
        <f>CW119/(AVERAGE(BS!CW14,BS!CQ14))</f>
        <v>7.3511930530443861</v>
      </c>
      <c r="CX111" s="126"/>
      <c r="CY111" s="116">
        <f>(CY119+CV119+CU119+CT119)/(AVERAGE(BS!CY14,BS!CW14))</f>
        <v>6.9998846091712617</v>
      </c>
      <c r="CZ111" s="77">
        <f>(CZ119+CY119+CV119+CU119)/(AVERAGE(BS!CZ14,BS!CY14))</f>
        <v>7.1467428928738927</v>
      </c>
      <c r="DA111" s="77">
        <f>(DA119+CZ119+CY119+CV119)/(AVERAGE(BS!DA14,BS!CZ14))</f>
        <v>8.4106365752454213</v>
      </c>
      <c r="DB111" s="77">
        <f>(DB119+DA119+CZ119+CY119)/(AVERAGE(BS!DB14,BS!DA14))</f>
        <v>9.8681318681318686</v>
      </c>
      <c r="DC111" s="114">
        <f>DC119/(AVERAGE(BS!DC14,BS!CW14))</f>
        <v>8.8742640874684611</v>
      </c>
      <c r="DD111" s="126"/>
      <c r="DE111" s="116">
        <f>(DE119+DD119+DC119+DB119)/(AVERAGE(BS!DE14,BS!DD14))</f>
        <v>14.546093263074395</v>
      </c>
      <c r="DF111" s="77">
        <f>(DF119+DE119+DB119+DA119)/(AVERAGE(BS!DF14,BS!DE14))</f>
        <v>9.802732947196759</v>
      </c>
      <c r="DG111" s="77">
        <f>(DG119+DF119+DE119+DB119)/(AVERAGE(BS!DG14,BS!DF14))</f>
        <v>9.6787730727470134</v>
      </c>
      <c r="DH111" s="77">
        <f>(DH119+DG119+DF119+DE119)/(AVERAGE(BS!DH14,BS!DG14))</f>
        <v>9.8200958988508216</v>
      </c>
      <c r="DI111" s="114">
        <f>DI119/(AVERAGE(BS!DI14,BS!DC14))</f>
        <v>10.326009802264663</v>
      </c>
      <c r="DJ111" s="126"/>
      <c r="DK111" s="116">
        <f>(DK119+DH119+DG119+DF119)/(AVERAGE(BS!DK14,BS!DI14))</f>
        <v>10.189829338600136</v>
      </c>
      <c r="DL111" s="77">
        <f>(DL119+DK119+DH119+DG119)/(AVERAGE(BS!DL14,BS!DK14))</f>
        <v>10.351514092350445</v>
      </c>
      <c r="DM111" s="77">
        <f>(DM119+DL119+DK119+DH119)/(AVERAGE(BS!DM14,BS!DL14))</f>
        <v>10.296197741185315</v>
      </c>
      <c r="DN111" s="77">
        <f>(DN119+DM119+DL119+DK119)/(AVERAGE(BS!DN14,BS!DM14))</f>
        <v>10.592989551895968</v>
      </c>
      <c r="DO111" s="114">
        <f>DO119/(AVERAGE(BS!DO14,BS!DI14))</f>
        <v>10.866833798940963</v>
      </c>
      <c r="DP111" s="126"/>
      <c r="DQ111" s="116">
        <f>(DQ119+DN119+DM119+DL119)/(AVERAGE(BS!DQ14,BS!DO14))</f>
        <v>11.042871483316766</v>
      </c>
      <c r="DR111" s="77">
        <f>(DR119+DQ119+DN119+DM119)/(AVERAGE(BS!DR14,BS!DQ14))</f>
        <v>11.133539581203832</v>
      </c>
      <c r="DS111" s="77">
        <f>(DS119+DR119+DQ119+DN119)/(AVERAGE(BS!DS14,BS!DR14))</f>
        <v>10.994827778971656</v>
      </c>
      <c r="DT111" s="77">
        <f>(DT119+DS119+DR119+DQ119)/(AVERAGE(BS!DT14,BS!DS14))</f>
        <v>11.267254502739702</v>
      </c>
      <c r="DU111" s="114">
        <f>DU119/(AVERAGE(BS!DU14,BS!DO14))</f>
        <v>11.51186906904694</v>
      </c>
      <c r="DV111" s="126"/>
      <c r="DW111" s="116">
        <f>(DW119+DT119+DS119+DR119)/(AVERAGE(BS!DW14,BS!DU14))</f>
        <v>11.895992423098106</v>
      </c>
      <c r="DX111" s="77">
        <f>(DX119+DW119+DT119+DS119)/(AVERAGE(BS!DX14,BS!DW14))</f>
        <v>12.129558476022646</v>
      </c>
      <c r="DY111" s="77">
        <f>(DY119+DX119+DW119+DT119)/(AVERAGE(BS!DY14,BS!DX14))</f>
        <v>11.974528543932749</v>
      </c>
      <c r="DZ111" s="77">
        <f>(DZ119+DY119+DX119+DW119)/(AVERAGE(BS!DZ14,BS!DY14))</f>
        <v>12.313128934858989</v>
      </c>
      <c r="EA111" s="114">
        <f>EA119/(AVERAGE(BS!EA14,BS!DU14))</f>
        <v>12.453660281298575</v>
      </c>
      <c r="EB111" s="126"/>
      <c r="EC111" s="116">
        <f>(EC119+DZ119+DY119+DX119)/(AVERAGE(BS!EC14,BS!EA14))</f>
        <v>13.031938327567454</v>
      </c>
      <c r="ED111" s="77">
        <f>(ED119+EC119+DZ119+DY119)/(AVERAGE(BS!ED14,BS!EC14))</f>
        <v>13.274662496316314</v>
      </c>
      <c r="EE111" s="77">
        <f>(EE119+ED119+EC119+DZ119)/(AVERAGE(BS!EE14,BS!ED14))</f>
        <v>13.090049455211872</v>
      </c>
      <c r="EF111" s="77">
        <f>(EF119+EE119+ED119+EC119)/(AVERAGE(BS!EF14,BS!EE14))</f>
        <v>13.488843003699181</v>
      </c>
      <c r="EG111" s="114">
        <f>EG119/(AVERAGE(BS!EG14,BS!EA14))</f>
        <v>13.698767711170969</v>
      </c>
      <c r="EH111" s="7"/>
      <c r="EI111" s="482"/>
      <c r="EJ111" s="7"/>
    </row>
    <row r="112" spans="1:140" ht="11.25" customHeight="1" x14ac:dyDescent="0.2">
      <c r="A112" s="51" t="s">
        <v>91</v>
      </c>
      <c r="B112" s="2"/>
      <c r="C112" s="2"/>
      <c r="D112" s="2"/>
      <c r="E112" s="114"/>
      <c r="F112" s="126"/>
      <c r="G112" s="114">
        <f>G125/AVERAGE(BS!G14,BS!A14)</f>
        <v>5.5980307039507409</v>
      </c>
      <c r="H112" s="126"/>
      <c r="I112" s="114">
        <f>I125/AVERAGE(BS!I14,BS!C14)</f>
        <v>6.0393750019250136</v>
      </c>
      <c r="J112" s="126"/>
      <c r="K112" s="114">
        <f>K125/AVERAGE(BS!K14,BS!E14)</f>
        <v>6.3817800510381248</v>
      </c>
      <c r="L112" s="126"/>
      <c r="M112" s="116"/>
      <c r="N112" s="77"/>
      <c r="O112" s="77"/>
      <c r="P112" s="77">
        <f>(P125+O125+N125+M125)/AVERAGE(BS!P14,BS!O14)</f>
        <v>5.3685299398860185</v>
      </c>
      <c r="Q112" s="114">
        <f>Q125/AVERAGE(BS!Q14,BS!K14)</f>
        <v>5.3819134806398372</v>
      </c>
      <c r="R112" s="126"/>
      <c r="S112" s="116">
        <f>(S125+P125+O125+N125)/AVERAGE(BS!S14,BS!P14)</f>
        <v>5.2223537716460857</v>
      </c>
      <c r="T112" s="77">
        <f>(T125+S125+P125+O125)/AVERAGE(BS!T14,BS!S14)</f>
        <v>5.1005482450453075</v>
      </c>
      <c r="U112" s="77">
        <f>(U125+T125+S125+P125)/AVERAGE(BS!U14,BS!T14)</f>
        <v>5.4029100564800503</v>
      </c>
      <c r="V112" s="77">
        <f>(V125+U125+T125+S125)/AVERAGE(BS!V14,BS!U14)</f>
        <v>5.742998908466534</v>
      </c>
      <c r="W112" s="114">
        <f>W125/AVERAGE(BS!W14,BS!Q14)</f>
        <v>6.2454758939969102</v>
      </c>
      <c r="X112" s="126"/>
      <c r="Y112" s="116">
        <f>(Y125+V125+U125+T125)/AVERAGE(BS!Y14,BS!V14)</f>
        <v>5.7071101879307884</v>
      </c>
      <c r="Z112" s="77">
        <f>(Z125+Y125+V125+U125)/AVERAGE(BS!Z14,BS!Y14)</f>
        <v>5.6204935205285969</v>
      </c>
      <c r="AA112" s="77">
        <f>(AA125+Z125+Y125+V125)/AVERAGE(BS!AA14,BS!Z14)</f>
        <v>5.6985958531738587</v>
      </c>
      <c r="AB112" s="77">
        <f>(AB125+AA125+Z125+Y125)/AVERAGE(BS!AB14,BS!AA14)</f>
        <v>5.863875503594282</v>
      </c>
      <c r="AC112" s="114">
        <f>AC125/AVERAGE(BS!AC14,BS!W14)</f>
        <v>6.1749183315163041</v>
      </c>
      <c r="AD112" s="126"/>
      <c r="AE112" s="116">
        <f>(AE125+AB125+AA125+Z125)/AVERAGE(BS!AE14,BS!AB14)</f>
        <v>5.7519009023524257</v>
      </c>
      <c r="AF112" s="77">
        <f>(AF125+AE125+AB125+AA125)/AVERAGE(BS!AF14,BS!AE14)</f>
        <v>4.9694856901812932</v>
      </c>
      <c r="AG112" s="77">
        <f>(AG125+AF125+AE125+AB125)/AVERAGE(BS!AG14,BS!AF14)</f>
        <v>4.7593909366389955</v>
      </c>
      <c r="AH112" s="77">
        <f>(AH125+AG125+AF125+AE125)/AVERAGE(BS!AH14,BS!AG14)</f>
        <v>5.3620210368144248</v>
      </c>
      <c r="AI112" s="114">
        <f>AI125/AVERAGE(BS!AI14,BS!AC14)</f>
        <v>6.445028031249219</v>
      </c>
      <c r="AJ112" s="126"/>
      <c r="AK112" s="116">
        <f>(AK125+AH125+AG125+AF125)/AVERAGE(BS!AK14,BS!AH14)</f>
        <v>5.6995212119374505</v>
      </c>
      <c r="AL112" s="77">
        <f>(AL125+AK125+AH125+AG125)/AVERAGE(BS!AL14,BS!AK14)</f>
        <v>5.7057566168891514</v>
      </c>
      <c r="AM112" s="77">
        <f>(AM125+AL125+AK125+AH125)/AVERAGE(BS!AM14,BS!AL14)</f>
        <v>5.3857491628010203</v>
      </c>
      <c r="AN112" s="77">
        <f>(AN125+AM125+AL125+AK125)/AVERAGE(BS!AN14,BS!AM14)</f>
        <v>5.3295526919313376</v>
      </c>
      <c r="AO112" s="114">
        <f>AO125/AVERAGE(BS!AO14,BS!AI14)</f>
        <v>5.9371094105053484</v>
      </c>
      <c r="AP112" s="126"/>
      <c r="AQ112" s="116">
        <f>(AQ125+AN125+AM125+AL125)/AVERAGE(BS!AQ14,BS!AN14)</f>
        <v>5.4866015828545116</v>
      </c>
      <c r="AR112" s="77">
        <f>(AR125+AQ125+AN125+AM125)/AVERAGE(BS!AR14,BS!AQ14)</f>
        <v>5.1823101114305423</v>
      </c>
      <c r="AS112" s="77">
        <f>(AS125+AR125+AQ125+AN125)/AVERAGE(BS!AS14,BS!AR14)</f>
        <v>5.0371803829864552</v>
      </c>
      <c r="AT112" s="77">
        <f>(AT125+AS125+AR125+AQ125)/AVERAGE(BS!AT14,BS!AS14)</f>
        <v>5.2005002117115469</v>
      </c>
      <c r="AU112" s="114">
        <f>AU125/AVERAGE(BS!AU14,BS!AO14)</f>
        <v>5.7565058452778102</v>
      </c>
      <c r="AV112" s="126"/>
      <c r="AW112" s="116">
        <f>(AW125+AT125+AS125+AR125)/AVERAGE(BS!AW14,BS!AT14)</f>
        <v>5.2967249275833312</v>
      </c>
      <c r="AX112" s="77">
        <f>(AX125+AW125+AT125+AS125)/AVERAGE(BS!AX14,BS!AW14)</f>
        <v>5.3144246399652397</v>
      </c>
      <c r="AY112" s="77">
        <f>(AY125+AX125+AW125+AT125)/AVERAGE(BS!AY14,BS!AX14)</f>
        <v>5.3904014199249657</v>
      </c>
      <c r="AZ112" s="77">
        <f>(AZ125+AY125+AX125+AW125)/AVERAGE(BS!AZ14,BS!AY14)</f>
        <v>5.2628370764409977</v>
      </c>
      <c r="BA112" s="114">
        <f>BA125/AVERAGE(BS!BA14,BS!AU14)</f>
        <v>5.4434652508555121</v>
      </c>
      <c r="BB112" s="126"/>
      <c r="BC112" s="116">
        <f>(BC125+AZ125+AY125+AX125)/AVERAGE(BS!BC14,BS!AZ14)</f>
        <v>4.9996773819829494</v>
      </c>
      <c r="BD112" s="77">
        <f>(BD125+BC125+AZ125+AY125)/AVERAGE(BS!BD14,BS!BC14)</f>
        <v>5.0254530065222447</v>
      </c>
      <c r="BE112" s="77">
        <f>(BE125+BD125+BC125+AZ125)/AVERAGE(BS!BE14,BS!BD14)</f>
        <v>5.2272236556523</v>
      </c>
      <c r="BF112" s="77">
        <f>(BF125+BE125+BD125+BC125)/AVERAGE(BS!BF14,BS!BE14)</f>
        <v>5.5910754770060729</v>
      </c>
      <c r="BG112" s="114">
        <f>BG125/AVERAGE(BS!BG14,BS!BA14)</f>
        <v>5.7855152821752762</v>
      </c>
      <c r="BH112" s="126"/>
      <c r="BI112" s="116">
        <f>(BI125+BF125+BE125+BD125)/AVERAGE(BS!BI14,BS!BF14)</f>
        <v>5.7248919098338433</v>
      </c>
      <c r="BJ112" s="77">
        <f>(BJ125+BI125+BF125+BE125)/AVERAGE(BS!BJ14,BS!BI14)</f>
        <v>5.6368335321179073</v>
      </c>
      <c r="BK112" s="77">
        <f>(BK125+BJ125+BI125+BF125)/AVERAGE(BS!BK14,BS!BJ14)</f>
        <v>5.5507076205105905</v>
      </c>
      <c r="BL112" s="77">
        <f>(BL125+BK125+BJ125+BI125)/AVERAGE(BS!BL14,BS!BK14)</f>
        <v>5.720389876993635</v>
      </c>
      <c r="BM112" s="114">
        <f>BM125/AVERAGE(BS!BM14,BS!BG14)</f>
        <v>5.5305098755458779</v>
      </c>
      <c r="BN112" s="126"/>
      <c r="BO112" s="116">
        <f>(BO125+BL125+BK125+BJ125)/AVERAGE(BS!BO14,BS!BL14)</f>
        <v>5.5707963972820504</v>
      </c>
      <c r="BP112" s="77">
        <f>(BP125+BO125+BL125+BK125)/AVERAGE(BS!BP14,BS!BO14)</f>
        <v>5.1720689066861834</v>
      </c>
      <c r="BQ112" s="77">
        <f>(BQ125+BP125+BO125+BL125)/AVERAGE(BS!BQ14,BS!BP14)</f>
        <v>5.0945647989924261</v>
      </c>
      <c r="BR112" s="77">
        <f>(BR125+BQ125+BP125+BO125)/AVERAGE(BS!BR14,BS!BQ14)</f>
        <v>4.9760279768069093</v>
      </c>
      <c r="BS112" s="114">
        <f>BS125/AVERAGE(BS!BS14,BS!BM14)</f>
        <v>5.5410697210805138</v>
      </c>
      <c r="BT112" s="126"/>
      <c r="BU112" s="116">
        <f>(BU125+BR125+BQ125+BP125)/AVERAGE(BS!BU14,BS!BR14)</f>
        <v>4.9000292022215994</v>
      </c>
      <c r="BV112" s="77">
        <f>(BV125+BU125+BR125+BQ125)/AVERAGE(BS!BV14,BS!BU14)</f>
        <v>3.7350564077826109</v>
      </c>
      <c r="BW112" s="77">
        <f>(BW125+BV125+BU125+BR125)/AVERAGE(BS!BW14,BS!BV14)</f>
        <v>3.4876535730789198</v>
      </c>
      <c r="BX112" s="77">
        <f>(BX125+BW125+BV125+BU125)/AVERAGE(BS!BX14,BS!BW14)</f>
        <v>4.2182179855915702</v>
      </c>
      <c r="BY112" s="114">
        <f>BY125/AVERAGE(BS!BY14,BS!BS14)</f>
        <v>5.2645216053335053</v>
      </c>
      <c r="BZ112" s="126"/>
      <c r="CA112" s="116">
        <f>(CA125+BX125+BW125+BV125)/AVERAGE(BS!CA14,BS!BX14)</f>
        <v>4.6050461103886713</v>
      </c>
      <c r="CB112" s="77">
        <f>(CB125+CA125+BX125+BW125)/AVERAGE(BS!CB14,BS!CA14)</f>
        <v>4.769663728440622</v>
      </c>
      <c r="CC112" s="77">
        <f>(CC125+CB125+CA125+BX125)/AVERAGE(BS!CC14,BS!CB14)</f>
        <v>4.7112362938017176</v>
      </c>
      <c r="CD112" s="77">
        <f>(CD125+CC125+CB125+CA125)/AVERAGE(BS!CD14,BS!CC14)</f>
        <v>4.7871485509109064</v>
      </c>
      <c r="CE112" s="114">
        <f>CE125/AVERAGE(BS!CE14,BS!BY14)</f>
        <v>4.9216747080188004</v>
      </c>
      <c r="CF112" s="126"/>
      <c r="CG112" s="116">
        <f>(CG125+CD125+CC125+CB125)/AVERAGE(BS!CG14,BS!CD14)</f>
        <v>4.8286094730835085</v>
      </c>
      <c r="CH112" s="77">
        <f>(CH125+CG125+CD125+CC125)/AVERAGE(BS!CH14,BS!CG14)</f>
        <v>4.7271475843812052</v>
      </c>
      <c r="CI112" s="77">
        <f>(CI125+CH125+CG125+CD125)/AVERAGE(BS!CI14,BS!CH14)</f>
        <v>4.6613356720922434</v>
      </c>
      <c r="CJ112" s="77">
        <f>(CJ125+CI125+CH125+CG125)/AVERAGE(BS!CJ14,BS!CI14)</f>
        <v>4.8865891390163236</v>
      </c>
      <c r="CK112" s="114">
        <f>CK125/AVERAGE(BS!CK14,BS!CE14)</f>
        <v>5.0934971781256078</v>
      </c>
      <c r="CL112" s="126"/>
      <c r="CM112" s="116">
        <f>(CM125+CJ125+CI125+CH125)/AVERAGE(BS!CM14,BS!CJ14)</f>
        <v>5.062493159680419</v>
      </c>
      <c r="CN112" s="77">
        <f>(CN125+CM125+CJ125+CI125)/AVERAGE(BS!CN14,BS!CM14)</f>
        <v>4.9675209135572969</v>
      </c>
      <c r="CO112" s="77">
        <f>(CO125+CN125+CM125+CJ125)/AVERAGE(BS!CO14,BS!CN14)</f>
        <v>4.9694814500291917</v>
      </c>
      <c r="CP112" s="77">
        <f>(CP125+CO125+CN125+CM125)/AVERAGE(BS!CP14,BS!CO14)</f>
        <v>4.9987316151666432</v>
      </c>
      <c r="CQ112" s="114">
        <f>CQ125/AVERAGE(BS!CQ14,BS!CK14)</f>
        <v>5.1238727524204704</v>
      </c>
      <c r="CR112" s="126"/>
      <c r="CS112" s="116">
        <f>(CS125+CP125+CO125+CN125)/AVERAGE(BS!CS14,BS!CP14)</f>
        <v>4.5604097942982804</v>
      </c>
      <c r="CT112" s="77">
        <f>(CT125+CS125+CP125+CO125)/AVERAGE(BS!CT14,BS!CS14)</f>
        <v>4.0353861500498756</v>
      </c>
      <c r="CU112" s="77">
        <f>(CU125+CT125+CS125+CP125)/AVERAGE(BS!CU14,BS!CT14)</f>
        <v>3.3155568096313006</v>
      </c>
      <c r="CV112" s="77">
        <f>(CV125+CU125+CT125+CS125)/AVERAGE(BS!CV14,BS!CU14)</f>
        <v>3.0038773669972949</v>
      </c>
      <c r="CW112" s="114">
        <f>CW125/AVERAGE(BS!CW14,BS!CQ14)</f>
        <v>3.3933127912602816</v>
      </c>
      <c r="CX112" s="126"/>
      <c r="CY112" s="116">
        <f>(CY125+CV125+CU125+CT125)/AVERAGE(BS!CY14,BS!CV14)</f>
        <v>3.2165424292077267</v>
      </c>
      <c r="CZ112" s="77">
        <f>(CZ125+CY125+CV125+CU125)/AVERAGE(BS!CZ14,BS!CY14)</f>
        <v>3.2613501864713372</v>
      </c>
      <c r="DA112" s="77">
        <f>(DA125+CZ125+CY125+CV125)/AVERAGE(BS!DA14,BS!CZ14)</f>
        <v>3.8099888675235305</v>
      </c>
      <c r="DB112" s="77">
        <f>(DB125+DA125+CZ125+CY125)/AVERAGE(BS!DB14,BS!DA14)</f>
        <v>4.4118541033434644</v>
      </c>
      <c r="DC112" s="114">
        <f>DC125/AVERAGE(BS!DC14,BS!CW14)</f>
        <v>3.9675147182506305</v>
      </c>
      <c r="DD112" s="126"/>
      <c r="DE112" s="116">
        <f>(DE125+DD125+DC125+DB125)/AVERAGE(BS!DE14,BS!DD14)</f>
        <v>6.5179330273669889</v>
      </c>
      <c r="DF112" s="77">
        <f>(DF125+DE125+DB125+DA125)/AVERAGE(BS!DF14,BS!DE14)</f>
        <v>4.3910476297587584</v>
      </c>
      <c r="DG112" s="77">
        <f>(DG125+DF125+DE125+DB125)/AVERAGE(BS!DG14,BS!DF14)</f>
        <v>4.3180781758957654</v>
      </c>
      <c r="DH112" s="77">
        <f>(DH125+DG125+DF125+DE125)/AVERAGE(BS!DH14,BS!DG14)</f>
        <v>4.34823605046744</v>
      </c>
      <c r="DI112" s="114">
        <f>DI125/AVERAGE(BS!DI14,BS!DC14)</f>
        <v>4.5722494507351703</v>
      </c>
      <c r="DJ112" s="126"/>
      <c r="DK112" s="116">
        <f>(DK125+DH125+DG125+DF125)/AVERAGE(BS!DK14,BS!DH14)</f>
        <v>4.4922228174452892</v>
      </c>
      <c r="DL112" s="77">
        <f>(DL125+DK125+DH125+DG125)/AVERAGE(BS!DL14,BS!DK14)</f>
        <v>4.5602860468124424</v>
      </c>
      <c r="DM112" s="77">
        <f>(DM125+DL125+DK125+DH125)/AVERAGE(BS!DM14,BS!DL14)</f>
        <v>4.5322388051483404</v>
      </c>
      <c r="DN112" s="77">
        <f>(DN125+DM125+DL125+DK125)/AVERAGE(BS!DN14,BS!DM14)</f>
        <v>4.6304488481163002</v>
      </c>
      <c r="DO112" s="114">
        <f>DO125/AVERAGE(BS!DO14,BS!DI14)</f>
        <v>4.7501527118915474</v>
      </c>
      <c r="DP112" s="126"/>
      <c r="DQ112" s="116">
        <f>(DQ125+DN125+DM125+DL125)/AVERAGE(BS!DQ14,BS!DN14)</f>
        <v>4.807188930361459</v>
      </c>
      <c r="DR112" s="77">
        <f>(DR125+DQ125+DN125+DM125)/AVERAGE(BS!DR14,BS!DQ14)</f>
        <v>4.8307588574605971</v>
      </c>
      <c r="DS112" s="77">
        <f>(DS125+DR125+DQ125+DN125)/AVERAGE(BS!DS14,BS!DR14)</f>
        <v>4.7584602900939821</v>
      </c>
      <c r="DT112" s="77">
        <f>(DT125+DS125+DR125+DQ125)/AVERAGE(BS!DT14,BS!DS14)</f>
        <v>4.8661046797849892</v>
      </c>
      <c r="DU112" s="114">
        <f>DU125/AVERAGE(BS!DU14,BS!DO14)</f>
        <v>4.9717488795820017</v>
      </c>
      <c r="DV112" s="126"/>
      <c r="DW112" s="116">
        <f>(DW125+DT125+DS125+DR125)/AVERAGE(BS!DW14,BS!DT14)</f>
        <v>5.1200080028331394</v>
      </c>
      <c r="DX112" s="77">
        <f>(DX125+DW125+DT125+DS125)/AVERAGE(BS!DX14,BS!DW14)</f>
        <v>5.2051968750150905</v>
      </c>
      <c r="DY112" s="77">
        <f>(DY125+DX125+DW125+DT125)/AVERAGE(BS!DY14,BS!DX14)</f>
        <v>5.1234370232025253</v>
      </c>
      <c r="DZ112" s="77">
        <f>(DZ125+DY125+DX125+DW125)/AVERAGE(BS!DZ14,BS!DY14)</f>
        <v>5.2549304060806206</v>
      </c>
      <c r="EA112" s="114">
        <f>EA125/AVERAGE(BS!EA14,BS!DU14)</f>
        <v>5.3149056121650915</v>
      </c>
      <c r="EB112" s="126"/>
      <c r="EC112" s="116">
        <f>(EC125+DZ125+DY125+DX125)/AVERAGE(BS!EC14,BS!DZ14)</f>
        <v>5.5469087735464182</v>
      </c>
      <c r="ED112" s="77">
        <f>(ED125+EC125+DZ125+DY125)/AVERAGE(BS!ED14,BS!EC14)</f>
        <v>5.6379901162455708</v>
      </c>
      <c r="EE112" s="77">
        <f>(EE125+ED125+EC125+DZ125)/AVERAGE(BS!EE14,BS!ED14)</f>
        <v>5.5473516232197637</v>
      </c>
      <c r="EF112" s="77">
        <f>(EF125+EE125+ED125+EC125)/AVERAGE(BS!EF14,BS!EE14)</f>
        <v>5.7098984034193601</v>
      </c>
      <c r="EG112" s="114">
        <f>EG125/AVERAGE(BS!EG14,BS!EA14)</f>
        <v>5.7987606395431497</v>
      </c>
      <c r="EH112" s="7"/>
      <c r="EI112" s="482"/>
      <c r="EJ112" s="7"/>
    </row>
    <row r="113" spans="1:140" ht="11.25" customHeight="1" x14ac:dyDescent="0.2">
      <c r="A113" s="51"/>
      <c r="B113" s="2"/>
      <c r="C113" s="2"/>
      <c r="D113" s="2"/>
      <c r="E113" s="93"/>
      <c r="F113" s="126"/>
      <c r="G113" s="93"/>
      <c r="H113" s="126"/>
      <c r="I113" s="93"/>
      <c r="J113" s="126"/>
      <c r="K113" s="93"/>
      <c r="L113" s="126"/>
      <c r="M113" s="82"/>
      <c r="N113" s="67"/>
      <c r="O113" s="67"/>
      <c r="P113" s="67"/>
      <c r="Q113" s="93"/>
      <c r="R113" s="126"/>
      <c r="S113" s="82"/>
      <c r="T113" s="67"/>
      <c r="U113" s="67"/>
      <c r="V113" s="67"/>
      <c r="W113" s="93"/>
      <c r="X113" s="126"/>
      <c r="Y113" s="82"/>
      <c r="Z113" s="67"/>
      <c r="AA113" s="67"/>
      <c r="AB113" s="67"/>
      <c r="AC113" s="93"/>
      <c r="AD113" s="126"/>
      <c r="AE113" s="82"/>
      <c r="AF113" s="67"/>
      <c r="AG113" s="67"/>
      <c r="AH113" s="67"/>
      <c r="AI113" s="93"/>
      <c r="AJ113" s="126"/>
      <c r="AK113" s="82"/>
      <c r="AL113" s="67"/>
      <c r="AM113" s="67"/>
      <c r="AN113" s="67"/>
      <c r="AO113" s="93"/>
      <c r="AP113" s="126"/>
      <c r="AQ113" s="82"/>
      <c r="AR113" s="67"/>
      <c r="AS113" s="67"/>
      <c r="AT113" s="67"/>
      <c r="AU113" s="93"/>
      <c r="AV113" s="126"/>
      <c r="AW113" s="82"/>
      <c r="AX113" s="67"/>
      <c r="AY113" s="67"/>
      <c r="AZ113" s="67"/>
      <c r="BA113" s="93"/>
      <c r="BB113" s="126"/>
      <c r="BC113" s="82"/>
      <c r="BD113" s="67"/>
      <c r="BE113" s="67"/>
      <c r="BF113" s="67"/>
      <c r="BG113" s="93"/>
      <c r="BH113" s="126"/>
      <c r="BI113" s="82"/>
      <c r="BJ113" s="67"/>
      <c r="BK113" s="67"/>
      <c r="BL113" s="67"/>
      <c r="BM113" s="93"/>
      <c r="BN113" s="126"/>
      <c r="BO113" s="82"/>
      <c r="BP113" s="67"/>
      <c r="BQ113" s="67"/>
      <c r="BR113" s="67"/>
      <c r="BS113" s="93"/>
      <c r="BT113" s="126"/>
      <c r="BU113" s="82"/>
      <c r="BV113" s="67"/>
      <c r="BW113" s="67"/>
      <c r="BX113" s="67"/>
      <c r="BY113" s="93"/>
      <c r="BZ113" s="126"/>
      <c r="CA113" s="82"/>
      <c r="CB113" s="67"/>
      <c r="CC113" s="67"/>
      <c r="CD113" s="67"/>
      <c r="CE113" s="93"/>
      <c r="CF113" s="126"/>
      <c r="CG113" s="82"/>
      <c r="CH113" s="67"/>
      <c r="CI113" s="67"/>
      <c r="CJ113" s="67"/>
      <c r="CK113" s="93"/>
      <c r="CL113" s="126"/>
      <c r="CM113" s="82"/>
      <c r="CN113" s="67"/>
      <c r="CO113" s="67"/>
      <c r="CP113" s="67"/>
      <c r="CQ113" s="93"/>
      <c r="CR113" s="126"/>
      <c r="CS113" s="82"/>
      <c r="CT113" s="67"/>
      <c r="CU113" s="67"/>
      <c r="CV113" s="67"/>
      <c r="CW113" s="93"/>
      <c r="CX113" s="126"/>
      <c r="CY113" s="82"/>
      <c r="CZ113" s="67"/>
      <c r="DA113" s="67"/>
      <c r="DB113" s="67"/>
      <c r="DC113" s="93"/>
      <c r="DD113" s="126"/>
      <c r="DE113" s="82"/>
      <c r="DF113" s="67"/>
      <c r="DG113" s="67"/>
      <c r="DH113" s="67"/>
      <c r="DI113" s="93"/>
      <c r="DJ113" s="126"/>
      <c r="DK113" s="82"/>
      <c r="DL113" s="67"/>
      <c r="DM113" s="67"/>
      <c r="DN113" s="67"/>
      <c r="DO113" s="93"/>
      <c r="DP113" s="126"/>
      <c r="DQ113" s="82"/>
      <c r="DR113" s="67"/>
      <c r="DS113" s="67"/>
      <c r="DT113" s="67"/>
      <c r="DU113" s="93"/>
      <c r="DV113" s="126"/>
      <c r="DW113" s="82"/>
      <c r="DX113" s="67"/>
      <c r="DY113" s="67"/>
      <c r="DZ113" s="67"/>
      <c r="EA113" s="93"/>
      <c r="EB113" s="126"/>
      <c r="EC113" s="82"/>
      <c r="ED113" s="67"/>
      <c r="EE113" s="67"/>
      <c r="EF113" s="67"/>
      <c r="EG113" s="93"/>
      <c r="EH113" s="7"/>
      <c r="EI113" s="482"/>
      <c r="EJ113" s="7"/>
    </row>
    <row r="114" spans="1:140" ht="11.25" customHeight="1" x14ac:dyDescent="0.2">
      <c r="A114" s="51" t="s">
        <v>57</v>
      </c>
      <c r="B114" s="2"/>
      <c r="C114" s="2"/>
      <c r="D114" s="2"/>
      <c r="E114" s="114">
        <f>(E11+E12)/(E31)</f>
        <v>1.9721804511278196</v>
      </c>
      <c r="F114" s="126"/>
      <c r="G114" s="114">
        <f>(G11+G12)/(G31)</f>
        <v>0.80035498400897509</v>
      </c>
      <c r="H114" s="126"/>
      <c r="I114" s="114">
        <f>(I11+I12)/(I31)</f>
        <v>7.7471500431586149</v>
      </c>
      <c r="J114" s="126"/>
      <c r="K114" s="114">
        <f>(K11+K12)/(K31)</f>
        <v>2.1673097889333972</v>
      </c>
      <c r="L114" s="126"/>
      <c r="M114" s="116">
        <f>(M11+M12)/(M31)</f>
        <v>8.900518685995479</v>
      </c>
      <c r="N114" s="77">
        <f>(N11+N12)/(N31)</f>
        <v>9.2531035049738293</v>
      </c>
      <c r="O114" s="77">
        <f>(O11+O12)/(O31)</f>
        <v>8.6884752368792419</v>
      </c>
      <c r="P114" s="77">
        <f>(P11+P12)/(P31)</f>
        <v>9.7650367626734482</v>
      </c>
      <c r="Q114" s="114">
        <f>(Q11+Q12)/(Q31)</f>
        <v>9.7650367626734482</v>
      </c>
      <c r="R114" s="126"/>
      <c r="S114" s="116">
        <f>(S11+S12)/(S31)</f>
        <v>7.0333419488239857</v>
      </c>
      <c r="T114" s="77">
        <f>(T11+T12)/(T31)</f>
        <v>6.4785632902087631</v>
      </c>
      <c r="U114" s="77">
        <f>(U11+U12)/(U31)</f>
        <v>7.2888957456076673</v>
      </c>
      <c r="V114" s="77">
        <f>(V11+V12)/(V31)</f>
        <v>7.2014270228003765</v>
      </c>
      <c r="W114" s="114">
        <f>(W11+W12)/(W31)</f>
        <v>7.2014270228003765</v>
      </c>
      <c r="X114" s="126"/>
      <c r="Y114" s="116">
        <f>(Y11+Y12)/(Y31)</f>
        <v>5.9787054039874086</v>
      </c>
      <c r="Z114" s="77">
        <f>(Z11+Z12)/(Z31)</f>
        <v>13.977204323588682</v>
      </c>
      <c r="AA114" s="77">
        <f>(AA11+AA12)/(AA31)</f>
        <v>107.2654626662783</v>
      </c>
      <c r="AB114" s="77">
        <f>(AB11+AB12)/(AB31)</f>
        <v>85.516579770594362</v>
      </c>
      <c r="AC114" s="114">
        <f>(AC11+AC12)/(AC31)</f>
        <v>85.516579770594362</v>
      </c>
      <c r="AD114" s="126"/>
      <c r="AE114" s="116">
        <f>(AE11+AE12)/(AE31)</f>
        <v>9.5507127885715981</v>
      </c>
      <c r="AF114" s="77">
        <f>(AF11+AF12)/(AF31)</f>
        <v>16.557569470983239</v>
      </c>
      <c r="AG114" s="77">
        <f>(AG11+AG12)/(AG31)</f>
        <v>1.3639699090703832</v>
      </c>
      <c r="AH114" s="77">
        <f>(AH11+AH12)/(AH31)</f>
        <v>1.434011436966026</v>
      </c>
      <c r="AI114" s="114">
        <f>(AI11+AI12)/(AI31)</f>
        <v>1.434011436966026</v>
      </c>
      <c r="AJ114" s="126"/>
      <c r="AK114" s="116">
        <f>(AK11+AK12)/(AK31)</f>
        <v>1.6979830724403688</v>
      </c>
      <c r="AL114" s="77">
        <f>(AL11+AL12)/(AL31)</f>
        <v>2.1754704545148837</v>
      </c>
      <c r="AM114" s="77">
        <f>(AM11+AM12)/(AM31)</f>
        <v>2.3199249196168541</v>
      </c>
      <c r="AN114" s="77">
        <f>(AN11+AN12)/(AN31)</f>
        <v>1.715407907540595</v>
      </c>
      <c r="AO114" s="114">
        <f>(AO11+AO12)/(AO31)</f>
        <v>1.715407907540595</v>
      </c>
      <c r="AP114" s="126"/>
      <c r="AQ114" s="116">
        <f>(AQ11+AQ12)/(AQ31)</f>
        <v>39.590619307832419</v>
      </c>
      <c r="AR114" s="77">
        <f>(AR11+AR12)/(AR31)</f>
        <v>1.0156630116072511</v>
      </c>
      <c r="AS114" s="77">
        <f>(AS11+AS12)/(AS31)</f>
        <v>19.110338835794963</v>
      </c>
      <c r="AT114" s="77">
        <f>(AT11+AT12)/(AT31)</f>
        <v>29.277752187931828</v>
      </c>
      <c r="AU114" s="114">
        <f>(AU11+AU12)/(AU31)</f>
        <v>29.277752187931828</v>
      </c>
      <c r="AV114" s="126"/>
      <c r="AW114" s="116">
        <f>(AW11+AW12)/(AW31)</f>
        <v>6.4753851196329064</v>
      </c>
      <c r="AX114" s="77">
        <f>(AX11+AX12)/(AX31)</f>
        <v>6.8633981003428843</v>
      </c>
      <c r="AY114" s="77">
        <f>(AY11+AY12)/(AY31)</f>
        <v>10.279027504911593</v>
      </c>
      <c r="AZ114" s="77">
        <f>(AZ11+AZ12)/(AZ31)</f>
        <v>0.723517308157831</v>
      </c>
      <c r="BA114" s="114">
        <f>(BA11+BA12)/(BA31)</f>
        <v>0.723517308157831</v>
      </c>
      <c r="BB114" s="126"/>
      <c r="BC114" s="116">
        <f>(BC11+BC12)/(BC31)</f>
        <v>0.77649258440100688</v>
      </c>
      <c r="BD114" s="77">
        <f>(BD11+BD12)/(BD31)</f>
        <v>0.90869255102399837</v>
      </c>
      <c r="BE114" s="77">
        <f>(BE11+BE12)/(BE31)</f>
        <v>0.90561666350591064</v>
      </c>
      <c r="BF114" s="77">
        <f>(BF11+BF12)/(BF31)</f>
        <v>5.9380280838585824</v>
      </c>
      <c r="BG114" s="114">
        <f>(BG11+BG12)/(BG31)</f>
        <v>5.9380280838585824</v>
      </c>
      <c r="BH114" s="126"/>
      <c r="BI114" s="116">
        <f>(BI11+BI12)/(BI31)</f>
        <v>12.645050531225706</v>
      </c>
      <c r="BJ114" s="77">
        <f>(BJ11+BJ12)/(BJ31)</f>
        <v>30.397869462292864</v>
      </c>
      <c r="BK114" s="77">
        <f>(BK11+BK12)/(BK31)</f>
        <v>32.263891627558465</v>
      </c>
      <c r="BL114" s="77">
        <f>(BL11+BL12)/(BL31)</f>
        <v>38.96980944190468</v>
      </c>
      <c r="BM114" s="114">
        <f>(BM11+BM12)/(BM31)</f>
        <v>38.96980944190468</v>
      </c>
      <c r="BN114" s="126"/>
      <c r="BO114" s="116">
        <f>(BO11+BO12)/(BO31)</f>
        <v>12.68851788327485</v>
      </c>
      <c r="BP114" s="77">
        <f>(BP11+BP12)/(BP31)</f>
        <v>17.622434394831625</v>
      </c>
      <c r="BQ114" s="77">
        <f>(BQ11+BQ12)/(BQ31)</f>
        <v>41.411265607983182</v>
      </c>
      <c r="BR114" s="77">
        <f>(BR11+BR12)/(BR31)</f>
        <v>40.062314467260371</v>
      </c>
      <c r="BS114" s="114">
        <f>(BS11+BS12)/(BS31)</f>
        <v>40.062314467260371</v>
      </c>
      <c r="BT114" s="126"/>
      <c r="BU114" s="116">
        <f>(BU11+BU12)/(BU31)</f>
        <v>27.045229286174944</v>
      </c>
      <c r="BV114" s="77">
        <f>(BV11+BV12)/(BV31)</f>
        <v>11.507614954518901</v>
      </c>
      <c r="BW114" s="77">
        <f>(BW11+BW12)/(BW31)</f>
        <v>5.8865393029021433</v>
      </c>
      <c r="BX114" s="77">
        <f>(BX11+BX12)/(BX31)</f>
        <v>5.457770956988373</v>
      </c>
      <c r="BY114" s="114">
        <f>(BY11+BY12)/(BY31)</f>
        <v>5.457770956988373</v>
      </c>
      <c r="BZ114" s="126"/>
      <c r="CA114" s="116">
        <f>(CA11+CA12)/(CA31)</f>
        <v>16.531707548963681</v>
      </c>
      <c r="CB114" s="77">
        <f>(CB11+CB12)/(CB31)</f>
        <v>20.182287436605485</v>
      </c>
      <c r="CC114" s="77">
        <f>(CC11+CC12)/(CC31)</f>
        <v>27.992208924323048</v>
      </c>
      <c r="CD114" s="77">
        <f>(CD11+CD12)/(CD31)</f>
        <v>30.246846846846847</v>
      </c>
      <c r="CE114" s="114">
        <f>(CE11+CE12)/(CE31)</f>
        <v>30.246846846846847</v>
      </c>
      <c r="CF114" s="126"/>
      <c r="CG114" s="116">
        <f>(CG11+CG12)/(CG31)</f>
        <v>32.099999999999994</v>
      </c>
      <c r="CH114" s="77">
        <f>(CH11+CH12)/(CH31)</f>
        <v>43.13358070500928</v>
      </c>
      <c r="CI114" s="77">
        <f>(CI11+CI12)/(CI31)</f>
        <v>35.320353982300887</v>
      </c>
      <c r="CJ114" s="77">
        <f>(CJ11+CJ12)/(CJ31)</f>
        <v>50.003210272873197</v>
      </c>
      <c r="CK114" s="114">
        <f>(CK11+CK12)/(CK31)</f>
        <v>50.003210272873197</v>
      </c>
      <c r="CL114" s="126"/>
      <c r="CM114" s="116">
        <f>(CM11+CM12)/(CM31)</f>
        <v>52.207488299531988</v>
      </c>
      <c r="CN114" s="77">
        <f>(CN11+CN12)/(CN31)</f>
        <v>67.777551020408168</v>
      </c>
      <c r="CO114" s="77">
        <f>(CO11+CO12)/(CO31)</f>
        <v>56.376750700280112</v>
      </c>
      <c r="CP114" s="77">
        <f>(CP11+CP12)/(CP31)</f>
        <v>41.802503477051452</v>
      </c>
      <c r="CQ114" s="114">
        <f>(CQ11+CQ12)/(CQ31)</f>
        <v>41.802503477051452</v>
      </c>
      <c r="CR114" s="126"/>
      <c r="CS114" s="116">
        <f>(CS11+CS12)/(CS31)</f>
        <v>20.299110751818915</v>
      </c>
      <c r="CT114" s="77">
        <f>(CT11+CT12)/(CT31)</f>
        <v>30.35422343324251</v>
      </c>
      <c r="CU114" s="77">
        <f>(CU11+CU12)/(CU31)</f>
        <v>0.52546356002636629</v>
      </c>
      <c r="CV114" s="77">
        <f>(CV11+CV12)/(CV31)</f>
        <v>0.93563653573118777</v>
      </c>
      <c r="CW114" s="114">
        <f>(CW11+CW12)/(CW31)</f>
        <v>0.93563653573118777</v>
      </c>
      <c r="CX114" s="126"/>
      <c r="CY114" s="116">
        <f>(CY11+CY12)/(CY31)</f>
        <v>3.3720812182741113</v>
      </c>
      <c r="CZ114" s="77">
        <f>(CZ11+CZ12)/(CZ31)</f>
        <v>1.5494800529400645</v>
      </c>
      <c r="DA114" s="77">
        <f>(DA11+DA12)/(DA31)</f>
        <v>1.2005932517612161</v>
      </c>
      <c r="DB114" s="77">
        <f>(DB11+DB12)/(DB31)</f>
        <v>0.37139663943271156</v>
      </c>
      <c r="DC114" s="114">
        <f>(DC11+DC12)/(DC31)</f>
        <v>0.37139663943271156</v>
      </c>
      <c r="DD114" s="126"/>
      <c r="DE114" s="116">
        <f>(DE11+DE12)/(DE31)</f>
        <v>0.36195407474110758</v>
      </c>
      <c r="DF114" s="77">
        <f>(DF11+DF12)/(DF31)</f>
        <v>4.2855457227138638</v>
      </c>
      <c r="DG114" s="77">
        <f>(DG11+DG12)/(DG31)</f>
        <v>3.5598243688254669</v>
      </c>
      <c r="DH114" s="77">
        <f>(DH11+DH12)/(DH31)</f>
        <v>3.2372881355932202</v>
      </c>
      <c r="DI114" s="114">
        <f>(DI11+DI12)/(DI31)</f>
        <v>3.2372881355932202</v>
      </c>
      <c r="DJ114" s="126"/>
      <c r="DK114" s="116">
        <f>(DK11+DK12)/(DK31)</f>
        <v>7.9981726633208616</v>
      </c>
      <c r="DL114" s="77">
        <f>(DL11+DL12)/(DL31)</f>
        <v>13.519575386245226</v>
      </c>
      <c r="DM114" s="77">
        <f>(DM11+DM12)/(DM31)</f>
        <v>17.169989966269533</v>
      </c>
      <c r="DN114" s="77">
        <f>(DN11+DN12)/(DN31)</f>
        <v>22.25370539366498</v>
      </c>
      <c r="DO114" s="114">
        <f>(DO11+DO12)/(DO31)</f>
        <v>22.25370539366498</v>
      </c>
      <c r="DP114" s="126"/>
      <c r="DQ114" s="116">
        <f>(DQ11+DQ12)/(DQ31)</f>
        <v>27.093238644354869</v>
      </c>
      <c r="DR114" s="77">
        <f>(DR11+DR12)/(DR31)</f>
        <v>33.0884878327686</v>
      </c>
      <c r="DS114" s="77">
        <f>(DS11+DS12)/(DS31)</f>
        <v>37.016887078773507</v>
      </c>
      <c r="DT114" s="77">
        <f>(DT11+DT12)/(DT31)</f>
        <v>42.454838556022644</v>
      </c>
      <c r="DU114" s="114">
        <f>(DU11+DU12)/(DU31)</f>
        <v>42.454838556022644</v>
      </c>
      <c r="DV114" s="126"/>
      <c r="DW114" s="116">
        <f>(DW11+DW12)/(DW31)</f>
        <v>48.326659807249918</v>
      </c>
      <c r="DX114" s="77">
        <f>(DX11+DX12)/(DX31)</f>
        <v>54.775042556352858</v>
      </c>
      <c r="DY114" s="77">
        <f>(DY11+DY12)/(DY31)</f>
        <v>58.986560529924439</v>
      </c>
      <c r="DZ114" s="77">
        <f>(DZ11+DZ12)/(DZ31)</f>
        <v>65.64967615981864</v>
      </c>
      <c r="EA114" s="114">
        <f>(EA11+EA12)/(EA31)</f>
        <v>65.64967615981864</v>
      </c>
      <c r="EB114" s="126"/>
      <c r="EC114" s="116">
        <f t="shared" ref="EC114:EG114" si="568">(EC11+EC12)/(EC31)</f>
        <v>72.642539597198763</v>
      </c>
      <c r="ED114" s="77">
        <f t="shared" si="568"/>
        <v>80.485325555850707</v>
      </c>
      <c r="EE114" s="77">
        <f t="shared" si="568"/>
        <v>86.009448262435583</v>
      </c>
      <c r="EF114" s="77">
        <f t="shared" si="568"/>
        <v>93.521124742829926</v>
      </c>
      <c r="EG114" s="114">
        <f t="shared" si="568"/>
        <v>93.521124742829926</v>
      </c>
      <c r="EH114" s="7"/>
      <c r="EI114" s="482"/>
      <c r="EJ114" s="7"/>
    </row>
    <row r="115" spans="1:140" ht="11.25" customHeight="1" x14ac:dyDescent="0.2">
      <c r="A115" s="51" t="s">
        <v>58</v>
      </c>
      <c r="B115" s="2"/>
      <c r="C115" s="2"/>
      <c r="D115" s="2"/>
      <c r="E115" s="114">
        <f>(E11+E12)/(E31+E39)</f>
        <v>0.35585044643978714</v>
      </c>
      <c r="F115" s="126"/>
      <c r="G115" s="114">
        <f>(G11+G12)/(G31+G39)</f>
        <v>9.4905279376696405E-2</v>
      </c>
      <c r="H115" s="126"/>
      <c r="I115" s="114">
        <f>(I11+I12)/(I31+I39)</f>
        <v>0.69476075316175268</v>
      </c>
      <c r="J115" s="126"/>
      <c r="K115" s="114">
        <f>(K11+K12)/(K31+K39)</f>
        <v>0.22249273758472818</v>
      </c>
      <c r="L115" s="126"/>
      <c r="M115" s="116">
        <f>(M11+M12)/(M31+M39)</f>
        <v>0.56614036809317714</v>
      </c>
      <c r="N115" s="77">
        <f>(N11+N12)/(N31+N39)</f>
        <v>0.57517639162859469</v>
      </c>
      <c r="O115" s="77">
        <f>(O11+O12)/(O31+O39)</f>
        <v>0.54047731715188174</v>
      </c>
      <c r="P115" s="77">
        <f>(P11+P12)/(P31+P39)</f>
        <v>0.59290553156066717</v>
      </c>
      <c r="Q115" s="114">
        <f>(Q11+Q12)/(Q31+Q39)</f>
        <v>0.59290553156066717</v>
      </c>
      <c r="R115" s="126"/>
      <c r="S115" s="116">
        <f>(S11+S12)/(S31+S39)</f>
        <v>0.48220013112894933</v>
      </c>
      <c r="T115" s="77">
        <f>(T11+T12)/(T31+T39)</f>
        <v>0.57722960897467923</v>
      </c>
      <c r="U115" s="77">
        <f>(U11+U12)/(U31+U39)</f>
        <v>0.64079175692009427</v>
      </c>
      <c r="V115" s="77">
        <f>(V11+V12)/(V31+V39)</f>
        <v>0.61869104799826558</v>
      </c>
      <c r="W115" s="114">
        <f>(W11+W12)/(W31+W39)</f>
        <v>0.61869104799826558</v>
      </c>
      <c r="X115" s="126"/>
      <c r="Y115" s="116">
        <f>(Y11+Y12)/(Y31+Y39)</f>
        <v>0.66543137604125002</v>
      </c>
      <c r="Z115" s="77">
        <f>(Z11+Z12)/(Z31+Z39)</f>
        <v>0.80547698103930498</v>
      </c>
      <c r="AA115" s="77">
        <f>(AA11+AA12)/(AA31+AA39)</f>
        <v>0.87934477798818289</v>
      </c>
      <c r="AB115" s="77">
        <f>(AB11+AB12)/(AB31+AB39)</f>
        <v>0.947087612972069</v>
      </c>
      <c r="AC115" s="114">
        <f>(AC11+AC12)/(AC31+AC39)</f>
        <v>0.947087612972069</v>
      </c>
      <c r="AD115" s="126"/>
      <c r="AE115" s="116">
        <f>(AE11+AE12)/(AE31+AE39)</f>
        <v>0.47887250459131347</v>
      </c>
      <c r="AF115" s="77">
        <f>(AF11+AF12)/(AF31+AF39)</f>
        <v>0.23318386684565742</v>
      </c>
      <c r="AG115" s="77">
        <f>(AG11+AG12)/(AG31+AG39)</f>
        <v>0.40638554530012794</v>
      </c>
      <c r="AH115" s="77">
        <f>(AH11+AH12)/(AH31+AH39)</f>
        <v>0.45109672087198532</v>
      </c>
      <c r="AI115" s="114">
        <f>(AI11+AI12)/(AI31+AI39)</f>
        <v>0.45109672087198532</v>
      </c>
      <c r="AJ115" s="126"/>
      <c r="AK115" s="116">
        <f>(AK11+AK12)/(AK31+AK39)</f>
        <v>0.50838903235893718</v>
      </c>
      <c r="AL115" s="77">
        <f>(AL11+AL12)/(AL31+AL39)</f>
        <v>0.62051631487795023</v>
      </c>
      <c r="AM115" s="77">
        <f>(AM11+AM12)/(AM31+AM39)</f>
        <v>0.26138666631261398</v>
      </c>
      <c r="AN115" s="77">
        <f>(AN11+AN12)/(AN31+AN39)</f>
        <v>0.30291286926838445</v>
      </c>
      <c r="AO115" s="114">
        <f>(AO11+AO12)/(AO31+AO39)</f>
        <v>0.30291286926838445</v>
      </c>
      <c r="AP115" s="126"/>
      <c r="AQ115" s="116">
        <f>(AQ11+AQ12)/(AQ31+AQ39)</f>
        <v>0.29961093069925643</v>
      </c>
      <c r="AR115" s="77">
        <f>(AR11+AR12)/(AR31+AR39)</f>
        <v>0.10691952375069422</v>
      </c>
      <c r="AS115" s="77">
        <f>(AS11+AS12)/(AS31+AS39)</f>
        <v>0.11600475530191992</v>
      </c>
      <c r="AT115" s="77">
        <f>(AT11+AT12)/(AT31+AT39)</f>
        <v>0.13058631327566569</v>
      </c>
      <c r="AU115" s="114">
        <f>(AU11+AU12)/(AU31+AU39)</f>
        <v>0.13058631327566569</v>
      </c>
      <c r="AV115" s="126"/>
      <c r="AW115" s="116">
        <f>(AW11+AW12)/(AW31+AW39)</f>
        <v>8.4961192838564958E-2</v>
      </c>
      <c r="AX115" s="77">
        <f>(AX11+AX12)/(AX31+AX39)</f>
        <v>8.0675834125907939E-2</v>
      </c>
      <c r="AY115" s="77">
        <f>(AY11+AY12)/(AY31+AY39)</f>
        <v>0.10747758583324005</v>
      </c>
      <c r="AZ115" s="77">
        <f>(AZ11+AZ12)/(AZ31+AZ39)</f>
        <v>6.416863737318329E-2</v>
      </c>
      <c r="BA115" s="114">
        <f>(BA11+BA12)/(BA31+BA39)</f>
        <v>6.416863737318329E-2</v>
      </c>
      <c r="BB115" s="126"/>
      <c r="BC115" s="116">
        <f>(BC11+BC12)/(BC31+BC39)</f>
        <v>6.6705066034931454E-2</v>
      </c>
      <c r="BD115" s="77">
        <f>(BD11+BD12)/(BD31+BD39)</f>
        <v>9.3065063977727291E-2</v>
      </c>
      <c r="BE115" s="77">
        <f>(BE11+BE12)/(BE31+BE39)</f>
        <v>0.10581707896274377</v>
      </c>
      <c r="BF115" s="77">
        <f>(BF11+BF12)/(BF31+BF39)</f>
        <v>0.14998268640556417</v>
      </c>
      <c r="BG115" s="114">
        <f>(BG11+BG12)/(BG31+BG39)</f>
        <v>0.14998268640556417</v>
      </c>
      <c r="BH115" s="126"/>
      <c r="BI115" s="116">
        <f>(BI11+BI12)/(BI31+BI39)</f>
        <v>0.33446025833027759</v>
      </c>
      <c r="BJ115" s="77">
        <f>(BJ11+BJ12)/(BJ31+BJ39)</f>
        <v>0.4332191197232434</v>
      </c>
      <c r="BK115" s="77">
        <f>(BK11+BK12)/(BK31+BK39)</f>
        <v>0.55461490720494233</v>
      </c>
      <c r="BL115" s="77">
        <f>(BL11+BL12)/(BL31+BL39)</f>
        <v>0.58704306443898135</v>
      </c>
      <c r="BM115" s="114">
        <f>(BM11+BM12)/(BM31+BM39)</f>
        <v>0.58704306443898135</v>
      </c>
      <c r="BN115" s="126"/>
      <c r="BO115" s="116">
        <f>(BO11+BO12)/(BO31+BO39)</f>
        <v>0.27942141116877567</v>
      </c>
      <c r="BP115" s="77">
        <f>(BP11+BP12)/(BP31+BP39)</f>
        <v>0.43644833677294659</v>
      </c>
      <c r="BQ115" s="77">
        <f>(BQ11+BQ12)/(BQ31+BQ39)</f>
        <v>0.57134465650642152</v>
      </c>
      <c r="BR115" s="77">
        <f>(BR11+BR12)/(BR31+BR39)</f>
        <v>0.57811395887941519</v>
      </c>
      <c r="BS115" s="114">
        <f>(BS11+BS12)/(BS31+BS39)</f>
        <v>0.57811395887941519</v>
      </c>
      <c r="BT115" s="126"/>
      <c r="BU115" s="116">
        <f>(BU11+BU12)/(BU31+BU39)</f>
        <v>0.58437176035887561</v>
      </c>
      <c r="BV115" s="77">
        <f>(BV11+BV12)/(BV31+BV39)</f>
        <v>8.3918225589062187E-2</v>
      </c>
      <c r="BW115" s="77">
        <f>(BW11+BW12)/(BW31+BW39)</f>
        <v>8.2156287050370702E-2</v>
      </c>
      <c r="BX115" s="77">
        <f>(BX11+BX12)/(BX31+BX39)</f>
        <v>0.10122178424456645</v>
      </c>
      <c r="BY115" s="114">
        <f>(BY11+BY12)/(BY31+BY39)</f>
        <v>0.10122178424456645</v>
      </c>
      <c r="BZ115" s="126"/>
      <c r="CA115" s="116">
        <f>(CA11+CA12)/(CA31+CA39)</f>
        <v>0.21179867571395158</v>
      </c>
      <c r="CB115" s="77">
        <f>(CB11+CB12)/(CB31+CB39)</f>
        <v>0.22807135265622644</v>
      </c>
      <c r="CC115" s="77">
        <f>(CC11+CC12)/(CC31+CC39)</f>
        <v>0.32695433667619739</v>
      </c>
      <c r="CD115" s="77">
        <f>(CD11+CD12)/(CD31+CD39)</f>
        <v>0.31418090621549288</v>
      </c>
      <c r="CE115" s="114">
        <f>(CE11+CE12)/(CE31+CE39)</f>
        <v>0.31418090621549288</v>
      </c>
      <c r="CF115" s="126"/>
      <c r="CG115" s="116">
        <f>(CG11+CG12)/(CG31+CG39)</f>
        <v>0.48262011085429612</v>
      </c>
      <c r="CH115" s="77">
        <f>(CH11+CH12)/(CH31+CH39)</f>
        <v>0.55956965437566197</v>
      </c>
      <c r="CI115" s="77">
        <f>(CI11+CI12)/(CI31+CI39)</f>
        <v>0.56984580239862936</v>
      </c>
      <c r="CJ115" s="77">
        <f>(CJ11+CJ12)/(CJ31+CJ39)</f>
        <v>0.89031151757645033</v>
      </c>
      <c r="CK115" s="114">
        <f>(CK11+CK12)/(CK31+CK39)</f>
        <v>0.89031151757645033</v>
      </c>
      <c r="CL115" s="126"/>
      <c r="CM115" s="116">
        <f>(CM11+CM12)/(CM31+CM39)</f>
        <v>0.95970748494407798</v>
      </c>
      <c r="CN115" s="77">
        <f>(CN11+CN12)/(CN31+CN39)</f>
        <v>1.0821440208536983</v>
      </c>
      <c r="CO115" s="77">
        <f>(CO11+CO12)/(CO31+CO39)</f>
        <v>1.325812720266131</v>
      </c>
      <c r="CP115" s="77">
        <f>(CP11+CP12)/(CP31+CP39)</f>
        <v>0.86531928369896927</v>
      </c>
      <c r="CQ115" s="114">
        <f>(CQ11+CQ12)/(CQ31+CQ39)</f>
        <v>0.86531928369896927</v>
      </c>
      <c r="CR115" s="126"/>
      <c r="CS115" s="116">
        <f>(CS11+CS12)/(CS31+CS39)</f>
        <v>0.79024390243902443</v>
      </c>
      <c r="CT115" s="77">
        <f>(CT11+CT12)/(CT31+CT39)</f>
        <v>1.0566586568863034</v>
      </c>
      <c r="CU115" s="77">
        <f>(CU11+CU12)/(CU31+CU39)</f>
        <v>0.12213562483346656</v>
      </c>
      <c r="CV115" s="77">
        <f>(CV11+CV12)/(CV31+CV39)</f>
        <v>6.144331178518149E-2</v>
      </c>
      <c r="CW115" s="114">
        <f>(CW11+CW12)/(CW31+CW39)</f>
        <v>6.144331178518149E-2</v>
      </c>
      <c r="CX115" s="126"/>
      <c r="CY115" s="116">
        <f>(CY11+CY12)/(CY31+CY39)</f>
        <v>5.3608463729754585E-2</v>
      </c>
      <c r="CZ115" s="77">
        <f>(CZ11+CZ12)/(CZ31+CZ39)</f>
        <v>0.27965766233057154</v>
      </c>
      <c r="DA115" s="77">
        <f>(DA11+DA12)/(DA31+DA39)</f>
        <v>0.11686436803734269</v>
      </c>
      <c r="DB115" s="77">
        <f>(DB11+DB12)/(DB31+DB39)</f>
        <v>7.8547558888254959E-2</v>
      </c>
      <c r="DC115" s="114">
        <f>(DC11+DC12)/(DC31+DC39)</f>
        <v>7.8547558888254959E-2</v>
      </c>
      <c r="DD115" s="126"/>
      <c r="DE115" s="116">
        <f>(DE11+DE12)/(DE31+DE39)</f>
        <v>6.7270277733613382E-2</v>
      </c>
      <c r="DF115" s="77">
        <f>(DF11+DF12)/(DF31+DF39)</f>
        <v>6.2663906142167006E-2</v>
      </c>
      <c r="DG115" s="77">
        <f>(DG11+DG12)/(DG31+DG39)</f>
        <v>5.9455495462462191E-2</v>
      </c>
      <c r="DH115" s="77">
        <f>(DH11+DH12)/(DH31+DH39)</f>
        <v>5.9902490947624516E-2</v>
      </c>
      <c r="DI115" s="114">
        <f>(DI11+DI12)/(DI31+DI39)</f>
        <v>5.9902490947624516E-2</v>
      </c>
      <c r="DJ115" s="126"/>
      <c r="DK115" s="116">
        <f>(DK11+DK12)/(DK31+DK39)</f>
        <v>0.14799747365531327</v>
      </c>
      <c r="DL115" s="77">
        <f>(DL11+DL12)/(DL31+DL39)</f>
        <v>0.25016501722108186</v>
      </c>
      <c r="DM115" s="77">
        <f>(DM11+DM12)/(DM31+DM39)</f>
        <v>0.31771196305230687</v>
      </c>
      <c r="DN115" s="77">
        <f>(DN11+DN12)/(DN31+DN39)</f>
        <v>0.41178057993618872</v>
      </c>
      <c r="DO115" s="114">
        <f>(DO11+DO12)/(DO31+DO39)</f>
        <v>0.41178057993618872</v>
      </c>
      <c r="DP115" s="126"/>
      <c r="DQ115" s="116">
        <f>(DQ11+DQ12)/(DQ31+DQ39)</f>
        <v>0.50133087159938539</v>
      </c>
      <c r="DR115" s="77">
        <f>(DR11+DR12)/(DR31+DR39)</f>
        <v>0.61226642790317964</v>
      </c>
      <c r="DS115" s="77">
        <f>(DS11+DS12)/(DS31+DS39)</f>
        <v>0.68495717720200355</v>
      </c>
      <c r="DT115" s="77">
        <f>(DT11+DT12)/(DT31+DT39)</f>
        <v>0.78558054636029007</v>
      </c>
      <c r="DU115" s="114">
        <f>(DU11+DU12)/(DU31+DU39)</f>
        <v>0.78558054636029007</v>
      </c>
      <c r="DV115" s="126"/>
      <c r="DW115" s="116">
        <f>(DW11+DW12)/(DW31+DW39)</f>
        <v>0.89423220312214846</v>
      </c>
      <c r="DX115" s="77">
        <f>(DX11+DX12)/(DX31+DX39)</f>
        <v>1.0135525024208001</v>
      </c>
      <c r="DY115" s="77">
        <f>(DY11+DY12)/(DY31+DY39)</f>
        <v>1.0914820554049369</v>
      </c>
      <c r="DZ115" s="77">
        <f>(DZ11+DZ12)/(DZ31+DZ39)</f>
        <v>1.2147757527790735</v>
      </c>
      <c r="EA115" s="114">
        <f>(EA11+EA12)/(EA31+EA39)</f>
        <v>1.2147757527790735</v>
      </c>
      <c r="EB115" s="126"/>
      <c r="EC115" s="116">
        <f t="shared" ref="EC115:EG115" si="569">(EC11+EC12)/(EC31+EC39)</f>
        <v>1.3441710741747939</v>
      </c>
      <c r="ED115" s="77">
        <f t="shared" si="569"/>
        <v>1.4892932861048775</v>
      </c>
      <c r="EE115" s="77">
        <f t="shared" si="569"/>
        <v>1.5915111600057219</v>
      </c>
      <c r="EF115" s="77">
        <f t="shared" si="569"/>
        <v>1.7305065516797011</v>
      </c>
      <c r="EG115" s="114">
        <f t="shared" si="569"/>
        <v>1.7305065516797011</v>
      </c>
      <c r="EH115" s="7"/>
      <c r="EI115" s="482"/>
      <c r="EJ115" s="7"/>
    </row>
    <row r="116" spans="1:140" ht="11.25" customHeight="1" x14ac:dyDescent="0.2">
      <c r="A116" s="105" t="s">
        <v>59</v>
      </c>
      <c r="B116" s="2"/>
      <c r="C116" s="2"/>
      <c r="D116" s="2"/>
      <c r="E116" s="115">
        <f>(E31)/E39</f>
        <v>0.2201595252254627</v>
      </c>
      <c r="F116" s="126"/>
      <c r="G116" s="115">
        <f>(G31)/G39</f>
        <v>0.13453160268337847</v>
      </c>
      <c r="H116" s="126"/>
      <c r="I116" s="115">
        <f>(I31)/I39</f>
        <v>9.8514237458105725E-2</v>
      </c>
      <c r="J116" s="126"/>
      <c r="K116" s="115">
        <f>(K31)/K39</f>
        <v>0.11440291385271253</v>
      </c>
      <c r="L116" s="126"/>
      <c r="M116" s="117">
        <f>(M31)/M39</f>
        <v>6.7928326084874716E-2</v>
      </c>
      <c r="N116" s="118">
        <f>(N31)/N39</f>
        <v>6.6280389788486174E-2</v>
      </c>
      <c r="O116" s="118">
        <f>(O31)/O39</f>
        <v>6.6332530086110605E-2</v>
      </c>
      <c r="P116" s="118">
        <f>(P31)/P39</f>
        <v>6.4642068088763563E-2</v>
      </c>
      <c r="Q116" s="115">
        <f>(Q31)/Q39</f>
        <v>6.4642068088763563E-2</v>
      </c>
      <c r="R116" s="126"/>
      <c r="S116" s="117">
        <f>(S31)/S39</f>
        <v>7.3605509474164818E-2</v>
      </c>
      <c r="T116" s="118">
        <f>(T31)/T39</f>
        <v>9.7813416450291152E-2</v>
      </c>
      <c r="U116" s="118">
        <f>(U31)/U39</f>
        <v>9.6387144065506025E-2</v>
      </c>
      <c r="V116" s="118">
        <f>(V31)/V39</f>
        <v>9.3986915222870462E-2</v>
      </c>
      <c r="W116" s="115">
        <f>(W31)/W39</f>
        <v>9.3986915222870462E-2</v>
      </c>
      <c r="X116" s="126"/>
      <c r="Y116" s="117">
        <f>(Y31)/Y39</f>
        <v>0.12523942347812086</v>
      </c>
      <c r="Z116" s="118">
        <f>(Z31)/Z39</f>
        <v>6.1151962843728723E-2</v>
      </c>
      <c r="AA116" s="118">
        <f>(AA31)/AA39</f>
        <v>8.2655970106130933E-3</v>
      </c>
      <c r="AB116" s="118">
        <f>(AB31)/AB39</f>
        <v>1.1198927518766085E-2</v>
      </c>
      <c r="AC116" s="115">
        <f>(AC31)/AC39</f>
        <v>1.1198927518766085E-2</v>
      </c>
      <c r="AD116" s="126"/>
      <c r="AE116" s="117">
        <f>(AE31)/AE39</f>
        <v>5.2786699236420792E-2</v>
      </c>
      <c r="AF116" s="118">
        <f>(AF31)/AF39</f>
        <v>1.4284388552213234E-2</v>
      </c>
      <c r="AG116" s="118">
        <f>(AG31)/AG39</f>
        <v>0.42438615403042285</v>
      </c>
      <c r="AH116" s="118">
        <f>(AH31)/AH39</f>
        <v>0.45893780354065483</v>
      </c>
      <c r="AI116" s="115">
        <f>(AI31)/AI39</f>
        <v>0.45893780354065483</v>
      </c>
      <c r="AJ116" s="126"/>
      <c r="AK116" s="117">
        <f>(AK31)/AK39</f>
        <v>0.42736346621586657</v>
      </c>
      <c r="AL116" s="118">
        <f>(AL31)/AL39</f>
        <v>0.39905763074326717</v>
      </c>
      <c r="AM116" s="118">
        <f>(AM31)/AM39</f>
        <v>0.12697683217353478</v>
      </c>
      <c r="AN116" s="118">
        <f>(AN31)/AN39</f>
        <v>0.21445234217524259</v>
      </c>
      <c r="AO116" s="115">
        <f>(AO31)/AO39</f>
        <v>0.21445234217524259</v>
      </c>
      <c r="AP116" s="126"/>
      <c r="AQ116" s="117">
        <f>(AQ31)/AQ39</f>
        <v>7.62543246086873E-3</v>
      </c>
      <c r="AR116" s="118">
        <f>(AR31)/AR39</f>
        <v>0.11765644010597984</v>
      </c>
      <c r="AS116" s="118">
        <f>(AS31)/AS39</f>
        <v>6.1073346825596501E-3</v>
      </c>
      <c r="AT116" s="118">
        <f>(AT31)/AT39</f>
        <v>4.4802405090510764E-3</v>
      </c>
      <c r="AU116" s="115">
        <f>(AU31)/AU39</f>
        <v>4.4802405090510764E-3</v>
      </c>
      <c r="AV116" s="126"/>
      <c r="AW116" s="117">
        <f>(AW31)/AW39</f>
        <v>1.3295079295495884E-2</v>
      </c>
      <c r="AX116" s="118">
        <f>(AX31)/AX39</f>
        <v>1.1894314842837346E-2</v>
      </c>
      <c r="AY116" s="118">
        <f>(AY31)/AY39</f>
        <v>1.0566490523892412E-2</v>
      </c>
      <c r="AZ116" s="118">
        <f>(AZ31)/AZ39</f>
        <v>9.7321250828973985E-2</v>
      </c>
      <c r="BA116" s="115">
        <f>(BA31)/BA39</f>
        <v>9.7321250828973985E-2</v>
      </c>
      <c r="BB116" s="126"/>
      <c r="BC116" s="117">
        <f>(BC31)/BC39</f>
        <v>9.3978922295627168E-2</v>
      </c>
      <c r="BD116" s="118">
        <f>(BD31)/BD39</f>
        <v>0.11410241250543784</v>
      </c>
      <c r="BE116" s="118">
        <f>(BE31)/BE39</f>
        <v>0.13230449353532092</v>
      </c>
      <c r="BF116" s="118">
        <f>(BF31)/BF39</f>
        <v>2.59124930968169E-2</v>
      </c>
      <c r="BG116" s="115">
        <f>(BG31)/BG39</f>
        <v>2.59124930968169E-2</v>
      </c>
      <c r="BH116" s="126"/>
      <c r="BI116" s="117">
        <f>(BI31)/BI39</f>
        <v>2.7168498903474038E-2</v>
      </c>
      <c r="BJ116" s="118">
        <f>(BJ31)/BJ39</f>
        <v>1.4457673117172529E-2</v>
      </c>
      <c r="BK116" s="118">
        <f>(BK31)/BK39</f>
        <v>1.7490619924766262E-2</v>
      </c>
      <c r="BL116" s="118">
        <f>(BL31)/BL39</f>
        <v>1.5294443831011383E-2</v>
      </c>
      <c r="BM116" s="115">
        <f>(BM31)/BM39</f>
        <v>1.5294443831011383E-2</v>
      </c>
      <c r="BN116" s="126"/>
      <c r="BO116" s="117">
        <f>(BO31)/BO39</f>
        <v>2.2517466263307421E-2</v>
      </c>
      <c r="BP116" s="118">
        <f>(BP31)/BP39</f>
        <v>2.5395594718773298E-2</v>
      </c>
      <c r="BQ116" s="118">
        <f>(BQ31)/BQ39</f>
        <v>1.3989857061311523E-2</v>
      </c>
      <c r="BR116" s="118">
        <f>(BR31)/BR39</f>
        <v>1.4641652900042997E-2</v>
      </c>
      <c r="BS116" s="115">
        <f>(BS31)/BS39</f>
        <v>1.4641652900042997E-2</v>
      </c>
      <c r="BT116" s="126"/>
      <c r="BU116" s="117">
        <f>(BU31)/BU39</f>
        <v>2.2084384823460222E-2</v>
      </c>
      <c r="BV116" s="118">
        <f>(BV31)/BV39</f>
        <v>7.3459780647488846E-3</v>
      </c>
      <c r="BW116" s="118">
        <f>(BW31)/BW39</f>
        <v>1.4154180870904252E-2</v>
      </c>
      <c r="BX116" s="118">
        <f>(BX31)/BX39</f>
        <v>1.8896827225935314E-2</v>
      </c>
      <c r="BY116" s="115">
        <f>(BY31)/BY39</f>
        <v>1.8896827225935314E-2</v>
      </c>
      <c r="BZ116" s="126"/>
      <c r="CA116" s="117">
        <f>(CA31)/CA39</f>
        <v>1.2977932496983166E-2</v>
      </c>
      <c r="CB116" s="118">
        <f>(CB31)/CB39</f>
        <v>1.1429732528539778E-2</v>
      </c>
      <c r="CC116" s="118">
        <f>(CC31)/CC39</f>
        <v>1.1818229817490629E-2</v>
      </c>
      <c r="CD116" s="118">
        <f>(CD31)/CD39</f>
        <v>1.0496255389968984E-2</v>
      </c>
      <c r="CE116" s="115">
        <f>(CE31)/CE39</f>
        <v>1.0496255389968984E-2</v>
      </c>
      <c r="CF116" s="126"/>
      <c r="CG116" s="117">
        <f>(CG31)/CG39</f>
        <v>1.5264392955596564E-2</v>
      </c>
      <c r="CH116" s="118">
        <f>(CH31)/CH39</f>
        <v>1.3143456314467557E-2</v>
      </c>
      <c r="CI116" s="118">
        <f>(CI31)/CI39</f>
        <v>1.6398200551443913E-2</v>
      </c>
      <c r="CJ116" s="118">
        <f>(CJ31)/CJ39</f>
        <v>1.8127855209939769E-2</v>
      </c>
      <c r="CK116" s="115">
        <f>(CK31)/CK39</f>
        <v>1.8127855209939769E-2</v>
      </c>
      <c r="CL116" s="126"/>
      <c r="CM116" s="117">
        <f>(CM31)/CM39</f>
        <v>1.8726810599199506E-2</v>
      </c>
      <c r="CN116" s="118">
        <f>(CN31)/CN39</f>
        <v>1.6225165562913906E-2</v>
      </c>
      <c r="CO116" s="118">
        <f>(CO31)/CO39</f>
        <v>2.4083381117819682E-2</v>
      </c>
      <c r="CP116" s="118">
        <f>(CP31)/CP39</f>
        <v>2.1137733352932533E-2</v>
      </c>
      <c r="CQ116" s="115">
        <f>(CQ31)/CQ39</f>
        <v>2.1137733352932533E-2</v>
      </c>
      <c r="CR116" s="126"/>
      <c r="CS116" s="117">
        <f>(CS31)/CS39</f>
        <v>4.0506909424323792E-2</v>
      </c>
      <c r="CT116" s="118">
        <f>(CT31)/CT39</f>
        <v>3.6066432993743243E-2</v>
      </c>
      <c r="CU116" s="118">
        <f>(CU31)/CU39</f>
        <v>0.30281965164414593</v>
      </c>
      <c r="CV116" s="118">
        <f>(CV31)/CV39</f>
        <v>7.0285733293417155E-2</v>
      </c>
      <c r="CW116" s="115">
        <f>(CW31)/CW39</f>
        <v>7.0285733293417155E-2</v>
      </c>
      <c r="CX116" s="126"/>
      <c r="CY116" s="117">
        <f>(CY31)/CY39</f>
        <v>1.6154558947739591E-2</v>
      </c>
      <c r="CZ116" s="118">
        <f>(CZ31)/CZ39</f>
        <v>0.22023368338649366</v>
      </c>
      <c r="DA116" s="118">
        <f>(DA31)/DA39</f>
        <v>0.1078354280230838</v>
      </c>
      <c r="DB116" s="118">
        <f>(DB31)/DB39</f>
        <v>0.26821856070786215</v>
      </c>
      <c r="DC116" s="115">
        <f>(DC31)/DC39</f>
        <v>0.26821856070786215</v>
      </c>
      <c r="DD116" s="126"/>
      <c r="DE116" s="117">
        <f>(DE31)/DE39</f>
        <v>0.22827952679021102</v>
      </c>
      <c r="DF116" s="118">
        <f>(DF31)/DF39</f>
        <v>1.4839133289560078E-2</v>
      </c>
      <c r="DG116" s="118">
        <f>(DG31)/DG39</f>
        <v>1.6985494276018944E-2</v>
      </c>
      <c r="DH116" s="118">
        <f>(DH31)/DH39</f>
        <v>1.8852760617386756E-2</v>
      </c>
      <c r="DI116" s="115">
        <f>(DI31)/DI39</f>
        <v>1.8852760617386756E-2</v>
      </c>
      <c r="DJ116" s="126"/>
      <c r="DK116" s="117">
        <f>(DK31)/DK39</f>
        <v>1.8852760617386756E-2</v>
      </c>
      <c r="DL116" s="118">
        <f>(DL31)/DL39</f>
        <v>1.8852760617386756E-2</v>
      </c>
      <c r="DM116" s="118">
        <f>(DM31)/DM39</f>
        <v>1.8852760617386756E-2</v>
      </c>
      <c r="DN116" s="118">
        <f>(DN31)/DN39</f>
        <v>1.8852760617386756E-2</v>
      </c>
      <c r="DO116" s="115">
        <f>(DO31)/DO39</f>
        <v>1.8852760617386756E-2</v>
      </c>
      <c r="DP116" s="126"/>
      <c r="DQ116" s="117">
        <f>(DQ31)/DQ39</f>
        <v>1.8852760617386756E-2</v>
      </c>
      <c r="DR116" s="118">
        <f>(DR31)/DR39</f>
        <v>1.8852760617386756E-2</v>
      </c>
      <c r="DS116" s="118">
        <f>(DS31)/DS39</f>
        <v>1.8852760617386756E-2</v>
      </c>
      <c r="DT116" s="118">
        <f>(DT31)/DT39</f>
        <v>1.8852760617386756E-2</v>
      </c>
      <c r="DU116" s="115">
        <f>(DU31)/DU39</f>
        <v>1.8852760617386756E-2</v>
      </c>
      <c r="DV116" s="126"/>
      <c r="DW116" s="117">
        <f>(DW31)/DW39</f>
        <v>1.8852760617386756E-2</v>
      </c>
      <c r="DX116" s="118">
        <f>(DX31)/DX39</f>
        <v>1.8852760617386756E-2</v>
      </c>
      <c r="DY116" s="118">
        <f>(DY31)/DY39</f>
        <v>1.8852760617386756E-2</v>
      </c>
      <c r="DZ116" s="118">
        <f>(DZ31)/DZ39</f>
        <v>1.8852760617386756E-2</v>
      </c>
      <c r="EA116" s="115">
        <f>(EA31)/EA39</f>
        <v>1.8852760617386756E-2</v>
      </c>
      <c r="EB116" s="126"/>
      <c r="EC116" s="117">
        <f t="shared" ref="EC116:EG116" si="570">(EC31)/EC39</f>
        <v>1.8852760617386756E-2</v>
      </c>
      <c r="ED116" s="118">
        <f t="shared" si="570"/>
        <v>1.8852760617386756E-2</v>
      </c>
      <c r="EE116" s="118">
        <f t="shared" si="570"/>
        <v>1.8852760617386756E-2</v>
      </c>
      <c r="EF116" s="118">
        <f t="shared" si="570"/>
        <v>1.8852760617386756E-2</v>
      </c>
      <c r="EG116" s="115">
        <f t="shared" si="570"/>
        <v>1.8852760617386756E-2</v>
      </c>
      <c r="EH116" s="7"/>
      <c r="EI116" s="482"/>
      <c r="EJ116" s="7"/>
    </row>
    <row r="117" spans="1:140" ht="11.25" customHeight="1" x14ac:dyDescent="0.2">
      <c r="A117" s="2"/>
      <c r="B117" s="2"/>
      <c r="C117" s="2"/>
      <c r="D117" s="2"/>
      <c r="E117" s="123"/>
      <c r="F117" s="123"/>
      <c r="G117" s="123"/>
      <c r="H117" s="123"/>
      <c r="I117" s="123"/>
      <c r="J117" s="123"/>
      <c r="K117" s="123"/>
      <c r="L117" s="123"/>
      <c r="M117" s="23"/>
      <c r="N117" s="23"/>
      <c r="O117" s="23"/>
      <c r="P117" s="23"/>
      <c r="Q117" s="123"/>
      <c r="R117" s="123"/>
      <c r="S117" s="23"/>
      <c r="T117" s="23"/>
      <c r="U117" s="23"/>
      <c r="V117" s="23"/>
      <c r="W117" s="123"/>
      <c r="X117" s="123"/>
      <c r="Y117" s="23"/>
      <c r="Z117" s="23"/>
      <c r="AA117" s="23"/>
      <c r="AB117" s="23"/>
      <c r="AC117" s="123"/>
      <c r="AD117" s="123"/>
      <c r="AE117" s="23"/>
      <c r="AF117" s="23"/>
      <c r="AG117" s="23"/>
      <c r="AH117" s="23"/>
      <c r="AI117" s="123"/>
      <c r="AJ117" s="123"/>
      <c r="AK117" s="23"/>
      <c r="AL117" s="23"/>
      <c r="AM117" s="23"/>
      <c r="AN117" s="23"/>
      <c r="AO117" s="123"/>
      <c r="AP117" s="123"/>
      <c r="AQ117" s="23"/>
      <c r="AR117" s="23"/>
      <c r="AS117" s="23"/>
      <c r="AT117" s="23"/>
      <c r="AU117" s="123"/>
      <c r="AV117" s="123"/>
      <c r="AW117" s="23"/>
      <c r="AX117" s="23"/>
      <c r="AY117" s="23"/>
      <c r="AZ117" s="23"/>
      <c r="BA117" s="123"/>
      <c r="BB117" s="123"/>
      <c r="BC117" s="23"/>
      <c r="BD117" s="23"/>
      <c r="BE117" s="23"/>
      <c r="BF117" s="23"/>
      <c r="BG117" s="123"/>
      <c r="BH117" s="123"/>
      <c r="BI117" s="23"/>
      <c r="BJ117" s="23"/>
      <c r="BK117" s="23"/>
      <c r="BL117" s="23"/>
      <c r="BM117" s="123"/>
      <c r="BN117" s="123"/>
      <c r="BO117" s="23"/>
      <c r="BP117" s="23"/>
      <c r="BQ117" s="23"/>
      <c r="BR117" s="23"/>
      <c r="BS117" s="123"/>
      <c r="BT117" s="123"/>
      <c r="BU117" s="23"/>
      <c r="BV117" s="23"/>
      <c r="BW117" s="23"/>
      <c r="BX117" s="23"/>
      <c r="BY117" s="123"/>
      <c r="BZ117" s="123"/>
      <c r="CA117" s="23"/>
      <c r="CB117" s="23"/>
      <c r="CC117" s="23"/>
      <c r="CD117" s="23"/>
      <c r="CE117" s="123"/>
      <c r="CF117" s="123"/>
      <c r="CG117" s="23"/>
      <c r="CH117" s="23"/>
      <c r="CI117" s="23"/>
      <c r="CJ117" s="23"/>
      <c r="CK117" s="123"/>
      <c r="CL117" s="123"/>
      <c r="CM117" s="23"/>
      <c r="CN117" s="23"/>
      <c r="CO117" s="23"/>
      <c r="CP117" s="23"/>
      <c r="CQ117" s="123"/>
      <c r="CR117" s="123"/>
      <c r="CS117" s="23"/>
      <c r="CT117" s="23"/>
      <c r="CU117" s="23"/>
      <c r="CV117" s="23"/>
      <c r="CW117" s="123"/>
      <c r="CX117" s="123"/>
      <c r="CY117" s="23"/>
      <c r="CZ117" s="23"/>
      <c r="DA117" s="23"/>
      <c r="DB117" s="23"/>
      <c r="DC117" s="123"/>
      <c r="DD117" s="123"/>
      <c r="DE117" s="23"/>
      <c r="DF117" s="23"/>
      <c r="DG117" s="23"/>
      <c r="DH117" s="23"/>
      <c r="DI117" s="123"/>
      <c r="DJ117" s="123"/>
      <c r="DK117" s="23"/>
      <c r="DL117" s="23"/>
      <c r="DM117" s="23"/>
      <c r="DN117" s="23"/>
      <c r="DO117" s="123"/>
      <c r="DP117" s="123"/>
      <c r="DQ117" s="23"/>
      <c r="DR117" s="23"/>
      <c r="DS117" s="23"/>
      <c r="DT117" s="23"/>
      <c r="DU117" s="123"/>
      <c r="DV117" s="123"/>
      <c r="DW117" s="23"/>
      <c r="DX117" s="23"/>
      <c r="DY117" s="23"/>
      <c r="DZ117" s="23"/>
      <c r="EA117" s="123"/>
      <c r="EB117" s="123"/>
      <c r="EC117" s="23"/>
      <c r="ED117" s="23"/>
      <c r="EE117" s="23"/>
      <c r="EF117" s="23"/>
      <c r="EG117" s="123"/>
      <c r="EH117" s="9"/>
      <c r="EI117" s="486"/>
      <c r="EJ117" s="24"/>
    </row>
    <row r="118" spans="1:140" ht="11.25" customHeight="1" x14ac:dyDescent="0.2">
      <c r="A118" s="106" t="s">
        <v>99</v>
      </c>
      <c r="B118" s="170"/>
      <c r="C118" s="170"/>
      <c r="D118" s="170"/>
      <c r="E118" s="171"/>
      <c r="F118" s="171"/>
      <c r="G118" s="171"/>
      <c r="H118" s="171"/>
      <c r="I118" s="171"/>
      <c r="J118" s="171"/>
      <c r="K118" s="171"/>
      <c r="L118" s="171"/>
      <c r="M118" s="172"/>
      <c r="N118" s="172"/>
      <c r="O118" s="172"/>
      <c r="P118" s="172"/>
      <c r="Q118" s="171"/>
      <c r="R118" s="171"/>
      <c r="S118" s="172"/>
      <c r="T118" s="172"/>
      <c r="U118" s="172"/>
      <c r="V118" s="172"/>
      <c r="W118" s="171"/>
      <c r="X118" s="171"/>
      <c r="Y118" s="172"/>
      <c r="Z118" s="172"/>
      <c r="AA118" s="172"/>
      <c r="AB118" s="172"/>
      <c r="AC118" s="171"/>
      <c r="AD118" s="171"/>
      <c r="AE118" s="172"/>
      <c r="AF118" s="172"/>
      <c r="AG118" s="172"/>
      <c r="AH118" s="172"/>
      <c r="AI118" s="171"/>
      <c r="AJ118" s="171"/>
      <c r="AK118" s="172"/>
      <c r="AL118" s="172"/>
      <c r="AM118" s="172"/>
      <c r="AN118" s="172"/>
      <c r="AO118" s="171"/>
      <c r="AP118" s="171"/>
      <c r="AQ118" s="172"/>
      <c r="AR118" s="172"/>
      <c r="AS118" s="172"/>
      <c r="AT118" s="172"/>
      <c r="AU118" s="171"/>
      <c r="AV118" s="171"/>
      <c r="AW118" s="172"/>
      <c r="AX118" s="172"/>
      <c r="AY118" s="172"/>
      <c r="AZ118" s="172"/>
      <c r="BA118" s="171"/>
      <c r="BB118" s="171"/>
      <c r="BC118" s="172"/>
      <c r="BD118" s="172"/>
      <c r="BE118" s="172"/>
      <c r="BF118" s="172"/>
      <c r="BG118" s="171"/>
      <c r="BH118" s="171"/>
      <c r="BI118" s="172"/>
      <c r="BJ118" s="172"/>
      <c r="BK118" s="172"/>
      <c r="BL118" s="172"/>
      <c r="BM118" s="171"/>
      <c r="BN118" s="171"/>
      <c r="BO118" s="172"/>
      <c r="BP118" s="172"/>
      <c r="BQ118" s="172"/>
      <c r="BR118" s="172"/>
      <c r="BS118" s="171"/>
      <c r="BT118" s="171"/>
      <c r="BU118" s="172"/>
      <c r="BV118" s="172"/>
      <c r="BW118" s="172"/>
      <c r="BX118" s="172"/>
      <c r="BY118" s="171"/>
      <c r="BZ118" s="171"/>
      <c r="CA118" s="172"/>
      <c r="CB118" s="172"/>
      <c r="CC118" s="172"/>
      <c r="CD118" s="172"/>
      <c r="CE118" s="171"/>
      <c r="CF118" s="171"/>
      <c r="CG118" s="172"/>
      <c r="CH118" s="172"/>
      <c r="CI118" s="172"/>
      <c r="CJ118" s="172"/>
      <c r="CK118" s="171"/>
      <c r="CL118" s="171"/>
      <c r="CM118" s="172"/>
      <c r="CN118" s="172"/>
      <c r="CO118" s="172"/>
      <c r="CP118" s="172"/>
      <c r="CQ118" s="171"/>
      <c r="CR118" s="171"/>
      <c r="CS118" s="172"/>
      <c r="CT118" s="172"/>
      <c r="CU118" s="172"/>
      <c r="CV118" s="172"/>
      <c r="CW118" s="171"/>
      <c r="CX118" s="171"/>
      <c r="CY118" s="172"/>
      <c r="CZ118" s="172"/>
      <c r="DA118" s="172"/>
      <c r="DB118" s="172"/>
      <c r="DC118" s="171"/>
      <c r="DD118" s="171"/>
      <c r="DE118" s="172"/>
      <c r="DF118" s="172"/>
      <c r="DG118" s="172"/>
      <c r="DH118" s="172"/>
      <c r="DI118" s="171"/>
      <c r="DJ118" s="171"/>
      <c r="DK118" s="172"/>
      <c r="DL118" s="172"/>
      <c r="DM118" s="172"/>
      <c r="DN118" s="172"/>
      <c r="DO118" s="171"/>
      <c r="DP118" s="171"/>
      <c r="DQ118" s="172"/>
      <c r="DR118" s="172"/>
      <c r="DS118" s="172"/>
      <c r="DT118" s="172"/>
      <c r="DU118" s="171"/>
      <c r="DV118" s="171"/>
      <c r="DW118" s="172"/>
      <c r="DX118" s="172"/>
      <c r="DY118" s="172"/>
      <c r="DZ118" s="172"/>
      <c r="EA118" s="171"/>
      <c r="EB118" s="171"/>
      <c r="EC118" s="172"/>
      <c r="ED118" s="172"/>
      <c r="EE118" s="172"/>
      <c r="EF118" s="172"/>
      <c r="EG118" s="171"/>
      <c r="EH118" s="6"/>
      <c r="EI118" s="487"/>
      <c r="EJ118" s="6"/>
    </row>
    <row r="119" spans="1:140" ht="11.25" customHeight="1" x14ac:dyDescent="0.2">
      <c r="A119" s="50" t="s">
        <v>171</v>
      </c>
      <c r="B119" s="2"/>
      <c r="C119" s="2"/>
      <c r="D119" s="2"/>
      <c r="E119" s="370">
        <v>2492</v>
      </c>
      <c r="F119" s="126"/>
      <c r="G119" s="370">
        <v>3047.1</v>
      </c>
      <c r="H119" s="126"/>
      <c r="I119" s="370">
        <v>3197.2</v>
      </c>
      <c r="J119" s="126"/>
      <c r="K119" s="370">
        <v>3777.777</v>
      </c>
      <c r="L119" s="126"/>
      <c r="M119" s="368">
        <v>1005.283</v>
      </c>
      <c r="N119" s="369">
        <v>956.64099999999996</v>
      </c>
      <c r="O119" s="369">
        <v>901.58799999999997</v>
      </c>
      <c r="P119" s="369">
        <v>918.93200000000002</v>
      </c>
      <c r="Q119" s="370">
        <v>3782.444</v>
      </c>
      <c r="R119" s="126"/>
      <c r="S119" s="368">
        <v>1004.207</v>
      </c>
      <c r="T119" s="369">
        <v>1146.326</v>
      </c>
      <c r="U119" s="369">
        <v>1151.721</v>
      </c>
      <c r="V119" s="369">
        <v>1274.9780000000001</v>
      </c>
      <c r="W119" s="370">
        <v>4577.232</v>
      </c>
      <c r="X119" s="126"/>
      <c r="Y119" s="368">
        <v>1196.2149999999999</v>
      </c>
      <c r="Z119" s="369">
        <v>1299.432</v>
      </c>
      <c r="AA119" s="369">
        <v>1309.451</v>
      </c>
      <c r="AB119" s="369">
        <v>1488.7780000000002</v>
      </c>
      <c r="AC119" s="370">
        <v>5293.8760000000002</v>
      </c>
      <c r="AD119" s="126"/>
      <c r="AE119" s="368">
        <v>1543.191</v>
      </c>
      <c r="AF119" s="369">
        <v>1621.2449999999999</v>
      </c>
      <c r="AG119" s="369">
        <v>1745.2850000000001</v>
      </c>
      <c r="AH119" s="369">
        <v>1979.6329999999996</v>
      </c>
      <c r="AI119" s="370">
        <v>6889.3539999999994</v>
      </c>
      <c r="AJ119" s="126"/>
      <c r="AK119" s="368">
        <v>1825.9479999999999</v>
      </c>
      <c r="AL119" s="369">
        <v>1928.627</v>
      </c>
      <c r="AM119" s="369">
        <v>1966.375</v>
      </c>
      <c r="AN119" s="369">
        <v>2263.7550000000001</v>
      </c>
      <c r="AO119" s="370">
        <v>7984.7039999999997</v>
      </c>
      <c r="AP119" s="126"/>
      <c r="AQ119" s="368">
        <v>2113.7849999999999</v>
      </c>
      <c r="AR119" s="369">
        <v>2318.3820000000001</v>
      </c>
      <c r="AS119" s="369">
        <v>2408.4949999999999</v>
      </c>
      <c r="AT119" s="369">
        <v>2625.3939999999998</v>
      </c>
      <c r="AU119" s="370">
        <v>9466.0560000000005</v>
      </c>
      <c r="AV119" s="126"/>
      <c r="AW119" s="368">
        <v>2521.7049999999999</v>
      </c>
      <c r="AX119" s="369">
        <v>2631.8850000000002</v>
      </c>
      <c r="AY119" s="369">
        <v>2731.1509999999998</v>
      </c>
      <c r="AZ119" s="369">
        <v>3141.1770000000001</v>
      </c>
      <c r="BA119" s="370">
        <v>11025.918</v>
      </c>
      <c r="BB119" s="126"/>
      <c r="BC119" s="368">
        <v>3028.8739999999998</v>
      </c>
      <c r="BD119" s="369">
        <v>3283.8950000000004</v>
      </c>
      <c r="BE119" s="369">
        <v>3208.181</v>
      </c>
      <c r="BF119" s="369">
        <v>3176.5060000000003</v>
      </c>
      <c r="BG119" s="370">
        <v>12697.456000000002</v>
      </c>
      <c r="BH119" s="126"/>
      <c r="BI119" s="368">
        <v>2627.7</v>
      </c>
      <c r="BJ119" s="369">
        <v>2673.6</v>
      </c>
      <c r="BK119" s="369">
        <v>2750.7000000000003</v>
      </c>
      <c r="BL119" s="369">
        <v>3132.8999999999996</v>
      </c>
      <c r="BM119" s="370">
        <v>11184.9</v>
      </c>
      <c r="BN119" s="126"/>
      <c r="BO119" s="368">
        <v>3007.8000000000006</v>
      </c>
      <c r="BP119" s="369">
        <v>3217.4000000000005</v>
      </c>
      <c r="BQ119" s="369">
        <v>3092.8</v>
      </c>
      <c r="BR119" s="369">
        <v>3507.8</v>
      </c>
      <c r="BS119" s="370">
        <v>12825.800000000001</v>
      </c>
      <c r="BT119" s="126"/>
      <c r="BU119" s="368">
        <v>3278.7</v>
      </c>
      <c r="BV119" s="369">
        <v>3644.7000000000003</v>
      </c>
      <c r="BW119" s="369">
        <v>4451.1000000000004</v>
      </c>
      <c r="BX119" s="369">
        <v>4716.7</v>
      </c>
      <c r="BY119" s="370">
        <v>16091.199999999999</v>
      </c>
      <c r="BZ119" s="126"/>
      <c r="CA119" s="368">
        <v>4316.2</v>
      </c>
      <c r="CB119" s="369">
        <v>4553.5</v>
      </c>
      <c r="CC119" s="369">
        <v>4415.5</v>
      </c>
      <c r="CD119" s="369">
        <v>4975.2</v>
      </c>
      <c r="CE119" s="370">
        <v>18260.399999999998</v>
      </c>
      <c r="CF119" s="126"/>
      <c r="CG119" s="368">
        <v>4444.7</v>
      </c>
      <c r="CH119" s="369">
        <v>4737.5</v>
      </c>
      <c r="CI119" s="369">
        <v>4669.1000000000004</v>
      </c>
      <c r="CJ119" s="369">
        <v>5266.7</v>
      </c>
      <c r="CK119" s="370">
        <v>19118</v>
      </c>
      <c r="CL119" s="126"/>
      <c r="CM119" s="368">
        <v>4439.2</v>
      </c>
      <c r="CN119" s="369">
        <v>4783.5</v>
      </c>
      <c r="CO119" s="369">
        <v>4707.1000000000004</v>
      </c>
      <c r="CP119" s="369">
        <v>5224.2</v>
      </c>
      <c r="CQ119" s="370">
        <v>19154</v>
      </c>
      <c r="CR119" s="126"/>
      <c r="CS119" s="368">
        <f>+'Pro Forma IS'!CS11</f>
        <v>3192.2</v>
      </c>
      <c r="CT119" s="369">
        <f>+'Pro Forma IS'!CT11</f>
        <v>3406.3</v>
      </c>
      <c r="CU119" s="369">
        <f>+'Pro Forma IS'!CU11</f>
        <v>3512.2</v>
      </c>
      <c r="CV119" s="369">
        <f>+'Pro Forma IS'!CV11</f>
        <v>4323</v>
      </c>
      <c r="CW119" s="370">
        <f>+'Pro Forma IS'!CW11</f>
        <v>14433.7</v>
      </c>
      <c r="CX119" s="126"/>
      <c r="CY119" s="368">
        <f>+'Pro Forma IS'!CY11</f>
        <v>3924.1</v>
      </c>
      <c r="CZ119" s="369">
        <f>+'Pro Forma IS'!CZ11</f>
        <v>4241.8999999999996</v>
      </c>
      <c r="DA119" s="369">
        <f>+'Pro Forma IS'!DA11</f>
        <v>4132.1000000000004</v>
      </c>
      <c r="DB119" s="369">
        <f>+'Pro Forma IS'!DB11</f>
        <v>4584.3</v>
      </c>
      <c r="DC119" s="370">
        <f>+'Pro Forma IS'!DC11</f>
        <v>16882.400000000001</v>
      </c>
      <c r="DD119" s="126"/>
      <c r="DE119" s="368">
        <f>+'Pro Forma IS'!DE11</f>
        <v>4205.7</v>
      </c>
      <c r="DF119" s="369">
        <f>+'Pro Forma IS'!DF11</f>
        <v>4510.1000000000004</v>
      </c>
      <c r="DG119" s="369">
        <f>+'Pro Forma IS'!DG11</f>
        <v>4528.2</v>
      </c>
      <c r="DH119" s="369">
        <f>+'Pro Forma IS'!DH11</f>
        <v>5085.7</v>
      </c>
      <c r="DI119" s="370">
        <f>+'Pro Forma IS'!DI11</f>
        <v>18329.7</v>
      </c>
      <c r="DJ119" s="126"/>
      <c r="DK119" s="368">
        <f>+'Pro Forma IS'!DK11</f>
        <v>4695.3999999999996</v>
      </c>
      <c r="DL119" s="369">
        <f>+'Pro Forma IS'!DL11</f>
        <v>4930.1925000000001</v>
      </c>
      <c r="DM119" s="369">
        <f>+'Pro Forma IS'!DM11</f>
        <v>4850.5630000000001</v>
      </c>
      <c r="DN119" s="369">
        <f>+'Pro Forma IS'!DN11</f>
        <v>5438.3014999999996</v>
      </c>
      <c r="DO119" s="370">
        <f>+'Pro Forma IS'!DO11</f>
        <v>19914.456999999999</v>
      </c>
      <c r="DP119" s="126"/>
      <c r="DQ119" s="368">
        <f>+'Pro Forma IS'!DQ11</f>
        <v>4913.6762500000004</v>
      </c>
      <c r="DR119" s="369">
        <f>+'Pro Forma IS'!DR11</f>
        <v>5168.4449199999999</v>
      </c>
      <c r="DS119" s="369">
        <f>+'Pro Forma IS'!DS11</f>
        <v>5041.1305800000009</v>
      </c>
      <c r="DT119" s="369">
        <f>+'Pro Forma IS'!DT11</f>
        <v>5650.8861350000006</v>
      </c>
      <c r="DU119" s="370">
        <f>+'Pro Forma IS'!DU11</f>
        <v>20774.137885000004</v>
      </c>
      <c r="DV119" s="126"/>
      <c r="DW119" s="368">
        <f>+'Pro Forma IS'!DW11</f>
        <v>5123.9233112499996</v>
      </c>
      <c r="DX119" s="369">
        <f>+'Pro Forma IS'!DX11</f>
        <v>5389.6040598500003</v>
      </c>
      <c r="DY119" s="369">
        <f>+'Pro Forma IS'!DY11</f>
        <v>5256.8937671500007</v>
      </c>
      <c r="DZ119" s="369">
        <f>+'Pro Forma IS'!DZ11</f>
        <v>5892.3971533250015</v>
      </c>
      <c r="EA119" s="370">
        <f>+'Pro Forma IS'!EA11</f>
        <v>21662.818291575004</v>
      </c>
      <c r="EB119" s="126"/>
      <c r="EC119" s="368">
        <f>+'Pro Forma IS'!EC11</f>
        <v>5343.3766571562501</v>
      </c>
      <c r="ED119" s="369">
        <f>+'Pro Forma IS'!ED11</f>
        <v>5620.4517111407504</v>
      </c>
      <c r="EE119" s="369">
        <f>+'Pro Forma IS'!EE11</f>
        <v>5482.1094238462501</v>
      </c>
      <c r="EF119" s="369">
        <f>+'Pro Forma IS'!EF11</f>
        <v>6144.4747495411257</v>
      </c>
      <c r="EG119" s="370">
        <f>+'Pro Forma IS'!EG11</f>
        <v>22590.412541684374</v>
      </c>
      <c r="EH119" s="7"/>
      <c r="EI119" s="482"/>
      <c r="EJ119" s="7"/>
    </row>
    <row r="120" spans="1:140" ht="11.25" customHeight="1" x14ac:dyDescent="0.2">
      <c r="A120" s="51" t="s">
        <v>100</v>
      </c>
      <c r="B120" s="2"/>
      <c r="C120" s="2"/>
      <c r="D120" s="2"/>
      <c r="E120" s="158">
        <f>E11/E119</f>
        <v>2.8419341894060993E-2</v>
      </c>
      <c r="F120" s="22"/>
      <c r="G120" s="158">
        <f>G11/G119</f>
        <v>1.5686390338354502E-2</v>
      </c>
      <c r="H120" s="22"/>
      <c r="I120" s="158">
        <f>I11/I119</f>
        <v>8.1409045414737896E-2</v>
      </c>
      <c r="J120" s="22"/>
      <c r="K120" s="158">
        <f>K11/K119</f>
        <v>4.6832833171465652E-2</v>
      </c>
      <c r="L120" s="22"/>
      <c r="M120" s="149">
        <f>M11/M119/4</f>
        <v>0.1664282595050349</v>
      </c>
      <c r="N120" s="22">
        <f>N11/N119/4</f>
        <v>0.17647947349110063</v>
      </c>
      <c r="O120" s="22">
        <f>O11/O119/4</f>
        <v>0.17925759881453615</v>
      </c>
      <c r="P120" s="22">
        <f>P11/P119/4</f>
        <v>0.1922228739449709</v>
      </c>
      <c r="Q120" s="158">
        <f>Q11/Q119</f>
        <v>0.18679959306733954</v>
      </c>
      <c r="R120" s="22"/>
      <c r="S120" s="149">
        <f>S11/S119/4</f>
        <v>0.14226449327678456</v>
      </c>
      <c r="T120" s="22">
        <f>T11/T119/4</f>
        <v>0.15376843062095774</v>
      </c>
      <c r="U120" s="22">
        <f>U11/U119/4</f>
        <v>0.17434300494651048</v>
      </c>
      <c r="V120" s="22">
        <f>V11/V119/4</f>
        <v>0.15891705582370833</v>
      </c>
      <c r="W120" s="158">
        <f>W11/W119</f>
        <v>0.17706399850389928</v>
      </c>
      <c r="X120" s="22"/>
      <c r="Y120" s="149">
        <f>Y11/Y119/4</f>
        <v>0.19052448765481123</v>
      </c>
      <c r="Z120" s="22">
        <f>Z11/Z119/4</f>
        <v>0.20549555498094549</v>
      </c>
      <c r="AA120" s="22">
        <f>AA11/AA119/4</f>
        <v>0.21091415409969522</v>
      </c>
      <c r="AB120" s="22">
        <f>AB11/AB119/4</f>
        <v>0.20657142972290021</v>
      </c>
      <c r="AC120" s="158">
        <f>AC11/AC119</f>
        <v>0.23237340655504585</v>
      </c>
      <c r="AD120" s="22"/>
      <c r="AE120" s="149">
        <f>AE11/AE119/4</f>
        <v>0.10408400515555107</v>
      </c>
      <c r="AF120" s="22">
        <f>AF11/AF119/4</f>
        <v>4.6767299205240427E-2</v>
      </c>
      <c r="AG120" s="22">
        <f>AG11/AG119/4</f>
        <v>7.6149454100619671E-2</v>
      </c>
      <c r="AH120" s="22">
        <f>AH11/AH119/4</f>
        <v>7.6922717493596054E-2</v>
      </c>
      <c r="AI120" s="158">
        <f>AI11/AI119</f>
        <v>8.8413949987183132E-2</v>
      </c>
      <c r="AJ120" s="22"/>
      <c r="AK120" s="149">
        <f>AK11/AK119/4</f>
        <v>9.2153774368163827E-2</v>
      </c>
      <c r="AL120" s="22">
        <f>AL11/AL119/4</f>
        <v>0.10482262770354246</v>
      </c>
      <c r="AM120" s="22">
        <f>AM11/AM119/4</f>
        <v>3.5041764668488969E-2</v>
      </c>
      <c r="AN120" s="22">
        <f>AN11/AN119/4</f>
        <v>3.4848183659450777E-2</v>
      </c>
      <c r="AO120" s="158">
        <f>AO11/AO119</f>
        <v>3.9519436161941632E-2</v>
      </c>
      <c r="AP120" s="22"/>
      <c r="AQ120" s="149">
        <f>AQ11/AQ119/4</f>
        <v>3.0847862956734012E-2</v>
      </c>
      <c r="AR120" s="22">
        <f>AR11/AR119/4</f>
        <v>3.0703848632365159E-2</v>
      </c>
      <c r="AS120" s="22">
        <f>AS11/AS119/4</f>
        <v>2.7398022416488307E-2</v>
      </c>
      <c r="AT120" s="22">
        <f>AT11/AT119/4</f>
        <v>3.0263076703915683E-2</v>
      </c>
      <c r="AU120" s="158">
        <f>AU11/AU119</f>
        <v>3.3573644609750881E-2</v>
      </c>
      <c r="AV120" s="22"/>
      <c r="AW120" s="149">
        <f>AW11/AW119/4</f>
        <v>1.9586351298030498E-2</v>
      </c>
      <c r="AX120" s="22">
        <f>AX11/AX119/4</f>
        <v>1.654185118270745E-2</v>
      </c>
      <c r="AY120" s="22">
        <f>AY11/AY119/4</f>
        <v>1.9156849987422887E-2</v>
      </c>
      <c r="AZ120" s="22">
        <f>AZ11/AZ119/4</f>
        <v>1.9030127878817398E-2</v>
      </c>
      <c r="BA120" s="158">
        <f>BA11/BA119</f>
        <v>2.1685994762522268E-2</v>
      </c>
      <c r="BB120" s="22"/>
      <c r="BC120" s="149">
        <f>BC11/BC119/4</f>
        <v>1.9299168601929297E-2</v>
      </c>
      <c r="BD120" s="22">
        <f>BD11/BD119/4</f>
        <v>2.1628279832333251E-2</v>
      </c>
      <c r="BE120" s="22">
        <f>BE11/BE119/4</f>
        <v>2.2327215951967797E-2</v>
      </c>
      <c r="BF120" s="22">
        <f>BF11/BF119/4</f>
        <v>3.0918720128342268E-2</v>
      </c>
      <c r="BG120" s="158">
        <f>BG11/BG119</f>
        <v>3.0939583488219995E-2</v>
      </c>
      <c r="BH120" s="22"/>
      <c r="BI120" s="149">
        <f>BI11/BI119/4</f>
        <v>9.2851638314876139E-2</v>
      </c>
      <c r="BJ120" s="22">
        <f>BJ11/BJ119/4</f>
        <v>0.11767008901855178</v>
      </c>
      <c r="BK120" s="22">
        <f>BK11/BK119/4</f>
        <v>0.14871041916603045</v>
      </c>
      <c r="BL120" s="22">
        <f>BL11/BL119/4</f>
        <v>0.13740623703278115</v>
      </c>
      <c r="BM120" s="158">
        <f>BM11/BM119</f>
        <v>0.15395041529204553</v>
      </c>
      <c r="BN120" s="22"/>
      <c r="BO120" s="149">
        <f>BO11/BO119/4</f>
        <v>6.7023073342642459E-2</v>
      </c>
      <c r="BP120" s="22">
        <f>BP11/BP119/4</f>
        <v>9.5802200534593124E-2</v>
      </c>
      <c r="BQ120" s="22">
        <f>BQ11/BQ119/4</f>
        <v>0.1321651092860838</v>
      </c>
      <c r="BR120" s="22">
        <f>BR11/BR119/4</f>
        <v>0.1163820628314043</v>
      </c>
      <c r="BS120" s="158">
        <f>BS11/BS119</f>
        <v>0.12731993325952376</v>
      </c>
      <c r="BT120" s="22"/>
      <c r="BU120" s="149">
        <f>BU11/BU119/4</f>
        <v>0.12150844847043035</v>
      </c>
      <c r="BV120" s="22">
        <f>BV11/BV119/4</f>
        <v>3.7834595439953898E-2</v>
      </c>
      <c r="BW120" s="22">
        <f>BW11/BW119/4</f>
        <v>2.7204960571544111E-2</v>
      </c>
      <c r="BX120" s="22">
        <f>BX11/BX119/4</f>
        <v>2.8462749379863039E-2</v>
      </c>
      <c r="BY120" s="158">
        <f>BY11/BY119</f>
        <v>3.3372340161081836E-2</v>
      </c>
      <c r="BZ120" s="22"/>
      <c r="CA120" s="149">
        <f>CA11/CA119/4</f>
        <v>6.0428328159028773E-2</v>
      </c>
      <c r="CB120" s="22">
        <f>CB11/CB119/4</f>
        <v>6.1394531678928298E-2</v>
      </c>
      <c r="CC120" s="22">
        <f>CC11/CC119/4</f>
        <v>8.7268429396444344E-2</v>
      </c>
      <c r="CD120" s="22">
        <f>CD11/CD119/4</f>
        <v>8.4353392828429019E-2</v>
      </c>
      <c r="CE120" s="158">
        <f>CE11/CE119</f>
        <v>9.193117346827015E-2</v>
      </c>
      <c r="CF120" s="22"/>
      <c r="CG120" s="149">
        <f>CG11/CG119/4</f>
        <v>0.12096991922964428</v>
      </c>
      <c r="CH120" s="22">
        <f>CH11/CH119/4</f>
        <v>0.12268601583113457</v>
      </c>
      <c r="CI120" s="22">
        <f>CI11/CI119/4</f>
        <v>0.10685142746996208</v>
      </c>
      <c r="CJ120" s="22">
        <f>CJ11/CJ119/4</f>
        <v>0.14787248181973531</v>
      </c>
      <c r="CK120" s="158">
        <f>CK11/CK119</f>
        <v>0.16294591484464901</v>
      </c>
      <c r="CL120" s="22"/>
      <c r="CM120" s="149">
        <f>CM11/CM119/4</f>
        <v>0.18846301135339702</v>
      </c>
      <c r="CN120" s="22">
        <f>CN11/CN119/4</f>
        <v>0.17357060729591303</v>
      </c>
      <c r="CO120" s="22">
        <f>CO11/CO119/4</f>
        <v>0.21378874466231862</v>
      </c>
      <c r="CP120" s="22">
        <f>CP11/CP119/4</f>
        <v>0.14383063435549942</v>
      </c>
      <c r="CQ120" s="158">
        <f>CQ11/CQ119</f>
        <v>0.15691761511955726</v>
      </c>
      <c r="CR120" s="22"/>
      <c r="CS120" s="149">
        <f>CS11/CS119/4</f>
        <v>0.19665121233005453</v>
      </c>
      <c r="CT120" s="22">
        <f>CT11/CT119/4</f>
        <v>0.24528080321756743</v>
      </c>
      <c r="CU120" s="22">
        <f>CU11/CU119/4</f>
        <v>0.13050936734810092</v>
      </c>
      <c r="CV120" s="22">
        <f>CV11/CV119/4</f>
        <v>4.573213046495489E-2</v>
      </c>
      <c r="CW120" s="158">
        <f>CW11/CW119</f>
        <v>5.47884464828838E-2</v>
      </c>
      <c r="CX120" s="22"/>
      <c r="CY120" s="149">
        <f>CY11/CY119/4</f>
        <v>4.2321806274050099E-2</v>
      </c>
      <c r="CZ120" s="22">
        <f>CZ11/CZ119/4</f>
        <v>0.24149555623659213</v>
      </c>
      <c r="DA120" s="22">
        <f>DA11/DA119/4</f>
        <v>5.8771568935892152E-2</v>
      </c>
      <c r="DB120" s="22">
        <f>DB11/DB119/4</f>
        <v>5.2554370350980519E-2</v>
      </c>
      <c r="DC120" s="158">
        <f>DC11/DC119</f>
        <v>5.7083116144623983E-2</v>
      </c>
      <c r="DD120" s="22"/>
      <c r="DE120" s="149">
        <f>DE11/DE119/4</f>
        <v>4.7786337589461922E-2</v>
      </c>
      <c r="DF120" s="22">
        <f>DF11/DF119/4</f>
        <v>4.0265182590186466E-2</v>
      </c>
      <c r="DG120" s="22">
        <f>DG11/DG119/4</f>
        <v>3.5808930700940773E-2</v>
      </c>
      <c r="DH120" s="22">
        <f>DH11/DH119/4</f>
        <v>3.0983935348132999E-2</v>
      </c>
      <c r="DI120" s="158">
        <f>DI11/DI119</f>
        <v>3.4386814841486764E-2</v>
      </c>
      <c r="DJ120" s="22"/>
      <c r="DK120" s="149">
        <f>DK11/DK119/4</f>
        <v>8.2913288407194904E-2</v>
      </c>
      <c r="DL120" s="22">
        <f>DL11/DL119/4</f>
        <v>0.13347659993509103</v>
      </c>
      <c r="DM120" s="22">
        <f>DM11/DM119/4</f>
        <v>0.17229943443847023</v>
      </c>
      <c r="DN120" s="22">
        <f>DN11/DN119/4</f>
        <v>0.19917967218931185</v>
      </c>
      <c r="DO120" s="158">
        <f>DO11/DO119</f>
        <v>0.21757040325762192</v>
      </c>
      <c r="DP120" s="22"/>
      <c r="DQ120" s="149">
        <f>DQ11/DQ119/4</f>
        <v>0.2683863005858339</v>
      </c>
      <c r="DR120" s="22">
        <f>DR11/DR119/4</f>
        <v>0.31161832431020892</v>
      </c>
      <c r="DS120" s="22">
        <f>DS11/DS119/4</f>
        <v>0.35741922371693458</v>
      </c>
      <c r="DT120" s="22">
        <f>DT11/DT119/4</f>
        <v>0.36569295812123137</v>
      </c>
      <c r="DU120" s="158">
        <f>DU11/DU119</f>
        <v>0.39789651501379775</v>
      </c>
      <c r="DV120" s="22"/>
      <c r="DW120" s="149">
        <f>DW11/DW119/4</f>
        <v>0.45908184475618891</v>
      </c>
      <c r="DX120" s="22">
        <f>DX11/DX119/4</f>
        <v>0.49468850899312228</v>
      </c>
      <c r="DY120" s="22">
        <f>DY11/DY119/4</f>
        <v>0.54617250432866615</v>
      </c>
      <c r="DZ120" s="22">
        <f>DZ11/DZ119/4</f>
        <v>0.54230865705920639</v>
      </c>
      <c r="EA120" s="158">
        <f>EA11/EA119</f>
        <v>0.5900428917546614</v>
      </c>
      <c r="EB120" s="22"/>
      <c r="EC120" s="149">
        <f t="shared" ref="EC120:EF120" si="571">EC11/EC119/4</f>
        <v>0.66173055761624822</v>
      </c>
      <c r="ED120" s="22">
        <f t="shared" si="571"/>
        <v>0.6970299582265953</v>
      </c>
      <c r="EE120" s="22">
        <f t="shared" si="571"/>
        <v>0.76366769987542393</v>
      </c>
      <c r="EF120" s="22">
        <f t="shared" si="571"/>
        <v>0.74085107880005585</v>
      </c>
      <c r="EG120" s="158">
        <f t="shared" ref="EG120" si="572">EG11/EG119</f>
        <v>0.80603056512713545</v>
      </c>
      <c r="EH120" s="9"/>
      <c r="EI120" s="486"/>
      <c r="EJ120" s="7"/>
    </row>
    <row r="121" spans="1:140" ht="11.25" customHeight="1" x14ac:dyDescent="0.2">
      <c r="A121" s="51" t="s">
        <v>101</v>
      </c>
      <c r="B121" s="2"/>
      <c r="C121" s="2"/>
      <c r="D121" s="2"/>
      <c r="E121" s="158">
        <f>E12/E119</f>
        <v>0</v>
      </c>
      <c r="F121" s="22"/>
      <c r="G121" s="158">
        <f>G12/G119</f>
        <v>0</v>
      </c>
      <c r="H121" s="22"/>
      <c r="I121" s="158">
        <f>I12/I119</f>
        <v>0</v>
      </c>
      <c r="J121" s="22"/>
      <c r="K121" s="158">
        <f>K12/K119</f>
        <v>0</v>
      </c>
      <c r="L121" s="22"/>
      <c r="M121" s="149">
        <f>M12/M119/4</f>
        <v>0</v>
      </c>
      <c r="N121" s="22">
        <f>N12/N119/4</f>
        <v>0</v>
      </c>
      <c r="O121" s="22">
        <f>O12/O119/4</f>
        <v>0</v>
      </c>
      <c r="P121" s="22">
        <f>P12/P119/4</f>
        <v>0</v>
      </c>
      <c r="Q121" s="158">
        <f>Q12/Q119</f>
        <v>0</v>
      </c>
      <c r="R121" s="22"/>
      <c r="S121" s="149">
        <f>S12/S119/4</f>
        <v>0</v>
      </c>
      <c r="T121" s="22">
        <f>T12/T119/4</f>
        <v>0</v>
      </c>
      <c r="U121" s="22">
        <f>U12/U119/4</f>
        <v>0</v>
      </c>
      <c r="V121" s="22">
        <f>V12/V119/4</f>
        <v>0</v>
      </c>
      <c r="W121" s="158">
        <f>W12/W119</f>
        <v>0</v>
      </c>
      <c r="X121" s="22"/>
      <c r="Y121" s="149">
        <f>Y12/Y119/4</f>
        <v>0</v>
      </c>
      <c r="Z121" s="22">
        <f>Z12/Z119/4</f>
        <v>0</v>
      </c>
      <c r="AA121" s="22">
        <f>AA12/AA119/4</f>
        <v>0</v>
      </c>
      <c r="AB121" s="22">
        <f>AB12/AB119/4</f>
        <v>0</v>
      </c>
      <c r="AC121" s="158">
        <f>AC12/AC119</f>
        <v>0</v>
      </c>
      <c r="AD121" s="22"/>
      <c r="AE121" s="149">
        <f>AE12/AE119/4</f>
        <v>0</v>
      </c>
      <c r="AF121" s="22">
        <f>AF12/AF119/4</f>
        <v>0</v>
      </c>
      <c r="AG121" s="22">
        <f>AG12/AG119/4</f>
        <v>0</v>
      </c>
      <c r="AH121" s="22">
        <f>AH12/AH119/4</f>
        <v>0</v>
      </c>
      <c r="AI121" s="158">
        <f>AI12/AI119</f>
        <v>0</v>
      </c>
      <c r="AJ121" s="22"/>
      <c r="AK121" s="149">
        <f>AK12/AK119/4</f>
        <v>0</v>
      </c>
      <c r="AL121" s="22">
        <f>AL12/AL119/4</f>
        <v>0</v>
      </c>
      <c r="AM121" s="22">
        <f>AM12/AM119/4</f>
        <v>0</v>
      </c>
      <c r="AN121" s="22">
        <f>AN12/AN119/4</f>
        <v>0</v>
      </c>
      <c r="AO121" s="158">
        <f>AO12/AO119</f>
        <v>0</v>
      </c>
      <c r="AP121" s="22"/>
      <c r="AQ121" s="149">
        <f>AQ12/AQ119/4</f>
        <v>0</v>
      </c>
      <c r="AR121" s="22">
        <f>AR12/AR119/4</f>
        <v>0</v>
      </c>
      <c r="AS121" s="22">
        <f>AS12/AS119/4</f>
        <v>0</v>
      </c>
      <c r="AT121" s="22">
        <f>AT12/AT119/4</f>
        <v>0</v>
      </c>
      <c r="AU121" s="158">
        <f>AU12/AU119</f>
        <v>0</v>
      </c>
      <c r="AV121" s="22"/>
      <c r="AW121" s="149">
        <f>AW12/AW119/4</f>
        <v>0</v>
      </c>
      <c r="AX121" s="22">
        <f>AX12/AX119/4</f>
        <v>0</v>
      </c>
      <c r="AY121" s="22">
        <f>AY12/AY119/4</f>
        <v>0</v>
      </c>
      <c r="AZ121" s="22">
        <f>AZ12/AZ119/4</f>
        <v>0</v>
      </c>
      <c r="BA121" s="158">
        <f>BA12/BA119</f>
        <v>0</v>
      </c>
      <c r="BB121" s="22"/>
      <c r="BC121" s="149">
        <f>BC12/BC119/4</f>
        <v>0</v>
      </c>
      <c r="BD121" s="22">
        <f>BD12/BD119/4</f>
        <v>0</v>
      </c>
      <c r="BE121" s="22">
        <f>BE12/BE119/4</f>
        <v>0</v>
      </c>
      <c r="BF121" s="22">
        <f>BF12/BF119/4</f>
        <v>0</v>
      </c>
      <c r="BG121" s="158">
        <f>BG12/BG119</f>
        <v>0</v>
      </c>
      <c r="BH121" s="22"/>
      <c r="BI121" s="149">
        <f>BI12/BI119/4</f>
        <v>0</v>
      </c>
      <c r="BJ121" s="22">
        <f>BJ12/BJ119/4</f>
        <v>0</v>
      </c>
      <c r="BK121" s="22">
        <f>BK12/BK119/4</f>
        <v>0</v>
      </c>
      <c r="BL121" s="22">
        <f>BL12/BL119/4</f>
        <v>0</v>
      </c>
      <c r="BM121" s="158">
        <f>BM12/BM119</f>
        <v>0</v>
      </c>
      <c r="BN121" s="22"/>
      <c r="BO121" s="149">
        <f>BO12/BO119/4</f>
        <v>0</v>
      </c>
      <c r="BP121" s="22">
        <f>BP12/BP119/4</f>
        <v>0</v>
      </c>
      <c r="BQ121" s="22">
        <f>BQ12/BQ119/4</f>
        <v>0</v>
      </c>
      <c r="BR121" s="22">
        <f>BR12/BR119/4</f>
        <v>0</v>
      </c>
      <c r="BS121" s="158">
        <f>BS12/BS119</f>
        <v>0</v>
      </c>
      <c r="BT121" s="22"/>
      <c r="BU121" s="149">
        <f>BU12/BU119/4</f>
        <v>0</v>
      </c>
      <c r="BV121" s="22">
        <f>BV12/BV119/4</f>
        <v>0</v>
      </c>
      <c r="BW121" s="22">
        <f>BW12/BW119/4</f>
        <v>0</v>
      </c>
      <c r="BX121" s="22">
        <f>BX12/BX119/4</f>
        <v>0</v>
      </c>
      <c r="BY121" s="158">
        <f>BY12/BY119</f>
        <v>0</v>
      </c>
      <c r="BZ121" s="22"/>
      <c r="CA121" s="149">
        <f>CA12/CA119/4</f>
        <v>0</v>
      </c>
      <c r="CB121" s="22">
        <f>CB12/CB119/4</f>
        <v>0</v>
      </c>
      <c r="CC121" s="22">
        <f>CC12/CC119/4</f>
        <v>0</v>
      </c>
      <c r="CD121" s="22">
        <f>CD12/CD119/4</f>
        <v>0</v>
      </c>
      <c r="CE121" s="158">
        <f>CE12/CE119</f>
        <v>0</v>
      </c>
      <c r="CF121" s="22"/>
      <c r="CG121" s="149">
        <f>CG12/CG119/4</f>
        <v>0</v>
      </c>
      <c r="CH121" s="22">
        <f>CH12/CH119/4</f>
        <v>0</v>
      </c>
      <c r="CI121" s="22">
        <f>CI12/CI119/4</f>
        <v>0</v>
      </c>
      <c r="CJ121" s="22">
        <f>CJ12/CJ119/4</f>
        <v>0</v>
      </c>
      <c r="CK121" s="158">
        <f>CK12/CK119</f>
        <v>0</v>
      </c>
      <c r="CL121" s="22"/>
      <c r="CM121" s="149">
        <f>CM12/CM119/4</f>
        <v>0</v>
      </c>
      <c r="CN121" s="22">
        <f>CN12/CN119/4</f>
        <v>0</v>
      </c>
      <c r="CO121" s="22">
        <f>CO12/CO119/4</f>
        <v>0</v>
      </c>
      <c r="CP121" s="22">
        <f>CP12/CP119/4</f>
        <v>0</v>
      </c>
      <c r="CQ121" s="158">
        <f>CQ12/CQ119</f>
        <v>0</v>
      </c>
      <c r="CR121" s="22"/>
      <c r="CS121" s="149">
        <f>CS12/CS119/4</f>
        <v>0</v>
      </c>
      <c r="CT121" s="22">
        <f>CT12/CT119/4</f>
        <v>0</v>
      </c>
      <c r="CU121" s="22">
        <f>CU12/CU119/4</f>
        <v>0</v>
      </c>
      <c r="CV121" s="22">
        <f>CV12/CV119/4</f>
        <v>0</v>
      </c>
      <c r="CW121" s="158">
        <f>CW12/CW119</f>
        <v>0</v>
      </c>
      <c r="CX121" s="22"/>
      <c r="CY121" s="149">
        <f>CY12/CY119/4</f>
        <v>0</v>
      </c>
      <c r="CZ121" s="22">
        <f>CZ12/CZ119/4</f>
        <v>0</v>
      </c>
      <c r="DA121" s="22">
        <f>DA12/DA119/4</f>
        <v>0</v>
      </c>
      <c r="DB121" s="22">
        <f>DB12/DB119/4</f>
        <v>0</v>
      </c>
      <c r="DC121" s="158">
        <f>DC12/DC119</f>
        <v>0</v>
      </c>
      <c r="DD121" s="22"/>
      <c r="DE121" s="149">
        <f>DE12/DE119/4</f>
        <v>0</v>
      </c>
      <c r="DF121" s="22">
        <f>DF12/DF119/4</f>
        <v>0</v>
      </c>
      <c r="DG121" s="22">
        <f>DG12/DG119/4</f>
        <v>0</v>
      </c>
      <c r="DH121" s="22">
        <f>DH12/DH119/4</f>
        <v>0</v>
      </c>
      <c r="DI121" s="158">
        <f>DI12/DI119</f>
        <v>0</v>
      </c>
      <c r="DJ121" s="22"/>
      <c r="DK121" s="149">
        <f>DE121</f>
        <v>0</v>
      </c>
      <c r="DL121" s="22">
        <f>DF121</f>
        <v>0</v>
      </c>
      <c r="DM121" s="22">
        <f>DG121</f>
        <v>0</v>
      </c>
      <c r="DN121" s="22">
        <f>DH121</f>
        <v>0</v>
      </c>
      <c r="DO121" s="158">
        <f>DO12/DO119</f>
        <v>0</v>
      </c>
      <c r="DP121" s="22"/>
      <c r="DQ121" s="149">
        <f>DK121</f>
        <v>0</v>
      </c>
      <c r="DR121" s="22">
        <f>DL121</f>
        <v>0</v>
      </c>
      <c r="DS121" s="22">
        <f>DM121</f>
        <v>0</v>
      </c>
      <c r="DT121" s="22">
        <f>DN121</f>
        <v>0</v>
      </c>
      <c r="DU121" s="158">
        <f>DU12/DU119</f>
        <v>0</v>
      </c>
      <c r="DV121" s="22"/>
      <c r="DW121" s="149">
        <f>DQ121</f>
        <v>0</v>
      </c>
      <c r="DX121" s="22">
        <f>DR121</f>
        <v>0</v>
      </c>
      <c r="DY121" s="22">
        <f>DS121</f>
        <v>0</v>
      </c>
      <c r="DZ121" s="22">
        <f>DT121</f>
        <v>0</v>
      </c>
      <c r="EA121" s="158">
        <f>EA12/EA119</f>
        <v>0</v>
      </c>
      <c r="EB121" s="22"/>
      <c r="EC121" s="149">
        <f t="shared" ref="EC121:EF121" si="573">DW121</f>
        <v>0</v>
      </c>
      <c r="ED121" s="22">
        <f t="shared" si="573"/>
        <v>0</v>
      </c>
      <c r="EE121" s="22">
        <f t="shared" si="573"/>
        <v>0</v>
      </c>
      <c r="EF121" s="22">
        <f t="shared" si="573"/>
        <v>0</v>
      </c>
      <c r="EG121" s="158">
        <f t="shared" ref="EG121" si="574">EG12/EG119</f>
        <v>0</v>
      </c>
      <c r="EH121" s="9"/>
      <c r="EI121" s="486"/>
      <c r="EJ121" s="7"/>
    </row>
    <row r="122" spans="1:140" ht="11.25" customHeight="1" x14ac:dyDescent="0.2">
      <c r="A122" s="51" t="s">
        <v>102</v>
      </c>
      <c r="B122" s="2"/>
      <c r="C122" s="2"/>
      <c r="D122" s="2"/>
      <c r="E122" s="158">
        <f>E13/E119</f>
        <v>0.16206179775280899</v>
      </c>
      <c r="F122" s="22"/>
      <c r="G122" s="158">
        <f>G13/G119</f>
        <v>0.15934593547963638</v>
      </c>
      <c r="H122" s="22"/>
      <c r="I122" s="158">
        <f>I13/I119</f>
        <v>0.17037970724383839</v>
      </c>
      <c r="J122" s="22"/>
      <c r="K122" s="158">
        <f>K13/K119</f>
        <v>0.18640962661374666</v>
      </c>
      <c r="L122" s="22"/>
      <c r="M122" s="149">
        <f>M13/M119/4</f>
        <v>0.16109244859407748</v>
      </c>
      <c r="N122" s="22">
        <f>N13/N119/4</f>
        <v>0.16602231139999227</v>
      </c>
      <c r="O122" s="22">
        <f>O13/O119/4</f>
        <v>0.17547122410679825</v>
      </c>
      <c r="P122" s="22">
        <f>P13/P119/4</f>
        <v>0.15923865966143305</v>
      </c>
      <c r="Q122" s="158">
        <f>Q13/Q119</f>
        <v>0.15474597905481219</v>
      </c>
      <c r="R122" s="22"/>
      <c r="S122" s="149">
        <f>S13/S119/4</f>
        <v>0.17954689620765438</v>
      </c>
      <c r="T122" s="22">
        <f>T13/T119/4</f>
        <v>0.16278200965519407</v>
      </c>
      <c r="U122" s="22">
        <f>U13/U119/4</f>
        <v>0.16432061237053069</v>
      </c>
      <c r="V122" s="22">
        <f>V13/V119/4</f>
        <v>0.14883158768229726</v>
      </c>
      <c r="W122" s="158">
        <f>W13/W119</f>
        <v>0.16582685780401779</v>
      </c>
      <c r="X122" s="22"/>
      <c r="Y122" s="149">
        <f>Y13/Y119/4</f>
        <v>0.16099509703523199</v>
      </c>
      <c r="Z122" s="22">
        <f>Z13/Z119/4</f>
        <v>0.1508470624088063</v>
      </c>
      <c r="AA122" s="22">
        <f>AA13/AA119/4</f>
        <v>0.1597207532011507</v>
      </c>
      <c r="AB122" s="22">
        <f>AB13/AB119/4</f>
        <v>0.14577341282582088</v>
      </c>
      <c r="AC122" s="158">
        <f>AC13/AC119</f>
        <v>0.16398136261597362</v>
      </c>
      <c r="AD122" s="22"/>
      <c r="AE122" s="149">
        <f>AE13/AE119/4</f>
        <v>0.15417096781927836</v>
      </c>
      <c r="AF122" s="22">
        <f>AF13/AF119/4</f>
        <v>0.16870198520273</v>
      </c>
      <c r="AG122" s="22">
        <f>AG13/AG119/4</f>
        <v>0.15904007081937904</v>
      </c>
      <c r="AH122" s="22">
        <f>AH13/AH119/4</f>
        <v>0.15546631623134191</v>
      </c>
      <c r="AI122" s="158">
        <f>AI13/AI119</f>
        <v>0.17869091935179993</v>
      </c>
      <c r="AJ122" s="22"/>
      <c r="AK122" s="149">
        <f>AK13/AK119/4</f>
        <v>0.15946127710099084</v>
      </c>
      <c r="AL122" s="22">
        <f>AL13/AL119/4</f>
        <v>0.15251549418316762</v>
      </c>
      <c r="AM122" s="22">
        <f>AM13/AM119/4</f>
        <v>0.17345623291589854</v>
      </c>
      <c r="AN122" s="22">
        <f>AN13/AN119/4</f>
        <v>0.15547817674615846</v>
      </c>
      <c r="AO122" s="158">
        <f>AO13/AO119</f>
        <v>0.17631937264048861</v>
      </c>
      <c r="AP122" s="22"/>
      <c r="AQ122" s="149">
        <f>AQ13/AQ119/4</f>
        <v>0.16422661245112441</v>
      </c>
      <c r="AR122" s="22">
        <f>AR13/AR119/4</f>
        <v>0.16836321624305225</v>
      </c>
      <c r="AS122" s="22">
        <f>AS13/AS119/4</f>
        <v>0.16561992032368761</v>
      </c>
      <c r="AT122" s="22">
        <f>AT13/AT119/4</f>
        <v>0.1594970126388649</v>
      </c>
      <c r="AU122" s="158">
        <f>AU13/AU119</f>
        <v>0.17694486489410161</v>
      </c>
      <c r="AV122" s="22"/>
      <c r="AW122" s="149">
        <f>AW13/AW119/4</f>
        <v>0.16683890463000234</v>
      </c>
      <c r="AX122" s="22">
        <f>AX13/AX119/4</f>
        <v>0.16453853416847619</v>
      </c>
      <c r="AY122" s="22">
        <f>AY13/AY119/4</f>
        <v>0.16721054602986068</v>
      </c>
      <c r="AZ122" s="22">
        <f>AZ13/AZ119/4</f>
        <v>0.15793315690265144</v>
      </c>
      <c r="BA122" s="158">
        <f>BA13/BA119</f>
        <v>0.17997449282681044</v>
      </c>
      <c r="BB122" s="22"/>
      <c r="BC122" s="149">
        <f>BC13/BC119/4</f>
        <v>0.17329113063138316</v>
      </c>
      <c r="BD122" s="22">
        <f>BD13/BD119/4</f>
        <v>0.15943848691873519</v>
      </c>
      <c r="BE122" s="22">
        <f>BE13/BE119/4</f>
        <v>0.1637060845382477</v>
      </c>
      <c r="BF122" s="22">
        <f>BF13/BF119/4</f>
        <v>0.14910919419009439</v>
      </c>
      <c r="BG122" s="158">
        <f>BG13/BG119</f>
        <v>0.14920981021710172</v>
      </c>
      <c r="BH122" s="22"/>
      <c r="BI122" s="149">
        <f>BI13/BI119/4</f>
        <v>0.16241703771358984</v>
      </c>
      <c r="BJ122" s="22">
        <f>BJ13/BJ119/4</f>
        <v>0.16364770347097546</v>
      </c>
      <c r="BK122" s="22">
        <f>BK13/BK119/4</f>
        <v>0.16688979168938814</v>
      </c>
      <c r="BL122" s="22">
        <f>BL13/BL119/4</f>
        <v>0.15295979763158735</v>
      </c>
      <c r="BM122" s="158">
        <f>BM13/BM119</f>
        <v>0.1713766774848233</v>
      </c>
      <c r="BN122" s="22"/>
      <c r="BO122" s="149">
        <f>BO13/BO119/4</f>
        <v>0.16468939091694923</v>
      </c>
      <c r="BP122" s="22">
        <f>BP13/BP119/4</f>
        <v>0.15742354074718715</v>
      </c>
      <c r="BQ122" s="22">
        <f>BQ13/BQ119/4</f>
        <v>0.16430588786859804</v>
      </c>
      <c r="BR122" s="22">
        <f>BR13/BR119/4</f>
        <v>0.15814577512971092</v>
      </c>
      <c r="BS122" s="158">
        <f>BS13/BS119</f>
        <v>0.17300870121162032</v>
      </c>
      <c r="BT122" s="22"/>
      <c r="BU122" s="149">
        <f>BU13/BU119/4</f>
        <v>0.16852899014853451</v>
      </c>
      <c r="BV122" s="22">
        <f>BV13/BV119/4</f>
        <v>0.21259760748484099</v>
      </c>
      <c r="BW122" s="22">
        <f>BW13/BW119/4</f>
        <v>0.16890161982431307</v>
      </c>
      <c r="BX122" s="22">
        <f>BX13/BX119/4</f>
        <v>0.16165406958254713</v>
      </c>
      <c r="BY122" s="158">
        <f>BY13/BY119</f>
        <v>0.18953807049816049</v>
      </c>
      <c r="BZ122" s="22"/>
      <c r="CA122" s="149">
        <f>CA13/CA119/4</f>
        <v>0.17355874380241879</v>
      </c>
      <c r="CB122" s="22">
        <f>CB13/CB119/4</f>
        <v>0.16988305698912923</v>
      </c>
      <c r="CC122" s="22">
        <f>CC13/CC119/4</f>
        <v>0.16899150719057865</v>
      </c>
      <c r="CD122" s="22">
        <f>CD13/CD119/4</f>
        <v>0.164179329474192</v>
      </c>
      <c r="CE122" s="158">
        <f>CE13/CE119</f>
        <v>0.17892817243871989</v>
      </c>
      <c r="CF122" s="22"/>
      <c r="CG122" s="149">
        <f>CG13/CG119/4</f>
        <v>0.17539428982833488</v>
      </c>
      <c r="CH122" s="22">
        <f>CH13/CH119/4</f>
        <v>0.17316094986807387</v>
      </c>
      <c r="CI122" s="22">
        <f>CI13/CI119/4</f>
        <v>0.1805861943415219</v>
      </c>
      <c r="CJ122" s="22">
        <f>CJ13/CJ119/4</f>
        <v>0.16384073518522035</v>
      </c>
      <c r="CK122" s="158">
        <f>CK13/CK119</f>
        <v>0.18054189768804269</v>
      </c>
      <c r="CL122" s="22"/>
      <c r="CM122" s="149">
        <f>CM13/CM119/4</f>
        <v>0.19528293386195711</v>
      </c>
      <c r="CN122" s="22">
        <f>CN13/CN119/4</f>
        <v>0.18980871746629038</v>
      </c>
      <c r="CO122" s="22">
        <f>CO13/CO119/4</f>
        <v>0.1857884897282828</v>
      </c>
      <c r="CP122" s="22">
        <f>CP13/CP119/4</f>
        <v>0.17389265342061944</v>
      </c>
      <c r="CQ122" s="158">
        <f>CQ13/CQ119</f>
        <v>0.18971494204865824</v>
      </c>
      <c r="CR122" s="22"/>
      <c r="CS122" s="149">
        <f>CS13/CS119/4</f>
        <v>0.26994705845498407</v>
      </c>
      <c r="CT122" s="22">
        <f>CT13/CT119/4</f>
        <v>0.26166221413263657</v>
      </c>
      <c r="CU122" s="22">
        <f>CU13/CU119/4</f>
        <v>0.27803798189169182</v>
      </c>
      <c r="CV122" s="22">
        <f>CV13/CV119/4</f>
        <v>0.22924473745084431</v>
      </c>
      <c r="CW122" s="158">
        <f>CW13/CW119</f>
        <v>0.2746419836909455</v>
      </c>
      <c r="CX122" s="22"/>
      <c r="CY122" s="149">
        <f>CY13/CY119/4</f>
        <v>0.24662980046380062</v>
      </c>
      <c r="CZ122" s="22">
        <f>CZ13/CZ119/4</f>
        <v>0.23543695042315946</v>
      </c>
      <c r="DA122" s="22">
        <f>DA13/DA119/4</f>
        <v>0.18645482926357057</v>
      </c>
      <c r="DB122" s="22">
        <f>DB13/DB119/4</f>
        <v>0.17375062714045764</v>
      </c>
      <c r="DC122" s="158">
        <f>DC13/DC119</f>
        <v>0.18872316732218167</v>
      </c>
      <c r="DD122" s="22"/>
      <c r="DE122" s="149">
        <f>DE13/DE119/4</f>
        <v>0.1804039755569822</v>
      </c>
      <c r="DF122" s="22">
        <f>DF13/DF119/4</f>
        <v>0.17820003991042327</v>
      </c>
      <c r="DG122" s="22">
        <f>DG13/DG119/4</f>
        <v>0.17968508458106974</v>
      </c>
      <c r="DH122" s="22">
        <f>DH13/DH119/4</f>
        <v>0.17312267731089134</v>
      </c>
      <c r="DI122" s="158">
        <f>DI13/DI119</f>
        <v>0.19213625973147405</v>
      </c>
      <c r="DJ122" s="22"/>
      <c r="DK122" s="365">
        <v>0.17</v>
      </c>
      <c r="DL122" s="341">
        <f>+DK122</f>
        <v>0.17</v>
      </c>
      <c r="DM122" s="341">
        <f t="shared" ref="DM122:DN122" si="575">+DL122</f>
        <v>0.17</v>
      </c>
      <c r="DN122" s="341">
        <f t="shared" si="575"/>
        <v>0.17</v>
      </c>
      <c r="DO122" s="158">
        <f>DO13/DO119</f>
        <v>0.18569650279693795</v>
      </c>
      <c r="DP122" s="22"/>
      <c r="DQ122" s="365">
        <f>+DK122-0.0025</f>
        <v>0.16750000000000001</v>
      </c>
      <c r="DR122" s="341">
        <f>+DQ122</f>
        <v>0.16750000000000001</v>
      </c>
      <c r="DS122" s="341">
        <f t="shared" ref="DS122:DT122" si="576">+DR122</f>
        <v>0.16750000000000001</v>
      </c>
      <c r="DT122" s="341">
        <f t="shared" si="576"/>
        <v>0.16750000000000001</v>
      </c>
      <c r="DU122" s="158">
        <f>DU13/DU119</f>
        <v>0.18225034085211089</v>
      </c>
      <c r="DV122" s="22"/>
      <c r="DW122" s="365">
        <f>+DQ122-0.0025</f>
        <v>0.16500000000000001</v>
      </c>
      <c r="DX122" s="341">
        <f>+DW122</f>
        <v>0.16500000000000001</v>
      </c>
      <c r="DY122" s="341">
        <f t="shared" ref="DY122:DY123" si="577">+DX122</f>
        <v>0.16500000000000001</v>
      </c>
      <c r="DZ122" s="341">
        <f t="shared" ref="DZ122:DZ123" si="578">+DY122</f>
        <v>0.16500000000000001</v>
      </c>
      <c r="EA122" s="158">
        <f>EA13/EA119</f>
        <v>0.17952336897489396</v>
      </c>
      <c r="EB122" s="22"/>
      <c r="EC122" s="365">
        <f t="shared" ref="EC122" si="579">+DW122-0.0025</f>
        <v>0.16250000000000001</v>
      </c>
      <c r="ED122" s="341">
        <f t="shared" ref="ED122:ED123" si="580">+EC122</f>
        <v>0.16250000000000001</v>
      </c>
      <c r="EE122" s="341">
        <f t="shared" ref="EE122:EE123" si="581">+ED122</f>
        <v>0.16250000000000001</v>
      </c>
      <c r="EF122" s="341">
        <f t="shared" ref="EF122:EF123" si="582">+EE122</f>
        <v>0.16250000000000001</v>
      </c>
      <c r="EG122" s="158">
        <f t="shared" ref="EG122" si="583">EG13/EG119</f>
        <v>0.17679662024020479</v>
      </c>
      <c r="EH122" s="9"/>
      <c r="EI122" s="486"/>
      <c r="EJ122" s="7"/>
    </row>
    <row r="123" spans="1:140" ht="11.25" customHeight="1" x14ac:dyDescent="0.2">
      <c r="A123" s="51" t="s">
        <v>13</v>
      </c>
      <c r="B123" s="2"/>
      <c r="C123" s="2"/>
      <c r="D123" s="2"/>
      <c r="E123" s="158">
        <f>E16/E119</f>
        <v>3.7019261637239162E-2</v>
      </c>
      <c r="F123" s="22"/>
      <c r="G123" s="158">
        <f>G16/G119</f>
        <v>1.9977683699255032E-2</v>
      </c>
      <c r="H123" s="22"/>
      <c r="I123" s="158">
        <f>I16/I119</f>
        <v>2.2652633554360067E-2</v>
      </c>
      <c r="J123" s="22"/>
      <c r="K123" s="158">
        <f>K16/K119</f>
        <v>3.5088889577124326E-2</v>
      </c>
      <c r="L123" s="22"/>
      <c r="M123" s="149">
        <f>M16/M119/4</f>
        <v>2.3147959330855093E-2</v>
      </c>
      <c r="N123" s="22">
        <f>N16/N119/4</f>
        <v>3.2189191138577586E-2</v>
      </c>
      <c r="O123" s="22">
        <f>O16/O119/4</f>
        <v>3.5486829904568383E-2</v>
      </c>
      <c r="P123" s="22">
        <f>P16/P119/4</f>
        <v>4.7474133015282964E-2</v>
      </c>
      <c r="Q123" s="158">
        <f>Q16/Q119</f>
        <v>4.6134721360051867E-2</v>
      </c>
      <c r="R123" s="22"/>
      <c r="S123" s="149">
        <f>S16/S119/4</f>
        <v>3.8371321848981337E-2</v>
      </c>
      <c r="T123" s="22">
        <f>T16/T119/4</f>
        <v>4.4183330047473407E-2</v>
      </c>
      <c r="U123" s="22">
        <f>U16/U119/4</f>
        <v>4.340547754186995E-2</v>
      </c>
      <c r="V123" s="22">
        <f>V16/V119/4</f>
        <v>6.5136025876524922E-2</v>
      </c>
      <c r="W123" s="158">
        <f>W16/W119</f>
        <v>7.2573992316753877E-2</v>
      </c>
      <c r="X123" s="22"/>
      <c r="Y123" s="149">
        <f>Y16/Y119/4</f>
        <v>6.4384328904084964E-2</v>
      </c>
      <c r="Z123" s="22">
        <f>Z16/Z119/4</f>
        <v>5.5784758263610561E-2</v>
      </c>
      <c r="AA123" s="22">
        <f>AA16/AA119/4</f>
        <v>5.7143413537429043E-2</v>
      </c>
      <c r="AB123" s="22">
        <f>AB16/AB119/4</f>
        <v>5.1665023260687615E-2</v>
      </c>
      <c r="AC123" s="158">
        <f>AC16/AC119</f>
        <v>5.8118286110214891E-2</v>
      </c>
      <c r="AD123" s="22"/>
      <c r="AE123" s="149">
        <f>AE16/AE119/4</f>
        <v>4.8213733750391237E-2</v>
      </c>
      <c r="AF123" s="22">
        <f>AF16/AF119/4</f>
        <v>4.3265206677584205E-2</v>
      </c>
      <c r="AG123" s="22">
        <f>AG16/AG119/4</f>
        <v>3.7357508945530388E-2</v>
      </c>
      <c r="AH123" s="22">
        <f>AH16/AH119/4</f>
        <v>4.7295887672108933E-2</v>
      </c>
      <c r="AI123" s="158">
        <f>AI16/AI119</f>
        <v>5.4361265221673914E-2</v>
      </c>
      <c r="AJ123" s="22"/>
      <c r="AK123" s="149">
        <f>AK16/AK119/4</f>
        <v>4.5461864193284802E-2</v>
      </c>
      <c r="AL123" s="22">
        <f>AL16/AL119/4</f>
        <v>3.9173852694170515E-2</v>
      </c>
      <c r="AM123" s="22">
        <f>AM16/AM119/4</f>
        <v>3.581081940118238E-2</v>
      </c>
      <c r="AN123" s="22">
        <f>AN16/AN119/4</f>
        <v>4.377096903154272E-2</v>
      </c>
      <c r="AO123" s="158">
        <f>AO16/AO119</f>
        <v>4.9638283397856704E-2</v>
      </c>
      <c r="AP123" s="22"/>
      <c r="AQ123" s="149">
        <f>AQ16/AQ119/4</f>
        <v>5.5015292472980933E-2</v>
      </c>
      <c r="AR123" s="22">
        <f>AR16/AR119/4</f>
        <v>4.1874031113077997E-2</v>
      </c>
      <c r="AS123" s="22">
        <f>AS16/AS119/4</f>
        <v>3.6099099230017091E-2</v>
      </c>
      <c r="AT123" s="22">
        <f>AT16/AT119/4</f>
        <v>3.778118636669392E-2</v>
      </c>
      <c r="AU123" s="158">
        <f>AU16/AU119</f>
        <v>4.1914182633189578E-2</v>
      </c>
      <c r="AV123" s="22"/>
      <c r="AW123" s="149">
        <f>AW16/AW119/4</f>
        <v>3.7229771127074734E-2</v>
      </c>
      <c r="AX123" s="22">
        <f>AX16/AX119/4</f>
        <v>3.0759607657629414E-2</v>
      </c>
      <c r="AY123" s="22">
        <f>AY16/AY119/4</f>
        <v>2.4644463085343873E-2</v>
      </c>
      <c r="AZ123" s="22">
        <f>AZ16/AZ119/4</f>
        <v>5.0352145071735847E-2</v>
      </c>
      <c r="BA123" s="158">
        <f>BA16/BA119</f>
        <v>5.737934927504449E-2</v>
      </c>
      <c r="BB123" s="22"/>
      <c r="BC123" s="149">
        <f>BC16/BC119/4</f>
        <v>4.371665840176911E-2</v>
      </c>
      <c r="BD123" s="22">
        <f>BD16/BD119/4</f>
        <v>3.9271505331321489E-2</v>
      </c>
      <c r="BE123" s="22">
        <f>BE16/BE119/4</f>
        <v>3.5760217394218093E-2</v>
      </c>
      <c r="BF123" s="22">
        <f>BF16/BF119/4</f>
        <v>5.9607238267454864E-2</v>
      </c>
      <c r="BG123" s="158">
        <f>BG16/BG119</f>
        <v>5.9647460089643146E-2</v>
      </c>
      <c r="BH123" s="22"/>
      <c r="BI123" s="149">
        <f>BI16/BI119/4</f>
        <v>6.4733702477451777E-2</v>
      </c>
      <c r="BJ123" s="22">
        <f>BJ16/BJ119/4</f>
        <v>6.6677139437462604E-2</v>
      </c>
      <c r="BK123" s="22">
        <f>BK16/BK119/4</f>
        <v>5.951830443159923E-2</v>
      </c>
      <c r="BL123" s="22">
        <f>BL16/BL119/4</f>
        <v>4.6990089054869295E-2</v>
      </c>
      <c r="BM123" s="158">
        <f>BM16/BM119</f>
        <v>5.2647855591020039E-2</v>
      </c>
      <c r="BN123" s="22"/>
      <c r="BO123" s="149">
        <f>BO16/BO119/4</f>
        <v>4.6994896602167685E-2</v>
      </c>
      <c r="BP123" s="22">
        <f>BP16/BP119/4</f>
        <v>4.2528439112326712E-2</v>
      </c>
      <c r="BQ123" s="22">
        <f>BQ16/BQ119/4</f>
        <v>4.4298532074495599E-2</v>
      </c>
      <c r="BR123" s="22">
        <f>BR16/BR119/4</f>
        <v>4.6496878385312732E-2</v>
      </c>
      <c r="BS123" s="158">
        <f>BS16/BS119</f>
        <v>5.0866768544652184E-2</v>
      </c>
      <c r="BT123" s="22"/>
      <c r="BU123" s="149">
        <f>BU16/BU119/4</f>
        <v>7.9541967853112516E-2</v>
      </c>
      <c r="BV123" s="22">
        <f>BV16/BV119/4</f>
        <v>5.7532170000274364E-2</v>
      </c>
      <c r="BW123" s="22">
        <f>BW16/BW119/4</f>
        <v>4.7857945227022532E-2</v>
      </c>
      <c r="BX123" s="22">
        <f>BX16/BX119/4</f>
        <v>4.7920633069730961E-2</v>
      </c>
      <c r="BY123" s="158">
        <f>BY16/BY119</f>
        <v>5.6186549169732529E-2</v>
      </c>
      <c r="BZ123" s="22"/>
      <c r="CA123" s="149">
        <f>CA16/CA119/4</f>
        <v>3.5587090496269867E-2</v>
      </c>
      <c r="CB123" s="22">
        <f>CB16/CB119/4</f>
        <v>2.9767980674206652E-2</v>
      </c>
      <c r="CC123" s="22">
        <f>CC16/CC119/4</f>
        <v>2.8284848827992301E-2</v>
      </c>
      <c r="CD123" s="22">
        <f>CD16/CD119/4</f>
        <v>4.1626467277697379E-2</v>
      </c>
      <c r="CE123" s="158">
        <f>CE16/CE119</f>
        <v>4.5365928457207952E-2</v>
      </c>
      <c r="CF123" s="22"/>
      <c r="CG123" s="149">
        <f>CG16/CG119/4</f>
        <v>4.3563120120593067E-2</v>
      </c>
      <c r="CH123" s="22">
        <f>CH16/CH119/4</f>
        <v>3.76622691292876E-2</v>
      </c>
      <c r="CI123" s="22">
        <f>CI16/CI119/4</f>
        <v>3.6928958471654068E-2</v>
      </c>
      <c r="CJ123" s="22">
        <f>CJ16/CJ119/4</f>
        <v>3.6237112423339095E-2</v>
      </c>
      <c r="CK123" s="158">
        <f>CK16/CK119</f>
        <v>3.9930955120828539E-2</v>
      </c>
      <c r="CL123" s="22"/>
      <c r="CM123" s="149">
        <f>CM16/CM119/4</f>
        <v>4.048589836006488E-2</v>
      </c>
      <c r="CN123" s="22">
        <f>CN16/CN119/4</f>
        <v>3.4504024250026133E-2</v>
      </c>
      <c r="CO123" s="22">
        <f>CO16/CO119/4</f>
        <v>3.1447175543328161E-2</v>
      </c>
      <c r="CP123" s="22">
        <f>CP16/CP119/4</f>
        <v>4.5959189923816091E-2</v>
      </c>
      <c r="CQ123" s="158">
        <f>CQ16/CQ119</f>
        <v>5.0140962723190977E-2</v>
      </c>
      <c r="CR123" s="22"/>
      <c r="CS123" s="149">
        <f>CS16/CS119/4</f>
        <v>7.1995802268028319E-2</v>
      </c>
      <c r="CT123" s="22">
        <f>CT16/CT119/4</f>
        <v>6.1290843437160555E-2</v>
      </c>
      <c r="CU123" s="22">
        <f>CU16/CU119/4</f>
        <v>6.0617276920448729E-2</v>
      </c>
      <c r="CV123" s="22">
        <f>CV16/CV119/4</f>
        <v>5.7043719639139484E-2</v>
      </c>
      <c r="CW123" s="158">
        <f>CW16/CW119</f>
        <v>6.8340065263930938E-2</v>
      </c>
      <c r="CX123" s="22"/>
      <c r="CY123" s="149">
        <f>CY16/CY119/4</f>
        <v>6.2052445146657836E-2</v>
      </c>
      <c r="CZ123" s="22">
        <f>CZ16/CZ119/4</f>
        <v>5.294797142789788E-2</v>
      </c>
      <c r="DA123" s="22">
        <f>DA16/DA119/4</f>
        <v>4.4033300258948228E-2</v>
      </c>
      <c r="DB123" s="22">
        <f>DB16/DB119/4</f>
        <v>4.3948912592980387E-2</v>
      </c>
      <c r="DC123" s="158">
        <f>DC16/DC119</f>
        <v>4.7736103871487461E-2</v>
      </c>
      <c r="DD123" s="22"/>
      <c r="DE123" s="149">
        <f>DE16/DE119/4</f>
        <v>4.2513731364576653E-2</v>
      </c>
      <c r="DF123" s="22">
        <f>DF16/DF119/4</f>
        <v>2.9029289816190327E-2</v>
      </c>
      <c r="DG123" s="22">
        <f>DG16/DG119/4</f>
        <v>2.5655889757519545E-2</v>
      </c>
      <c r="DH123" s="22">
        <f>DH16/DH119/4</f>
        <v>4.2132843069783904E-2</v>
      </c>
      <c r="DI123" s="158">
        <f>DI16/DI119</f>
        <v>4.6760176107628601E-2</v>
      </c>
      <c r="DJ123" s="22"/>
      <c r="DK123" s="365">
        <v>4.2000000000000003E-2</v>
      </c>
      <c r="DL123" s="341">
        <f t="shared" ref="DL123:DN123" si="584">+DK123</f>
        <v>4.2000000000000003E-2</v>
      </c>
      <c r="DM123" s="341">
        <f t="shared" si="584"/>
        <v>4.2000000000000003E-2</v>
      </c>
      <c r="DN123" s="341">
        <f t="shared" si="584"/>
        <v>4.2000000000000003E-2</v>
      </c>
      <c r="DO123" s="158">
        <f>DO16/DO119</f>
        <v>4.5877959514537603E-2</v>
      </c>
      <c r="DP123" s="22"/>
      <c r="DQ123" s="365">
        <v>4.4999999999999998E-2</v>
      </c>
      <c r="DR123" s="341">
        <f t="shared" ref="DR123:DT123" si="585">+DQ123</f>
        <v>4.4999999999999998E-2</v>
      </c>
      <c r="DS123" s="341">
        <f t="shared" si="585"/>
        <v>4.4999999999999998E-2</v>
      </c>
      <c r="DT123" s="341">
        <f t="shared" si="585"/>
        <v>4.4999999999999998E-2</v>
      </c>
      <c r="DU123" s="158">
        <f>DU16/DU119</f>
        <v>4.8962778139373067E-2</v>
      </c>
      <c r="DV123" s="22"/>
      <c r="DW123" s="365">
        <f t="shared" ref="DW123" si="586">+DT123</f>
        <v>4.4999999999999998E-2</v>
      </c>
      <c r="DX123" s="341">
        <f t="shared" ref="DX123" si="587">+DW123</f>
        <v>4.4999999999999998E-2</v>
      </c>
      <c r="DY123" s="341">
        <f t="shared" si="577"/>
        <v>4.4999999999999998E-2</v>
      </c>
      <c r="DZ123" s="341">
        <f t="shared" si="578"/>
        <v>4.4999999999999998E-2</v>
      </c>
      <c r="EA123" s="158">
        <f>EA16/EA119</f>
        <v>4.8960918811334707E-2</v>
      </c>
      <c r="EB123" s="22"/>
      <c r="EC123" s="365">
        <f t="shared" ref="EC123" si="588">+DZ123</f>
        <v>4.4999999999999998E-2</v>
      </c>
      <c r="ED123" s="341">
        <f t="shared" si="580"/>
        <v>4.4999999999999998E-2</v>
      </c>
      <c r="EE123" s="341">
        <f t="shared" si="581"/>
        <v>4.4999999999999998E-2</v>
      </c>
      <c r="EF123" s="341">
        <f t="shared" si="582"/>
        <v>4.4999999999999998E-2</v>
      </c>
      <c r="EG123" s="158">
        <f t="shared" ref="EG123" si="589">EG16/EG119</f>
        <v>4.8959064066518246E-2</v>
      </c>
      <c r="EH123" s="9"/>
      <c r="EI123" s="486"/>
      <c r="EJ123" s="7"/>
    </row>
    <row r="124" spans="1:140" ht="11.25" customHeight="1" x14ac:dyDescent="0.2">
      <c r="A124" s="51"/>
      <c r="B124" s="2"/>
      <c r="C124" s="2"/>
      <c r="D124" s="2"/>
      <c r="E124" s="159"/>
      <c r="F124" s="125"/>
      <c r="G124" s="159"/>
      <c r="H124" s="125"/>
      <c r="I124" s="159"/>
      <c r="J124" s="125"/>
      <c r="K124" s="159"/>
      <c r="L124" s="125"/>
      <c r="M124" s="132"/>
      <c r="N124" s="6"/>
      <c r="O124" s="6"/>
      <c r="P124" s="6"/>
      <c r="Q124" s="159"/>
      <c r="R124" s="125"/>
      <c r="S124" s="132"/>
      <c r="T124" s="6"/>
      <c r="U124" s="6"/>
      <c r="V124" s="6"/>
      <c r="W124" s="159"/>
      <c r="X124" s="125"/>
      <c r="Y124" s="132"/>
      <c r="Z124" s="6"/>
      <c r="AA124" s="6"/>
      <c r="AB124" s="6"/>
      <c r="AC124" s="159"/>
      <c r="AD124" s="125"/>
      <c r="AE124" s="132"/>
      <c r="AF124" s="6"/>
      <c r="AG124" s="6"/>
      <c r="AH124" s="6"/>
      <c r="AI124" s="159"/>
      <c r="AJ124" s="125"/>
      <c r="AK124" s="132"/>
      <c r="AL124" s="6"/>
      <c r="AM124" s="6"/>
      <c r="AN124" s="6"/>
      <c r="AO124" s="159"/>
      <c r="AP124" s="125"/>
      <c r="AQ124" s="132"/>
      <c r="AR124" s="6"/>
      <c r="AS124" s="6"/>
      <c r="AT124" s="6"/>
      <c r="AU124" s="159"/>
      <c r="AV124" s="125"/>
      <c r="AW124" s="132"/>
      <c r="AX124" s="6"/>
      <c r="AY124" s="6"/>
      <c r="AZ124" s="6"/>
      <c r="BA124" s="159"/>
      <c r="BB124" s="125"/>
      <c r="BC124" s="132"/>
      <c r="BD124" s="6"/>
      <c r="BE124" s="6"/>
      <c r="BF124" s="6"/>
      <c r="BG124" s="159"/>
      <c r="BH124" s="125"/>
      <c r="BI124" s="132"/>
      <c r="BJ124" s="6"/>
      <c r="BK124" s="6"/>
      <c r="BL124" s="6"/>
      <c r="BM124" s="159"/>
      <c r="BN124" s="125"/>
      <c r="BO124" s="132"/>
      <c r="BP124" s="6"/>
      <c r="BQ124" s="6"/>
      <c r="BR124" s="6"/>
      <c r="BS124" s="159"/>
      <c r="BT124" s="125"/>
      <c r="BU124" s="132"/>
      <c r="BV124" s="6"/>
      <c r="BW124" s="6"/>
      <c r="BX124" s="6"/>
      <c r="BY124" s="159"/>
      <c r="BZ124" s="125"/>
      <c r="CA124" s="132"/>
      <c r="CB124" s="6"/>
      <c r="CC124" s="6"/>
      <c r="CD124" s="6"/>
      <c r="CE124" s="159"/>
      <c r="CF124" s="125"/>
      <c r="CG124" s="132"/>
      <c r="CH124" s="6"/>
      <c r="CI124" s="6"/>
      <c r="CJ124" s="6"/>
      <c r="CK124" s="159"/>
      <c r="CL124" s="125"/>
      <c r="CM124" s="132"/>
      <c r="CN124" s="6"/>
      <c r="CO124" s="6"/>
      <c r="CP124" s="6"/>
      <c r="CQ124" s="159"/>
      <c r="CR124" s="125"/>
      <c r="CS124" s="132"/>
      <c r="CT124" s="6"/>
      <c r="CU124" s="6"/>
      <c r="CV124" s="6"/>
      <c r="CW124" s="159"/>
      <c r="CX124" s="125"/>
      <c r="CY124" s="132"/>
      <c r="CZ124" s="6"/>
      <c r="DA124" s="6"/>
      <c r="DB124" s="6"/>
      <c r="DC124" s="159"/>
      <c r="DD124" s="125"/>
      <c r="DE124" s="132"/>
      <c r="DF124" s="6"/>
      <c r="DG124" s="6"/>
      <c r="DH124" s="6"/>
      <c r="DI124" s="159"/>
      <c r="DJ124" s="125"/>
      <c r="DK124" s="132"/>
      <c r="DL124" s="6"/>
      <c r="DM124" s="6"/>
      <c r="DN124" s="6"/>
      <c r="DO124" s="159"/>
      <c r="DP124" s="125"/>
      <c r="DQ124" s="132"/>
      <c r="DR124" s="6"/>
      <c r="DS124" s="6"/>
      <c r="DT124" s="6"/>
      <c r="DU124" s="159"/>
      <c r="DV124" s="125"/>
      <c r="DW124" s="132"/>
      <c r="DX124" s="6"/>
      <c r="DY124" s="6"/>
      <c r="DZ124" s="6"/>
      <c r="EA124" s="159"/>
      <c r="EB124" s="125"/>
      <c r="EC124" s="132"/>
      <c r="ED124" s="6"/>
      <c r="EE124" s="6"/>
      <c r="EF124" s="6"/>
      <c r="EG124" s="159"/>
      <c r="EH124" s="9"/>
      <c r="EI124" s="486"/>
      <c r="EJ124" s="7"/>
    </row>
    <row r="125" spans="1:140" ht="11.25" customHeight="1" x14ac:dyDescent="0.2">
      <c r="A125" s="50" t="s">
        <v>172</v>
      </c>
      <c r="B125" s="2"/>
      <c r="C125" s="2"/>
      <c r="D125" s="2"/>
      <c r="E125" s="371">
        <v>1598.431</v>
      </c>
      <c r="F125" s="126"/>
      <c r="G125" s="371">
        <v>1889.229</v>
      </c>
      <c r="H125" s="126"/>
      <c r="I125" s="371">
        <v>1960.8219999999999</v>
      </c>
      <c r="J125" s="126"/>
      <c r="K125" s="371">
        <v>2315.7310000000002</v>
      </c>
      <c r="L125" s="126"/>
      <c r="M125" s="354">
        <v>628.39300000000003</v>
      </c>
      <c r="N125" s="355">
        <v>581.29999999999995</v>
      </c>
      <c r="O125" s="355">
        <v>547.63</v>
      </c>
      <c r="P125" s="355">
        <v>580.70400000000006</v>
      </c>
      <c r="Q125" s="371">
        <v>2338.027</v>
      </c>
      <c r="R125" s="126"/>
      <c r="S125" s="354">
        <v>628.18399999999997</v>
      </c>
      <c r="T125" s="355">
        <v>701.90800000000002</v>
      </c>
      <c r="U125" s="355">
        <v>691.64800000000002</v>
      </c>
      <c r="V125" s="355">
        <v>769.43500000000006</v>
      </c>
      <c r="W125" s="371">
        <v>2791.1750000000002</v>
      </c>
      <c r="X125" s="126"/>
      <c r="Y125" s="354">
        <v>728.81600000000003</v>
      </c>
      <c r="Z125" s="355">
        <v>774.54600000000005</v>
      </c>
      <c r="AA125" s="355">
        <v>766.94799999999998</v>
      </c>
      <c r="AB125" s="355">
        <v>884.49900000000036</v>
      </c>
      <c r="AC125" s="371">
        <v>3154.8090000000002</v>
      </c>
      <c r="AD125" s="126"/>
      <c r="AE125" s="354">
        <v>911.93</v>
      </c>
      <c r="AF125" s="355">
        <v>935.53599999999994</v>
      </c>
      <c r="AG125" s="355">
        <v>1005.292</v>
      </c>
      <c r="AH125" s="355">
        <v>1143.8780000000002</v>
      </c>
      <c r="AI125" s="371">
        <v>3996.636</v>
      </c>
      <c r="AJ125" s="126"/>
      <c r="AK125" s="354">
        <v>1050.7639999999999</v>
      </c>
      <c r="AL125" s="355">
        <v>1079.0239999999999</v>
      </c>
      <c r="AM125" s="355">
        <v>1118.5039999999999</v>
      </c>
      <c r="AN125" s="355">
        <v>1291.3969999999999</v>
      </c>
      <c r="AO125" s="371">
        <v>4539.6889999999994</v>
      </c>
      <c r="AP125" s="126"/>
      <c r="AQ125" s="354">
        <v>1207.1780000000001</v>
      </c>
      <c r="AR125" s="355">
        <v>1296.8599999999999</v>
      </c>
      <c r="AS125" s="355">
        <v>1319.3910000000001</v>
      </c>
      <c r="AT125" s="355">
        <v>1445.567</v>
      </c>
      <c r="AU125" s="371">
        <v>5268.9960000000001</v>
      </c>
      <c r="AV125" s="126"/>
      <c r="AW125" s="354">
        <v>1381.8009999999999</v>
      </c>
      <c r="AX125" s="355">
        <v>1430.634</v>
      </c>
      <c r="AY125" s="355">
        <v>1481.94</v>
      </c>
      <c r="AZ125" s="355">
        <v>1690.6469999999999</v>
      </c>
      <c r="BA125" s="371">
        <v>5985.0219999999999</v>
      </c>
      <c r="BB125" s="126"/>
      <c r="BC125" s="354">
        <v>1611.1579999999999</v>
      </c>
      <c r="BD125" s="355">
        <v>1723.596</v>
      </c>
      <c r="BE125" s="355">
        <v>1697.6110000000001</v>
      </c>
      <c r="BF125" s="355">
        <v>1724.8969999999999</v>
      </c>
      <c r="BG125" s="371">
        <v>6757.2619999999997</v>
      </c>
      <c r="BH125" s="126"/>
      <c r="BI125" s="354">
        <v>1369.135</v>
      </c>
      <c r="BJ125" s="355">
        <v>1411.34</v>
      </c>
      <c r="BK125" s="355">
        <v>1429.7360000000001</v>
      </c>
      <c r="BL125" s="355">
        <v>1694.5070000000001</v>
      </c>
      <c r="BM125" s="371">
        <v>5904.7180000000008</v>
      </c>
      <c r="BN125" s="126"/>
      <c r="BO125" s="354">
        <v>1539.117</v>
      </c>
      <c r="BP125" s="355">
        <v>1611.875</v>
      </c>
      <c r="BQ125" s="355">
        <v>1480.9010000000001</v>
      </c>
      <c r="BR125" s="355">
        <v>1513.6159999999998</v>
      </c>
      <c r="BS125" s="371">
        <v>6145.509</v>
      </c>
      <c r="BT125" s="126"/>
      <c r="BU125" s="354">
        <v>1543.348</v>
      </c>
      <c r="BV125" s="355">
        <v>1718.319</v>
      </c>
      <c r="BW125" s="355">
        <v>2262.7060000000001</v>
      </c>
      <c r="BX125" s="355">
        <v>2389.527</v>
      </c>
      <c r="BY125" s="371">
        <v>7913.9</v>
      </c>
      <c r="BZ125" s="126"/>
      <c r="CA125" s="354">
        <v>2080.6999999999998</v>
      </c>
      <c r="CB125" s="355">
        <v>2198</v>
      </c>
      <c r="CC125" s="355">
        <v>2137.5</v>
      </c>
      <c r="CD125" s="355">
        <v>2429.9000000000005</v>
      </c>
      <c r="CE125" s="371">
        <v>8846.1</v>
      </c>
      <c r="CF125" s="126"/>
      <c r="CG125" s="354">
        <v>2119</v>
      </c>
      <c r="CH125" s="355">
        <v>2242</v>
      </c>
      <c r="CI125" s="355">
        <v>2244.4</v>
      </c>
      <c r="CJ125" s="355">
        <v>2554.9999999999995</v>
      </c>
      <c r="CK125" s="371">
        <v>9160.4</v>
      </c>
      <c r="CL125" s="126"/>
      <c r="CM125" s="354">
        <v>2209.8000000000002</v>
      </c>
      <c r="CN125" s="355">
        <v>2343.4</v>
      </c>
      <c r="CO125" s="355">
        <v>2254.8000000000002</v>
      </c>
      <c r="CP125" s="355">
        <v>2453.3999999999987</v>
      </c>
      <c r="CQ125" s="371">
        <v>9261.4</v>
      </c>
      <c r="CR125" s="126"/>
      <c r="CS125" s="354">
        <f>+'Pro Forma IS'!CS12</f>
        <v>1450.6</v>
      </c>
      <c r="CT125" s="355">
        <f>+'Pro Forma IS'!CT12</f>
        <v>1527.4</v>
      </c>
      <c r="CU125" s="355">
        <f>+'Pro Forma IS'!CU12</f>
        <v>1618.8</v>
      </c>
      <c r="CV125" s="355">
        <f>+'Pro Forma IS'!CV12</f>
        <v>2065.8000000000002</v>
      </c>
      <c r="CW125" s="371">
        <f>+'Pro Forma IS'!CW12</f>
        <v>6662.6</v>
      </c>
      <c r="CX125" s="126"/>
      <c r="CY125" s="354">
        <f>+'Pro Forma IS'!CY12</f>
        <v>1756.8</v>
      </c>
      <c r="CZ125" s="355">
        <f>+'Pro Forma IS'!CZ12</f>
        <v>1860.6</v>
      </c>
      <c r="DA125" s="355">
        <f>+'Pro Forma IS'!DA12</f>
        <v>1846.1</v>
      </c>
      <c r="DB125" s="355">
        <f>+'Pro Forma IS'!DB12</f>
        <v>2084.3000000000002</v>
      </c>
      <c r="DC125" s="371">
        <f>+'Pro Forma IS'!DC12</f>
        <v>7547.8</v>
      </c>
      <c r="DD125" s="126"/>
      <c r="DE125" s="354">
        <f>+'Pro Forma IS'!DE12</f>
        <v>1871.4</v>
      </c>
      <c r="DF125" s="355">
        <f>+'Pro Forma IS'!DF12</f>
        <v>2006.8</v>
      </c>
      <c r="DG125" s="355">
        <f>+'Pro Forma IS'!DG12</f>
        <v>1991.4</v>
      </c>
      <c r="DH125" s="355">
        <f>+'Pro Forma IS'!DH12</f>
        <v>2246.6</v>
      </c>
      <c r="DI125" s="371">
        <f>+'Pro Forma IS'!DI12</f>
        <v>8116.2000000000007</v>
      </c>
      <c r="DJ125" s="126"/>
      <c r="DK125" s="354">
        <f>+'Pro Forma IS'!DK12</f>
        <v>2051.8000000000002</v>
      </c>
      <c r="DL125" s="355">
        <f>+'Pro Forma IS'!DL12</f>
        <v>2186.021837535719</v>
      </c>
      <c r="DM125" s="355">
        <f>+'Pro Forma IS'!DM12</f>
        <v>2126.4268297508424</v>
      </c>
      <c r="DN125" s="355">
        <f>+'Pro Forma IS'!DN12</f>
        <v>2340.8363348983999</v>
      </c>
      <c r="DO125" s="371">
        <f>+'Pro Forma IS'!DO12</f>
        <v>8705.0850021849619</v>
      </c>
      <c r="DP125" s="126"/>
      <c r="DQ125" s="354">
        <f>+'Pro Forma IS'!DQ12</f>
        <v>2110.9075869921512</v>
      </c>
      <c r="DR125" s="355">
        <f>+'Pro Forma IS'!DR12</f>
        <v>2260.6462968641231</v>
      </c>
      <c r="DS125" s="355">
        <f>+'Pro Forma IS'!DS12</f>
        <v>2186.4608237242223</v>
      </c>
      <c r="DT125" s="355">
        <f>+'Pro Forma IS'!DT12</f>
        <v>2413.9251342076445</v>
      </c>
      <c r="DU125" s="371">
        <f>+'Pro Forma IS'!DU12</f>
        <v>8971.9398417881403</v>
      </c>
      <c r="DV125" s="126"/>
      <c r="DW125" s="354">
        <f>+'Pro Forma IS'!DW12</f>
        <v>2170.5991583778869</v>
      </c>
      <c r="DX125" s="355">
        <f>+'Pro Forma IS'!DX12</f>
        <v>2329.0189793180034</v>
      </c>
      <c r="DY125" s="355">
        <f>+'Pro Forma IS'!DY12</f>
        <v>2251.804521665762</v>
      </c>
      <c r="DZ125" s="355">
        <f>+'Pro Forma IS'!DZ12</f>
        <v>2493.717477157239</v>
      </c>
      <c r="EA125" s="371">
        <f>+'Pro Forma IS'!EA12</f>
        <v>9245.1401365188904</v>
      </c>
      <c r="EB125" s="126"/>
      <c r="EC125" s="354">
        <f>+'Pro Forma IS'!EC12</f>
        <v>2239.4199599880922</v>
      </c>
      <c r="ED125" s="355">
        <f>+'Pro Forma IS'!ED12</f>
        <v>2406.9011877888638</v>
      </c>
      <c r="EE125" s="355">
        <f>+'Pro Forma IS'!EE12</f>
        <v>2326.5870775707908</v>
      </c>
      <c r="EF125" s="355">
        <f>+'Pro Forma IS'!EF12</f>
        <v>2589.7325785354597</v>
      </c>
      <c r="EG125" s="371">
        <f>+'Pro Forma IS'!EG12</f>
        <v>9562.6408038832069</v>
      </c>
      <c r="EH125" s="7"/>
      <c r="EI125" s="482"/>
      <c r="EJ125" s="7"/>
    </row>
    <row r="126" spans="1:140" ht="11.25" customHeight="1" x14ac:dyDescent="0.2">
      <c r="A126" s="51" t="s">
        <v>103</v>
      </c>
      <c r="B126" s="2"/>
      <c r="C126" s="2"/>
      <c r="D126" s="2"/>
      <c r="E126" s="158">
        <f>E14/E125</f>
        <v>0.16586390028721915</v>
      </c>
      <c r="F126" s="22"/>
      <c r="G126" s="158">
        <f>G14/G125</f>
        <v>0.17863424709233236</v>
      </c>
      <c r="H126" s="22"/>
      <c r="I126" s="158">
        <f>I14/I125</f>
        <v>0.16558004755148606</v>
      </c>
      <c r="J126" s="22"/>
      <c r="K126" s="158">
        <f>K14/K125</f>
        <v>0.19890479507334832</v>
      </c>
      <c r="L126" s="22"/>
      <c r="M126" s="149">
        <f>M14/M125/4</f>
        <v>0.18335142180132497</v>
      </c>
      <c r="N126" s="22">
        <f>N14/N125/4</f>
        <v>0.19582530535007744</v>
      </c>
      <c r="O126" s="22">
        <f>O14/O125/4</f>
        <v>0.21126307908624437</v>
      </c>
      <c r="P126" s="22">
        <f>P14/P125/4</f>
        <v>0.17575046839698019</v>
      </c>
      <c r="Q126" s="158">
        <f>Q14/Q125</f>
        <v>0.17460705115894726</v>
      </c>
      <c r="R126" s="22"/>
      <c r="S126" s="149">
        <f>S14/S125/4</f>
        <v>0.19384288679749884</v>
      </c>
      <c r="T126" s="22">
        <f>T14/T125/4</f>
        <v>0.16986164853513566</v>
      </c>
      <c r="U126" s="22">
        <f>U14/U125/4</f>
        <v>0.17582643194225964</v>
      </c>
      <c r="V126" s="22">
        <f>V14/V125/4</f>
        <v>0.15777388603325815</v>
      </c>
      <c r="W126" s="158">
        <f>W14/W125</f>
        <v>0.17397225182942666</v>
      </c>
      <c r="X126" s="22"/>
      <c r="Y126" s="149">
        <f>Y14/Y125/4</f>
        <v>0.18105324251937388</v>
      </c>
      <c r="Z126" s="22">
        <f>Z14/Z125/4</f>
        <v>0.17011642949547218</v>
      </c>
      <c r="AA126" s="22">
        <f>AA14/AA125/4</f>
        <v>0.17595325889108518</v>
      </c>
      <c r="AB126" s="22">
        <f>AB14/AB125/4</f>
        <v>0.15156235337744864</v>
      </c>
      <c r="AC126" s="158">
        <f>AC14/AC125</f>
        <v>0.16997130412649386</v>
      </c>
      <c r="AD126" s="22"/>
      <c r="AE126" s="149">
        <f>AE14/AE125/4</f>
        <v>0.17117706402903732</v>
      </c>
      <c r="AF126" s="22">
        <f>AF14/AF125/4</f>
        <v>0.2094395619195841</v>
      </c>
      <c r="AG126" s="22">
        <f>AG14/AG125/4</f>
        <v>0.19564564325588985</v>
      </c>
      <c r="AH126" s="22">
        <f>AH14/AH125/4</f>
        <v>0.15386168804715186</v>
      </c>
      <c r="AI126" s="158">
        <f>AI14/AI125</f>
        <v>0.17614713974452514</v>
      </c>
      <c r="AJ126" s="22"/>
      <c r="AK126" s="149">
        <f>AK14/AK125/4</f>
        <v>0.17776779562299433</v>
      </c>
      <c r="AL126" s="22">
        <f>AL14/AL125/4</f>
        <v>0.17439510149913257</v>
      </c>
      <c r="AM126" s="22">
        <f>AM14/AM125/4</f>
        <v>0.19631758134079091</v>
      </c>
      <c r="AN126" s="22">
        <f>AN14/AN125/4</f>
        <v>0.15976167669585728</v>
      </c>
      <c r="AO126" s="158">
        <f>AO14/AO125</f>
        <v>0.18178844409826314</v>
      </c>
      <c r="AP126" s="22"/>
      <c r="AQ126" s="149">
        <f>AQ14/AQ125/4</f>
        <v>0.1836061044850055</v>
      </c>
      <c r="AR126" s="22">
        <f>AR14/AR125/4</f>
        <v>0.19467155282759899</v>
      </c>
      <c r="AS126" s="22">
        <f>AS14/AS125/4</f>
        <v>0.19345705708163841</v>
      </c>
      <c r="AT126" s="22">
        <f>AT14/AT125/4</f>
        <v>0.17386949204014757</v>
      </c>
      <c r="AU126" s="158">
        <f>AU14/AU125</f>
        <v>0.19080674952116114</v>
      </c>
      <c r="AV126" s="22"/>
      <c r="AW126" s="149">
        <f>AW14/AW125/4</f>
        <v>0.18998864525354955</v>
      </c>
      <c r="AX126" s="22">
        <f>AX14/AX125/4</f>
        <v>0.18328552236281256</v>
      </c>
      <c r="AY126" s="22">
        <f>AY14/AY125/4</f>
        <v>0.18233396763701634</v>
      </c>
      <c r="AZ126" s="22">
        <f>AZ14/AZ125/4</f>
        <v>0.17650269393906595</v>
      </c>
      <c r="BA126" s="158">
        <f>BA14/BA125</f>
        <v>0.19943368629221414</v>
      </c>
      <c r="BB126" s="22"/>
      <c r="BC126" s="149">
        <f>BC14/BC125/4</f>
        <v>0.2005230089165681</v>
      </c>
      <c r="BD126" s="22">
        <f>BD14/BD125/4</f>
        <v>0.18819027196628443</v>
      </c>
      <c r="BE126" s="22">
        <f>BE14/BE125/4</f>
        <v>0.18774192085230362</v>
      </c>
      <c r="BF126" s="22">
        <f>BF14/BF125/4</f>
        <v>0.16556191471142914</v>
      </c>
      <c r="BG126" s="158">
        <f>BG14/BG125</f>
        <v>0.16904909118515754</v>
      </c>
      <c r="BH126" s="22"/>
      <c r="BI126" s="149">
        <f>BI14/BI125/4</f>
        <v>0.20702852530977586</v>
      </c>
      <c r="BJ126" s="22">
        <f>BJ14/BJ125/4</f>
        <v>0.18901806084997239</v>
      </c>
      <c r="BK126" s="22">
        <f>BK14/BK125/4</f>
        <v>0.18734752429819213</v>
      </c>
      <c r="BL126" s="22">
        <f>BL14/BL125/4</f>
        <v>0.1465051486951662</v>
      </c>
      <c r="BM126" s="158">
        <f>BM14/BM125</f>
        <v>0.16817331496609997</v>
      </c>
      <c r="BN126" s="22"/>
      <c r="BO126" s="149">
        <f>BO14/BO125/4</f>
        <v>0.19295040597953242</v>
      </c>
      <c r="BP126" s="22">
        <f>BP14/BP125/4</f>
        <v>0.19211989143078712</v>
      </c>
      <c r="BQ126" s="22">
        <f>BQ14/BQ125/4</f>
        <v>0.21015837655589401</v>
      </c>
      <c r="BR126" s="22">
        <f>BR14/BR125/4</f>
        <v>0.2023549896407015</v>
      </c>
      <c r="BS126" s="158">
        <f>BS14/BS125</f>
        <v>0.19935712403968492</v>
      </c>
      <c r="BT126" s="22"/>
      <c r="BU126" s="149">
        <f>BU14/BU125/4</f>
        <v>0.20814035460570138</v>
      </c>
      <c r="BV126" s="22">
        <f>BV14/BV125/4</f>
        <v>0.30044610459408294</v>
      </c>
      <c r="BW126" s="22">
        <f>BW14/BW125/4</f>
        <v>0.21775873666309276</v>
      </c>
      <c r="BX126" s="22">
        <f>BX14/BX125/4</f>
        <v>0.18637077547146361</v>
      </c>
      <c r="BY126" s="158">
        <f>BY14/BY125</f>
        <v>0.22509154778301471</v>
      </c>
      <c r="BZ126" s="22"/>
      <c r="CA126" s="149">
        <f>CA14/CA125/4</f>
        <v>0.22697637814197147</v>
      </c>
      <c r="CB126" s="22">
        <f>CB14/CB125/4</f>
        <v>0.21107950409463147</v>
      </c>
      <c r="CC126" s="22">
        <f>CC14/CC125/4</f>
        <v>0.22016023391812864</v>
      </c>
      <c r="CD126" s="22">
        <f>CD14/CD125/4</f>
        <v>0.18657146384624879</v>
      </c>
      <c r="CE126" s="158">
        <f>CE14/CE125</f>
        <v>0.20499429126959903</v>
      </c>
      <c r="CF126" s="22"/>
      <c r="CG126" s="149">
        <f>CG14/CG125/4</f>
        <v>0.22021000471920718</v>
      </c>
      <c r="CH126" s="22">
        <f>CH14/CH125/4</f>
        <v>0.21309099018733274</v>
      </c>
      <c r="CI126" s="22">
        <f>CI14/CI125/4</f>
        <v>0.21895606843699875</v>
      </c>
      <c r="CJ126" s="22">
        <f>CJ14/CJ125/4</f>
        <v>0.17451076320939338</v>
      </c>
      <c r="CK126" s="158">
        <f>CK14/CK125</f>
        <v>0.19469673813370597</v>
      </c>
      <c r="CL126" s="22"/>
      <c r="CM126" s="149">
        <f>CM14/CM125/4</f>
        <v>0.21170467915648472</v>
      </c>
      <c r="CN126" s="22">
        <f>CN14/CN125/4</f>
        <v>0.20207817700776648</v>
      </c>
      <c r="CO126" s="22">
        <f>CO14/CO125/4</f>
        <v>0.20777896043995031</v>
      </c>
      <c r="CP126" s="22">
        <f>CP14/CP125/4</f>
        <v>0.18662876008804119</v>
      </c>
      <c r="CQ126" s="158">
        <f>CQ14/CQ125</f>
        <v>0.19775627874835339</v>
      </c>
      <c r="CR126" s="22"/>
      <c r="CS126" s="149">
        <f>CS14/CS125/4</f>
        <v>0.32696815110988559</v>
      </c>
      <c r="CT126" s="22">
        <f>CT14/CT125/4</f>
        <v>0.31298284666753962</v>
      </c>
      <c r="CU126" s="22">
        <f>CU14/CU125/4</f>
        <v>0.36147146034099331</v>
      </c>
      <c r="CV126" s="22">
        <f>CV14/CV125/4</f>
        <v>0.25358214735211537</v>
      </c>
      <c r="CW126" s="158">
        <f>CW14/CW125</f>
        <v>0.31450184612613696</v>
      </c>
      <c r="CX126" s="22"/>
      <c r="CY126" s="149">
        <f>CY14/CY125/4</f>
        <v>0.31843408469945356</v>
      </c>
      <c r="CZ126" s="22">
        <f>CZ14/CZ125/4</f>
        <v>0.30100505213372031</v>
      </c>
      <c r="DA126" s="22">
        <f>DA14/DA125/4</f>
        <v>0.23186717945940091</v>
      </c>
      <c r="DB126" s="22">
        <f>DB14/DB125/4</f>
        <v>0.20503286475075563</v>
      </c>
      <c r="DC126" s="158">
        <f>DC14/DC125</f>
        <v>0.2264765892048014</v>
      </c>
      <c r="DD126" s="22"/>
      <c r="DE126" s="149">
        <f>DE14/DE125/4</f>
        <v>0.23577268355242065</v>
      </c>
      <c r="DF126" s="22">
        <f>DF14/DF125/4</f>
        <v>0.2232036077337054</v>
      </c>
      <c r="DG126" s="22">
        <f>DG14/DG125/4</f>
        <v>0.23755900371597868</v>
      </c>
      <c r="DH126" s="22">
        <f>DH14/DH125/4</f>
        <v>0.20484287367577672</v>
      </c>
      <c r="DI126" s="158">
        <f>DI14/DI125</f>
        <v>0.22680564796333258</v>
      </c>
      <c r="DJ126" s="22"/>
      <c r="DK126" s="365">
        <f>+DE126-1%</f>
        <v>0.22577268355242064</v>
      </c>
      <c r="DL126" s="341">
        <f t="shared" ref="DL126:DN126" si="590">+DF126-1%</f>
        <v>0.21320360773370539</v>
      </c>
      <c r="DM126" s="341">
        <f t="shared" si="590"/>
        <v>0.22755900371597867</v>
      </c>
      <c r="DN126" s="341">
        <f t="shared" si="590"/>
        <v>0.19484287367577671</v>
      </c>
      <c r="DO126" s="158">
        <f>DO14/DO125</f>
        <v>0.2095764846325098</v>
      </c>
      <c r="DP126" s="22"/>
      <c r="DQ126" s="365">
        <f>+DK126-1%</f>
        <v>0.21577268355242063</v>
      </c>
      <c r="DR126" s="341">
        <f t="shared" ref="DR126" si="591">+DL126-1%</f>
        <v>0.20320360773370538</v>
      </c>
      <c r="DS126" s="341">
        <f t="shared" ref="DS126" si="592">+DM126-1%</f>
        <v>0.21755900371597867</v>
      </c>
      <c r="DT126" s="341">
        <f t="shared" ref="DT126" si="593">+DN126-1%</f>
        <v>0.1848428736757767</v>
      </c>
      <c r="DU126" s="158">
        <f>DU14/DU125</f>
        <v>0.19892993778977339</v>
      </c>
      <c r="DV126" s="22"/>
      <c r="DW126" s="365">
        <f>+DQ126-1.5%</f>
        <v>0.20077268355242062</v>
      </c>
      <c r="DX126" s="341">
        <f t="shared" ref="DX126:DZ126" si="594">+DR126-1.5%</f>
        <v>0.18820360773370537</v>
      </c>
      <c r="DY126" s="341">
        <f t="shared" si="594"/>
        <v>0.20255900371597868</v>
      </c>
      <c r="DZ126" s="341">
        <f t="shared" si="594"/>
        <v>0.16984287367577672</v>
      </c>
      <c r="EA126" s="158">
        <f>EA14/EA125</f>
        <v>0.18324877122538494</v>
      </c>
      <c r="EB126" s="22"/>
      <c r="EC126" s="365">
        <f t="shared" ref="EC126" si="595">+DW126-1.5%</f>
        <v>0.1857726835524206</v>
      </c>
      <c r="ED126" s="341">
        <f t="shared" ref="ED126" si="596">+DX126-1.5%</f>
        <v>0.17320360773370536</v>
      </c>
      <c r="EE126" s="341">
        <f t="shared" ref="EE126" si="597">+DY126-1.5%</f>
        <v>0.18755900371597867</v>
      </c>
      <c r="EF126" s="341">
        <f t="shared" ref="EF126" si="598">+DZ126-1.5%</f>
        <v>0.1548428736757767</v>
      </c>
      <c r="EG126" s="158">
        <f t="shared" ref="EG126" si="599">EG14/EG125</f>
        <v>0.16773677595392708</v>
      </c>
      <c r="EH126" s="9"/>
      <c r="EI126" s="486"/>
      <c r="EJ126" s="7"/>
    </row>
    <row r="127" spans="1:140" ht="11.25" customHeight="1" x14ac:dyDescent="0.2">
      <c r="A127" s="51" t="s">
        <v>44</v>
      </c>
      <c r="B127" s="2"/>
      <c r="C127" s="2"/>
      <c r="D127" s="2"/>
      <c r="E127" s="158">
        <f>E32/E125</f>
        <v>9.5134541309571705E-2</v>
      </c>
      <c r="F127" s="22"/>
      <c r="G127" s="158">
        <f>G32/G125</f>
        <v>8.5633874982863387E-2</v>
      </c>
      <c r="H127" s="22"/>
      <c r="I127" s="158">
        <f>I32/I125</f>
        <v>0.10873450012290764</v>
      </c>
      <c r="J127" s="22"/>
      <c r="K127" s="158">
        <f>K32/K125</f>
        <v>0.11318024416480152</v>
      </c>
      <c r="L127" s="22"/>
      <c r="M127" s="149">
        <f>M32/M125/4</f>
        <v>0.10099889718695147</v>
      </c>
      <c r="N127" s="22">
        <f>N32/N125/4</f>
        <v>0.11643514536383968</v>
      </c>
      <c r="O127" s="22">
        <f>O32/O125/4</f>
        <v>0.11522834760696091</v>
      </c>
      <c r="P127" s="22">
        <f>P32/P125/4</f>
        <v>0.10138599010855788</v>
      </c>
      <c r="Q127" s="158">
        <f>Q32/Q125</f>
        <v>0.10072638168849204</v>
      </c>
      <c r="R127" s="22"/>
      <c r="S127" s="149">
        <f>S32/S125/4</f>
        <v>0.12068597735695274</v>
      </c>
      <c r="T127" s="22">
        <f>T32/T125/4</f>
        <v>0.1168660992608718</v>
      </c>
      <c r="U127" s="22">
        <f>U32/U125/4</f>
        <v>0.12965193277505321</v>
      </c>
      <c r="V127" s="22">
        <f>V32/V125/4</f>
        <v>0.11910915152027135</v>
      </c>
      <c r="W127" s="158">
        <f>W32/W125</f>
        <v>0.13133787741721675</v>
      </c>
      <c r="X127" s="22"/>
      <c r="Y127" s="149">
        <f>Y32/Y125/4</f>
        <v>0.13555444721301399</v>
      </c>
      <c r="Z127" s="22">
        <f>Z32/Z125/4</f>
        <v>0.13397783992170897</v>
      </c>
      <c r="AA127" s="22">
        <f>AA32/AA125/4</f>
        <v>0.14326069042490497</v>
      </c>
      <c r="AB127" s="22">
        <f>AB32/AB125/4</f>
        <v>0.13368980631973576</v>
      </c>
      <c r="AC127" s="158">
        <f>AC32/AC125</f>
        <v>0.14992793541542451</v>
      </c>
      <c r="AD127" s="22"/>
      <c r="AE127" s="149">
        <f>AE32/AE125/4</f>
        <v>0.15342926540414287</v>
      </c>
      <c r="AF127" s="22">
        <f>AF32/AF125/4</f>
        <v>0.15685981084640249</v>
      </c>
      <c r="AG127" s="22">
        <f>AG32/AG125/4</f>
        <v>0.14389177472813869</v>
      </c>
      <c r="AH127" s="22">
        <f>AH32/AH125/4</f>
        <v>0.1337699474944006</v>
      </c>
      <c r="AI127" s="158">
        <f>AI32/AI125</f>
        <v>0.15314529519325754</v>
      </c>
      <c r="AJ127" s="22"/>
      <c r="AK127" s="149">
        <f>AK32/AK125/4</f>
        <v>0.15394774659200355</v>
      </c>
      <c r="AL127" s="22">
        <f>AL32/AL125/4</f>
        <v>0.15161293910052048</v>
      </c>
      <c r="AM127" s="22">
        <f>AM32/AM125/4</f>
        <v>0.16089012645462156</v>
      </c>
      <c r="AN127" s="22">
        <f>AN32/AN125/4</f>
        <v>0.15155176913063917</v>
      </c>
      <c r="AO127" s="158">
        <f>AO32/AO125</f>
        <v>0.17244661473506229</v>
      </c>
      <c r="AP127" s="22"/>
      <c r="AQ127" s="149">
        <f>AQ32/AQ125/4</f>
        <v>0.16717791411042943</v>
      </c>
      <c r="AR127" s="22">
        <f>AR32/AR125/4</f>
        <v>0.15825917986521293</v>
      </c>
      <c r="AS127" s="22">
        <f>AS32/AS125/4</f>
        <v>0.16001113392466676</v>
      </c>
      <c r="AT127" s="22">
        <f>AT32/AT125/4</f>
        <v>0.16469956079517586</v>
      </c>
      <c r="AU127" s="158">
        <f>AU32/AU125</f>
        <v>0.18074354203343482</v>
      </c>
      <c r="AV127" s="22"/>
      <c r="AW127" s="149">
        <f>AW32/AW125/4</f>
        <v>0.17175845147021895</v>
      </c>
      <c r="AX127" s="22">
        <f>AX32/AX125/4</f>
        <v>0.17261647633147262</v>
      </c>
      <c r="AY127" s="22">
        <f>AY32/AY125/4</f>
        <v>0.17140083269228173</v>
      </c>
      <c r="AZ127" s="22">
        <f>AZ32/AZ125/4</f>
        <v>0.16644515383755448</v>
      </c>
      <c r="BA127" s="158">
        <f>BA32/BA125</f>
        <v>0.18806948412219704</v>
      </c>
      <c r="BB127" s="22"/>
      <c r="BC127" s="149">
        <f>BC32/BC125/4</f>
        <v>0.17761277913153148</v>
      </c>
      <c r="BD127" s="22">
        <f>BD32/BD125/4</f>
        <v>0.17312293600124393</v>
      </c>
      <c r="BE127" s="22">
        <f>BE32/BE125/4</f>
        <v>0.16913297569348926</v>
      </c>
      <c r="BF127" s="22">
        <f>BF32/BF125/4</f>
        <v>0.16072858263420947</v>
      </c>
      <c r="BG127" s="158">
        <f>BG32/BG125</f>
        <v>0.16411395621481009</v>
      </c>
      <c r="BH127" s="22"/>
      <c r="BI127" s="149">
        <f>BI32/BI125/4</f>
        <v>0.1699647952904571</v>
      </c>
      <c r="BJ127" s="22">
        <f>BJ32/BJ125/4</f>
        <v>0.16058178752107927</v>
      </c>
      <c r="BK127" s="22">
        <f>BK32/BK125/4</f>
        <v>0.17016340778996961</v>
      </c>
      <c r="BL127" s="22">
        <f>BL32/BL125/4</f>
        <v>0.15513169907235558</v>
      </c>
      <c r="BM127" s="158">
        <f>BM32/BM125</f>
        <v>0.17807573536958071</v>
      </c>
      <c r="BN127" s="22"/>
      <c r="BO127" s="149">
        <f>BO32/BO125/4</f>
        <v>0.18871063733296428</v>
      </c>
      <c r="BP127" s="22">
        <f>BP32/BP125/4</f>
        <v>0.18982396277626989</v>
      </c>
      <c r="BQ127" s="22">
        <f>BQ32/BQ125/4</f>
        <v>0.19901144640998958</v>
      </c>
      <c r="BR127" s="22">
        <f>BR32/BR125/4</f>
        <v>0.2008134824156193</v>
      </c>
      <c r="BS127" s="158">
        <f>BS32/BS125</f>
        <v>0.19783845406458603</v>
      </c>
      <c r="BT127" s="22"/>
      <c r="BU127" s="149">
        <f>BU32/BU125/4</f>
        <v>0.20072222855765517</v>
      </c>
      <c r="BV127" s="22">
        <f>BV32/BV125/4</f>
        <v>0.22043534989719604</v>
      </c>
      <c r="BW127" s="22">
        <f>BW32/BW125/4</f>
        <v>0.16212324977261738</v>
      </c>
      <c r="BX127" s="22">
        <f>BX32/BX125/4</f>
        <v>0.14882003844275457</v>
      </c>
      <c r="BY127" s="158">
        <f>BY32/BY125</f>
        <v>0.17973919306536601</v>
      </c>
      <c r="BZ127" s="22"/>
      <c r="CA127" s="149">
        <f>CA32/CA125/4</f>
        <v>0.17614048156870285</v>
      </c>
      <c r="CB127" s="22">
        <f>CB32/CB125/4</f>
        <v>0.17186772065514103</v>
      </c>
      <c r="CC127" s="22">
        <f>CC32/CC125/4</f>
        <v>0.17457684210526317</v>
      </c>
      <c r="CD127" s="22">
        <f>CD32/CD125/4</f>
        <v>0.15909090909090906</v>
      </c>
      <c r="CE127" s="158">
        <f>CE32/CE125</f>
        <v>0.17480019443596612</v>
      </c>
      <c r="CF127" s="22"/>
      <c r="CG127" s="149">
        <f>CG32/CG125/4</f>
        <v>0.18104058518168947</v>
      </c>
      <c r="CH127" s="22">
        <f>CH32/CH125/4</f>
        <v>0.18079839429081179</v>
      </c>
      <c r="CI127" s="22">
        <f>CI32/CI125/4</f>
        <v>0.18753341650329708</v>
      </c>
      <c r="CJ127" s="22">
        <f>CJ32/CJ125/4</f>
        <v>0.17399217221135033</v>
      </c>
      <c r="CK127" s="158">
        <f>CK32/CK125</f>
        <v>0.19411816077900529</v>
      </c>
      <c r="CL127" s="22"/>
      <c r="CM127" s="149">
        <f>CM32/CM125/4</f>
        <v>0.19067336410534891</v>
      </c>
      <c r="CN127" s="22">
        <f>CN32/CN125/4</f>
        <v>0.18507297089698727</v>
      </c>
      <c r="CO127" s="22">
        <f>CO32/CO125/4</f>
        <v>0.18671279049139611</v>
      </c>
      <c r="CP127" s="22">
        <f>CP32/CP125/4</f>
        <v>0.19106138420151636</v>
      </c>
      <c r="CQ127" s="158">
        <f>CQ32/CQ125</f>
        <v>0.20245319282181962</v>
      </c>
      <c r="CR127" s="22"/>
      <c r="CS127" s="149">
        <f>CS32/CS125/4</f>
        <v>0.29854887632703708</v>
      </c>
      <c r="CT127" s="22">
        <f>CT32/CT125/4</f>
        <v>0.2854687704596045</v>
      </c>
      <c r="CU127" s="22">
        <f>CU32/CU125/4</f>
        <v>0.28097973807758836</v>
      </c>
      <c r="CV127" s="22">
        <f>CV32/CV125/4</f>
        <v>0.16844563849356181</v>
      </c>
      <c r="CW127" s="158">
        <f>CW32/CW125</f>
        <v>0.20891243658631767</v>
      </c>
      <c r="CX127" s="22"/>
      <c r="CY127" s="149">
        <f>CY32/CY125/4</f>
        <v>0.27305327868852458</v>
      </c>
      <c r="CZ127" s="22">
        <f>CZ32/CZ125/4</f>
        <v>0.26781683327958727</v>
      </c>
      <c r="DA127" s="22">
        <f>DA32/DA125/4</f>
        <v>0.18342722496072802</v>
      </c>
      <c r="DB127" s="22">
        <f>DB32/DB125/4</f>
        <v>0.17811735354795374</v>
      </c>
      <c r="DC127" s="158">
        <f>DC32/DC125</f>
        <v>0.19674607170301278</v>
      </c>
      <c r="DD127" s="22"/>
      <c r="DE127" s="149">
        <f>DE32/DE125/4</f>
        <v>0.18731965373517154</v>
      </c>
      <c r="DF127" s="22">
        <f>DF32/DF125/4</f>
        <v>0.17777058002790513</v>
      </c>
      <c r="DG127" s="22">
        <f>DG32/DG125/4</f>
        <v>0.18853570352515817</v>
      </c>
      <c r="DH127" s="22">
        <f>DH32/DH125/4</f>
        <v>0.16802056440843943</v>
      </c>
      <c r="DI127" s="158">
        <f>DI32/DI125</f>
        <v>0.18603533673393952</v>
      </c>
      <c r="DJ127" s="22"/>
      <c r="DK127" s="365">
        <v>0.17</v>
      </c>
      <c r="DL127" s="341">
        <f t="shared" ref="DL127:DN127" si="600">+DK127</f>
        <v>0.17</v>
      </c>
      <c r="DM127" s="341">
        <f t="shared" si="600"/>
        <v>0.17</v>
      </c>
      <c r="DN127" s="341">
        <f t="shared" si="600"/>
        <v>0.17</v>
      </c>
      <c r="DO127" s="158">
        <f>DO32/DO125</f>
        <v>0.18285504476192715</v>
      </c>
      <c r="DP127" s="22"/>
      <c r="DQ127" s="365">
        <f>+DK127</f>
        <v>0.17</v>
      </c>
      <c r="DR127" s="341">
        <f t="shared" ref="DR127:DT127" si="601">+DQ127</f>
        <v>0.17</v>
      </c>
      <c r="DS127" s="341">
        <f t="shared" si="601"/>
        <v>0.17</v>
      </c>
      <c r="DT127" s="341">
        <f t="shared" si="601"/>
        <v>0.17</v>
      </c>
      <c r="DU127" s="158">
        <f>DU32/DU125</f>
        <v>0.1829558735576684</v>
      </c>
      <c r="DV127" s="22"/>
      <c r="DW127" s="365">
        <f>+DQ127</f>
        <v>0.17</v>
      </c>
      <c r="DX127" s="341">
        <f t="shared" ref="DX127:DX128" si="602">+DW127</f>
        <v>0.17</v>
      </c>
      <c r="DY127" s="341">
        <f t="shared" ref="DY127:DY128" si="603">+DX127</f>
        <v>0.17</v>
      </c>
      <c r="DZ127" s="341">
        <f t="shared" ref="DZ127:DZ128" si="604">+DY127</f>
        <v>0.17</v>
      </c>
      <c r="EA127" s="158">
        <f>EA32/EA125</f>
        <v>0.18341829971497023</v>
      </c>
      <c r="EB127" s="22"/>
      <c r="EC127" s="365">
        <f t="shared" ref="EC127" si="605">+DW127</f>
        <v>0.17</v>
      </c>
      <c r="ED127" s="341">
        <f t="shared" ref="ED127:ED128" si="606">+EC127</f>
        <v>0.17</v>
      </c>
      <c r="EE127" s="341">
        <f t="shared" ref="EE127:EE128" si="607">+ED127</f>
        <v>0.17</v>
      </c>
      <c r="EF127" s="341">
        <f t="shared" ref="EF127:EF128" si="608">+EE127</f>
        <v>0.17</v>
      </c>
      <c r="EG127" s="158">
        <f t="shared" ref="EG127" si="609">EG32/EG125</f>
        <v>0.1841560495181411</v>
      </c>
      <c r="EH127" s="9"/>
      <c r="EI127" s="486"/>
      <c r="EJ127" s="7"/>
    </row>
    <row r="128" spans="1:140" ht="11.25" customHeight="1" x14ac:dyDescent="0.2">
      <c r="A128" s="51" t="s">
        <v>125</v>
      </c>
      <c r="B128" s="2"/>
      <c r="C128" s="2"/>
      <c r="D128" s="2"/>
      <c r="E128" s="158">
        <f>E33/E125</f>
        <v>0.2454413108854871</v>
      </c>
      <c r="F128" s="22"/>
      <c r="G128" s="158">
        <f>G33/G125</f>
        <v>0.25393586484221869</v>
      </c>
      <c r="H128" s="22"/>
      <c r="I128" s="158">
        <f>I33/I125</f>
        <v>0.23560527166667858</v>
      </c>
      <c r="J128" s="22"/>
      <c r="K128" s="158">
        <f>K33/K125</f>
        <v>0.29140344884617425</v>
      </c>
      <c r="L128" s="22"/>
      <c r="M128" s="149">
        <f>M33/M125/4</f>
        <v>0.26662295728946694</v>
      </c>
      <c r="N128" s="22">
        <f>N33/N125/4</f>
        <v>0.27080853259934629</v>
      </c>
      <c r="O128" s="22">
        <f>O33/O125/4</f>
        <v>0.29464967222394683</v>
      </c>
      <c r="P128" s="22">
        <f>P33/P125/4</f>
        <v>0.30542109232931058</v>
      </c>
      <c r="Q128" s="158">
        <f>Q33/Q125</f>
        <v>0.3034340493073861</v>
      </c>
      <c r="R128" s="22"/>
      <c r="S128" s="149">
        <f>S33/S125/4</f>
        <v>0.34135301121964268</v>
      </c>
      <c r="T128" s="22">
        <f>T33/T125/4</f>
        <v>0.31391471531881671</v>
      </c>
      <c r="U128" s="22">
        <f>U33/U125/4</f>
        <v>0.32679267488664754</v>
      </c>
      <c r="V128" s="22">
        <f>V33/V125/4</f>
        <v>0.25544165524053364</v>
      </c>
      <c r="W128" s="158">
        <f>W33/W125</f>
        <v>0.28166739813877667</v>
      </c>
      <c r="X128" s="22"/>
      <c r="Y128" s="149">
        <f>Y33/Y125/4</f>
        <v>0.28167912065596801</v>
      </c>
      <c r="Z128" s="22">
        <f>Z33/Z125/4</f>
        <v>0.26498781221515572</v>
      </c>
      <c r="AA128" s="22">
        <f>AA33/AA125/4</f>
        <v>0.26986412377371083</v>
      </c>
      <c r="AB128" s="22">
        <f>AB33/AB125/4</f>
        <v>0.25229649779140501</v>
      </c>
      <c r="AC128" s="158">
        <f>AC33/AC125</f>
        <v>0.28294074221292004</v>
      </c>
      <c r="AD128" s="22"/>
      <c r="AE128" s="149">
        <f>AE33/AE125/4</f>
        <v>0.26870675380785808</v>
      </c>
      <c r="AF128" s="22">
        <f>AF33/AF125/4</f>
        <v>0.2935132907766243</v>
      </c>
      <c r="AG128" s="22">
        <f>AG33/AG125/4</f>
        <v>0.27606232815938059</v>
      </c>
      <c r="AH128" s="22">
        <f>AH33/AH125/4</f>
        <v>0.25471619351014707</v>
      </c>
      <c r="AI128" s="158">
        <f>AI33/AI125</f>
        <v>0.29160949358410426</v>
      </c>
      <c r="AJ128" s="22"/>
      <c r="AK128" s="149">
        <f>AK33/AK125/4</f>
        <v>0.27681881944946723</v>
      </c>
      <c r="AL128" s="22">
        <f>AL33/AL125/4</f>
        <v>0.27944373804475159</v>
      </c>
      <c r="AM128" s="22">
        <f>AM33/AM125/4</f>
        <v>0.30418599307646643</v>
      </c>
      <c r="AN128" s="22">
        <f>AN33/AN125/4</f>
        <v>0.25201022613495311</v>
      </c>
      <c r="AO128" s="158">
        <f>AO33/AO125</f>
        <v>0.28675554647025381</v>
      </c>
      <c r="AP128" s="22"/>
      <c r="AQ128" s="149">
        <f>AQ33/AQ125/4</f>
        <v>0.27778939808379538</v>
      </c>
      <c r="AR128" s="22">
        <f>AR33/AR125/4</f>
        <v>0.27678238206128652</v>
      </c>
      <c r="AS128" s="22">
        <f>AS33/AS125/4</f>
        <v>0.28543396157772788</v>
      </c>
      <c r="AT128" s="22">
        <f>AT33/AT125/4</f>
        <v>0.25878496119515731</v>
      </c>
      <c r="AU128" s="158">
        <f>AU33/AU125</f>
        <v>0.28399414233755349</v>
      </c>
      <c r="AV128" s="22"/>
      <c r="AW128" s="149">
        <f>AW33/AW125/4</f>
        <v>0.20238822377462459</v>
      </c>
      <c r="AX128" s="22">
        <f>AX33/AX125/4</f>
        <v>0.17747638459592041</v>
      </c>
      <c r="AY128" s="22">
        <f>AY33/AY125/4</f>
        <v>0.17815076858712228</v>
      </c>
      <c r="AZ128" s="22">
        <f>AZ33/AZ125/4</f>
        <v>0.20092500090202153</v>
      </c>
      <c r="BA128" s="158">
        <f>BA33/BA125</f>
        <v>0.22702890649357679</v>
      </c>
      <c r="BB128" s="22"/>
      <c r="BC128" s="149">
        <f>BC33/BC125/4</f>
        <v>0.23828715122911598</v>
      </c>
      <c r="BD128" s="22">
        <f>BD33/BD125/4</f>
        <v>0.23023057607467179</v>
      </c>
      <c r="BE128" s="22">
        <f>BE33/BE125/4</f>
        <v>0.22778333787893693</v>
      </c>
      <c r="BF128" s="22">
        <f>BF33/BF125/4</f>
        <v>0.22241545437205817</v>
      </c>
      <c r="BG128" s="158">
        <f>BG33/BG125</f>
        <v>0.22710011836154942</v>
      </c>
      <c r="BH128" s="22"/>
      <c r="BI128" s="149">
        <f>BI33/BI125/4</f>
        <v>0.26782530575874552</v>
      </c>
      <c r="BJ128" s="22">
        <f>BJ33/BJ125/4</f>
        <v>0.27636607762835319</v>
      </c>
      <c r="BK128" s="22">
        <f>BK33/BK125/4</f>
        <v>0.28929851385150823</v>
      </c>
      <c r="BL128" s="22">
        <f>BL33/BL125/4</f>
        <v>0.24568901161222703</v>
      </c>
      <c r="BM128" s="158">
        <f>BM33/BM125</f>
        <v>0.28202650829387615</v>
      </c>
      <c r="BN128" s="22"/>
      <c r="BO128" s="149">
        <f>BO33/BO125/4</f>
        <v>0.26516242754774327</v>
      </c>
      <c r="BP128" s="22">
        <f>BP33/BP125/4</f>
        <v>0.26336518030244283</v>
      </c>
      <c r="BQ128" s="22">
        <f>BQ33/BQ125/4</f>
        <v>0.31418018490094879</v>
      </c>
      <c r="BR128" s="22">
        <f>BR33/BR125/4</f>
        <v>0.33829171335398156</v>
      </c>
      <c r="BS128" s="158">
        <f>BS33/BS125</f>
        <v>0.33327996102519747</v>
      </c>
      <c r="BT128" s="22"/>
      <c r="BU128" s="149">
        <f>BU33/BU125/4</f>
        <v>0.32814958129987537</v>
      </c>
      <c r="BV128" s="22">
        <f>BV33/BV125/4</f>
        <v>0.39548113592412121</v>
      </c>
      <c r="BW128" s="22">
        <f>BW33/BW125/4</f>
        <v>0.2844008457130533</v>
      </c>
      <c r="BX128" s="22">
        <f>BX33/BX125/4</f>
        <v>0.27737686161319791</v>
      </c>
      <c r="BY128" s="158">
        <f>BY33/BY125</f>
        <v>0.33500524393788145</v>
      </c>
      <c r="BZ128" s="22"/>
      <c r="CA128" s="149">
        <f>CA33/CA125/4</f>
        <v>0.28637910318642767</v>
      </c>
      <c r="CB128" s="22">
        <f>CB33/CB125/4</f>
        <v>0.28016753867151956</v>
      </c>
      <c r="CC128" s="22">
        <f>CC33/CC125/4</f>
        <v>0.27918058479532165</v>
      </c>
      <c r="CD128" s="22">
        <f>CD33/CD125/4</f>
        <v>0.26794312523149094</v>
      </c>
      <c r="CE128" s="158">
        <f>CE33/CE125</f>
        <v>0.29440092244039745</v>
      </c>
      <c r="CF128" s="22"/>
      <c r="CG128" s="149">
        <f>CG33/CG125/4</f>
        <v>0.27430391694195377</v>
      </c>
      <c r="CH128" s="22">
        <f>CH33/CH125/4</f>
        <v>0.27399643175735949</v>
      </c>
      <c r="CI128" s="22">
        <f>CI33/CI125/4</f>
        <v>0.28284842274104438</v>
      </c>
      <c r="CJ128" s="22">
        <f>CJ33/CJ125/4</f>
        <v>0.26584148727984352</v>
      </c>
      <c r="CK128" s="158">
        <f>CK33/CK125</f>
        <v>0.29659185188419723</v>
      </c>
      <c r="CL128" s="22"/>
      <c r="CM128" s="149">
        <f>CM33/CM125/4</f>
        <v>0.28904199475065617</v>
      </c>
      <c r="CN128" s="22">
        <f>CN33/CN125/4</f>
        <v>0.27981778612272767</v>
      </c>
      <c r="CO128" s="22">
        <f>CO33/CO125/4</f>
        <v>0.30110209331204535</v>
      </c>
      <c r="CP128" s="22">
        <f>CP33/CP125/4</f>
        <v>0.35150199722833636</v>
      </c>
      <c r="CQ128" s="158">
        <f>CQ33/CQ125</f>
        <v>0.37245988727406226</v>
      </c>
      <c r="CR128" s="22"/>
      <c r="CS128" s="149">
        <f>CS33/CS125/4</f>
        <v>0.53369295463945954</v>
      </c>
      <c r="CT128" s="22">
        <f>CT33/CT125/4</f>
        <v>0.52399502422417177</v>
      </c>
      <c r="CU128" s="22">
        <f>CU33/CU125/4</f>
        <v>0.50569866567828026</v>
      </c>
      <c r="CV128" s="22">
        <f>CV33/CV125/4</f>
        <v>0.31578565204763287</v>
      </c>
      <c r="CW128" s="158">
        <f>CW33/CW125</f>
        <v>0.39164890583255785</v>
      </c>
      <c r="CX128" s="22"/>
      <c r="CY128" s="149">
        <f>CY33/CY125/4</f>
        <v>0.4561560792349727</v>
      </c>
      <c r="CZ128" s="22">
        <f>CZ33/CZ125/4</f>
        <v>0.45525636891325377</v>
      </c>
      <c r="DA128" s="22">
        <f>DA33/DA125/4</f>
        <v>0.35206651860679272</v>
      </c>
      <c r="DB128" s="22">
        <f>DB33/DB125/4</f>
        <v>0.33514849110012951</v>
      </c>
      <c r="DC128" s="158">
        <f>DC33/DC125</f>
        <v>0.37020058825088104</v>
      </c>
      <c r="DD128" s="22"/>
      <c r="DE128" s="149">
        <f>DE33/DE125/4</f>
        <v>0.31793042641872393</v>
      </c>
      <c r="DF128" s="22">
        <f>DF33/DF125/4</f>
        <v>0.32465866055411602</v>
      </c>
      <c r="DG128" s="22">
        <f>DG33/DG125/4</f>
        <v>0.33939690669880485</v>
      </c>
      <c r="DH128" s="22">
        <f>DH33/DH125/4</f>
        <v>0.34359699100863528</v>
      </c>
      <c r="DI128" s="158">
        <f>DI33/DI125</f>
        <v>0.38043665754909928</v>
      </c>
      <c r="DJ128" s="22"/>
      <c r="DK128" s="365">
        <v>0.33500000000000002</v>
      </c>
      <c r="DL128" s="341">
        <f t="shared" ref="DL128:DN128" si="610">+DK128</f>
        <v>0.33500000000000002</v>
      </c>
      <c r="DM128" s="341">
        <f t="shared" si="610"/>
        <v>0.33500000000000002</v>
      </c>
      <c r="DN128" s="341">
        <f t="shared" si="610"/>
        <v>0.33500000000000002</v>
      </c>
      <c r="DO128" s="158">
        <f>DO33/DO125</f>
        <v>0.36033199997203291</v>
      </c>
      <c r="DP128" s="22"/>
      <c r="DQ128" s="365">
        <f>+DN128</f>
        <v>0.33500000000000002</v>
      </c>
      <c r="DR128" s="341">
        <f t="shared" ref="DR128:DT128" si="611">+DQ128</f>
        <v>0.33500000000000002</v>
      </c>
      <c r="DS128" s="341">
        <f t="shared" si="611"/>
        <v>0.33500000000000002</v>
      </c>
      <c r="DT128" s="341">
        <f t="shared" si="611"/>
        <v>0.33500000000000002</v>
      </c>
      <c r="DU128" s="158">
        <f>DU33/DU125</f>
        <v>0.36053069201069948</v>
      </c>
      <c r="DV128" s="22"/>
      <c r="DW128" s="365">
        <f>+DT128</f>
        <v>0.33500000000000002</v>
      </c>
      <c r="DX128" s="341">
        <f t="shared" si="602"/>
        <v>0.33500000000000002</v>
      </c>
      <c r="DY128" s="341">
        <f t="shared" si="603"/>
        <v>0.33500000000000002</v>
      </c>
      <c r="DZ128" s="341">
        <f t="shared" si="604"/>
        <v>0.33500000000000002</v>
      </c>
      <c r="EA128" s="158">
        <f t="shared" ref="EA128" si="612">EA33/EA125</f>
        <v>0.36144194355597076</v>
      </c>
      <c r="EB128" s="22"/>
      <c r="EC128" s="365">
        <f>+DZ128</f>
        <v>0.33500000000000002</v>
      </c>
      <c r="ED128" s="341">
        <f t="shared" si="606"/>
        <v>0.33500000000000002</v>
      </c>
      <c r="EE128" s="341">
        <f t="shared" si="607"/>
        <v>0.33500000000000002</v>
      </c>
      <c r="EF128" s="341">
        <f t="shared" si="608"/>
        <v>0.33500000000000002</v>
      </c>
      <c r="EG128" s="158">
        <f t="shared" ref="EG128" si="613">EG33/EG125</f>
        <v>0.36289574463868984</v>
      </c>
      <c r="EH128" s="9"/>
      <c r="EI128" s="486"/>
      <c r="EJ128" s="7"/>
    </row>
    <row r="129" spans="1:140" ht="11.25" customHeight="1" x14ac:dyDescent="0.2">
      <c r="A129" s="51"/>
      <c r="B129" s="2"/>
      <c r="C129" s="2"/>
      <c r="D129" s="2"/>
      <c r="E129" s="52"/>
      <c r="F129" s="27"/>
      <c r="G129" s="52"/>
      <c r="H129" s="27"/>
      <c r="I129" s="52"/>
      <c r="J129" s="27"/>
      <c r="K129" s="52"/>
      <c r="L129" s="27"/>
      <c r="M129" s="155"/>
      <c r="N129" s="9"/>
      <c r="O129" s="9"/>
      <c r="P129" s="9"/>
      <c r="Q129" s="52"/>
      <c r="R129" s="27"/>
      <c r="S129" s="155"/>
      <c r="T129" s="9"/>
      <c r="U129" s="9"/>
      <c r="V129" s="9"/>
      <c r="W129" s="52"/>
      <c r="X129" s="27"/>
      <c r="Y129" s="155"/>
      <c r="Z129" s="9"/>
      <c r="AA129" s="9"/>
      <c r="AB129" s="9"/>
      <c r="AC129" s="52"/>
      <c r="AD129" s="27"/>
      <c r="AE129" s="155"/>
      <c r="AF129" s="9"/>
      <c r="AG129" s="9"/>
      <c r="AH129" s="9"/>
      <c r="AI129" s="52"/>
      <c r="AJ129" s="27"/>
      <c r="AK129" s="155"/>
      <c r="AL129" s="9"/>
      <c r="AM129" s="9"/>
      <c r="AN129" s="9"/>
      <c r="AO129" s="52"/>
      <c r="AP129" s="27"/>
      <c r="AQ129" s="155"/>
      <c r="AR129" s="9"/>
      <c r="AS129" s="9"/>
      <c r="AT129" s="9"/>
      <c r="AU129" s="52"/>
      <c r="AV129" s="27"/>
      <c r="AW129" s="155"/>
      <c r="AX129" s="9"/>
      <c r="AY129" s="9"/>
      <c r="AZ129" s="9"/>
      <c r="BA129" s="52"/>
      <c r="BB129" s="27"/>
      <c r="BC129" s="155"/>
      <c r="BD129" s="9"/>
      <c r="BE129" s="9"/>
      <c r="BF129" s="9"/>
      <c r="BG129" s="52"/>
      <c r="BH129" s="27"/>
      <c r="BI129" s="155"/>
      <c r="BJ129" s="9"/>
      <c r="BK129" s="9"/>
      <c r="BL129" s="9"/>
      <c r="BM129" s="52"/>
      <c r="BN129" s="27"/>
      <c r="BO129" s="155"/>
      <c r="BP129" s="9"/>
      <c r="BQ129" s="9"/>
      <c r="BR129" s="9"/>
      <c r="BS129" s="52"/>
      <c r="BT129" s="27"/>
      <c r="BU129" s="155"/>
      <c r="BV129" s="9"/>
      <c r="BW129" s="9"/>
      <c r="BX129" s="9"/>
      <c r="BY129" s="52"/>
      <c r="BZ129" s="27"/>
      <c r="CA129" s="155"/>
      <c r="CB129" s="9"/>
      <c r="CC129" s="9"/>
      <c r="CD129" s="9"/>
      <c r="CE129" s="52"/>
      <c r="CF129" s="27"/>
      <c r="CG129" s="155"/>
      <c r="CH129" s="9"/>
      <c r="CI129" s="9"/>
      <c r="CJ129" s="9"/>
      <c r="CK129" s="52"/>
      <c r="CL129" s="27"/>
      <c r="CM129" s="155"/>
      <c r="CN129" s="9"/>
      <c r="CO129" s="9"/>
      <c r="CP129" s="9"/>
      <c r="CQ129" s="52"/>
      <c r="CR129" s="27"/>
      <c r="CS129" s="155"/>
      <c r="CT129" s="9"/>
      <c r="CU129" s="9"/>
      <c r="CV129" s="9"/>
      <c r="CW129" s="52"/>
      <c r="CX129" s="27"/>
      <c r="CY129" s="155"/>
      <c r="CZ129" s="9"/>
      <c r="DA129" s="9"/>
      <c r="DB129" s="9"/>
      <c r="DC129" s="52"/>
      <c r="DD129" s="27"/>
      <c r="DE129" s="155"/>
      <c r="DF129" s="9"/>
      <c r="DG129" s="9"/>
      <c r="DH129" s="9"/>
      <c r="DI129" s="52"/>
      <c r="DJ129" s="27"/>
      <c r="DK129" s="155"/>
      <c r="DL129" s="9"/>
      <c r="DM129" s="9"/>
      <c r="DN129" s="9"/>
      <c r="DO129" s="52"/>
      <c r="DP129" s="27"/>
      <c r="DQ129" s="155"/>
      <c r="DR129" s="9"/>
      <c r="DS129" s="9"/>
      <c r="DT129" s="9"/>
      <c r="DU129" s="52"/>
      <c r="DV129" s="27"/>
      <c r="DW129" s="155"/>
      <c r="DX129" s="9"/>
      <c r="DY129" s="9"/>
      <c r="DZ129" s="9"/>
      <c r="EA129" s="52"/>
      <c r="EB129" s="27"/>
      <c r="EC129" s="155"/>
      <c r="ED129" s="9"/>
      <c r="EE129" s="9"/>
      <c r="EF129" s="9"/>
      <c r="EG129" s="52"/>
      <c r="EH129" s="9"/>
      <c r="EI129" s="486"/>
      <c r="EJ129" s="10"/>
    </row>
    <row r="130" spans="1:140" ht="11.25" customHeight="1" x14ac:dyDescent="0.2">
      <c r="A130" s="51" t="s">
        <v>116</v>
      </c>
      <c r="B130" s="2"/>
      <c r="C130" s="2"/>
      <c r="D130" s="2"/>
      <c r="E130" s="93">
        <f>E13</f>
        <v>403.858</v>
      </c>
      <c r="F130" s="126"/>
      <c r="G130" s="93">
        <f>G13</f>
        <v>485.54300000000001</v>
      </c>
      <c r="H130" s="126"/>
      <c r="I130" s="93">
        <f>I13</f>
        <v>544.73800000000006</v>
      </c>
      <c r="J130" s="126"/>
      <c r="K130" s="93">
        <f>K13</f>
        <v>704.21400000000006</v>
      </c>
      <c r="L130" s="126"/>
      <c r="M130" s="82">
        <f t="shared" ref="M130:Q131" si="614">M13</f>
        <v>647.774</v>
      </c>
      <c r="N130" s="67">
        <f t="shared" si="614"/>
        <v>635.29499999999996</v>
      </c>
      <c r="O130" s="67">
        <f t="shared" si="614"/>
        <v>632.81100000000004</v>
      </c>
      <c r="P130" s="67">
        <f t="shared" si="614"/>
        <v>585.31799999999998</v>
      </c>
      <c r="Q130" s="93">
        <f t="shared" si="614"/>
        <v>585.31799999999998</v>
      </c>
      <c r="R130" s="126"/>
      <c r="S130" s="82">
        <f t="shared" ref="S130:W131" si="615">S13</f>
        <v>721.20899999999995</v>
      </c>
      <c r="T130" s="67">
        <f t="shared" si="615"/>
        <v>746.40499999999997</v>
      </c>
      <c r="U130" s="67">
        <f t="shared" si="615"/>
        <v>757.00599999999997</v>
      </c>
      <c r="V130" s="67">
        <f t="shared" si="615"/>
        <v>759.02800000000002</v>
      </c>
      <c r="W130" s="93">
        <f t="shared" si="615"/>
        <v>759.02800000000002</v>
      </c>
      <c r="X130" s="126"/>
      <c r="Y130" s="82">
        <f t="shared" ref="Y130:AC131" si="616">Y13</f>
        <v>770.33900000000006</v>
      </c>
      <c r="Z130" s="67">
        <f t="shared" si="616"/>
        <v>784.06200000000001</v>
      </c>
      <c r="AA130" s="67">
        <f t="shared" si="616"/>
        <v>836.58600000000001</v>
      </c>
      <c r="AB130" s="67">
        <f t="shared" si="616"/>
        <v>868.09699999999998</v>
      </c>
      <c r="AC130" s="93">
        <f t="shared" si="616"/>
        <v>868.09699999999998</v>
      </c>
      <c r="AD130" s="126"/>
      <c r="AE130" s="82">
        <f t="shared" ref="AE130:AI131" si="617">AE13</f>
        <v>951.66099999999994</v>
      </c>
      <c r="AF130" s="67">
        <f t="shared" si="617"/>
        <v>1094.029</v>
      </c>
      <c r="AG130" s="67">
        <f t="shared" si="617"/>
        <v>1110.2809999999999</v>
      </c>
      <c r="AH130" s="67">
        <f t="shared" si="617"/>
        <v>1231.0650000000001</v>
      </c>
      <c r="AI130" s="93">
        <f t="shared" si="617"/>
        <v>1231.0650000000001</v>
      </c>
      <c r="AJ130" s="126"/>
      <c r="AK130" s="82">
        <f t="shared" ref="AK130:AM131" si="618">AK13</f>
        <v>1164.672</v>
      </c>
      <c r="AL130" s="67">
        <f t="shared" si="618"/>
        <v>1176.5820000000001</v>
      </c>
      <c r="AM130" s="67">
        <f t="shared" si="618"/>
        <v>1364.32</v>
      </c>
      <c r="AN130" s="67">
        <f t="shared" ref="AN130:AN134" si="619">AO130</f>
        <v>1407.8579999999999</v>
      </c>
      <c r="AO130" s="93">
        <f>AO13</f>
        <v>1407.8579999999999</v>
      </c>
      <c r="AP130" s="126"/>
      <c r="AQ130" s="82">
        <f t="shared" ref="AQ130:AS131" si="620">AQ13</f>
        <v>1388.559</v>
      </c>
      <c r="AR130" s="67">
        <f t="shared" si="620"/>
        <v>1561.3209999999999</v>
      </c>
      <c r="AS130" s="67">
        <f t="shared" si="620"/>
        <v>1595.579</v>
      </c>
      <c r="AT130" s="67">
        <f t="shared" ref="AT130:AT134" si="621">AU130</f>
        <v>1674.97</v>
      </c>
      <c r="AU130" s="93">
        <f>AU13</f>
        <v>1674.97</v>
      </c>
      <c r="AV130" s="126"/>
      <c r="AW130" s="82">
        <f t="shared" ref="AW130:AZ131" si="622">AW13</f>
        <v>1682.874</v>
      </c>
      <c r="AX130" s="67">
        <f t="shared" si="622"/>
        <v>1732.1859999999999</v>
      </c>
      <c r="AY130" s="67">
        <f t="shared" si="622"/>
        <v>1826.7090000000001</v>
      </c>
      <c r="AZ130" s="67">
        <f t="shared" si="622"/>
        <v>1984.384</v>
      </c>
      <c r="BA130" s="93">
        <f t="shared" ref="BA130:BA134" si="623">AZ130</f>
        <v>1984.384</v>
      </c>
      <c r="BB130" s="126"/>
      <c r="BC130" s="82">
        <f t="shared" ref="BC130:BF131" si="624">BC13</f>
        <v>2099.5079999999998</v>
      </c>
      <c r="BD130" s="67">
        <f t="shared" si="624"/>
        <v>2094.317</v>
      </c>
      <c r="BE130" s="67">
        <f t="shared" si="624"/>
        <v>2100.7950000000001</v>
      </c>
      <c r="BF130" s="67">
        <f t="shared" si="624"/>
        <v>1894.585</v>
      </c>
      <c r="BG130" s="93">
        <f t="shared" ref="BG130:BG134" si="625">BF130</f>
        <v>1894.585</v>
      </c>
      <c r="BH130" s="126"/>
      <c r="BI130" s="82">
        <f t="shared" ref="BI130:BL131" si="626">BI13</f>
        <v>1707.133</v>
      </c>
      <c r="BJ130" s="67">
        <f t="shared" si="626"/>
        <v>1750.114</v>
      </c>
      <c r="BK130" s="67">
        <f t="shared" si="626"/>
        <v>1836.2550000000001</v>
      </c>
      <c r="BL130" s="67">
        <f t="shared" si="626"/>
        <v>1916.8309999999999</v>
      </c>
      <c r="BM130" s="93">
        <f t="shared" ref="BM130:BM134" si="627">BL130</f>
        <v>1916.8309999999999</v>
      </c>
      <c r="BN130" s="126"/>
      <c r="BO130" s="82">
        <f t="shared" ref="BO130:BR131" si="628">BO13</f>
        <v>1981.4110000000001</v>
      </c>
      <c r="BP130" s="67">
        <f t="shared" si="628"/>
        <v>2025.9780000000001</v>
      </c>
      <c r="BQ130" s="67">
        <f t="shared" si="628"/>
        <v>2032.6610000000001</v>
      </c>
      <c r="BR130" s="67">
        <f t="shared" si="628"/>
        <v>2218.9749999999999</v>
      </c>
      <c r="BS130" s="93">
        <f t="shared" ref="BS130:BS134" si="629">BR130</f>
        <v>2218.9749999999999</v>
      </c>
      <c r="BT130" s="126"/>
      <c r="BU130" s="82">
        <f t="shared" ref="BU130:BX131" si="630">BU13</f>
        <v>2210.2240000000002</v>
      </c>
      <c r="BV130" s="67">
        <f t="shared" si="630"/>
        <v>3099.4180000000001</v>
      </c>
      <c r="BW130" s="67">
        <f t="shared" si="630"/>
        <v>3007.192</v>
      </c>
      <c r="BX130" s="67">
        <f t="shared" si="630"/>
        <v>3049.895</v>
      </c>
      <c r="BY130" s="93">
        <f t="shared" ref="BY130:BY134" si="631">BX130</f>
        <v>3049.895</v>
      </c>
      <c r="BZ130" s="126"/>
      <c r="CA130" s="82">
        <f t="shared" ref="CA130:CD131" si="632">CA13</f>
        <v>2996.4569999999999</v>
      </c>
      <c r="CB130" s="67">
        <f t="shared" si="632"/>
        <v>3094.25</v>
      </c>
      <c r="CC130" s="67">
        <f t="shared" si="632"/>
        <v>2984.7280000000001</v>
      </c>
      <c r="CD130" s="67">
        <f t="shared" si="632"/>
        <v>3267.3</v>
      </c>
      <c r="CE130" s="93">
        <f t="shared" ref="CE130:CE134" si="633">CD130</f>
        <v>3267.3</v>
      </c>
      <c r="CF130" s="126"/>
      <c r="CG130" s="82">
        <f t="shared" ref="CG130:CK131" si="634">CG13</f>
        <v>3118.3</v>
      </c>
      <c r="CH130" s="67">
        <f t="shared" si="634"/>
        <v>3281.4</v>
      </c>
      <c r="CI130" s="67">
        <f t="shared" si="634"/>
        <v>3372.7</v>
      </c>
      <c r="CJ130" s="67">
        <f t="shared" si="634"/>
        <v>3451.6</v>
      </c>
      <c r="CK130" s="93">
        <f t="shared" si="634"/>
        <v>3451.6</v>
      </c>
      <c r="CL130" s="126"/>
      <c r="CM130" s="82">
        <f t="shared" ref="CM130:CQ131" si="635">CM13</f>
        <v>3467.6</v>
      </c>
      <c r="CN130" s="67">
        <f t="shared" si="635"/>
        <v>3631.8</v>
      </c>
      <c r="CO130" s="67">
        <f t="shared" si="635"/>
        <v>3498.1</v>
      </c>
      <c r="CP130" s="67">
        <f t="shared" si="635"/>
        <v>3633.8</v>
      </c>
      <c r="CQ130" s="93">
        <f t="shared" si="635"/>
        <v>3633.8</v>
      </c>
      <c r="CR130" s="126"/>
      <c r="CS130" s="82">
        <f t="shared" ref="CS130:CW131" si="636">CS13</f>
        <v>3446.9</v>
      </c>
      <c r="CT130" s="67">
        <f t="shared" si="636"/>
        <v>3565.2</v>
      </c>
      <c r="CU130" s="67">
        <f t="shared" si="636"/>
        <v>3906.1</v>
      </c>
      <c r="CV130" s="67">
        <f t="shared" si="636"/>
        <v>3964.1</v>
      </c>
      <c r="CW130" s="93">
        <f t="shared" si="636"/>
        <v>3964.1</v>
      </c>
      <c r="CX130" s="126"/>
      <c r="CY130" s="82">
        <f t="shared" ref="CY130:DC131" si="637">CY13</f>
        <v>3871.2</v>
      </c>
      <c r="CZ130" s="67">
        <f t="shared" si="637"/>
        <v>3994.8</v>
      </c>
      <c r="DA130" s="67">
        <f t="shared" si="637"/>
        <v>3081.8</v>
      </c>
      <c r="DB130" s="67">
        <f t="shared" si="637"/>
        <v>3186.1</v>
      </c>
      <c r="DC130" s="93">
        <f t="shared" si="637"/>
        <v>3186.1</v>
      </c>
      <c r="DD130" s="126"/>
      <c r="DE130" s="82">
        <f t="shared" ref="DE130:DI131" si="638">DE13</f>
        <v>3034.9</v>
      </c>
      <c r="DF130" s="67">
        <f t="shared" si="638"/>
        <v>3214.8</v>
      </c>
      <c r="DG130" s="67">
        <f t="shared" si="638"/>
        <v>3254.6</v>
      </c>
      <c r="DH130" s="67">
        <f t="shared" si="638"/>
        <v>3521.8</v>
      </c>
      <c r="DI130" s="93">
        <f t="shared" si="638"/>
        <v>3521.8</v>
      </c>
      <c r="DJ130" s="126"/>
      <c r="DK130" s="82">
        <f>+DK119*DK122*4</f>
        <v>3192.8719999999998</v>
      </c>
      <c r="DL130" s="67">
        <f>+DL119*DL122*4</f>
        <v>3352.5309000000002</v>
      </c>
      <c r="DM130" s="67">
        <f>+DM119*DM122*4</f>
        <v>3298.3828400000002</v>
      </c>
      <c r="DN130" s="67">
        <f>+DN119*DN122*4</f>
        <v>3698.04502</v>
      </c>
      <c r="DO130" s="93">
        <f t="shared" ref="DO130" si="639">+DN130</f>
        <v>3698.04502</v>
      </c>
      <c r="DP130" s="126"/>
      <c r="DQ130" s="82">
        <f>+DQ119*DQ122*4</f>
        <v>3292.1630875000005</v>
      </c>
      <c r="DR130" s="67">
        <f>+DR119*DR122*4</f>
        <v>3462.8580964000002</v>
      </c>
      <c r="DS130" s="67">
        <f>+DS119*DS122*4</f>
        <v>3377.5574886000009</v>
      </c>
      <c r="DT130" s="67">
        <f>+DT119*DT122*4</f>
        <v>3786.0937104500008</v>
      </c>
      <c r="DU130" s="93">
        <f t="shared" ref="DU130" si="640">+DT130</f>
        <v>3786.0937104500008</v>
      </c>
      <c r="DV130" s="126"/>
      <c r="DW130" s="82">
        <f>+DW119*DW122*4</f>
        <v>3381.7893854250001</v>
      </c>
      <c r="DX130" s="67">
        <f>+DX119*DX122*4</f>
        <v>3557.1386795010003</v>
      </c>
      <c r="DY130" s="67">
        <f>+DY119*DY122*4</f>
        <v>3469.5498863190005</v>
      </c>
      <c r="DZ130" s="67">
        <f>+DZ119*DZ122*4</f>
        <v>3888.9821211945014</v>
      </c>
      <c r="EA130" s="93">
        <f t="shared" ref="EA130" si="641">+DZ130</f>
        <v>3888.9821211945014</v>
      </c>
      <c r="EB130" s="126"/>
      <c r="EC130" s="82">
        <f t="shared" ref="EC130:EF130" si="642">+EC119*EC122*4</f>
        <v>3473.1948271515625</v>
      </c>
      <c r="ED130" s="67">
        <f t="shared" si="642"/>
        <v>3653.2936122414881</v>
      </c>
      <c r="EE130" s="67">
        <f t="shared" si="642"/>
        <v>3563.3711255000626</v>
      </c>
      <c r="EF130" s="67">
        <f t="shared" si="642"/>
        <v>3993.9085872017317</v>
      </c>
      <c r="EG130" s="93">
        <f t="shared" ref="EG130:EG135" si="643">+EF130</f>
        <v>3993.9085872017317</v>
      </c>
      <c r="EH130" s="7"/>
      <c r="EI130" s="482"/>
      <c r="EJ130" s="7"/>
    </row>
    <row r="131" spans="1:140" ht="11.25" customHeight="1" x14ac:dyDescent="0.2">
      <c r="A131" s="51" t="s">
        <v>43</v>
      </c>
      <c r="B131" s="2"/>
      <c r="C131" s="2"/>
      <c r="D131" s="2"/>
      <c r="E131" s="93">
        <f>E14</f>
        <v>265.12200000000001</v>
      </c>
      <c r="F131" s="126"/>
      <c r="G131" s="93">
        <f>G14</f>
        <v>337.48099999999999</v>
      </c>
      <c r="H131" s="126"/>
      <c r="I131" s="93">
        <f>I14</f>
        <v>324.673</v>
      </c>
      <c r="J131" s="126"/>
      <c r="K131" s="93">
        <f>K14</f>
        <v>460.61</v>
      </c>
      <c r="L131" s="126"/>
      <c r="M131" s="82">
        <f t="shared" si="614"/>
        <v>460.86700000000002</v>
      </c>
      <c r="N131" s="67">
        <f t="shared" si="614"/>
        <v>455.33300000000003</v>
      </c>
      <c r="O131" s="67">
        <f t="shared" si="614"/>
        <v>462.77600000000001</v>
      </c>
      <c r="P131" s="67">
        <f t="shared" si="614"/>
        <v>408.23599999999999</v>
      </c>
      <c r="Q131" s="93">
        <f t="shared" si="614"/>
        <v>408.23599999999999</v>
      </c>
      <c r="R131" s="126"/>
      <c r="S131" s="82">
        <f t="shared" si="615"/>
        <v>487.07600000000002</v>
      </c>
      <c r="T131" s="67">
        <f t="shared" si="615"/>
        <v>476.90899999999999</v>
      </c>
      <c r="U131" s="67">
        <f t="shared" si="615"/>
        <v>486.44</v>
      </c>
      <c r="V131" s="67">
        <f t="shared" si="615"/>
        <v>485.58699999999999</v>
      </c>
      <c r="W131" s="93">
        <f t="shared" si="615"/>
        <v>485.58699999999999</v>
      </c>
      <c r="X131" s="126"/>
      <c r="Y131" s="82">
        <f t="shared" si="616"/>
        <v>527.81799999999998</v>
      </c>
      <c r="Z131" s="67">
        <f t="shared" si="616"/>
        <v>527.05200000000002</v>
      </c>
      <c r="AA131" s="67">
        <f t="shared" si="616"/>
        <v>539.78800000000001</v>
      </c>
      <c r="AB131" s="67">
        <f t="shared" si="616"/>
        <v>536.22699999999998</v>
      </c>
      <c r="AC131" s="93">
        <f t="shared" si="616"/>
        <v>536.22699999999998</v>
      </c>
      <c r="AD131" s="126"/>
      <c r="AE131" s="82">
        <f t="shared" si="617"/>
        <v>624.40599999999995</v>
      </c>
      <c r="AF131" s="67">
        <f t="shared" si="617"/>
        <v>783.75300000000004</v>
      </c>
      <c r="AG131" s="67">
        <f t="shared" si="617"/>
        <v>786.72400000000005</v>
      </c>
      <c r="AH131" s="67">
        <f t="shared" si="617"/>
        <v>703.99599999999998</v>
      </c>
      <c r="AI131" s="93">
        <f t="shared" si="617"/>
        <v>703.99599999999998</v>
      </c>
      <c r="AJ131" s="126"/>
      <c r="AK131" s="82">
        <f t="shared" si="618"/>
        <v>747.16800000000001</v>
      </c>
      <c r="AL131" s="67">
        <f t="shared" si="618"/>
        <v>752.70600000000002</v>
      </c>
      <c r="AM131" s="67">
        <f t="shared" si="618"/>
        <v>878.32799999999997</v>
      </c>
      <c r="AN131" s="67">
        <f t="shared" si="619"/>
        <v>825.26300000000003</v>
      </c>
      <c r="AO131" s="93">
        <f>AO14</f>
        <v>825.26300000000003</v>
      </c>
      <c r="AP131" s="126"/>
      <c r="AQ131" s="82">
        <f t="shared" si="620"/>
        <v>886.58100000000002</v>
      </c>
      <c r="AR131" s="67">
        <f t="shared" si="620"/>
        <v>1009.847</v>
      </c>
      <c r="AS131" s="67">
        <f t="shared" si="620"/>
        <v>1020.982</v>
      </c>
      <c r="AT131" s="67">
        <f t="shared" si="621"/>
        <v>1005.36</v>
      </c>
      <c r="AU131" s="93">
        <f>AU14</f>
        <v>1005.36</v>
      </c>
      <c r="AV131" s="126"/>
      <c r="AW131" s="82">
        <f t="shared" si="622"/>
        <v>1050.106</v>
      </c>
      <c r="AX131" s="67">
        <f t="shared" si="622"/>
        <v>1048.8579999999999</v>
      </c>
      <c r="AY131" s="67">
        <f t="shared" si="622"/>
        <v>1080.8320000000001</v>
      </c>
      <c r="AZ131" s="67">
        <f t="shared" si="622"/>
        <v>1193.615</v>
      </c>
      <c r="BA131" s="93">
        <f t="shared" si="623"/>
        <v>1193.615</v>
      </c>
      <c r="BB131" s="126"/>
      <c r="BC131" s="82">
        <f t="shared" si="624"/>
        <v>1292.297</v>
      </c>
      <c r="BD131" s="67">
        <f t="shared" si="624"/>
        <v>1297.4559999999999</v>
      </c>
      <c r="BE131" s="67">
        <f t="shared" si="624"/>
        <v>1274.8510000000001</v>
      </c>
      <c r="BF131" s="67">
        <f t="shared" si="624"/>
        <v>1142.309</v>
      </c>
      <c r="BG131" s="93">
        <f t="shared" si="625"/>
        <v>1142.309</v>
      </c>
      <c r="BH131" s="126"/>
      <c r="BI131" s="82">
        <f t="shared" si="626"/>
        <v>1133.8</v>
      </c>
      <c r="BJ131" s="67">
        <f t="shared" si="626"/>
        <v>1067.075</v>
      </c>
      <c r="BK131" s="67">
        <f t="shared" si="626"/>
        <v>1071.43</v>
      </c>
      <c r="BL131" s="67">
        <f t="shared" si="626"/>
        <v>993.01599999999996</v>
      </c>
      <c r="BM131" s="93">
        <f t="shared" si="627"/>
        <v>993.01599999999996</v>
      </c>
      <c r="BN131" s="126"/>
      <c r="BO131" s="82">
        <f t="shared" si="628"/>
        <v>1187.893</v>
      </c>
      <c r="BP131" s="67">
        <f t="shared" si="628"/>
        <v>1238.693</v>
      </c>
      <c r="BQ131" s="67">
        <f t="shared" si="628"/>
        <v>1244.895</v>
      </c>
      <c r="BR131" s="67">
        <f t="shared" si="628"/>
        <v>1225.1510000000001</v>
      </c>
      <c r="BS131" s="93">
        <f t="shared" si="629"/>
        <v>1225.1510000000001</v>
      </c>
      <c r="BT131" s="126"/>
      <c r="BU131" s="82">
        <f t="shared" si="630"/>
        <v>1284.932</v>
      </c>
      <c r="BV131" s="67">
        <f t="shared" si="630"/>
        <v>2065.049</v>
      </c>
      <c r="BW131" s="67">
        <f t="shared" si="630"/>
        <v>1970.896</v>
      </c>
      <c r="BX131" s="67">
        <f t="shared" si="630"/>
        <v>1781.3520000000001</v>
      </c>
      <c r="BY131" s="93">
        <f t="shared" si="631"/>
        <v>1781.3520000000001</v>
      </c>
      <c r="BZ131" s="126"/>
      <c r="CA131" s="82">
        <f t="shared" si="632"/>
        <v>1889.079</v>
      </c>
      <c r="CB131" s="67">
        <f t="shared" si="632"/>
        <v>1855.8109999999999</v>
      </c>
      <c r="CC131" s="67">
        <f t="shared" si="632"/>
        <v>1882.37</v>
      </c>
      <c r="CD131" s="67">
        <f t="shared" si="632"/>
        <v>1813.4</v>
      </c>
      <c r="CE131" s="93">
        <f t="shared" si="633"/>
        <v>1813.4</v>
      </c>
      <c r="CF131" s="126"/>
      <c r="CG131" s="82">
        <f t="shared" si="634"/>
        <v>1866.5</v>
      </c>
      <c r="CH131" s="67">
        <f t="shared" si="634"/>
        <v>1911</v>
      </c>
      <c r="CI131" s="67">
        <f t="shared" si="634"/>
        <v>1965.7</v>
      </c>
      <c r="CJ131" s="67">
        <f t="shared" si="634"/>
        <v>1783.5</v>
      </c>
      <c r="CK131" s="93">
        <f t="shared" si="634"/>
        <v>1783.5</v>
      </c>
      <c r="CL131" s="126"/>
      <c r="CM131" s="82">
        <f t="shared" si="635"/>
        <v>1871.3</v>
      </c>
      <c r="CN131" s="67">
        <f t="shared" si="635"/>
        <v>1894.2</v>
      </c>
      <c r="CO131" s="67">
        <f t="shared" si="635"/>
        <v>1874</v>
      </c>
      <c r="CP131" s="67">
        <f t="shared" si="635"/>
        <v>1831.5</v>
      </c>
      <c r="CQ131" s="93">
        <f t="shared" si="635"/>
        <v>1831.5</v>
      </c>
      <c r="CR131" s="126"/>
      <c r="CS131" s="82">
        <f t="shared" si="636"/>
        <v>1897.2</v>
      </c>
      <c r="CT131" s="67">
        <f t="shared" si="636"/>
        <v>1912.2</v>
      </c>
      <c r="CU131" s="67">
        <f t="shared" si="636"/>
        <v>2340.6</v>
      </c>
      <c r="CV131" s="67">
        <f t="shared" si="636"/>
        <v>2095.4</v>
      </c>
      <c r="CW131" s="93">
        <f t="shared" si="636"/>
        <v>2095.4</v>
      </c>
      <c r="CX131" s="126"/>
      <c r="CY131" s="82">
        <f t="shared" si="637"/>
        <v>2237.6999999999998</v>
      </c>
      <c r="CZ131" s="67">
        <f t="shared" si="637"/>
        <v>2240.1999999999998</v>
      </c>
      <c r="DA131" s="67">
        <f t="shared" si="637"/>
        <v>1712.2</v>
      </c>
      <c r="DB131" s="67">
        <f t="shared" si="637"/>
        <v>1709.4</v>
      </c>
      <c r="DC131" s="93">
        <f t="shared" si="637"/>
        <v>1709.4</v>
      </c>
      <c r="DD131" s="126"/>
      <c r="DE131" s="82">
        <f t="shared" si="638"/>
        <v>1764.9</v>
      </c>
      <c r="DF131" s="67">
        <f t="shared" si="638"/>
        <v>1791.7</v>
      </c>
      <c r="DG131" s="67">
        <f t="shared" si="638"/>
        <v>1892.3</v>
      </c>
      <c r="DH131" s="67">
        <f t="shared" si="638"/>
        <v>1840.8</v>
      </c>
      <c r="DI131" s="93">
        <f t="shared" si="638"/>
        <v>1840.8</v>
      </c>
      <c r="DJ131" s="126"/>
      <c r="DK131" s="82">
        <f>+DK125*DK126*4</f>
        <v>1852.9615684514267</v>
      </c>
      <c r="DL131" s="67">
        <f t="shared" ref="DL131:DN131" si="644">+DL125*DL126*4</f>
        <v>1864.2709693891172</v>
      </c>
      <c r="DM131" s="67">
        <f t="shared" si="644"/>
        <v>1935.5502834121148</v>
      </c>
      <c r="DN131" s="67">
        <f t="shared" si="644"/>
        <v>1824.3811131851082</v>
      </c>
      <c r="DO131" s="93">
        <f>+DN131</f>
        <v>1824.3811131851082</v>
      </c>
      <c r="DP131" s="126"/>
      <c r="DQ131" s="82">
        <f>+DQ125*DQ126*4</f>
        <v>1821.9047791058451</v>
      </c>
      <c r="DR131" s="67">
        <f t="shared" ref="DR131:DT131" si="645">+DR125*DR126*4</f>
        <v>1837.4859333305237</v>
      </c>
      <c r="DS131" s="67">
        <f t="shared" si="645"/>
        <v>1902.7369538938394</v>
      </c>
      <c r="DT131" s="67">
        <f t="shared" si="645"/>
        <v>1784.7874345805039</v>
      </c>
      <c r="DU131" s="93">
        <f>+DT131</f>
        <v>1784.7874345805039</v>
      </c>
      <c r="DV131" s="126"/>
      <c r="DW131" s="82">
        <f>+DW125*DW126*4</f>
        <v>1743.188071776616</v>
      </c>
      <c r="DX131" s="67">
        <f t="shared" ref="DX131:DZ131" si="646">+DX125*DX126*4</f>
        <v>1753.3190975516816</v>
      </c>
      <c r="DY131" s="67">
        <f t="shared" si="646"/>
        <v>1824.4931218870106</v>
      </c>
      <c r="DZ131" s="67">
        <f t="shared" si="646"/>
        <v>1694.1605698235742</v>
      </c>
      <c r="EA131" s="93">
        <f>+DZ131</f>
        <v>1694.1605698235742</v>
      </c>
      <c r="EB131" s="126"/>
      <c r="EC131" s="82">
        <f t="shared" ref="EC131:EF131" si="647">+EC125*EC126*4</f>
        <v>1664.0922222713691</v>
      </c>
      <c r="ED131" s="67">
        <f t="shared" si="647"/>
        <v>1667.5358767342875</v>
      </c>
      <c r="EE131" s="67">
        <f t="shared" si="647"/>
        <v>1745.4894173105915</v>
      </c>
      <c r="EF131" s="67">
        <f t="shared" si="647"/>
        <v>1604.0065380488386</v>
      </c>
      <c r="EG131" s="93">
        <f t="shared" si="643"/>
        <v>1604.0065380488386</v>
      </c>
      <c r="EH131" s="7"/>
      <c r="EI131" s="482"/>
      <c r="EJ131" s="7"/>
    </row>
    <row r="132" spans="1:140" ht="11.25" customHeight="1" x14ac:dyDescent="0.2">
      <c r="A132" s="51" t="s">
        <v>13</v>
      </c>
      <c r="B132" s="2"/>
      <c r="C132" s="2"/>
      <c r="D132" s="2"/>
      <c r="E132" s="93">
        <f>E16</f>
        <v>92.251999999999995</v>
      </c>
      <c r="F132" s="126"/>
      <c r="G132" s="93">
        <f>G16</f>
        <v>60.874000000000002</v>
      </c>
      <c r="H132" s="126"/>
      <c r="I132" s="93">
        <f>I16</f>
        <v>72.424999999999997</v>
      </c>
      <c r="J132" s="126"/>
      <c r="K132" s="93">
        <f>K16</f>
        <v>132.55799999999999</v>
      </c>
      <c r="L132" s="126"/>
      <c r="M132" s="82">
        <f>M16</f>
        <v>93.081000000000003</v>
      </c>
      <c r="N132" s="67">
        <f>N16</f>
        <v>123.17400000000001</v>
      </c>
      <c r="O132" s="67">
        <f>O16</f>
        <v>127.97799999999999</v>
      </c>
      <c r="P132" s="67">
        <f>P16</f>
        <v>174.50200000000001</v>
      </c>
      <c r="Q132" s="93">
        <f>Q16</f>
        <v>174.50200000000001</v>
      </c>
      <c r="R132" s="126"/>
      <c r="S132" s="82">
        <f>S16</f>
        <v>154.131</v>
      </c>
      <c r="T132" s="67">
        <f>T16</f>
        <v>202.59399999999999</v>
      </c>
      <c r="U132" s="67">
        <f>U16</f>
        <v>199.964</v>
      </c>
      <c r="V132" s="67">
        <f>V16</f>
        <v>332.18799999999999</v>
      </c>
      <c r="W132" s="93">
        <f>W16</f>
        <v>332.18799999999999</v>
      </c>
      <c r="X132" s="126"/>
      <c r="Y132" s="82">
        <f>Y16</f>
        <v>308.07</v>
      </c>
      <c r="Z132" s="67">
        <f>Z16</f>
        <v>289.95400000000001</v>
      </c>
      <c r="AA132" s="67">
        <f>AA16</f>
        <v>299.30599999999998</v>
      </c>
      <c r="AB132" s="67">
        <f>AB16</f>
        <v>307.67099999999999</v>
      </c>
      <c r="AC132" s="93">
        <f>AC16</f>
        <v>307.67099999999999</v>
      </c>
      <c r="AD132" s="126"/>
      <c r="AE132" s="82">
        <f>AE16</f>
        <v>297.61200000000002</v>
      </c>
      <c r="AF132" s="67">
        <f>AF16</f>
        <v>280.57400000000001</v>
      </c>
      <c r="AG132" s="67">
        <f>AG16</f>
        <v>260.798</v>
      </c>
      <c r="AH132" s="67">
        <f>AH16</f>
        <v>374.51400000000001</v>
      </c>
      <c r="AI132" s="93">
        <f>AI16</f>
        <v>374.51400000000001</v>
      </c>
      <c r="AJ132" s="126"/>
      <c r="AK132" s="82">
        <f>AK16</f>
        <v>332.04399999999998</v>
      </c>
      <c r="AL132" s="67">
        <f>AL16</f>
        <v>302.20699999999999</v>
      </c>
      <c r="AM132" s="67">
        <f>AM16</f>
        <v>281.67</v>
      </c>
      <c r="AN132" s="67">
        <f t="shared" si="619"/>
        <v>396.34699999999998</v>
      </c>
      <c r="AO132" s="93">
        <f>AO16</f>
        <v>396.34699999999998</v>
      </c>
      <c r="AP132" s="126"/>
      <c r="AQ132" s="82">
        <f>AQ16</f>
        <v>465.16199999999998</v>
      </c>
      <c r="AR132" s="67">
        <f>AR16</f>
        <v>388.32</v>
      </c>
      <c r="AS132" s="67">
        <f>AS16</f>
        <v>347.77800000000002</v>
      </c>
      <c r="AT132" s="67">
        <f t="shared" si="621"/>
        <v>396.762</v>
      </c>
      <c r="AU132" s="93">
        <f>AU16</f>
        <v>396.762</v>
      </c>
      <c r="AV132" s="126"/>
      <c r="AW132" s="82">
        <f>AW16</f>
        <v>375.53</v>
      </c>
      <c r="AX132" s="67">
        <f>AX16</f>
        <v>323.82299999999998</v>
      </c>
      <c r="AY132" s="67">
        <f>AY16</f>
        <v>269.23099999999999</v>
      </c>
      <c r="AZ132" s="67">
        <f>AZ16</f>
        <v>632.66</v>
      </c>
      <c r="BA132" s="93">
        <f t="shared" si="623"/>
        <v>632.66</v>
      </c>
      <c r="BB132" s="126"/>
      <c r="BC132" s="82">
        <f>BC16</f>
        <v>529.649</v>
      </c>
      <c r="BD132" s="67">
        <f>BD16</f>
        <v>515.85400000000004</v>
      </c>
      <c r="BE132" s="67">
        <f>BE16</f>
        <v>458.90100000000001</v>
      </c>
      <c r="BF132" s="67">
        <f>BF16</f>
        <v>757.37099999999998</v>
      </c>
      <c r="BG132" s="93">
        <f t="shared" si="625"/>
        <v>757.37099999999998</v>
      </c>
      <c r="BH132" s="126"/>
      <c r="BI132" s="82">
        <f>BI16</f>
        <v>680.40300000000002</v>
      </c>
      <c r="BJ132" s="67">
        <f>BJ16</f>
        <v>713.072</v>
      </c>
      <c r="BK132" s="67">
        <f>BK16</f>
        <v>654.86800000000005</v>
      </c>
      <c r="BL132" s="67">
        <f>BL16</f>
        <v>588.86099999999999</v>
      </c>
      <c r="BM132" s="93">
        <f t="shared" si="627"/>
        <v>588.86099999999999</v>
      </c>
      <c r="BN132" s="126"/>
      <c r="BO132" s="82">
        <f>BO16</f>
        <v>565.40499999999997</v>
      </c>
      <c r="BP132" s="67">
        <f>BP16</f>
        <v>547.32399999999996</v>
      </c>
      <c r="BQ132" s="67">
        <f>BQ16</f>
        <v>548.02599999999995</v>
      </c>
      <c r="BR132" s="67">
        <f>BR16</f>
        <v>652.40700000000004</v>
      </c>
      <c r="BS132" s="93">
        <f t="shared" si="629"/>
        <v>652.40700000000004</v>
      </c>
      <c r="BT132" s="126"/>
      <c r="BU132" s="82">
        <f>BU16</f>
        <v>1043.1769999999999</v>
      </c>
      <c r="BV132" s="67">
        <f>BV16</f>
        <v>838.75</v>
      </c>
      <c r="BW132" s="67">
        <f>BW16</f>
        <v>852.08199999999999</v>
      </c>
      <c r="BX132" s="67">
        <f>BX16</f>
        <v>904.10900000000004</v>
      </c>
      <c r="BY132" s="93">
        <f t="shared" si="631"/>
        <v>904.10900000000004</v>
      </c>
      <c r="BZ132" s="126"/>
      <c r="CA132" s="82">
        <f>CA16</f>
        <v>614.404</v>
      </c>
      <c r="CB132" s="67">
        <f>CB16</f>
        <v>542.19399999999996</v>
      </c>
      <c r="CC132" s="67">
        <f>CC16</f>
        <v>499.56700000000001</v>
      </c>
      <c r="CD132" s="67">
        <f>CD16</f>
        <v>828.4</v>
      </c>
      <c r="CE132" s="93">
        <f t="shared" si="633"/>
        <v>828.4</v>
      </c>
      <c r="CF132" s="126"/>
      <c r="CG132" s="82">
        <f>CG16</f>
        <v>774.5</v>
      </c>
      <c r="CH132" s="67">
        <f>CH16</f>
        <v>713.7</v>
      </c>
      <c r="CI132" s="67">
        <f>CI16</f>
        <v>689.7</v>
      </c>
      <c r="CJ132" s="67">
        <f>CJ16</f>
        <v>763.4</v>
      </c>
      <c r="CK132" s="93">
        <f>CK16</f>
        <v>763.4</v>
      </c>
      <c r="CL132" s="126"/>
      <c r="CM132" s="82">
        <f>CM16</f>
        <v>718.9</v>
      </c>
      <c r="CN132" s="67">
        <f>CN16</f>
        <v>660.2</v>
      </c>
      <c r="CO132" s="67">
        <f>CO16</f>
        <v>592.1</v>
      </c>
      <c r="CP132" s="67">
        <f>CP16</f>
        <v>960.4</v>
      </c>
      <c r="CQ132" s="93">
        <f>CQ16</f>
        <v>960.4</v>
      </c>
      <c r="CR132" s="126"/>
      <c r="CS132" s="82">
        <f>CS16</f>
        <v>919.3</v>
      </c>
      <c r="CT132" s="67">
        <f>CT16</f>
        <v>835.1</v>
      </c>
      <c r="CU132" s="67">
        <f>CU16</f>
        <v>851.6</v>
      </c>
      <c r="CV132" s="67">
        <f>CV16</f>
        <v>986.4</v>
      </c>
      <c r="CW132" s="93">
        <f>CW16</f>
        <v>986.4</v>
      </c>
      <c r="CX132" s="126"/>
      <c r="CY132" s="82">
        <f>CY16</f>
        <v>974</v>
      </c>
      <c r="CZ132" s="67">
        <f>CZ16</f>
        <v>898.4</v>
      </c>
      <c r="DA132" s="67">
        <f>DA16</f>
        <v>727.8</v>
      </c>
      <c r="DB132" s="67">
        <f>DB16</f>
        <v>805.9</v>
      </c>
      <c r="DC132" s="93">
        <f>DC16</f>
        <v>805.9</v>
      </c>
      <c r="DD132" s="126"/>
      <c r="DE132" s="82">
        <f>DE16</f>
        <v>715.2</v>
      </c>
      <c r="DF132" s="67">
        <f>DF16</f>
        <v>523.70000000000005</v>
      </c>
      <c r="DG132" s="67">
        <f>DG16</f>
        <v>464.7</v>
      </c>
      <c r="DH132" s="67">
        <f>DH16</f>
        <v>857.1</v>
      </c>
      <c r="DI132" s="93">
        <f>DI16</f>
        <v>857.1</v>
      </c>
      <c r="DJ132" s="126"/>
      <c r="DK132" s="82">
        <f>+DK119*DK123*4</f>
        <v>788.82719999999995</v>
      </c>
      <c r="DL132" s="67">
        <f>+DL119*DL123*4</f>
        <v>828.2723400000001</v>
      </c>
      <c r="DM132" s="67">
        <f>+DM119*DM123*4</f>
        <v>814.89458400000012</v>
      </c>
      <c r="DN132" s="67">
        <f>+DN119*DN123*4</f>
        <v>913.63465199999996</v>
      </c>
      <c r="DO132" s="93">
        <f t="shared" ref="DO132:DO135" si="648">+DN132</f>
        <v>913.63465199999996</v>
      </c>
      <c r="DP132" s="126"/>
      <c r="DQ132" s="82">
        <f>+DQ119*DQ123*4</f>
        <v>884.461725</v>
      </c>
      <c r="DR132" s="67">
        <f>+DR119*DR123*4</f>
        <v>930.32008559999997</v>
      </c>
      <c r="DS132" s="67">
        <f>+DS119*DS123*4</f>
        <v>907.40350440000009</v>
      </c>
      <c r="DT132" s="67">
        <f>+DT119*DT123*4</f>
        <v>1017.1595043000001</v>
      </c>
      <c r="DU132" s="93">
        <f t="shared" ref="DU132:DU135" si="649">+DT132</f>
        <v>1017.1595043000001</v>
      </c>
      <c r="DV132" s="126"/>
      <c r="DW132" s="82">
        <f>+DW119*DW123*4</f>
        <v>922.30619602499985</v>
      </c>
      <c r="DX132" s="67">
        <f>+DX119*DX123*4</f>
        <v>970.12873077300003</v>
      </c>
      <c r="DY132" s="67">
        <f>+DY119*DY123*4</f>
        <v>946.24087808700006</v>
      </c>
      <c r="DZ132" s="67">
        <f>+DZ119*DZ123*4</f>
        <v>1060.6314875985001</v>
      </c>
      <c r="EA132" s="93">
        <f t="shared" ref="EA132:EA135" si="650">+DZ132</f>
        <v>1060.6314875985001</v>
      </c>
      <c r="EB132" s="126"/>
      <c r="EC132" s="82">
        <f t="shared" ref="EC132:EF132" si="651">+EC119*EC123*4</f>
        <v>961.80779828812501</v>
      </c>
      <c r="ED132" s="67">
        <f t="shared" si="651"/>
        <v>1011.681308005335</v>
      </c>
      <c r="EE132" s="67">
        <f t="shared" si="651"/>
        <v>986.77969629232496</v>
      </c>
      <c r="EF132" s="67">
        <f t="shared" si="651"/>
        <v>1106.0054549174026</v>
      </c>
      <c r="EG132" s="93">
        <f t="shared" si="643"/>
        <v>1106.0054549174026</v>
      </c>
      <c r="EH132" s="7"/>
      <c r="EI132" s="482"/>
      <c r="EJ132" s="7"/>
    </row>
    <row r="133" spans="1:140" ht="11.25" customHeight="1" x14ac:dyDescent="0.2">
      <c r="A133" s="51" t="s">
        <v>44</v>
      </c>
      <c r="B133" s="2"/>
      <c r="C133" s="2"/>
      <c r="D133" s="2"/>
      <c r="E133" s="93">
        <f>-E32</f>
        <v>-152.066</v>
      </c>
      <c r="F133" s="126"/>
      <c r="G133" s="93">
        <f>-G32</f>
        <v>-161.78200000000001</v>
      </c>
      <c r="H133" s="126"/>
      <c r="I133" s="93">
        <f>-I32</f>
        <v>-213.209</v>
      </c>
      <c r="J133" s="126"/>
      <c r="K133" s="93">
        <f>-K32</f>
        <v>-262.09500000000003</v>
      </c>
      <c r="L133" s="126"/>
      <c r="M133" s="82">
        <f t="shared" ref="M133:Q135" si="652">-M32</f>
        <v>-253.86799999999999</v>
      </c>
      <c r="N133" s="67">
        <f t="shared" si="652"/>
        <v>-270.73500000000001</v>
      </c>
      <c r="O133" s="67">
        <f t="shared" si="652"/>
        <v>-252.41</v>
      </c>
      <c r="P133" s="67">
        <f t="shared" si="652"/>
        <v>-235.501</v>
      </c>
      <c r="Q133" s="93">
        <f t="shared" si="652"/>
        <v>-235.501</v>
      </c>
      <c r="R133" s="126"/>
      <c r="S133" s="82">
        <f t="shared" ref="S133:W135" si="653">-S32</f>
        <v>-303.25200000000001</v>
      </c>
      <c r="T133" s="67">
        <f t="shared" si="653"/>
        <v>-328.11700000000002</v>
      </c>
      <c r="U133" s="67">
        <f t="shared" si="653"/>
        <v>-358.69400000000002</v>
      </c>
      <c r="V133" s="67">
        <f t="shared" si="653"/>
        <v>-366.58699999999999</v>
      </c>
      <c r="W133" s="93">
        <f t="shared" si="653"/>
        <v>-366.58699999999999</v>
      </c>
      <c r="X133" s="126"/>
      <c r="Y133" s="82">
        <f t="shared" ref="Y133:AC135" si="654">-Y32</f>
        <v>-395.17700000000002</v>
      </c>
      <c r="Z133" s="67">
        <f t="shared" si="654"/>
        <v>-415.08800000000002</v>
      </c>
      <c r="AA133" s="67">
        <f t="shared" si="654"/>
        <v>-439.49400000000003</v>
      </c>
      <c r="AB133" s="67">
        <f t="shared" si="654"/>
        <v>-472.99400000000003</v>
      </c>
      <c r="AC133" s="93">
        <f t="shared" si="654"/>
        <v>-472.99400000000003</v>
      </c>
      <c r="AD133" s="126"/>
      <c r="AE133" s="82">
        <f t="shared" ref="AE133:AI135" si="655">-AE32</f>
        <v>-559.66700000000003</v>
      </c>
      <c r="AF133" s="67">
        <f t="shared" si="655"/>
        <v>-586.99199999999996</v>
      </c>
      <c r="AG133" s="67">
        <f t="shared" si="655"/>
        <v>-578.61300000000006</v>
      </c>
      <c r="AH133" s="67">
        <f t="shared" si="655"/>
        <v>-612.06600000000003</v>
      </c>
      <c r="AI133" s="93">
        <f t="shared" si="655"/>
        <v>-612.06600000000003</v>
      </c>
      <c r="AJ133" s="126"/>
      <c r="AK133" s="82">
        <f t="shared" ref="AK133:AM135" si="656">-AK32</f>
        <v>-647.05100000000004</v>
      </c>
      <c r="AL133" s="67">
        <f t="shared" si="656"/>
        <v>-654.37599999999998</v>
      </c>
      <c r="AM133" s="67">
        <f t="shared" si="656"/>
        <v>-719.82500000000005</v>
      </c>
      <c r="AN133" s="67">
        <f t="shared" si="619"/>
        <v>-782.85400000000004</v>
      </c>
      <c r="AO133" s="93">
        <f>-AO32</f>
        <v>-782.85400000000004</v>
      </c>
      <c r="AP133" s="126"/>
      <c r="AQ133" s="82">
        <f t="shared" ref="AQ133:AS135" si="657">-AQ32</f>
        <v>-807.25400000000002</v>
      </c>
      <c r="AR133" s="67">
        <f t="shared" si="657"/>
        <v>-820.96</v>
      </c>
      <c r="AS133" s="67">
        <f t="shared" si="657"/>
        <v>-844.46900000000005</v>
      </c>
      <c r="AT133" s="67">
        <f t="shared" si="621"/>
        <v>-952.33699999999999</v>
      </c>
      <c r="AU133" s="93">
        <f>-AU32</f>
        <v>-952.33699999999999</v>
      </c>
      <c r="AV133" s="126"/>
      <c r="AW133" s="82">
        <f t="shared" ref="AW133:AZ135" si="658">-AW32</f>
        <v>-949.34400000000005</v>
      </c>
      <c r="AX133" s="67">
        <f t="shared" si="658"/>
        <v>-987.80399999999997</v>
      </c>
      <c r="AY133" s="67">
        <f t="shared" si="658"/>
        <v>-1016.023</v>
      </c>
      <c r="AZ133" s="67">
        <f t="shared" si="658"/>
        <v>-1125.5999999999999</v>
      </c>
      <c r="BA133" s="93">
        <f t="shared" si="623"/>
        <v>-1125.5999999999999</v>
      </c>
      <c r="BB133" s="126"/>
      <c r="BC133" s="82">
        <f t="shared" ref="BC133:BF135" si="659">-BC32</f>
        <v>-1144.6489999999999</v>
      </c>
      <c r="BD133" s="67">
        <f t="shared" si="659"/>
        <v>-1193.576</v>
      </c>
      <c r="BE133" s="67">
        <f t="shared" si="659"/>
        <v>-1148.4880000000001</v>
      </c>
      <c r="BF133" s="67">
        <f t="shared" si="659"/>
        <v>-1108.961</v>
      </c>
      <c r="BG133" s="93">
        <f t="shared" si="625"/>
        <v>-1108.961</v>
      </c>
      <c r="BH133" s="126"/>
      <c r="BI133" s="82">
        <f t="shared" ref="BI133:BL135" si="660">-BI32</f>
        <v>-930.81899999999996</v>
      </c>
      <c r="BJ133" s="67">
        <f t="shared" si="660"/>
        <v>-906.54200000000003</v>
      </c>
      <c r="BK133" s="67">
        <f t="shared" si="660"/>
        <v>-973.15499999999997</v>
      </c>
      <c r="BL133" s="67">
        <f t="shared" si="660"/>
        <v>-1051.4870000000001</v>
      </c>
      <c r="BM133" s="93">
        <f t="shared" si="627"/>
        <v>-1051.4870000000001</v>
      </c>
      <c r="BN133" s="126"/>
      <c r="BO133" s="82">
        <f t="shared" ref="BO133:BR135" si="661">-BO32</f>
        <v>-1161.7909999999999</v>
      </c>
      <c r="BP133" s="67">
        <f t="shared" si="661"/>
        <v>-1223.8900000000001</v>
      </c>
      <c r="BQ133" s="67">
        <f t="shared" si="661"/>
        <v>-1178.865</v>
      </c>
      <c r="BR133" s="67">
        <f t="shared" si="661"/>
        <v>-1215.818</v>
      </c>
      <c r="BS133" s="93">
        <f t="shared" si="629"/>
        <v>-1215.818</v>
      </c>
      <c r="BT133" s="126"/>
      <c r="BU133" s="82">
        <f t="shared" ref="BU133:BX135" si="662">-BU32</f>
        <v>-1239.1369999999999</v>
      </c>
      <c r="BV133" s="67">
        <f t="shared" si="662"/>
        <v>-1515.1130000000001</v>
      </c>
      <c r="BW133" s="67">
        <f t="shared" si="662"/>
        <v>-1467.3489999999999</v>
      </c>
      <c r="BX133" s="67">
        <f t="shared" si="662"/>
        <v>-1422.4380000000001</v>
      </c>
      <c r="BY133" s="93">
        <f t="shared" si="631"/>
        <v>-1422.4380000000001</v>
      </c>
      <c r="BZ133" s="126"/>
      <c r="CA133" s="82">
        <f t="shared" ref="CA133:CD135" si="663">-CA32</f>
        <v>-1465.982</v>
      </c>
      <c r="CB133" s="67">
        <f t="shared" si="663"/>
        <v>-1511.0609999999999</v>
      </c>
      <c r="CC133" s="67">
        <f t="shared" si="663"/>
        <v>-1492.6320000000001</v>
      </c>
      <c r="CD133" s="67">
        <f t="shared" si="663"/>
        <v>-1546.3</v>
      </c>
      <c r="CE133" s="93">
        <f t="shared" si="633"/>
        <v>-1546.3</v>
      </c>
      <c r="CF133" s="126"/>
      <c r="CG133" s="82">
        <f t="shared" ref="CG133:CK135" si="664">-CG32</f>
        <v>-1534.5</v>
      </c>
      <c r="CH133" s="67">
        <f t="shared" si="664"/>
        <v>-1621.4</v>
      </c>
      <c r="CI133" s="67">
        <f t="shared" si="664"/>
        <v>-1683.6</v>
      </c>
      <c r="CJ133" s="67">
        <f t="shared" si="664"/>
        <v>-1778.2</v>
      </c>
      <c r="CK133" s="93">
        <f t="shared" si="664"/>
        <v>-1778.2</v>
      </c>
      <c r="CL133" s="126"/>
      <c r="CM133" s="82">
        <f t="shared" ref="CM133:CQ135" si="665">-CM32</f>
        <v>-1685.4</v>
      </c>
      <c r="CN133" s="67">
        <f t="shared" si="665"/>
        <v>-1734.8</v>
      </c>
      <c r="CO133" s="67">
        <f t="shared" si="665"/>
        <v>-1684</v>
      </c>
      <c r="CP133" s="67">
        <f t="shared" si="665"/>
        <v>-1875</v>
      </c>
      <c r="CQ133" s="93">
        <f t="shared" si="665"/>
        <v>-1875</v>
      </c>
      <c r="CR133" s="126"/>
      <c r="CS133" s="82">
        <f>-CS32</f>
        <v>-1732.3</v>
      </c>
      <c r="CT133" s="67">
        <f>-CT32</f>
        <v>-1744.1</v>
      </c>
      <c r="CU133" s="67">
        <f>-CU32</f>
        <v>-1819.4</v>
      </c>
      <c r="CV133" s="67">
        <f>-CV32</f>
        <v>-1391.9</v>
      </c>
      <c r="CW133" s="93">
        <f>-CW32</f>
        <v>-1391.9</v>
      </c>
      <c r="CX133" s="126"/>
      <c r="CY133" s="82">
        <f>-CY32</f>
        <v>-1918.8</v>
      </c>
      <c r="CZ133" s="67">
        <f>-CZ32</f>
        <v>-1993.2</v>
      </c>
      <c r="DA133" s="67">
        <f>-DA32</f>
        <v>-1354.5</v>
      </c>
      <c r="DB133" s="67">
        <f>-DB32</f>
        <v>-1485</v>
      </c>
      <c r="DC133" s="93">
        <f>-DC32</f>
        <v>-1485</v>
      </c>
      <c r="DD133" s="126"/>
      <c r="DE133" s="82">
        <f>-DE32</f>
        <v>-1402.2</v>
      </c>
      <c r="DF133" s="67">
        <f>-DF32</f>
        <v>-1427</v>
      </c>
      <c r="DG133" s="67">
        <f>-DG32</f>
        <v>-1501.8</v>
      </c>
      <c r="DH133" s="67">
        <f>-DH32</f>
        <v>-1509.9</v>
      </c>
      <c r="DI133" s="93">
        <f>-DI32</f>
        <v>-1509.9</v>
      </c>
      <c r="DJ133" s="126"/>
      <c r="DK133" s="82">
        <f>-DK125*DK127*4</f>
        <v>-1395.2240000000002</v>
      </c>
      <c r="DL133" s="67">
        <f t="shared" ref="DL133:DN133" si="666">-DL125*DL127*4</f>
        <v>-1486.4948495242891</v>
      </c>
      <c r="DM133" s="67">
        <f t="shared" si="666"/>
        <v>-1445.9702442305729</v>
      </c>
      <c r="DN133" s="67">
        <f t="shared" si="666"/>
        <v>-1591.768707730912</v>
      </c>
      <c r="DO133" s="93">
        <f t="shared" si="648"/>
        <v>-1591.768707730912</v>
      </c>
      <c r="DP133" s="126"/>
      <c r="DQ133" s="82">
        <f>-DQ125*DQ127*4</f>
        <v>-1435.4171591546628</v>
      </c>
      <c r="DR133" s="67">
        <f t="shared" ref="DR133:DT133" si="667">-DR125*DR127*4</f>
        <v>-1537.2394818676039</v>
      </c>
      <c r="DS133" s="67">
        <f t="shared" si="667"/>
        <v>-1486.7933601324712</v>
      </c>
      <c r="DT133" s="67">
        <f t="shared" si="667"/>
        <v>-1641.4690912611984</v>
      </c>
      <c r="DU133" s="93">
        <f t="shared" si="649"/>
        <v>-1641.4690912611984</v>
      </c>
      <c r="DV133" s="126"/>
      <c r="DW133" s="82">
        <f>-DW125*DW127*4</f>
        <v>-1476.0074276969631</v>
      </c>
      <c r="DX133" s="67">
        <f t="shared" ref="DX133:DZ133" si="668">-DX125*DX127*4</f>
        <v>-1583.7329059362423</v>
      </c>
      <c r="DY133" s="67">
        <f t="shared" si="668"/>
        <v>-1531.2270747327182</v>
      </c>
      <c r="DZ133" s="67">
        <f t="shared" si="668"/>
        <v>-1695.7278844669227</v>
      </c>
      <c r="EA133" s="93">
        <f t="shared" si="650"/>
        <v>-1695.7278844669227</v>
      </c>
      <c r="EB133" s="126"/>
      <c r="EC133" s="82">
        <f t="shared" ref="EC133:EF133" si="669">-EC125*EC127*4</f>
        <v>-1522.8055727919027</v>
      </c>
      <c r="ED133" s="67">
        <f t="shared" si="669"/>
        <v>-1636.6928076964275</v>
      </c>
      <c r="EE133" s="67">
        <f t="shared" si="669"/>
        <v>-1582.0792127481379</v>
      </c>
      <c r="EF133" s="67">
        <f t="shared" si="669"/>
        <v>-1761.0181534041126</v>
      </c>
      <c r="EG133" s="93">
        <f t="shared" si="643"/>
        <v>-1761.0181534041126</v>
      </c>
      <c r="EH133" s="7"/>
      <c r="EI133" s="482"/>
      <c r="EJ133" s="7"/>
    </row>
    <row r="134" spans="1:140" ht="11.25" customHeight="1" x14ac:dyDescent="0.2">
      <c r="A134" s="51" t="s">
        <v>125</v>
      </c>
      <c r="B134" s="2"/>
      <c r="C134" s="2"/>
      <c r="D134" s="2"/>
      <c r="E134" s="93">
        <f>-E33</f>
        <v>-392.32100000000003</v>
      </c>
      <c r="F134" s="126"/>
      <c r="G134" s="93">
        <f>-G33</f>
        <v>-479.74299999999999</v>
      </c>
      <c r="H134" s="126"/>
      <c r="I134" s="93">
        <f>-I33</f>
        <v>-461.98</v>
      </c>
      <c r="J134" s="126"/>
      <c r="K134" s="93">
        <f>-K33</f>
        <v>-674.81200000000001</v>
      </c>
      <c r="L134" s="126"/>
      <c r="M134" s="82">
        <f t="shared" si="652"/>
        <v>-670.17600000000004</v>
      </c>
      <c r="N134" s="67">
        <f t="shared" si="652"/>
        <v>-629.68399999999997</v>
      </c>
      <c r="O134" s="67">
        <f t="shared" si="652"/>
        <v>-645.43600000000004</v>
      </c>
      <c r="P134" s="67">
        <f t="shared" si="652"/>
        <v>-709.43700000000001</v>
      </c>
      <c r="Q134" s="93">
        <f t="shared" si="652"/>
        <v>-709.43700000000001</v>
      </c>
      <c r="R134" s="126"/>
      <c r="S134" s="82">
        <f t="shared" si="653"/>
        <v>-857.73</v>
      </c>
      <c r="T134" s="67">
        <f t="shared" si="653"/>
        <v>-881.35699999999997</v>
      </c>
      <c r="U134" s="67">
        <f t="shared" si="653"/>
        <v>-904.10199999999998</v>
      </c>
      <c r="V134" s="67">
        <f t="shared" si="653"/>
        <v>-786.18299999999999</v>
      </c>
      <c r="W134" s="93">
        <f t="shared" si="653"/>
        <v>-786.18299999999999</v>
      </c>
      <c r="X134" s="126"/>
      <c r="Y134" s="82">
        <f t="shared" si="654"/>
        <v>-821.16899999999998</v>
      </c>
      <c r="Z134" s="67">
        <f t="shared" si="654"/>
        <v>-820.98099999999999</v>
      </c>
      <c r="AA134" s="67">
        <f t="shared" si="654"/>
        <v>-827.88699999999994</v>
      </c>
      <c r="AB134" s="67">
        <f t="shared" si="654"/>
        <v>-892.62400000000002</v>
      </c>
      <c r="AC134" s="93">
        <f t="shared" si="654"/>
        <v>-892.62400000000002</v>
      </c>
      <c r="AD134" s="126"/>
      <c r="AE134" s="82">
        <f t="shared" si="655"/>
        <v>-980.16700000000003</v>
      </c>
      <c r="AF134" s="67">
        <f t="shared" si="655"/>
        <v>-1098.3689999999999</v>
      </c>
      <c r="AG134" s="67">
        <f t="shared" si="655"/>
        <v>-1110.0930000000001</v>
      </c>
      <c r="AH134" s="67">
        <f t="shared" si="655"/>
        <v>-1165.4570000000001</v>
      </c>
      <c r="AI134" s="93">
        <f t="shared" si="655"/>
        <v>-1165.4570000000001</v>
      </c>
      <c r="AJ134" s="126"/>
      <c r="AK134" s="82">
        <f t="shared" si="656"/>
        <v>-1163.4849999999999</v>
      </c>
      <c r="AL134" s="67">
        <f t="shared" si="656"/>
        <v>-1206.106</v>
      </c>
      <c r="AM134" s="67">
        <f t="shared" si="656"/>
        <v>-1360.933</v>
      </c>
      <c r="AN134" s="67">
        <f t="shared" si="619"/>
        <v>-1301.7809999999999</v>
      </c>
      <c r="AO134" s="93">
        <f>-AO33</f>
        <v>-1301.7809999999999</v>
      </c>
      <c r="AP134" s="126"/>
      <c r="AQ134" s="82">
        <f t="shared" si="657"/>
        <v>-1341.365</v>
      </c>
      <c r="AR134" s="67">
        <f t="shared" si="657"/>
        <v>-1435.7919999999999</v>
      </c>
      <c r="AS134" s="67">
        <f t="shared" si="657"/>
        <v>-1506.396</v>
      </c>
      <c r="AT134" s="67">
        <f t="shared" si="621"/>
        <v>-1496.364</v>
      </c>
      <c r="AU134" s="93">
        <f>-AU33</f>
        <v>-1496.364</v>
      </c>
      <c r="AV134" s="126"/>
      <c r="AW134" s="82">
        <f t="shared" si="658"/>
        <v>-1118.6410000000001</v>
      </c>
      <c r="AX134" s="67">
        <f t="shared" si="658"/>
        <v>-1015.615</v>
      </c>
      <c r="AY134" s="67">
        <f t="shared" si="658"/>
        <v>-1056.0350000000001</v>
      </c>
      <c r="AZ134" s="67">
        <f t="shared" si="658"/>
        <v>-1358.7729999999999</v>
      </c>
      <c r="BA134" s="93">
        <f t="shared" si="623"/>
        <v>-1358.7729999999999</v>
      </c>
      <c r="BB134" s="126"/>
      <c r="BC134" s="82">
        <f t="shared" si="659"/>
        <v>-1535.673</v>
      </c>
      <c r="BD134" s="67">
        <f t="shared" si="659"/>
        <v>-1587.298</v>
      </c>
      <c r="BE134" s="67">
        <f t="shared" si="659"/>
        <v>-1546.75</v>
      </c>
      <c r="BF134" s="67">
        <f t="shared" si="659"/>
        <v>-1534.575</v>
      </c>
      <c r="BG134" s="93">
        <f t="shared" si="625"/>
        <v>-1534.575</v>
      </c>
      <c r="BH134" s="126"/>
      <c r="BI134" s="82">
        <f t="shared" si="660"/>
        <v>-1466.7560000000001</v>
      </c>
      <c r="BJ134" s="67">
        <f t="shared" si="660"/>
        <v>-1560.1859999999999</v>
      </c>
      <c r="BK134" s="67">
        <f t="shared" si="660"/>
        <v>-1654.482</v>
      </c>
      <c r="BL134" s="67">
        <f t="shared" si="660"/>
        <v>-1665.287</v>
      </c>
      <c r="BM134" s="93">
        <f t="shared" si="627"/>
        <v>-1665.287</v>
      </c>
      <c r="BN134" s="126"/>
      <c r="BO134" s="82">
        <f t="shared" si="661"/>
        <v>-1632.4639999999999</v>
      </c>
      <c r="BP134" s="67">
        <f t="shared" si="661"/>
        <v>-1698.047</v>
      </c>
      <c r="BQ134" s="67">
        <f t="shared" si="661"/>
        <v>-1861.079</v>
      </c>
      <c r="BR134" s="67">
        <f t="shared" si="661"/>
        <v>-2048.1750000000002</v>
      </c>
      <c r="BS134" s="93">
        <f t="shared" si="629"/>
        <v>-2048.1750000000002</v>
      </c>
      <c r="BT134" s="126"/>
      <c r="BU134" s="82">
        <f t="shared" si="662"/>
        <v>-2025.796</v>
      </c>
      <c r="BV134" s="67">
        <f t="shared" si="662"/>
        <v>-2718.2510000000002</v>
      </c>
      <c r="BW134" s="67">
        <f t="shared" si="662"/>
        <v>-2574.0619999999999</v>
      </c>
      <c r="BX134" s="67">
        <f t="shared" si="662"/>
        <v>-2651.1979999999999</v>
      </c>
      <c r="BY134" s="93">
        <f t="shared" si="631"/>
        <v>-2651.1979999999999</v>
      </c>
      <c r="BZ134" s="126"/>
      <c r="CA134" s="82">
        <f t="shared" si="663"/>
        <v>-2383.4760000000001</v>
      </c>
      <c r="CB134" s="67">
        <f t="shared" si="663"/>
        <v>-2463.2330000000002</v>
      </c>
      <c r="CC134" s="67">
        <f t="shared" si="663"/>
        <v>-2386.9940000000001</v>
      </c>
      <c r="CD134" s="67">
        <f t="shared" si="663"/>
        <v>-2604.3000000000002</v>
      </c>
      <c r="CE134" s="93">
        <f t="shared" si="633"/>
        <v>-2604.3000000000002</v>
      </c>
      <c r="CF134" s="126"/>
      <c r="CG134" s="82">
        <f t="shared" si="664"/>
        <v>-2325</v>
      </c>
      <c r="CH134" s="67">
        <f t="shared" si="664"/>
        <v>-2457.1999999999998</v>
      </c>
      <c r="CI134" s="67">
        <f t="shared" si="664"/>
        <v>-2539.3000000000002</v>
      </c>
      <c r="CJ134" s="67">
        <f t="shared" si="664"/>
        <v>-2716.9</v>
      </c>
      <c r="CK134" s="93">
        <f t="shared" si="664"/>
        <v>-2716.9</v>
      </c>
      <c r="CL134" s="126"/>
      <c r="CM134" s="82">
        <f t="shared" si="665"/>
        <v>-2554.9</v>
      </c>
      <c r="CN134" s="67">
        <f t="shared" si="665"/>
        <v>-2622.9</v>
      </c>
      <c r="CO134" s="67">
        <f t="shared" si="665"/>
        <v>-2715.7</v>
      </c>
      <c r="CP134" s="67">
        <f t="shared" si="665"/>
        <v>-3449.5</v>
      </c>
      <c r="CQ134" s="93">
        <f t="shared" si="665"/>
        <v>-3449.5</v>
      </c>
      <c r="CR134" s="126"/>
      <c r="CS134" s="82">
        <f t="shared" ref="CS134:CV135" si="670">-CS33</f>
        <v>-3096.7</v>
      </c>
      <c r="CT134" s="67">
        <f t="shared" si="670"/>
        <v>-3201.4</v>
      </c>
      <c r="CU134" s="67">
        <f t="shared" si="670"/>
        <v>-3274.5</v>
      </c>
      <c r="CV134" s="67">
        <f t="shared" si="670"/>
        <v>-2609.4</v>
      </c>
      <c r="CW134" s="93">
        <f>+CV134</f>
        <v>-2609.4</v>
      </c>
      <c r="CX134" s="126"/>
      <c r="CY134" s="82">
        <f t="shared" ref="CY134:DB135" si="671">-CY33</f>
        <v>-3205.5</v>
      </c>
      <c r="CZ134" s="67">
        <f t="shared" si="671"/>
        <v>-3388.2</v>
      </c>
      <c r="DA134" s="67">
        <f t="shared" si="671"/>
        <v>-2599.8000000000002</v>
      </c>
      <c r="DB134" s="67">
        <f t="shared" si="671"/>
        <v>-2794.2</v>
      </c>
      <c r="DC134" s="93">
        <f>+DB134</f>
        <v>-2794.2</v>
      </c>
      <c r="DD134" s="126"/>
      <c r="DE134" s="82">
        <f t="shared" ref="DE134:DF134" si="672">-DE33</f>
        <v>-2379.9</v>
      </c>
      <c r="DF134" s="67">
        <f t="shared" si="672"/>
        <v>-2606.1</v>
      </c>
      <c r="DG134" s="67">
        <f t="shared" ref="DG134:DH134" si="673">-DG33</f>
        <v>-2703.5</v>
      </c>
      <c r="DH134" s="67">
        <f t="shared" si="673"/>
        <v>-3087.7</v>
      </c>
      <c r="DI134" s="93">
        <f>+DH134</f>
        <v>-3087.7</v>
      </c>
      <c r="DJ134" s="126"/>
      <c r="DK134" s="82">
        <f>-DK125*DK128*4</f>
        <v>-2749.4120000000003</v>
      </c>
      <c r="DL134" s="67">
        <f t="shared" ref="DL134:DN134" si="674">-DL125*DL128*4</f>
        <v>-2929.2692622978634</v>
      </c>
      <c r="DM134" s="67">
        <f t="shared" si="674"/>
        <v>-2849.4119518661291</v>
      </c>
      <c r="DN134" s="67">
        <f t="shared" si="674"/>
        <v>-3136.7206887638558</v>
      </c>
      <c r="DO134" s="93">
        <f t="shared" si="648"/>
        <v>-3136.7206887638558</v>
      </c>
      <c r="DP134" s="126"/>
      <c r="DQ134" s="82">
        <f>-DQ125*DQ128*4</f>
        <v>-2828.6161665694826</v>
      </c>
      <c r="DR134" s="67">
        <f t="shared" ref="DR134:DT134" si="675">-DR125*DR128*4</f>
        <v>-3029.266037797925</v>
      </c>
      <c r="DS134" s="67">
        <f t="shared" si="675"/>
        <v>-2929.8575037904579</v>
      </c>
      <c r="DT134" s="67">
        <f t="shared" si="675"/>
        <v>-3234.6596798382438</v>
      </c>
      <c r="DU134" s="93">
        <f t="shared" si="649"/>
        <v>-3234.6596798382438</v>
      </c>
      <c r="DV134" s="126"/>
      <c r="DW134" s="82">
        <f>-DW125*DW128*4</f>
        <v>-2908.6028722263686</v>
      </c>
      <c r="DX134" s="67">
        <f t="shared" ref="DX134:DZ134" si="676">-DX125*DX128*4</f>
        <v>-3120.8854322861248</v>
      </c>
      <c r="DY134" s="67">
        <f t="shared" si="676"/>
        <v>-3017.4180590321212</v>
      </c>
      <c r="DZ134" s="67">
        <f t="shared" si="676"/>
        <v>-3341.5814193907004</v>
      </c>
      <c r="EA134" s="93">
        <f t="shared" si="650"/>
        <v>-3341.5814193907004</v>
      </c>
      <c r="EB134" s="126"/>
      <c r="EC134" s="82">
        <f t="shared" ref="EC134:EF134" si="677">-EC125*EC128*4</f>
        <v>-3000.8227463840435</v>
      </c>
      <c r="ED134" s="67">
        <f t="shared" si="677"/>
        <v>-3225.2475916370777</v>
      </c>
      <c r="EE134" s="67">
        <f t="shared" si="677"/>
        <v>-3117.6266839448599</v>
      </c>
      <c r="EF134" s="67">
        <f t="shared" si="677"/>
        <v>-3470.2416552375162</v>
      </c>
      <c r="EG134" s="93">
        <f t="shared" si="643"/>
        <v>-3470.2416552375162</v>
      </c>
      <c r="EH134" s="7"/>
      <c r="EI134" s="482"/>
      <c r="EJ134" s="7"/>
    </row>
    <row r="135" spans="1:140" ht="11.25" customHeight="1" x14ac:dyDescent="0.2">
      <c r="A135" s="51" t="s">
        <v>80</v>
      </c>
      <c r="B135" s="2"/>
      <c r="C135" s="2"/>
      <c r="D135" s="2"/>
      <c r="E135" s="93">
        <f>-E34</f>
        <v>0</v>
      </c>
      <c r="F135" s="126"/>
      <c r="G135" s="93">
        <f>-G34</f>
        <v>0</v>
      </c>
      <c r="H135" s="126"/>
      <c r="I135" s="93">
        <f>-I34</f>
        <v>0</v>
      </c>
      <c r="J135" s="126"/>
      <c r="K135" s="93">
        <f>-K34</f>
        <v>0</v>
      </c>
      <c r="L135" s="126"/>
      <c r="M135" s="82">
        <f t="shared" si="652"/>
        <v>0</v>
      </c>
      <c r="N135" s="67">
        <f t="shared" si="652"/>
        <v>0</v>
      </c>
      <c r="O135" s="67">
        <f t="shared" si="652"/>
        <v>0</v>
      </c>
      <c r="P135" s="67">
        <f t="shared" si="652"/>
        <v>0</v>
      </c>
      <c r="Q135" s="93">
        <f t="shared" si="652"/>
        <v>0</v>
      </c>
      <c r="R135" s="126"/>
      <c r="S135" s="82">
        <f t="shared" si="653"/>
        <v>0</v>
      </c>
      <c r="T135" s="67">
        <f t="shared" si="653"/>
        <v>0</v>
      </c>
      <c r="U135" s="67">
        <f t="shared" si="653"/>
        <v>0</v>
      </c>
      <c r="V135" s="67">
        <f t="shared" si="653"/>
        <v>0</v>
      </c>
      <c r="W135" s="93">
        <f t="shared" si="653"/>
        <v>0</v>
      </c>
      <c r="X135" s="126"/>
      <c r="Y135" s="82">
        <f t="shared" si="654"/>
        <v>0</v>
      </c>
      <c r="Z135" s="67">
        <f t="shared" si="654"/>
        <v>0</v>
      </c>
      <c r="AA135" s="67">
        <f t="shared" si="654"/>
        <v>0</v>
      </c>
      <c r="AB135" s="67">
        <f t="shared" si="654"/>
        <v>0</v>
      </c>
      <c r="AC135" s="93">
        <f t="shared" si="654"/>
        <v>0</v>
      </c>
      <c r="AD135" s="126"/>
      <c r="AE135" s="82">
        <f t="shared" si="655"/>
        <v>0</v>
      </c>
      <c r="AF135" s="67">
        <f t="shared" si="655"/>
        <v>0</v>
      </c>
      <c r="AG135" s="67">
        <f t="shared" si="655"/>
        <v>0</v>
      </c>
      <c r="AH135" s="67">
        <f t="shared" si="655"/>
        <v>0</v>
      </c>
      <c r="AI135" s="93">
        <f t="shared" si="655"/>
        <v>0</v>
      </c>
      <c r="AJ135" s="126"/>
      <c r="AK135" s="82">
        <f t="shared" si="656"/>
        <v>0</v>
      </c>
      <c r="AL135" s="67">
        <f t="shared" si="656"/>
        <v>0</v>
      </c>
      <c r="AM135" s="67">
        <f t="shared" si="656"/>
        <v>0</v>
      </c>
      <c r="AN135" s="67">
        <f>-AN34</f>
        <v>0</v>
      </c>
      <c r="AO135" s="93">
        <f>-AO34</f>
        <v>0</v>
      </c>
      <c r="AP135" s="126"/>
      <c r="AQ135" s="82">
        <f t="shared" si="657"/>
        <v>0</v>
      </c>
      <c r="AR135" s="67">
        <f t="shared" si="657"/>
        <v>0</v>
      </c>
      <c r="AS135" s="67">
        <f t="shared" si="657"/>
        <v>0</v>
      </c>
      <c r="AT135" s="67">
        <f>-AT34</f>
        <v>0</v>
      </c>
      <c r="AU135" s="93">
        <f>-AU34</f>
        <v>0</v>
      </c>
      <c r="AV135" s="126"/>
      <c r="AW135" s="82">
        <f t="shared" si="658"/>
        <v>0</v>
      </c>
      <c r="AX135" s="67">
        <f t="shared" si="658"/>
        <v>0</v>
      </c>
      <c r="AY135" s="67">
        <f t="shared" si="658"/>
        <v>0</v>
      </c>
      <c r="AZ135" s="67">
        <f t="shared" si="658"/>
        <v>0</v>
      </c>
      <c r="BA135" s="93">
        <f>-BA34</f>
        <v>0</v>
      </c>
      <c r="BB135" s="126"/>
      <c r="BC135" s="82">
        <f t="shared" si="659"/>
        <v>0</v>
      </c>
      <c r="BD135" s="67">
        <f t="shared" si="659"/>
        <v>0</v>
      </c>
      <c r="BE135" s="67">
        <f t="shared" si="659"/>
        <v>0</v>
      </c>
      <c r="BF135" s="67">
        <f t="shared" si="659"/>
        <v>0</v>
      </c>
      <c r="BG135" s="93">
        <f>-BG34</f>
        <v>0</v>
      </c>
      <c r="BH135" s="126"/>
      <c r="BI135" s="82">
        <f t="shared" si="660"/>
        <v>0</v>
      </c>
      <c r="BJ135" s="67">
        <f t="shared" si="660"/>
        <v>0</v>
      </c>
      <c r="BK135" s="67">
        <f t="shared" si="660"/>
        <v>0</v>
      </c>
      <c r="BL135" s="67">
        <f t="shared" si="660"/>
        <v>0</v>
      </c>
      <c r="BM135" s="93">
        <f>-BM34</f>
        <v>0</v>
      </c>
      <c r="BN135" s="126"/>
      <c r="BO135" s="82">
        <f t="shared" si="661"/>
        <v>0</v>
      </c>
      <c r="BP135" s="67">
        <f t="shared" si="661"/>
        <v>0</v>
      </c>
      <c r="BQ135" s="67">
        <f t="shared" si="661"/>
        <v>0</v>
      </c>
      <c r="BR135" s="67">
        <f t="shared" si="661"/>
        <v>0</v>
      </c>
      <c r="BS135" s="93">
        <f>-BS34</f>
        <v>0</v>
      </c>
      <c r="BT135" s="126"/>
      <c r="BU135" s="82">
        <f t="shared" si="662"/>
        <v>0</v>
      </c>
      <c r="BV135" s="67">
        <f t="shared" si="662"/>
        <v>0</v>
      </c>
      <c r="BW135" s="67">
        <f t="shared" si="662"/>
        <v>0</v>
      </c>
      <c r="BX135" s="67">
        <f t="shared" si="662"/>
        <v>0</v>
      </c>
      <c r="BY135" s="93">
        <f>-BY34</f>
        <v>0</v>
      </c>
      <c r="BZ135" s="126"/>
      <c r="CA135" s="82">
        <f t="shared" si="663"/>
        <v>0</v>
      </c>
      <c r="CB135" s="67">
        <f t="shared" si="663"/>
        <v>0</v>
      </c>
      <c r="CC135" s="67">
        <f t="shared" si="663"/>
        <v>0</v>
      </c>
      <c r="CD135" s="67">
        <f t="shared" si="663"/>
        <v>0</v>
      </c>
      <c r="CE135" s="93">
        <f>-CE34</f>
        <v>0</v>
      </c>
      <c r="CF135" s="126"/>
      <c r="CG135" s="82">
        <f t="shared" si="664"/>
        <v>0</v>
      </c>
      <c r="CH135" s="67">
        <f t="shared" si="664"/>
        <v>0</v>
      </c>
      <c r="CI135" s="67">
        <f t="shared" si="664"/>
        <v>0</v>
      </c>
      <c r="CJ135" s="67">
        <f t="shared" si="664"/>
        <v>0</v>
      </c>
      <c r="CK135" s="93">
        <f t="shared" si="664"/>
        <v>0</v>
      </c>
      <c r="CL135" s="126"/>
      <c r="CM135" s="82">
        <f t="shared" si="665"/>
        <v>0</v>
      </c>
      <c r="CN135" s="67">
        <f t="shared" si="665"/>
        <v>0</v>
      </c>
      <c r="CO135" s="67">
        <f t="shared" si="665"/>
        <v>0</v>
      </c>
      <c r="CP135" s="67">
        <f t="shared" si="665"/>
        <v>0</v>
      </c>
      <c r="CQ135" s="93">
        <f t="shared" si="665"/>
        <v>0</v>
      </c>
      <c r="CR135" s="126"/>
      <c r="CS135" s="82">
        <f t="shared" si="670"/>
        <v>0</v>
      </c>
      <c r="CT135" s="67">
        <f t="shared" si="670"/>
        <v>0</v>
      </c>
      <c r="CU135" s="67">
        <f t="shared" si="670"/>
        <v>-42.4</v>
      </c>
      <c r="CV135" s="67">
        <f t="shared" si="670"/>
        <v>0</v>
      </c>
      <c r="CW135" s="93">
        <f>-CW34</f>
        <v>0</v>
      </c>
      <c r="CX135" s="126"/>
      <c r="CY135" s="82">
        <f t="shared" si="671"/>
        <v>0</v>
      </c>
      <c r="CZ135" s="67">
        <f t="shared" si="671"/>
        <v>0</v>
      </c>
      <c r="DA135" s="67">
        <f t="shared" si="671"/>
        <v>0</v>
      </c>
      <c r="DB135" s="67">
        <f t="shared" si="671"/>
        <v>0</v>
      </c>
      <c r="DC135" s="93">
        <f>-DC34</f>
        <v>0</v>
      </c>
      <c r="DD135" s="126"/>
      <c r="DE135" s="82">
        <f t="shared" ref="DE135:DF135" si="678">-DE34</f>
        <v>0</v>
      </c>
      <c r="DF135" s="67">
        <f t="shared" si="678"/>
        <v>0</v>
      </c>
      <c r="DG135" s="67">
        <f t="shared" ref="DG135:DH135" si="679">-DG34</f>
        <v>0</v>
      </c>
      <c r="DH135" s="67">
        <f t="shared" si="679"/>
        <v>0</v>
      </c>
      <c r="DI135" s="93">
        <f>-DI34</f>
        <v>0</v>
      </c>
      <c r="DJ135" s="126"/>
      <c r="DK135" s="81">
        <v>0</v>
      </c>
      <c r="DL135" s="69">
        <v>0</v>
      </c>
      <c r="DM135" s="69">
        <v>0</v>
      </c>
      <c r="DN135" s="69">
        <v>0</v>
      </c>
      <c r="DO135" s="93">
        <f t="shared" si="648"/>
        <v>0</v>
      </c>
      <c r="DP135" s="126"/>
      <c r="DQ135" s="81">
        <v>0</v>
      </c>
      <c r="DR135" s="69">
        <v>0</v>
      </c>
      <c r="DS135" s="69">
        <v>0</v>
      </c>
      <c r="DT135" s="69">
        <v>0</v>
      </c>
      <c r="DU135" s="93">
        <f t="shared" si="649"/>
        <v>0</v>
      </c>
      <c r="DV135" s="126"/>
      <c r="DW135" s="81">
        <v>0</v>
      </c>
      <c r="DX135" s="69">
        <v>0</v>
      </c>
      <c r="DY135" s="69">
        <v>0</v>
      </c>
      <c r="DZ135" s="69">
        <v>0</v>
      </c>
      <c r="EA135" s="93">
        <f t="shared" si="650"/>
        <v>0</v>
      </c>
      <c r="EB135" s="126"/>
      <c r="EC135" s="81">
        <v>0</v>
      </c>
      <c r="ED135" s="69">
        <v>0</v>
      </c>
      <c r="EE135" s="69">
        <v>0</v>
      </c>
      <c r="EF135" s="69">
        <v>0</v>
      </c>
      <c r="EG135" s="93">
        <f t="shared" si="643"/>
        <v>0</v>
      </c>
      <c r="EH135" s="7"/>
      <c r="EI135" s="482"/>
      <c r="EJ135" s="7"/>
    </row>
    <row r="136" spans="1:140" ht="11.25" customHeight="1" x14ac:dyDescent="0.2">
      <c r="A136" s="51" t="s">
        <v>39</v>
      </c>
      <c r="B136" s="2"/>
      <c r="C136" s="2"/>
      <c r="D136" s="2"/>
      <c r="E136" s="93">
        <f t="shared" ref="E136:Q136" si="680">SUM(E130:E135)</f>
        <v>216.84499999999991</v>
      </c>
      <c r="F136" s="126"/>
      <c r="G136" s="93">
        <f t="shared" si="680"/>
        <v>242.37299999999999</v>
      </c>
      <c r="H136" s="126"/>
      <c r="I136" s="93">
        <f t="shared" si="680"/>
        <v>266.64699999999993</v>
      </c>
      <c r="J136" s="126"/>
      <c r="K136" s="93">
        <f t="shared" si="680"/>
        <v>360.47500000000002</v>
      </c>
      <c r="L136" s="126"/>
      <c r="M136" s="82">
        <f t="shared" si="680"/>
        <v>277.678</v>
      </c>
      <c r="N136" s="67">
        <f t="shared" si="680"/>
        <v>313.38299999999992</v>
      </c>
      <c r="O136" s="67">
        <f t="shared" si="680"/>
        <v>325.71900000000005</v>
      </c>
      <c r="P136" s="67">
        <f t="shared" si="680"/>
        <v>223.11800000000005</v>
      </c>
      <c r="Q136" s="93">
        <f t="shared" si="680"/>
        <v>223.11800000000005</v>
      </c>
      <c r="R136" s="126"/>
      <c r="S136" s="82">
        <f t="shared" ref="S136:W136" si="681">SUM(S130:S135)</f>
        <v>201.43399999999997</v>
      </c>
      <c r="T136" s="67">
        <f t="shared" si="681"/>
        <v>216.43399999999997</v>
      </c>
      <c r="U136" s="67">
        <f t="shared" si="681"/>
        <v>180.61399999999992</v>
      </c>
      <c r="V136" s="67">
        <f t="shared" si="681"/>
        <v>424.0329999999999</v>
      </c>
      <c r="W136" s="93">
        <f t="shared" si="681"/>
        <v>424.0329999999999</v>
      </c>
      <c r="X136" s="126"/>
      <c r="Y136" s="82">
        <f t="shared" ref="Y136:AC136" si="682">SUM(Y130:Y135)</f>
        <v>389.8810000000002</v>
      </c>
      <c r="Z136" s="67">
        <f t="shared" si="682"/>
        <v>364.99900000000002</v>
      </c>
      <c r="AA136" s="67">
        <f t="shared" si="682"/>
        <v>408.29900000000021</v>
      </c>
      <c r="AB136" s="67">
        <f t="shared" si="682"/>
        <v>346.37700000000018</v>
      </c>
      <c r="AC136" s="93">
        <f t="shared" si="682"/>
        <v>346.37700000000018</v>
      </c>
      <c r="AD136" s="126"/>
      <c r="AE136" s="82">
        <f t="shared" ref="AE136:AI136" si="683">SUM(AE130:AE135)</f>
        <v>333.84500000000014</v>
      </c>
      <c r="AF136" s="67">
        <f t="shared" si="683"/>
        <v>472.99500000000035</v>
      </c>
      <c r="AG136" s="67">
        <f t="shared" si="683"/>
        <v>469.09699999999975</v>
      </c>
      <c r="AH136" s="67">
        <f t="shared" si="683"/>
        <v>532.05200000000013</v>
      </c>
      <c r="AI136" s="93">
        <f t="shared" si="683"/>
        <v>532.05200000000013</v>
      </c>
      <c r="AJ136" s="126"/>
      <c r="AK136" s="82">
        <f t="shared" ref="AK136:AO136" si="684">SUM(AK130:AK135)</f>
        <v>433.34800000000018</v>
      </c>
      <c r="AL136" s="67">
        <f t="shared" si="684"/>
        <v>371.01299999999992</v>
      </c>
      <c r="AM136" s="67">
        <f t="shared" si="684"/>
        <v>443.56000000000017</v>
      </c>
      <c r="AN136" s="67">
        <f t="shared" si="684"/>
        <v>544.83299999999986</v>
      </c>
      <c r="AO136" s="93">
        <f t="shared" si="684"/>
        <v>544.83299999999986</v>
      </c>
      <c r="AP136" s="126"/>
      <c r="AQ136" s="82">
        <f t="shared" ref="AQ136:AU136" si="685">SUM(AQ130:AQ135)</f>
        <v>591.68299999999977</v>
      </c>
      <c r="AR136" s="67">
        <f t="shared" si="685"/>
        <v>702.73599999999988</v>
      </c>
      <c r="AS136" s="67">
        <f t="shared" si="685"/>
        <v>613.47399999999993</v>
      </c>
      <c r="AT136" s="67">
        <f t="shared" si="685"/>
        <v>628.39100000000008</v>
      </c>
      <c r="AU136" s="93">
        <f t="shared" si="685"/>
        <v>628.39100000000008</v>
      </c>
      <c r="AV136" s="126"/>
      <c r="AW136" s="82">
        <f t="shared" ref="AW136:BA136" si="686">SUM(AW130:AW135)</f>
        <v>1040.5250000000001</v>
      </c>
      <c r="AX136" s="67">
        <f t="shared" si="686"/>
        <v>1101.4479999999996</v>
      </c>
      <c r="AY136" s="67">
        <f t="shared" si="686"/>
        <v>1104.7139999999997</v>
      </c>
      <c r="AZ136" s="67">
        <f t="shared" si="686"/>
        <v>1326.2859999999998</v>
      </c>
      <c r="BA136" s="93">
        <f t="shared" si="686"/>
        <v>1326.2859999999998</v>
      </c>
      <c r="BB136" s="126"/>
      <c r="BC136" s="82">
        <f t="shared" ref="BC136:BG136" si="687">SUM(BC130:BC135)</f>
        <v>1241.1319999999998</v>
      </c>
      <c r="BD136" s="67">
        <f t="shared" si="687"/>
        <v>1126.7530000000004</v>
      </c>
      <c r="BE136" s="67">
        <f t="shared" si="687"/>
        <v>1139.3090000000002</v>
      </c>
      <c r="BF136" s="67">
        <f t="shared" si="687"/>
        <v>1150.729</v>
      </c>
      <c r="BG136" s="93">
        <f t="shared" si="687"/>
        <v>1150.729</v>
      </c>
      <c r="BH136" s="126"/>
      <c r="BI136" s="82">
        <f t="shared" ref="BI136:BM136" si="688">SUM(BI130:BI135)</f>
        <v>1123.7610000000002</v>
      </c>
      <c r="BJ136" s="67">
        <f t="shared" si="688"/>
        <v>1063.5330000000006</v>
      </c>
      <c r="BK136" s="67">
        <f t="shared" si="688"/>
        <v>934.91600000000017</v>
      </c>
      <c r="BL136" s="67">
        <f t="shared" si="688"/>
        <v>781.93399999999951</v>
      </c>
      <c r="BM136" s="93">
        <f t="shared" si="688"/>
        <v>781.93399999999951</v>
      </c>
      <c r="BN136" s="126"/>
      <c r="BO136" s="82">
        <f t="shared" ref="BO136:BS136" si="689">SUM(BO130:BO135)</f>
        <v>940.45399999999972</v>
      </c>
      <c r="BP136" s="67">
        <f t="shared" si="689"/>
        <v>890.05800000000045</v>
      </c>
      <c r="BQ136" s="67">
        <f t="shared" si="689"/>
        <v>785.63799999999969</v>
      </c>
      <c r="BR136" s="67">
        <f t="shared" si="689"/>
        <v>832.54</v>
      </c>
      <c r="BS136" s="93">
        <f t="shared" si="689"/>
        <v>832.54</v>
      </c>
      <c r="BT136" s="126"/>
      <c r="BU136" s="82">
        <f t="shared" ref="BU136:BY136" si="690">SUM(BU130:BU135)</f>
        <v>1273.3999999999999</v>
      </c>
      <c r="BV136" s="67">
        <f t="shared" si="690"/>
        <v>1769.8530000000001</v>
      </c>
      <c r="BW136" s="67">
        <f t="shared" si="690"/>
        <v>1788.759</v>
      </c>
      <c r="BX136" s="67">
        <f t="shared" si="690"/>
        <v>1661.7200000000007</v>
      </c>
      <c r="BY136" s="93">
        <f t="shared" si="690"/>
        <v>1661.7200000000007</v>
      </c>
      <c r="BZ136" s="126"/>
      <c r="CA136" s="82">
        <f t="shared" ref="CA136:CE136" si="691">SUM(CA130:CA135)</f>
        <v>1650.4820000000004</v>
      </c>
      <c r="CB136" s="67">
        <f t="shared" si="691"/>
        <v>1517.9609999999993</v>
      </c>
      <c r="CC136" s="67">
        <f t="shared" si="691"/>
        <v>1487.0389999999998</v>
      </c>
      <c r="CD136" s="67">
        <f t="shared" si="691"/>
        <v>1758.5</v>
      </c>
      <c r="CE136" s="93">
        <f t="shared" si="691"/>
        <v>1758.5</v>
      </c>
      <c r="CF136" s="126"/>
      <c r="CG136" s="82">
        <f t="shared" ref="CG136:CK136" si="692">SUM(CG130:CG135)</f>
        <v>1899.8000000000002</v>
      </c>
      <c r="CH136" s="67">
        <f t="shared" si="692"/>
        <v>1827.4999999999991</v>
      </c>
      <c r="CI136" s="67">
        <f t="shared" si="692"/>
        <v>1805.1999999999998</v>
      </c>
      <c r="CJ136" s="67">
        <f t="shared" si="692"/>
        <v>1503.4</v>
      </c>
      <c r="CK136" s="93">
        <f t="shared" si="692"/>
        <v>1503.4</v>
      </c>
      <c r="CL136" s="126"/>
      <c r="CM136" s="82">
        <f t="shared" ref="CM136:CQ136" si="693">SUM(CM130:CM135)</f>
        <v>1817.4999999999995</v>
      </c>
      <c r="CN136" s="67">
        <f t="shared" si="693"/>
        <v>1828.4999999999995</v>
      </c>
      <c r="CO136" s="67">
        <f t="shared" si="693"/>
        <v>1564.5000000000009</v>
      </c>
      <c r="CP136" s="67">
        <f t="shared" si="693"/>
        <v>1101.1999999999998</v>
      </c>
      <c r="CQ136" s="93">
        <f t="shared" si="693"/>
        <v>1101.1999999999998</v>
      </c>
      <c r="CR136" s="126"/>
      <c r="CS136" s="82">
        <f t="shared" ref="CS136:CW136" si="694">SUM(CS130:CS135)</f>
        <v>1434.4000000000005</v>
      </c>
      <c r="CT136" s="67">
        <f t="shared" si="694"/>
        <v>1366.9999999999995</v>
      </c>
      <c r="CU136" s="67">
        <f t="shared" si="694"/>
        <v>1961.9999999999995</v>
      </c>
      <c r="CV136" s="67">
        <f t="shared" si="694"/>
        <v>3044.6</v>
      </c>
      <c r="CW136" s="93">
        <f t="shared" si="694"/>
        <v>3044.6</v>
      </c>
      <c r="CX136" s="126"/>
      <c r="CY136" s="82">
        <f>SUM(CY130:CY135)</f>
        <v>1958.5999999999995</v>
      </c>
      <c r="CZ136" s="67">
        <f>SUM(CZ130:CZ135)</f>
        <v>1752</v>
      </c>
      <c r="DA136" s="67">
        <f>SUM(DA130:DA135)</f>
        <v>1567.5</v>
      </c>
      <c r="DB136" s="67">
        <f>SUM(DB130:DB135)</f>
        <v>1422.1999999999998</v>
      </c>
      <c r="DC136" s="93">
        <f>SUM(DC130:DC135)</f>
        <v>1422.1999999999998</v>
      </c>
      <c r="DD136" s="126"/>
      <c r="DE136" s="82">
        <f>SUM(DE130:DE135)</f>
        <v>1732.9</v>
      </c>
      <c r="DF136" s="67">
        <f>SUM(DF130:DF135)</f>
        <v>1497.1</v>
      </c>
      <c r="DG136" s="67">
        <f>SUM(DG130:DG135)</f>
        <v>1406.2999999999993</v>
      </c>
      <c r="DH136" s="67">
        <f>SUM(DH130:DH135)</f>
        <v>1622.1000000000013</v>
      </c>
      <c r="DI136" s="93">
        <f>SUM(DI130:DI135)</f>
        <v>1622.1000000000013</v>
      </c>
      <c r="DJ136" s="126"/>
      <c r="DK136" s="82">
        <f>SUM(DK130:DK135)</f>
        <v>1690.0247684514261</v>
      </c>
      <c r="DL136" s="67">
        <f>SUM(DL130:DL135)</f>
        <v>1629.3100975669654</v>
      </c>
      <c r="DM136" s="67">
        <f>SUM(DM130:DM135)</f>
        <v>1753.4455113154117</v>
      </c>
      <c r="DN136" s="67">
        <f>SUM(DN130:DN135)</f>
        <v>1707.5713886903404</v>
      </c>
      <c r="DO136" s="93">
        <f>SUM(DO130:DO135)</f>
        <v>1707.5713886903404</v>
      </c>
      <c r="DP136" s="126"/>
      <c r="DQ136" s="82">
        <f>SUM(DQ130:DQ135)</f>
        <v>1734.4962658817003</v>
      </c>
      <c r="DR136" s="67">
        <f>SUM(DR130:DR135)</f>
        <v>1664.1585956649956</v>
      </c>
      <c r="DS136" s="67">
        <f>SUM(DS130:DS135)</f>
        <v>1771.0470829709116</v>
      </c>
      <c r="DT136" s="67">
        <f>SUM(DT130:DT135)</f>
        <v>1711.911878231062</v>
      </c>
      <c r="DU136" s="93">
        <f>SUM(DU130:DU135)</f>
        <v>1711.911878231062</v>
      </c>
      <c r="DV136" s="126"/>
      <c r="DW136" s="82">
        <f>SUM(DW130:DW135)</f>
        <v>1662.6733533032843</v>
      </c>
      <c r="DX136" s="67">
        <f>SUM(DX130:DX135)</f>
        <v>1575.9681696033144</v>
      </c>
      <c r="DY136" s="67">
        <f>SUM(DY130:DY135)</f>
        <v>1691.6387525281716</v>
      </c>
      <c r="DZ136" s="67">
        <f>SUM(DZ130:DZ135)</f>
        <v>1606.4648747589522</v>
      </c>
      <c r="EA136" s="93">
        <f>SUM(EA130:EA135)</f>
        <v>1606.4648747589522</v>
      </c>
      <c r="EB136" s="126"/>
      <c r="EC136" s="82">
        <f t="shared" ref="EC136:EG136" si="695">SUM(EC130:EC135)</f>
        <v>1575.4665285351107</v>
      </c>
      <c r="ED136" s="67">
        <f t="shared" si="695"/>
        <v>1470.5703976476052</v>
      </c>
      <c r="EE136" s="67">
        <f t="shared" si="695"/>
        <v>1595.9343424099807</v>
      </c>
      <c r="EF136" s="67">
        <f t="shared" si="695"/>
        <v>1472.6607715263453</v>
      </c>
      <c r="EG136" s="93">
        <f t="shared" si="695"/>
        <v>1472.6607715263453</v>
      </c>
      <c r="EH136" s="7"/>
      <c r="EI136" s="482"/>
      <c r="EJ136" s="7"/>
    </row>
    <row r="137" spans="1:140" ht="11.25" customHeight="1" x14ac:dyDescent="0.2">
      <c r="A137" s="105" t="s">
        <v>278</v>
      </c>
      <c r="B137" s="2"/>
      <c r="C137" s="2"/>
      <c r="D137" s="2"/>
      <c r="E137" s="160">
        <f>E136/E119</f>
        <v>8.7016452648475087E-2</v>
      </c>
      <c r="F137" s="22"/>
      <c r="G137" s="160">
        <f>G136/G119</f>
        <v>7.9542187653834792E-2</v>
      </c>
      <c r="H137" s="22"/>
      <c r="I137" s="160">
        <f>I136/I119</f>
        <v>8.3400162642312009E-2</v>
      </c>
      <c r="J137" s="22"/>
      <c r="K137" s="160">
        <f>K136/K119</f>
        <v>9.5419872586444354E-2</v>
      </c>
      <c r="L137" s="22"/>
      <c r="M137" s="156">
        <f>M136/M119/4</f>
        <v>6.9054684103879202E-2</v>
      </c>
      <c r="N137" s="157">
        <f>N136/N119/4</f>
        <v>8.1896709423911362E-2</v>
      </c>
      <c r="O137" s="157">
        <f>O136/O119/4</f>
        <v>9.0318138662005276E-2</v>
      </c>
      <c r="P137" s="157">
        <f>P136/P119/4</f>
        <v>6.0700356500807469E-2</v>
      </c>
      <c r="Q137" s="160">
        <f>Q136/Q119</f>
        <v>5.8987786732599364E-2</v>
      </c>
      <c r="R137" s="22"/>
      <c r="S137" s="156">
        <f>S136/S119/4</f>
        <v>5.0147529344049577E-2</v>
      </c>
      <c r="T137" s="157">
        <f>T136/T119/4</f>
        <v>4.7201668635274772E-2</v>
      </c>
      <c r="U137" s="157">
        <f>U136/U119/4</f>
        <v>3.9205241547214977E-2</v>
      </c>
      <c r="V137" s="157">
        <f>V136/V119/4</f>
        <v>8.3145160151782985E-2</v>
      </c>
      <c r="W137" s="160">
        <f>W136/W119</f>
        <v>9.2639612761599127E-2</v>
      </c>
      <c r="X137" s="22"/>
      <c r="Y137" s="156">
        <f>Y136/Y119/4</f>
        <v>8.1482216825570705E-2</v>
      </c>
      <c r="Z137" s="157">
        <f>Z136/Z119/4</f>
        <v>7.0222797345301638E-2</v>
      </c>
      <c r="AA137" s="157">
        <f>AA136/AA119/4</f>
        <v>7.7952325058364191E-2</v>
      </c>
      <c r="AB137" s="157">
        <f>AB136/AB119/4</f>
        <v>5.8164649128345548E-2</v>
      </c>
      <c r="AC137" s="160">
        <f>AC136/AC119</f>
        <v>6.5429753171400346E-2</v>
      </c>
      <c r="AD137" s="22"/>
      <c r="AE137" s="156">
        <f>AE136/AE119/4</f>
        <v>5.4083551550002579E-2</v>
      </c>
      <c r="AF137" s="157">
        <f>AF136/AF119/4</f>
        <v>7.2937002118742142E-2</v>
      </c>
      <c r="AG137" s="157">
        <f>AG136/AG119/4</f>
        <v>6.7194899400384422E-2</v>
      </c>
      <c r="AH137" s="157">
        <f>AH136/AH119/4</f>
        <v>6.7190736868904519E-2</v>
      </c>
      <c r="AI137" s="160">
        <f>AI136/AI119</f>
        <v>7.7228140693597708E-2</v>
      </c>
      <c r="AJ137" s="22"/>
      <c r="AK137" s="156">
        <f>AK136/AK119/4</f>
        <v>5.9331919638456326E-2</v>
      </c>
      <c r="AL137" s="157">
        <f>AL136/AL119/4</f>
        <v>4.809289199000117E-2</v>
      </c>
      <c r="AM137" s="157">
        <f>AM136/AM119/4</f>
        <v>5.6393109147543093E-2</v>
      </c>
      <c r="AN137" s="157">
        <f>AN136/AN119/4</f>
        <v>6.0169165832875009E-2</v>
      </c>
      <c r="AO137" s="160">
        <f>AO136/AO119</f>
        <v>6.8234589535191265E-2</v>
      </c>
      <c r="AP137" s="22"/>
      <c r="AQ137" s="156">
        <f>AQ136/AQ119/4</f>
        <v>6.9979089642513287E-2</v>
      </c>
      <c r="AR137" s="157">
        <f>AR136/AR119/4</f>
        <v>7.5778711187371173E-2</v>
      </c>
      <c r="AS137" s="157">
        <f>AS136/AS119/4</f>
        <v>6.3678147556876799E-2</v>
      </c>
      <c r="AT137" s="157">
        <f>AT136/AT119/4</f>
        <v>5.9837780538844851E-2</v>
      </c>
      <c r="AU137" s="160">
        <f>AU136/AU119</f>
        <v>6.63836131964569E-2</v>
      </c>
      <c r="AV137" s="22"/>
      <c r="AW137" s="156">
        <f>AW136/AW119/4</f>
        <v>0.10315689186482956</v>
      </c>
      <c r="AX137" s="157">
        <f>AX136/AX119/4</f>
        <v>0.10462539206690258</v>
      </c>
      <c r="AY137" s="157">
        <f>AY136/AY119/4</f>
        <v>0.10112165164064527</v>
      </c>
      <c r="AZ137" s="157">
        <f>AZ136/AZ119/4</f>
        <v>0.10555645224703987</v>
      </c>
      <c r="BA137" s="160">
        <f>BA136/BA119</f>
        <v>0.12028803406664187</v>
      </c>
      <c r="BB137" s="22"/>
      <c r="BC137" s="156">
        <f>BC136/BC119/4</f>
        <v>0.10244169945662975</v>
      </c>
      <c r="BD137" s="157">
        <f>BD136/BD119/4</f>
        <v>8.5778701815983779E-2</v>
      </c>
      <c r="BE137" s="157">
        <f>BE136/BE119/4</f>
        <v>8.8781540068967449E-2</v>
      </c>
      <c r="BF137" s="157">
        <f>BF136/BF119/4</f>
        <v>9.0565624620258856E-2</v>
      </c>
      <c r="BG137" s="160">
        <f>BG136/BG119</f>
        <v>9.0626736568333047E-2</v>
      </c>
      <c r="BH137" s="22"/>
      <c r="BI137" s="156">
        <f>BI136/BI119/4</f>
        <v>0.10691488754424024</v>
      </c>
      <c r="BJ137" s="157">
        <f>BJ136/BJ119/4</f>
        <v>9.944765484739683E-2</v>
      </c>
      <c r="BK137" s="157">
        <f>BK136/BK119/4</f>
        <v>8.4970734722070757E-2</v>
      </c>
      <c r="BL137" s="157">
        <f>BL136/BL119/4</f>
        <v>6.2396980433464172E-2</v>
      </c>
      <c r="BM137" s="160">
        <f>BM136/BM119</f>
        <v>6.9909789090648961E-2</v>
      </c>
      <c r="BN137" s="22"/>
      <c r="BO137" s="156">
        <f>BO136/BO119/4</f>
        <v>7.8167930048540418E-2</v>
      </c>
      <c r="BP137" s="157">
        <f>BP136/BP119/4</f>
        <v>6.9159725243985851E-2</v>
      </c>
      <c r="BQ137" s="157">
        <f>BQ136/BQ119/4</f>
        <v>6.3505399637868568E-2</v>
      </c>
      <c r="BR137" s="157">
        <f>BR136/BR119/4</f>
        <v>5.9334910770283363E-2</v>
      </c>
      <c r="BS137" s="160">
        <f>BS136/BS119</f>
        <v>6.4911350559029454E-2</v>
      </c>
      <c r="BT137" s="22"/>
      <c r="BU137" s="156">
        <f>BU136/BU119/4</f>
        <v>9.7096410162564428E-2</v>
      </c>
      <c r="BV137" s="157">
        <f>BV136/BV119/4</f>
        <v>0.1213990863445551</v>
      </c>
      <c r="BW137" s="157">
        <f>BW136/BW119/4</f>
        <v>0.10046724405203207</v>
      </c>
      <c r="BX137" s="157">
        <f>BX136/BX119/4</f>
        <v>8.8076409353997534E-2</v>
      </c>
      <c r="BY137" s="160">
        <f>BY136/BY119</f>
        <v>0.10326886745550368</v>
      </c>
      <c r="BZ137" s="22"/>
      <c r="CA137" s="156">
        <f>CA136/CA119/4</f>
        <v>9.5598095547008974E-2</v>
      </c>
      <c r="CB137" s="157">
        <f>CB136/CB119/4</f>
        <v>8.3340342593609271E-2</v>
      </c>
      <c r="CC137" s="157">
        <f>CC136/CC119/4</f>
        <v>8.419425886083115E-2</v>
      </c>
      <c r="CD137" s="157">
        <f>CD136/CD119/4</f>
        <v>8.8363281878115457E-2</v>
      </c>
      <c r="CE137" s="160">
        <f>CE136/CE119</f>
        <v>9.6301285842588347E-2</v>
      </c>
      <c r="CF137" s="22"/>
      <c r="CG137" s="156">
        <f>CG136/CG119/4</f>
        <v>0.10685760568767297</v>
      </c>
      <c r="CH137" s="157">
        <f>CH136/CH119/4</f>
        <v>9.6437994722955098E-2</v>
      </c>
      <c r="CI137" s="157">
        <f>CI136/CI119/4</f>
        <v>9.6656743269580847E-2</v>
      </c>
      <c r="CJ137" s="157">
        <f>CJ136/CJ119/4</f>
        <v>7.1363472383086185E-2</v>
      </c>
      <c r="CK137" s="160">
        <f>CK136/CK119</f>
        <v>7.8637932838162991E-2</v>
      </c>
      <c r="CL137" s="22"/>
      <c r="CM137" s="156">
        <f>CM136/CM119/4</f>
        <v>0.10235515408181652</v>
      </c>
      <c r="CN137" s="157">
        <f>CN136/CN119/4</f>
        <v>9.5562872373784857E-2</v>
      </c>
      <c r="CO137" s="157">
        <f>CO136/CO119/4</f>
        <v>8.3092562299505041E-2</v>
      </c>
      <c r="CP137" s="157">
        <f>CP136/CP119/4</f>
        <v>5.2697063665250177E-2</v>
      </c>
      <c r="CQ137" s="160">
        <f>CQ136/CQ119</f>
        <v>5.7491907695520511E-2</v>
      </c>
      <c r="CR137" s="22"/>
      <c r="CS137" s="156">
        <f>CS136/CS119/4</f>
        <v>0.11233631977946248</v>
      </c>
      <c r="CT137" s="157">
        <f>CT136/CT119/4</f>
        <v>0.1003288025129906</v>
      </c>
      <c r="CU137" s="157">
        <f>CU136/CU119/4</f>
        <v>0.13965605603325548</v>
      </c>
      <c r="CV137" s="157">
        <f>CV136/CV119/4</f>
        <v>0.17606985889428636</v>
      </c>
      <c r="CW137" s="160">
        <f>CW136/CW119</f>
        <v>0.21093690460519476</v>
      </c>
      <c r="CX137" s="22"/>
      <c r="CY137" s="156">
        <f>CY136/CY119/4</f>
        <v>0.12478020437807393</v>
      </c>
      <c r="CZ137" s="157">
        <f>CZ136/CZ119/4</f>
        <v>0.10325561658690682</v>
      </c>
      <c r="DA137" s="157">
        <f>DA136/DA119/4</f>
        <v>9.483676580915272E-2</v>
      </c>
      <c r="DB137" s="157">
        <f>DB136/DB119/4</f>
        <v>7.7558187727679237E-2</v>
      </c>
      <c r="DC137" s="160">
        <f>DC136/DC119</f>
        <v>8.4241577026962972E-2</v>
      </c>
      <c r="DD137" s="22"/>
      <c r="DE137" s="156">
        <f>DE136/DE119/4</f>
        <v>0.10300901157952304</v>
      </c>
      <c r="DF137" s="157">
        <f>DF136/DF119/4</f>
        <v>8.298596483448259E-2</v>
      </c>
      <c r="DG137" s="157">
        <f>DG136/DG119/4</f>
        <v>7.7641226094253751E-2</v>
      </c>
      <c r="DH137" s="157">
        <f>DH136/DH119/4</f>
        <v>7.9738285781701695E-2</v>
      </c>
      <c r="DI137" s="160">
        <f>DI136/DI119</f>
        <v>8.8495720060884853E-2</v>
      </c>
      <c r="DJ137" s="22"/>
      <c r="DK137" s="156">
        <f>DK136/DK119/4</f>
        <v>8.9983002963082287E-2</v>
      </c>
      <c r="DL137" s="157">
        <f>DL136/DL119/4</f>
        <v>8.2618989905919774E-2</v>
      </c>
      <c r="DM137" s="157">
        <f>DM136/DM119/4</f>
        <v>9.0373298486970052E-2</v>
      </c>
      <c r="DN137" s="157">
        <f>DN136/DN119/4</f>
        <v>7.8497458659212829E-2</v>
      </c>
      <c r="DO137" s="160">
        <f>DO136/DO119</f>
        <v>8.5745315008606091E-2</v>
      </c>
      <c r="DP137" s="22"/>
      <c r="DQ137" s="156">
        <f>DQ136/DQ119/4</f>
        <v>8.8248399855490087E-2</v>
      </c>
      <c r="DR137" s="157">
        <f>DR136/DR119/4</f>
        <v>8.0496098024828891E-2</v>
      </c>
      <c r="DS137" s="157">
        <f>DS136/DS119/4</f>
        <v>8.7829855568376844E-2</v>
      </c>
      <c r="DT137" s="157">
        <f>DT136/DT119/4</f>
        <v>7.5736434841075673E-2</v>
      </c>
      <c r="DU137" s="160">
        <f>DU136/DU119</f>
        <v>8.2405916804237173E-2</v>
      </c>
      <c r="DV137" s="22"/>
      <c r="DW137" s="156">
        <f>DW136/DW119/4</f>
        <v>8.1123060021836529E-2</v>
      </c>
      <c r="DX137" s="157">
        <f>DX136/DX119/4</f>
        <v>7.3102223841614425E-2</v>
      </c>
      <c r="DY137" s="157">
        <f>DY136/DY119/4</f>
        <v>8.0448589388429151E-2</v>
      </c>
      <c r="DZ137" s="157">
        <f>DZ136/DZ119/4</f>
        <v>6.8158375655841763E-2</v>
      </c>
      <c r="EA137" s="160">
        <f>EA136/EA119</f>
        <v>7.4157704373291569E-2</v>
      </c>
      <c r="EB137" s="22"/>
      <c r="EC137" s="156">
        <f t="shared" ref="EC137:EF137" si="696">EC136/EC119/4</f>
        <v>7.3711186278863944E-2</v>
      </c>
      <c r="ED137" s="157">
        <f t="shared" si="696"/>
        <v>6.5411575137842973E-2</v>
      </c>
      <c r="EE137" s="157">
        <f t="shared" si="696"/>
        <v>7.277920865041182E-2</v>
      </c>
      <c r="EF137" s="157">
        <f t="shared" si="696"/>
        <v>5.9918090298781229E-2</v>
      </c>
      <c r="EG137" s="160">
        <f t="shared" ref="EG137" si="697">EG136/EG119</f>
        <v>6.5189636037365675E-2</v>
      </c>
      <c r="EH137" s="9"/>
      <c r="EI137" s="486"/>
      <c r="EJ137" s="7"/>
    </row>
    <row r="138" spans="1:140" ht="11.25" customHeight="1" x14ac:dyDescent="0.2">
      <c r="A138" s="2"/>
      <c r="B138" s="2"/>
      <c r="C138" s="2"/>
      <c r="D138" s="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c r="DA138" s="22"/>
      <c r="DB138" s="22"/>
      <c r="DC138" s="22"/>
      <c r="DD138" s="22"/>
      <c r="DE138" s="22"/>
      <c r="DF138" s="22"/>
      <c r="DG138" s="22"/>
      <c r="DH138" s="22"/>
      <c r="DI138" s="22"/>
      <c r="DJ138" s="22"/>
      <c r="DK138" s="22"/>
      <c r="DL138" s="22"/>
      <c r="DM138" s="22"/>
      <c r="DN138" s="22"/>
      <c r="DO138" s="22"/>
      <c r="DP138" s="22"/>
      <c r="DQ138" s="22"/>
      <c r="DR138" s="22"/>
      <c r="DS138" s="22"/>
      <c r="DT138" s="22"/>
      <c r="DU138" s="22"/>
      <c r="DV138" s="22"/>
      <c r="DW138" s="22"/>
      <c r="DX138" s="22"/>
      <c r="DY138" s="22"/>
      <c r="DZ138" s="22"/>
      <c r="EA138" s="22"/>
      <c r="EB138" s="22"/>
      <c r="EC138" s="22"/>
      <c r="ED138" s="22"/>
      <c r="EE138" s="22"/>
      <c r="EF138" s="22"/>
      <c r="EG138" s="22"/>
      <c r="EH138" s="9"/>
      <c r="EI138" s="486"/>
      <c r="EJ138" s="7"/>
    </row>
    <row r="139" spans="1:140" ht="11.25" customHeight="1" x14ac:dyDescent="0.2">
      <c r="A139" s="106" t="s">
        <v>598</v>
      </c>
      <c r="B139" s="170"/>
      <c r="C139" s="170"/>
      <c r="D139" s="170"/>
      <c r="E139" s="171"/>
      <c r="F139" s="171"/>
      <c r="G139" s="171"/>
      <c r="H139" s="171"/>
      <c r="I139" s="171"/>
      <c r="J139" s="171"/>
      <c r="K139" s="171"/>
      <c r="L139" s="171"/>
      <c r="M139" s="172"/>
      <c r="N139" s="172"/>
      <c r="O139" s="172"/>
      <c r="P139" s="172"/>
      <c r="Q139" s="171"/>
      <c r="R139" s="171"/>
      <c r="S139" s="172"/>
      <c r="T139" s="172"/>
      <c r="U139" s="172"/>
      <c r="V139" s="172"/>
      <c r="W139" s="171"/>
      <c r="X139" s="171"/>
      <c r="Y139" s="172"/>
      <c r="Z139" s="172"/>
      <c r="AA139" s="172"/>
      <c r="AB139" s="172"/>
      <c r="AC139" s="171"/>
      <c r="AD139" s="171"/>
      <c r="AE139" s="172"/>
      <c r="AF139" s="172"/>
      <c r="AG139" s="172"/>
      <c r="AH139" s="172"/>
      <c r="AI139" s="171"/>
      <c r="AJ139" s="171"/>
      <c r="AK139" s="172"/>
      <c r="AL139" s="172"/>
      <c r="AM139" s="172"/>
      <c r="AN139" s="172"/>
      <c r="AO139" s="171"/>
      <c r="AP139" s="171"/>
      <c r="AQ139" s="172"/>
      <c r="AR139" s="172"/>
      <c r="AS139" s="172"/>
      <c r="AT139" s="172"/>
      <c r="AU139" s="171"/>
      <c r="AV139" s="171"/>
      <c r="AW139" s="172"/>
      <c r="AX139" s="172"/>
      <c r="AY139" s="172"/>
      <c r="AZ139" s="172"/>
      <c r="BA139" s="171"/>
      <c r="BB139" s="171"/>
      <c r="BC139" s="172"/>
      <c r="BD139" s="172"/>
      <c r="BE139" s="172"/>
      <c r="BF139" s="172"/>
      <c r="BG139" s="171"/>
      <c r="BH139" s="171"/>
      <c r="BI139" s="172"/>
      <c r="BJ139" s="172"/>
      <c r="BK139" s="172"/>
      <c r="BL139" s="172"/>
      <c r="BM139" s="171"/>
      <c r="BN139" s="171"/>
      <c r="BO139" s="172"/>
      <c r="BP139" s="172"/>
      <c r="BQ139" s="172"/>
      <c r="BR139" s="172"/>
      <c r="BS139" s="171"/>
      <c r="BT139" s="171"/>
      <c r="BU139" s="172"/>
      <c r="BV139" s="172"/>
      <c r="BW139" s="172"/>
      <c r="BX139" s="172"/>
      <c r="BY139" s="171"/>
      <c r="BZ139" s="171"/>
      <c r="CA139" s="172"/>
      <c r="CB139" s="172"/>
      <c r="CC139" s="172"/>
      <c r="CD139" s="172"/>
      <c r="CE139" s="171"/>
      <c r="CF139" s="171"/>
      <c r="CG139" s="172"/>
      <c r="CH139" s="172"/>
      <c r="CI139" s="172"/>
      <c r="CJ139" s="172"/>
      <c r="CK139" s="171"/>
      <c r="CL139" s="171"/>
      <c r="CM139" s="172"/>
      <c r="CN139" s="172"/>
      <c r="CO139" s="172"/>
      <c r="CP139" s="172"/>
      <c r="CQ139" s="171"/>
      <c r="CR139" s="171"/>
      <c r="CS139" s="172"/>
      <c r="CT139" s="172"/>
      <c r="CU139" s="172"/>
      <c r="CV139" s="172"/>
      <c r="CW139" s="171"/>
      <c r="CX139" s="171"/>
      <c r="CY139" s="172"/>
      <c r="CZ139" s="172"/>
      <c r="DA139" s="172"/>
      <c r="DB139" s="172"/>
      <c r="DC139" s="171"/>
      <c r="DD139" s="171"/>
      <c r="DE139" s="172"/>
      <c r="DF139" s="172"/>
      <c r="DG139" s="172"/>
      <c r="DH139" s="172"/>
      <c r="DI139" s="171"/>
      <c r="DJ139" s="171"/>
      <c r="DK139" s="172"/>
      <c r="DL139" s="172"/>
      <c r="DM139" s="172"/>
      <c r="DN139" s="172"/>
      <c r="DO139" s="171"/>
      <c r="DP139" s="171"/>
      <c r="DQ139" s="172"/>
      <c r="DR139" s="172"/>
      <c r="DS139" s="172"/>
      <c r="DT139" s="172"/>
      <c r="DU139" s="171"/>
      <c r="DV139" s="171"/>
      <c r="DW139" s="172"/>
      <c r="DX139" s="172"/>
      <c r="DY139" s="172"/>
      <c r="DZ139" s="172"/>
      <c r="EA139" s="171"/>
      <c r="EB139" s="171"/>
      <c r="EC139" s="172"/>
      <c r="ED139" s="172"/>
      <c r="EE139" s="172"/>
      <c r="EF139" s="172"/>
      <c r="EG139" s="171"/>
      <c r="EH139" s="6"/>
      <c r="EI139" s="487"/>
      <c r="EJ139" s="6"/>
    </row>
    <row r="140" spans="1:140" ht="11.25" customHeight="1" x14ac:dyDescent="0.2">
      <c r="A140" s="51" t="s">
        <v>599</v>
      </c>
      <c r="B140" s="2"/>
      <c r="C140" s="2"/>
      <c r="D140" s="2"/>
      <c r="E140" s="370"/>
      <c r="F140" s="126"/>
      <c r="G140" s="370"/>
      <c r="H140" s="126"/>
      <c r="I140" s="370"/>
      <c r="J140" s="126"/>
      <c r="K140" s="370"/>
      <c r="L140" s="126"/>
      <c r="M140" s="368"/>
      <c r="N140" s="369"/>
      <c r="O140" s="369"/>
      <c r="P140" s="369"/>
      <c r="Q140" s="370"/>
      <c r="R140" s="126"/>
      <c r="S140" s="368"/>
      <c r="T140" s="369"/>
      <c r="U140" s="369"/>
      <c r="V140" s="369"/>
      <c r="W140" s="370"/>
      <c r="X140" s="126"/>
      <c r="Y140" s="368"/>
      <c r="Z140" s="369"/>
      <c r="AA140" s="369"/>
      <c r="AB140" s="369"/>
      <c r="AC140" s="370"/>
      <c r="AD140" s="126"/>
      <c r="AE140" s="368"/>
      <c r="AF140" s="369"/>
      <c r="AG140" s="369"/>
      <c r="AH140" s="369"/>
      <c r="AI140" s="370"/>
      <c r="AJ140" s="126"/>
      <c r="AK140" s="368"/>
      <c r="AL140" s="369"/>
      <c r="AM140" s="369"/>
      <c r="AN140" s="369"/>
      <c r="AO140" s="370"/>
      <c r="AP140" s="126"/>
      <c r="AQ140" s="368"/>
      <c r="AR140" s="369"/>
      <c r="AS140" s="369"/>
      <c r="AT140" s="369"/>
      <c r="AU140" s="370"/>
      <c r="AV140" s="126"/>
      <c r="AW140" s="368"/>
      <c r="AX140" s="369"/>
      <c r="AY140" s="369"/>
      <c r="AZ140" s="369"/>
      <c r="BA140" s="370"/>
      <c r="BB140" s="126"/>
      <c r="BC140" s="368"/>
      <c r="BD140" s="369"/>
      <c r="BE140" s="369"/>
      <c r="BF140" s="369"/>
      <c r="BG140" s="370"/>
      <c r="BH140" s="126"/>
      <c r="BI140" s="368"/>
      <c r="BJ140" s="369"/>
      <c r="BK140" s="369"/>
      <c r="BL140" s="369"/>
      <c r="BM140" s="370"/>
      <c r="BN140" s="126"/>
      <c r="BO140" s="368"/>
      <c r="BP140" s="369"/>
      <c r="BQ140" s="369"/>
      <c r="BR140" s="369"/>
      <c r="BS140" s="370"/>
      <c r="BT140" s="126"/>
      <c r="BU140" s="368"/>
      <c r="BV140" s="369"/>
      <c r="BW140" s="369"/>
      <c r="BX140" s="369"/>
      <c r="BY140" s="370"/>
      <c r="BZ140" s="126"/>
      <c r="CA140" s="368"/>
      <c r="CB140" s="369"/>
      <c r="CC140" s="369"/>
      <c r="CD140" s="369"/>
      <c r="CE140" s="370"/>
      <c r="CF140" s="126"/>
      <c r="CG140" s="368"/>
      <c r="CH140" s="369"/>
      <c r="CI140" s="369"/>
      <c r="CJ140" s="369"/>
      <c r="CK140" s="1040">
        <v>1290.8</v>
      </c>
      <c r="CL140" s="126"/>
      <c r="CM140" s="368">
        <v>356.19999999999959</v>
      </c>
      <c r="CN140" s="369">
        <v>496.29999999999984</v>
      </c>
      <c r="CO140" s="369">
        <v>680.60000000000025</v>
      </c>
      <c r="CP140" s="369">
        <v>1065.3000000000011</v>
      </c>
      <c r="CQ140" s="1040">
        <v>1521.3</v>
      </c>
      <c r="CR140" s="126"/>
      <c r="CS140" s="368">
        <f>+'Pro Forma IS'!CS32</f>
        <v>569.80000000000007</v>
      </c>
      <c r="CT140" s="369">
        <f>+'Pro Forma IS'!CT32</f>
        <v>695.60000000000014</v>
      </c>
      <c r="CU140" s="369">
        <f>+'Pro Forma IS'!CU32</f>
        <v>1403.3999999999996</v>
      </c>
      <c r="CV140" s="369">
        <f>+'Pro Forma IS'!CV32</f>
        <v>688.59999999999991</v>
      </c>
      <c r="CW140" s="1040">
        <v>1976.6</v>
      </c>
      <c r="CX140" s="126"/>
      <c r="CY140" s="368"/>
      <c r="CZ140" s="369"/>
      <c r="DA140" s="369"/>
      <c r="DB140" s="369"/>
      <c r="DC140" s="1040">
        <v>1637.3</v>
      </c>
      <c r="DD140" s="126"/>
      <c r="DE140" s="1024">
        <f>+DE21</f>
        <v>1804</v>
      </c>
      <c r="DF140" s="23">
        <f t="shared" ref="DF140:DG140" si="698">+DF21</f>
        <v>1804</v>
      </c>
      <c r="DG140" s="23">
        <f t="shared" si="698"/>
        <v>1804</v>
      </c>
      <c r="DH140" s="1312">
        <v>1150.4000000000001</v>
      </c>
      <c r="DI140" s="141">
        <f>DH140</f>
        <v>1150.4000000000001</v>
      </c>
      <c r="DJ140" s="126"/>
      <c r="DK140" s="1024">
        <f t="shared" ref="DK140:DN140" si="699">+DK141*DK$119*4</f>
        <v>1220.8039999999999</v>
      </c>
      <c r="DL140" s="23">
        <f t="shared" si="699"/>
        <v>1262.1292800000001</v>
      </c>
      <c r="DM140" s="23">
        <f t="shared" si="699"/>
        <v>1222.341876</v>
      </c>
      <c r="DN140" s="23">
        <f t="shared" si="699"/>
        <v>1348.698772</v>
      </c>
      <c r="DO140" s="1023">
        <f t="shared" ref="DO140" si="700">+DN140</f>
        <v>1348.698772</v>
      </c>
      <c r="DP140" s="126"/>
      <c r="DQ140" s="1024">
        <f t="shared" ref="DQ140:DT140" si="701">+DQ141*DQ$119*4</f>
        <v>1297.2105300000003</v>
      </c>
      <c r="DR140" s="23">
        <f t="shared" si="701"/>
        <v>1364.46945888</v>
      </c>
      <c r="DS140" s="23">
        <f t="shared" si="701"/>
        <v>1330.8584731200003</v>
      </c>
      <c r="DT140" s="23">
        <f t="shared" si="701"/>
        <v>1491.8339396400002</v>
      </c>
      <c r="DU140" s="1023">
        <f t="shared" ref="DU140" si="702">+DT140</f>
        <v>1491.8339396400002</v>
      </c>
      <c r="DV140" s="126"/>
      <c r="DW140" s="1024">
        <f t="shared" ref="DW140:DZ140" si="703">+DW141*DW$119*4</f>
        <v>1393.7071406600001</v>
      </c>
      <c r="DX140" s="23">
        <f t="shared" si="703"/>
        <v>1465.9723042792002</v>
      </c>
      <c r="DY140" s="23">
        <f t="shared" si="703"/>
        <v>1429.8751046648003</v>
      </c>
      <c r="DZ140" s="23">
        <f t="shared" si="703"/>
        <v>1602.7320257044005</v>
      </c>
      <c r="EA140" s="1023">
        <f t="shared" ref="EA140" si="704">+DZ140</f>
        <v>1602.7320257044005</v>
      </c>
      <c r="EB140" s="126"/>
      <c r="EC140" s="1024">
        <f t="shared" ref="EC140:EF140" si="705">+EC141*EC$119*4</f>
        <v>1496.1454640037502</v>
      </c>
      <c r="ED140" s="23">
        <f t="shared" si="705"/>
        <v>1573.7264791194102</v>
      </c>
      <c r="EE140" s="23">
        <f t="shared" si="705"/>
        <v>1534.9906386769501</v>
      </c>
      <c r="EF140" s="23">
        <f t="shared" si="705"/>
        <v>1720.4529298715154</v>
      </c>
      <c r="EG140" s="1023">
        <f t="shared" ref="EG140" si="706">+EF140</f>
        <v>1720.4529298715154</v>
      </c>
      <c r="EH140" s="7"/>
      <c r="EI140" s="482"/>
      <c r="EJ140" s="7"/>
    </row>
    <row r="141" spans="1:140" ht="11.25" customHeight="1" x14ac:dyDescent="0.2">
      <c r="A141" s="538" t="s">
        <v>278</v>
      </c>
      <c r="B141" s="2"/>
      <c r="C141" s="2"/>
      <c r="D141" s="2"/>
      <c r="E141" s="371"/>
      <c r="F141" s="126"/>
      <c r="G141" s="371"/>
      <c r="H141" s="126"/>
      <c r="I141" s="371"/>
      <c r="J141" s="126"/>
      <c r="K141" s="371"/>
      <c r="L141" s="126"/>
      <c r="M141" s="354"/>
      <c r="N141" s="355"/>
      <c r="O141" s="355"/>
      <c r="P141" s="355"/>
      <c r="Q141" s="371"/>
      <c r="R141" s="126"/>
      <c r="S141" s="354"/>
      <c r="T141" s="355"/>
      <c r="U141" s="355"/>
      <c r="V141" s="355"/>
      <c r="W141" s="371"/>
      <c r="X141" s="126"/>
      <c r="Y141" s="354"/>
      <c r="Z141" s="355"/>
      <c r="AA141" s="355"/>
      <c r="AB141" s="355"/>
      <c r="AC141" s="371"/>
      <c r="AD141" s="126"/>
      <c r="AE141" s="354"/>
      <c r="AF141" s="355"/>
      <c r="AG141" s="355"/>
      <c r="AH141" s="355"/>
      <c r="AI141" s="371"/>
      <c r="AJ141" s="126"/>
      <c r="AK141" s="354"/>
      <c r="AL141" s="355"/>
      <c r="AM141" s="355"/>
      <c r="AN141" s="355"/>
      <c r="AO141" s="371"/>
      <c r="AP141" s="126"/>
      <c r="AQ141" s="354"/>
      <c r="AR141" s="355"/>
      <c r="AS141" s="355"/>
      <c r="AT141" s="355"/>
      <c r="AU141" s="371"/>
      <c r="AV141" s="126"/>
      <c r="AW141" s="354"/>
      <c r="AX141" s="355"/>
      <c r="AY141" s="355"/>
      <c r="AZ141" s="355"/>
      <c r="BA141" s="371"/>
      <c r="BB141" s="126"/>
      <c r="BC141" s="354"/>
      <c r="BD141" s="355"/>
      <c r="BE141" s="355"/>
      <c r="BF141" s="355"/>
      <c r="BG141" s="371"/>
      <c r="BH141" s="126"/>
      <c r="BI141" s="354"/>
      <c r="BJ141" s="355"/>
      <c r="BK141" s="355"/>
      <c r="BL141" s="355"/>
      <c r="BM141" s="371"/>
      <c r="BN141" s="126"/>
      <c r="BO141" s="354"/>
      <c r="BP141" s="355"/>
      <c r="BQ141" s="355"/>
      <c r="BR141" s="355"/>
      <c r="BS141" s="371"/>
      <c r="BT141" s="126"/>
      <c r="BU141" s="354"/>
      <c r="BV141" s="355"/>
      <c r="BW141" s="355"/>
      <c r="BX141" s="355"/>
      <c r="BY141" s="371"/>
      <c r="BZ141" s="126"/>
      <c r="CA141" s="354"/>
      <c r="CB141" s="355"/>
      <c r="CC141" s="355"/>
      <c r="CD141" s="355"/>
      <c r="CE141" s="371"/>
      <c r="CF141" s="126"/>
      <c r="CG141" s="354"/>
      <c r="CH141" s="355"/>
      <c r="CI141" s="355"/>
      <c r="CJ141" s="355"/>
      <c r="CK141" s="810">
        <f>+CK140/CK$119</f>
        <v>6.7517522753426082E-2</v>
      </c>
      <c r="CL141" s="126"/>
      <c r="CM141" s="354"/>
      <c r="CN141" s="355"/>
      <c r="CO141" s="355"/>
      <c r="CP141" s="355"/>
      <c r="CQ141" s="810">
        <f>+CQ140/CQ$119</f>
        <v>7.9424663255716815E-2</v>
      </c>
      <c r="CR141" s="1041"/>
      <c r="CS141" s="1042"/>
      <c r="CT141" s="996"/>
      <c r="CU141" s="996"/>
      <c r="CV141" s="996"/>
      <c r="CW141" s="810">
        <f>+CW140/CW$119</f>
        <v>0.13694340328536686</v>
      </c>
      <c r="CX141" s="1041"/>
      <c r="CY141" s="1042"/>
      <c r="CZ141" s="996"/>
      <c r="DA141" s="996"/>
      <c r="DB141" s="996"/>
      <c r="DC141" s="810">
        <f>+DC140/DC$119</f>
        <v>9.6982656494337294E-2</v>
      </c>
      <c r="DD141" s="126"/>
      <c r="DE141" s="821">
        <f>+DE140/DE$119/4</f>
        <v>0.10723541859856861</v>
      </c>
      <c r="DF141" s="822">
        <f>+DF140/DF$119/4</f>
        <v>9.9997782754262646E-2</v>
      </c>
      <c r="DG141" s="822">
        <f>+DG140/DG$119/4</f>
        <v>9.9598074290004862E-2</v>
      </c>
      <c r="DH141" s="983">
        <f>+DH140/DH$119/4</f>
        <v>5.6550720648091718E-2</v>
      </c>
      <c r="DI141" s="810">
        <f>+DI140/DI$119</f>
        <v>6.276152910304042E-2</v>
      </c>
      <c r="DJ141" s="126"/>
      <c r="DK141" s="936">
        <v>6.5000000000000002E-2</v>
      </c>
      <c r="DL141" s="937">
        <f>+DK141-0.1%</f>
        <v>6.4000000000000001E-2</v>
      </c>
      <c r="DM141" s="937">
        <f>+DL141-0.1%</f>
        <v>6.3E-2</v>
      </c>
      <c r="DN141" s="937">
        <f>+DM141-0.1%</f>
        <v>6.2E-2</v>
      </c>
      <c r="DO141" s="810">
        <f>+DO140/DO$119</f>
        <v>6.7724606902412651E-2</v>
      </c>
      <c r="DP141" s="126"/>
      <c r="DQ141" s="936">
        <f>+DK141+0.001</f>
        <v>6.6000000000000003E-2</v>
      </c>
      <c r="DR141" s="937">
        <f>+DQ141</f>
        <v>6.6000000000000003E-2</v>
      </c>
      <c r="DS141" s="937">
        <f>+DR141</f>
        <v>6.6000000000000003E-2</v>
      </c>
      <c r="DT141" s="937">
        <f>+DS141</f>
        <v>6.6000000000000003E-2</v>
      </c>
      <c r="DU141" s="810">
        <f>+DU140/DU$119</f>
        <v>7.1812074604413842E-2</v>
      </c>
      <c r="DV141" s="126"/>
      <c r="DW141" s="936">
        <f>+DQ141+0.002</f>
        <v>6.8000000000000005E-2</v>
      </c>
      <c r="DX141" s="937">
        <f t="shared" ref="DX141:DZ141" si="707">+DW141</f>
        <v>6.8000000000000005E-2</v>
      </c>
      <c r="DY141" s="937">
        <f t="shared" si="707"/>
        <v>6.8000000000000005E-2</v>
      </c>
      <c r="DZ141" s="937">
        <f t="shared" si="707"/>
        <v>6.8000000000000005E-2</v>
      </c>
      <c r="EA141" s="810">
        <f t="shared" ref="EA141" si="708">+EA140/EA$119</f>
        <v>7.3985388426016901E-2</v>
      </c>
      <c r="EB141" s="126"/>
      <c r="EC141" s="936">
        <f t="shared" ref="EC141" si="709">+DW141+0.002</f>
        <v>7.0000000000000007E-2</v>
      </c>
      <c r="ED141" s="937">
        <f t="shared" ref="ED141" si="710">+EC141</f>
        <v>7.0000000000000007E-2</v>
      </c>
      <c r="EE141" s="937">
        <f t="shared" ref="EE141" si="711">+ED141</f>
        <v>7.0000000000000007E-2</v>
      </c>
      <c r="EF141" s="937">
        <f t="shared" ref="EF141" si="712">+EE141</f>
        <v>7.0000000000000007E-2</v>
      </c>
      <c r="EG141" s="810">
        <f t="shared" ref="EG141" si="713">+EG140/EG$119</f>
        <v>7.6158544103472836E-2</v>
      </c>
      <c r="EH141" s="7"/>
      <c r="EI141" s="482"/>
      <c r="EJ141" s="7"/>
    </row>
    <row r="142" spans="1:140" ht="11.25" customHeight="1" x14ac:dyDescent="0.2">
      <c r="A142" s="51" t="s">
        <v>600</v>
      </c>
      <c r="B142" s="2"/>
      <c r="C142" s="2"/>
      <c r="D142" s="2"/>
      <c r="E142" s="158"/>
      <c r="F142" s="22"/>
      <c r="G142" s="158"/>
      <c r="H142" s="22"/>
      <c r="I142" s="158"/>
      <c r="J142" s="22"/>
      <c r="K142" s="158"/>
      <c r="L142" s="22"/>
      <c r="M142" s="149"/>
      <c r="N142" s="22"/>
      <c r="O142" s="22"/>
      <c r="P142" s="22"/>
      <c r="Q142" s="158"/>
      <c r="R142" s="22"/>
      <c r="S142" s="149"/>
      <c r="T142" s="22"/>
      <c r="U142" s="22"/>
      <c r="V142" s="22"/>
      <c r="W142" s="158"/>
      <c r="X142" s="22"/>
      <c r="Y142" s="149"/>
      <c r="Z142" s="22"/>
      <c r="AA142" s="22"/>
      <c r="AB142" s="22"/>
      <c r="AC142" s="158"/>
      <c r="AD142" s="22"/>
      <c r="AE142" s="149"/>
      <c r="AF142" s="22"/>
      <c r="AG142" s="22"/>
      <c r="AH142" s="22"/>
      <c r="AI142" s="158"/>
      <c r="AJ142" s="22"/>
      <c r="AK142" s="149"/>
      <c r="AL142" s="22"/>
      <c r="AM142" s="22"/>
      <c r="AN142" s="22"/>
      <c r="AO142" s="158"/>
      <c r="AP142" s="22"/>
      <c r="AQ142" s="149"/>
      <c r="AR142" s="22"/>
      <c r="AS142" s="22"/>
      <c r="AT142" s="22"/>
      <c r="AU142" s="158"/>
      <c r="AV142" s="22"/>
      <c r="AW142" s="149"/>
      <c r="AX142" s="22"/>
      <c r="AY142" s="22"/>
      <c r="AZ142" s="22"/>
      <c r="BA142" s="158"/>
      <c r="BB142" s="22"/>
      <c r="BC142" s="149"/>
      <c r="BD142" s="22"/>
      <c r="BE142" s="22"/>
      <c r="BF142" s="22"/>
      <c r="BG142" s="158"/>
      <c r="BH142" s="22"/>
      <c r="BI142" s="149"/>
      <c r="BJ142" s="22"/>
      <c r="BK142" s="22"/>
      <c r="BL142" s="22"/>
      <c r="BM142" s="158"/>
      <c r="BN142" s="22"/>
      <c r="BO142" s="149"/>
      <c r="BP142" s="22"/>
      <c r="BQ142" s="22"/>
      <c r="BR142" s="22"/>
      <c r="BS142" s="158"/>
      <c r="BT142" s="22"/>
      <c r="BU142" s="149"/>
      <c r="BV142" s="22"/>
      <c r="BW142" s="22"/>
      <c r="BX142" s="22"/>
      <c r="BY142" s="158"/>
      <c r="BZ142" s="22"/>
      <c r="CA142" s="149"/>
      <c r="CB142" s="22"/>
      <c r="CC142" s="22"/>
      <c r="CD142" s="22"/>
      <c r="CE142" s="158"/>
      <c r="CF142" s="22"/>
      <c r="CG142" s="149"/>
      <c r="CH142" s="22"/>
      <c r="CI142" s="22"/>
      <c r="CJ142" s="22"/>
      <c r="CK142" s="866">
        <v>3000.3</v>
      </c>
      <c r="CL142" s="22"/>
      <c r="CM142" s="149">
        <f>CM33/CM140/4</f>
        <v>1.7931639528354879</v>
      </c>
      <c r="CN142" s="22">
        <f>CN33/CN140/4</f>
        <v>1.3212270803949229</v>
      </c>
      <c r="CO142" s="22">
        <f>CO33/CO140/4</f>
        <v>0.99753893623273537</v>
      </c>
      <c r="CP142" s="22">
        <f>CP33/CP140/4</f>
        <v>0.8095137519947424</v>
      </c>
      <c r="CQ142" s="866">
        <v>3356.4</v>
      </c>
      <c r="CR142" s="23"/>
      <c r="CS142" s="1024">
        <f>CS33/CS140/4</f>
        <v>1.3586784836784835</v>
      </c>
      <c r="CT142" s="23">
        <f>CT33/CT140/4</f>
        <v>1.1505894192064403</v>
      </c>
      <c r="CU142" s="23">
        <f>CU33/CU140/4</f>
        <v>0.58331551945275772</v>
      </c>
      <c r="CV142" s="23">
        <f>CV33/CV140/4</f>
        <v>0.94735695614289883</v>
      </c>
      <c r="CW142" s="866">
        <v>5083.3</v>
      </c>
      <c r="CX142" s="23"/>
      <c r="CY142" s="1024"/>
      <c r="CZ142" s="23"/>
      <c r="DA142" s="23"/>
      <c r="DB142" s="23"/>
      <c r="DC142" s="866">
        <v>4489.1000000000004</v>
      </c>
      <c r="DD142" s="23"/>
      <c r="DE142" s="1024">
        <f>+DE40</f>
        <v>4510.1000000000004</v>
      </c>
      <c r="DF142" s="23">
        <f t="shared" ref="DF142:DG142" si="714">+DF40</f>
        <v>4510.1000000000004</v>
      </c>
      <c r="DG142" s="23">
        <f t="shared" si="714"/>
        <v>4510.1000000000004</v>
      </c>
      <c r="DH142" s="1313">
        <v>3483.7</v>
      </c>
      <c r="DI142" s="1023">
        <f>DH142</f>
        <v>3483.7</v>
      </c>
      <c r="DJ142" s="23"/>
      <c r="DK142" s="1024">
        <f t="shared" ref="DK142:DN142" si="715">+DK143*DK$119*4</f>
        <v>3756.3199999999997</v>
      </c>
      <c r="DL142" s="23">
        <f t="shared" si="715"/>
        <v>3944.1540000000005</v>
      </c>
      <c r="DM142" s="23">
        <f t="shared" si="715"/>
        <v>3880.4504000000002</v>
      </c>
      <c r="DN142" s="23">
        <f t="shared" si="715"/>
        <v>3915.5770799999996</v>
      </c>
      <c r="DO142" s="1023">
        <f t="shared" ref="DO142" si="716">+DN142</f>
        <v>3915.5770799999996</v>
      </c>
      <c r="DP142" s="23"/>
      <c r="DQ142" s="1024">
        <f t="shared" ref="DQ142:DT142" si="717">+DQ143*DQ$119*4</f>
        <v>3950.5957050000006</v>
      </c>
      <c r="DR142" s="23">
        <f t="shared" si="717"/>
        <v>4155.4297156800003</v>
      </c>
      <c r="DS142" s="23">
        <f t="shared" si="717"/>
        <v>4053.0689863200009</v>
      </c>
      <c r="DT142" s="23">
        <f t="shared" si="717"/>
        <v>4091.2415617400002</v>
      </c>
      <c r="DU142" s="1023">
        <f t="shared" ref="DU142" si="718">+DT142</f>
        <v>4091.2415617400002</v>
      </c>
      <c r="DV142" s="23"/>
      <c r="DW142" s="1024">
        <f t="shared" ref="DW142:DZ142" si="719">+DW143*DW$119*4</f>
        <v>4140.1300354900004</v>
      </c>
      <c r="DX142" s="23">
        <f t="shared" si="719"/>
        <v>4354.8000803588002</v>
      </c>
      <c r="DY142" s="23">
        <f t="shared" si="719"/>
        <v>4247.5701638572009</v>
      </c>
      <c r="DZ142" s="23">
        <f t="shared" si="719"/>
        <v>4289.6651276206012</v>
      </c>
      <c r="EA142" s="1023">
        <f t="shared" ref="EA142" si="720">+DZ142</f>
        <v>4289.6651276206012</v>
      </c>
      <c r="EB142" s="23"/>
      <c r="EC142" s="1024">
        <f t="shared" ref="EC142:EF142" si="721">+EC143*EC$119*4</f>
        <v>4338.8218456108752</v>
      </c>
      <c r="ED142" s="23">
        <f t="shared" si="721"/>
        <v>4563.8067894462893</v>
      </c>
      <c r="EE142" s="23">
        <f t="shared" si="721"/>
        <v>4451.472852163155</v>
      </c>
      <c r="EF142" s="23">
        <f t="shared" si="721"/>
        <v>4497.7555166641041</v>
      </c>
      <c r="EG142" s="1023">
        <f t="shared" ref="EG142" si="722">+EF142</f>
        <v>4497.7555166641041</v>
      </c>
      <c r="EH142" s="9"/>
      <c r="EI142" s="486"/>
      <c r="EJ142" s="7"/>
    </row>
    <row r="143" spans="1:140" ht="11.25" customHeight="1" x14ac:dyDescent="0.2">
      <c r="A143" s="1039" t="s">
        <v>278</v>
      </c>
      <c r="B143" s="2"/>
      <c r="C143" s="2"/>
      <c r="D143" s="2"/>
      <c r="E143" s="160"/>
      <c r="F143" s="22"/>
      <c r="G143" s="160"/>
      <c r="H143" s="22"/>
      <c r="I143" s="160"/>
      <c r="J143" s="22"/>
      <c r="K143" s="160"/>
      <c r="L143" s="22"/>
      <c r="M143" s="156"/>
      <c r="N143" s="157"/>
      <c r="O143" s="157"/>
      <c r="P143" s="157"/>
      <c r="Q143" s="160"/>
      <c r="R143" s="22"/>
      <c r="S143" s="156"/>
      <c r="T143" s="157"/>
      <c r="U143" s="157"/>
      <c r="V143" s="157"/>
      <c r="W143" s="160"/>
      <c r="X143" s="22"/>
      <c r="Y143" s="156"/>
      <c r="Z143" s="157"/>
      <c r="AA143" s="157"/>
      <c r="AB143" s="157"/>
      <c r="AC143" s="160"/>
      <c r="AD143" s="22"/>
      <c r="AE143" s="156"/>
      <c r="AF143" s="157"/>
      <c r="AG143" s="157"/>
      <c r="AH143" s="157"/>
      <c r="AI143" s="160"/>
      <c r="AJ143" s="22"/>
      <c r="AK143" s="156"/>
      <c r="AL143" s="157"/>
      <c r="AM143" s="157"/>
      <c r="AN143" s="157"/>
      <c r="AO143" s="160"/>
      <c r="AP143" s="22"/>
      <c r="AQ143" s="156"/>
      <c r="AR143" s="157"/>
      <c r="AS143" s="157"/>
      <c r="AT143" s="157"/>
      <c r="AU143" s="160"/>
      <c r="AV143" s="22"/>
      <c r="AW143" s="156"/>
      <c r="AX143" s="157"/>
      <c r="AY143" s="157"/>
      <c r="AZ143" s="157"/>
      <c r="BA143" s="160"/>
      <c r="BB143" s="22"/>
      <c r="BC143" s="156"/>
      <c r="BD143" s="157"/>
      <c r="BE143" s="157"/>
      <c r="BF143" s="157"/>
      <c r="BG143" s="160"/>
      <c r="BH143" s="22"/>
      <c r="BI143" s="156"/>
      <c r="BJ143" s="157"/>
      <c r="BK143" s="157"/>
      <c r="BL143" s="157"/>
      <c r="BM143" s="160"/>
      <c r="BN143" s="22"/>
      <c r="BO143" s="156"/>
      <c r="BP143" s="157"/>
      <c r="BQ143" s="157"/>
      <c r="BR143" s="157"/>
      <c r="BS143" s="160"/>
      <c r="BT143" s="22"/>
      <c r="BU143" s="156"/>
      <c r="BV143" s="157"/>
      <c r="BW143" s="157"/>
      <c r="BX143" s="157"/>
      <c r="BY143" s="160"/>
      <c r="BZ143" s="22"/>
      <c r="CA143" s="156"/>
      <c r="CB143" s="157"/>
      <c r="CC143" s="157"/>
      <c r="CD143" s="157"/>
      <c r="CE143" s="160"/>
      <c r="CF143" s="22"/>
      <c r="CG143" s="156"/>
      <c r="CH143" s="157"/>
      <c r="CI143" s="157"/>
      <c r="CJ143" s="157"/>
      <c r="CK143" s="1043">
        <f>+CK142/CK$119</f>
        <v>0.15693587195313319</v>
      </c>
      <c r="CL143" s="22"/>
      <c r="CM143" s="156" t="e">
        <f>#REF!/CM130/4</f>
        <v>#REF!</v>
      </c>
      <c r="CN143" s="157" t="e">
        <f>#REF!/CN130/4</f>
        <v>#REF!</v>
      </c>
      <c r="CO143" s="157" t="e">
        <f>#REF!/CO130/4</f>
        <v>#REF!</v>
      </c>
      <c r="CP143" s="157" t="e">
        <f>#REF!/CP130/4</f>
        <v>#REF!</v>
      </c>
      <c r="CQ143" s="1043">
        <f>+CQ142/CQ$119</f>
        <v>0.17523232745118514</v>
      </c>
      <c r="CR143" s="543"/>
      <c r="CS143" s="1044"/>
      <c r="CT143" s="547"/>
      <c r="CU143" s="547"/>
      <c r="CV143" s="547"/>
      <c r="CW143" s="1043">
        <f>+CW142/CW$119</f>
        <v>0.35218273900663033</v>
      </c>
      <c r="CX143" s="543"/>
      <c r="CY143" s="1044"/>
      <c r="CZ143" s="547"/>
      <c r="DA143" s="547"/>
      <c r="DB143" s="547"/>
      <c r="DC143" s="1045">
        <f>+DC142/DC$119</f>
        <v>0.26590413685258019</v>
      </c>
      <c r="DD143" s="22"/>
      <c r="DE143" s="1226">
        <f>+DE142/DE$119/4</f>
        <v>0.26809449081009112</v>
      </c>
      <c r="DF143" s="1227">
        <f>+DF142/DF$119/4</f>
        <v>0.25</v>
      </c>
      <c r="DG143" s="1227">
        <f>+DG142/DG$119/4</f>
        <v>0.24900070668256705</v>
      </c>
      <c r="DH143" s="1227">
        <f>+DH142/DH$119/4</f>
        <v>0.17124977879151346</v>
      </c>
      <c r="DI143" s="1045">
        <f>+DI142/DI$119</f>
        <v>0.19005766597380205</v>
      </c>
      <c r="DJ143" s="22"/>
      <c r="DK143" s="1046">
        <v>0.2</v>
      </c>
      <c r="DL143" s="1027">
        <v>0.2</v>
      </c>
      <c r="DM143" s="1027">
        <v>0.2</v>
      </c>
      <c r="DN143" s="1027">
        <v>0.18</v>
      </c>
      <c r="DO143" s="1045">
        <f>+DO142/DO$119</f>
        <v>0.19661982649087545</v>
      </c>
      <c r="DP143" s="22"/>
      <c r="DQ143" s="1046">
        <f t="shared" ref="DQ143" si="723">+DK143+0.1%</f>
        <v>0.20100000000000001</v>
      </c>
      <c r="DR143" s="1027">
        <f t="shared" ref="DR143" si="724">+DL143+0.1%</f>
        <v>0.20100000000000001</v>
      </c>
      <c r="DS143" s="1027">
        <f t="shared" ref="DS143" si="725">+DM143+0.1%</f>
        <v>0.20100000000000001</v>
      </c>
      <c r="DT143" s="1027">
        <f t="shared" ref="DT143" si="726">+DN143+0.1%</f>
        <v>0.18099999999999999</v>
      </c>
      <c r="DU143" s="1045">
        <f t="shared" ref="DU143" si="727">+DU142/DU$119</f>
        <v>0.1969391742939228</v>
      </c>
      <c r="DV143" s="22"/>
      <c r="DW143" s="1046">
        <f t="shared" ref="DW143" si="728">+DQ143+0.1%</f>
        <v>0.20200000000000001</v>
      </c>
      <c r="DX143" s="1027">
        <f t="shared" ref="DX143" si="729">+DR143+0.1%</f>
        <v>0.20200000000000001</v>
      </c>
      <c r="DY143" s="1027">
        <f t="shared" ref="DY143" si="730">+DS143+0.1%</f>
        <v>0.20200000000000001</v>
      </c>
      <c r="DZ143" s="1027">
        <f t="shared" ref="DZ143" si="731">+DT143+0.1%</f>
        <v>0.182</v>
      </c>
      <c r="EA143" s="1045">
        <f t="shared" ref="EA143" si="732">+EA142/EA$119</f>
        <v>0.19801971608139818</v>
      </c>
      <c r="EB143" s="22"/>
      <c r="EC143" s="1046">
        <f t="shared" ref="EC143" si="733">+DW143+0.1%</f>
        <v>0.20300000000000001</v>
      </c>
      <c r="ED143" s="1027">
        <f t="shared" ref="ED143" si="734">+DX143+0.1%</f>
        <v>0.20300000000000001</v>
      </c>
      <c r="EE143" s="1027">
        <f t="shared" ref="EE143" si="735">+DY143+0.1%</f>
        <v>0.20300000000000001</v>
      </c>
      <c r="EF143" s="1027">
        <f t="shared" ref="EF143" si="736">+DZ143+0.1%</f>
        <v>0.183</v>
      </c>
      <c r="EG143" s="1045">
        <f t="shared" ref="EG143" si="737">+EG142/EG$119</f>
        <v>0.19910019387050754</v>
      </c>
      <c r="EH143" s="9"/>
      <c r="EI143" s="486"/>
      <c r="EJ143" s="7"/>
    </row>
    <row r="144" spans="1:140" ht="11.25" customHeight="1" x14ac:dyDescent="0.2">
      <c r="A144" s="2"/>
      <c r="B144" s="2"/>
      <c r="C144" s="2"/>
      <c r="D144" s="2"/>
      <c r="E144" s="7"/>
      <c r="F144" s="6"/>
      <c r="G144" s="7"/>
      <c r="H144" s="6"/>
      <c r="I144" s="7"/>
      <c r="J144" s="6"/>
      <c r="K144" s="7"/>
      <c r="L144" s="6"/>
      <c r="M144" s="7"/>
      <c r="N144" s="7"/>
      <c r="O144" s="7"/>
      <c r="P144" s="7"/>
      <c r="Q144" s="7"/>
      <c r="R144" s="6"/>
      <c r="S144" s="7"/>
      <c r="T144" s="7"/>
      <c r="U144" s="7"/>
      <c r="V144" s="7"/>
      <c r="W144" s="7"/>
      <c r="X144" s="6"/>
      <c r="Y144" s="7"/>
      <c r="Z144" s="7"/>
      <c r="AA144" s="7"/>
      <c r="AB144" s="7"/>
      <c r="AC144" s="7"/>
      <c r="AD144" s="6"/>
      <c r="AE144" s="7"/>
      <c r="AF144" s="7"/>
      <c r="AG144" s="7"/>
      <c r="AH144" s="7"/>
      <c r="AI144" s="7"/>
      <c r="AJ144" s="6"/>
      <c r="AK144" s="7"/>
      <c r="AL144" s="7"/>
      <c r="AM144" s="7"/>
      <c r="AN144" s="7"/>
      <c r="AO144" s="7"/>
      <c r="AP144" s="6"/>
      <c r="AQ144" s="7"/>
      <c r="AR144" s="7"/>
      <c r="AS144" s="7"/>
      <c r="AT144" s="7"/>
      <c r="AU144" s="7"/>
      <c r="AV144" s="6"/>
      <c r="AW144" s="7"/>
      <c r="AX144" s="7"/>
      <c r="AY144" s="7"/>
      <c r="AZ144" s="7"/>
      <c r="BA144" s="7"/>
      <c r="BB144" s="6"/>
      <c r="BC144" s="7"/>
      <c r="BD144" s="7"/>
      <c r="BE144" s="7"/>
      <c r="BF144" s="7"/>
      <c r="BG144" s="7"/>
      <c r="BH144" s="6"/>
      <c r="BI144" s="7"/>
      <c r="BJ144" s="7"/>
      <c r="BK144" s="7"/>
      <c r="BL144" s="7"/>
      <c r="BM144" s="7"/>
      <c r="BN144" s="6"/>
      <c r="BO144" s="7"/>
      <c r="BP144" s="7"/>
      <c r="BQ144" s="7"/>
      <c r="BR144" s="7"/>
      <c r="BS144" s="7"/>
      <c r="BT144" s="6"/>
      <c r="BU144" s="7"/>
      <c r="BV144" s="7"/>
      <c r="BW144" s="7"/>
      <c r="BX144" s="7"/>
      <c r="BY144" s="7"/>
      <c r="BZ144" s="6"/>
      <c r="CA144" s="7"/>
      <c r="CB144" s="7"/>
      <c r="CC144" s="7"/>
      <c r="CD144" s="7"/>
      <c r="CE144" s="7"/>
      <c r="CF144" s="6"/>
      <c r="CG144" s="7"/>
      <c r="CH144" s="7"/>
      <c r="CI144" s="7"/>
      <c r="CJ144" s="7"/>
      <c r="CK144" s="7"/>
      <c r="CL144" s="6"/>
      <c r="CM144" s="7"/>
      <c r="CN144" s="7"/>
      <c r="CO144" s="7"/>
      <c r="CP144" s="7"/>
      <c r="CQ144" s="7"/>
      <c r="CR144" s="6"/>
      <c r="CS144" s="7"/>
      <c r="CT144" s="7"/>
      <c r="CU144" s="7"/>
      <c r="CV144" s="7"/>
      <c r="CW144" s="7"/>
      <c r="CX144" s="6"/>
      <c r="CY144" s="7"/>
      <c r="CZ144" s="7"/>
      <c r="DA144" s="7"/>
      <c r="DB144" s="7"/>
      <c r="DC144" s="7"/>
      <c r="DD144" s="6"/>
      <c r="DE144" s="7"/>
      <c r="DF144" s="7"/>
      <c r="DG144" s="7"/>
      <c r="DH144" s="7"/>
      <c r="DI144" s="7"/>
      <c r="DJ144" s="6"/>
      <c r="DK144" s="7"/>
      <c r="DL144" s="7"/>
      <c r="DM144" s="7"/>
      <c r="DN144" s="7"/>
      <c r="DO144" s="7"/>
      <c r="DP144" s="6"/>
      <c r="DQ144" s="7"/>
      <c r="DR144" s="7"/>
      <c r="DS144" s="7"/>
      <c r="DT144" s="7"/>
      <c r="DU144" s="7"/>
      <c r="DV144" s="6"/>
      <c r="DW144" s="7"/>
      <c r="DX144" s="7"/>
      <c r="DY144" s="7"/>
      <c r="DZ144" s="7"/>
      <c r="EA144" s="7"/>
      <c r="EB144" s="6"/>
      <c r="EC144" s="7"/>
      <c r="ED144" s="7"/>
      <c r="EE144" s="7"/>
      <c r="EF144" s="7"/>
      <c r="EG144" s="7"/>
      <c r="EH144" s="7"/>
      <c r="EI144" s="482"/>
      <c r="EJ144" s="7"/>
    </row>
    <row r="145" spans="1:140" ht="11.25" customHeight="1" x14ac:dyDescent="0.2">
      <c r="A145" s="106" t="s">
        <v>420</v>
      </c>
      <c r="B145" s="239"/>
      <c r="C145" s="239"/>
      <c r="D145" s="239"/>
      <c r="E145" s="240"/>
      <c r="F145" s="240"/>
      <c r="G145" s="240"/>
      <c r="H145" s="240"/>
      <c r="I145" s="240"/>
      <c r="J145" s="240"/>
      <c r="K145" s="240"/>
      <c r="L145" s="240"/>
      <c r="M145" s="241"/>
      <c r="N145" s="241"/>
      <c r="O145" s="241"/>
      <c r="P145" s="241"/>
      <c r="Q145" s="240"/>
      <c r="R145" s="240"/>
      <c r="S145" s="241"/>
      <c r="T145" s="241"/>
      <c r="U145" s="241"/>
      <c r="V145" s="241"/>
      <c r="W145" s="240"/>
      <c r="X145" s="240"/>
      <c r="Y145" s="241"/>
      <c r="Z145" s="241"/>
      <c r="AA145" s="241"/>
      <c r="AB145" s="241"/>
      <c r="AC145" s="240"/>
      <c r="AD145" s="240"/>
      <c r="AE145" s="241"/>
      <c r="AF145" s="241"/>
      <c r="AG145" s="241"/>
      <c r="AH145" s="241"/>
      <c r="AI145" s="240"/>
      <c r="AJ145" s="240"/>
      <c r="AK145" s="241"/>
      <c r="AL145" s="241"/>
      <c r="AM145" s="241"/>
      <c r="AN145" s="241"/>
      <c r="AO145" s="240"/>
      <c r="AP145" s="240"/>
      <c r="AQ145" s="241"/>
      <c r="AR145" s="241"/>
      <c r="AS145" s="241"/>
      <c r="AT145" s="241"/>
      <c r="AU145" s="240"/>
      <c r="AV145" s="240"/>
      <c r="AW145" s="241"/>
      <c r="AX145" s="242"/>
      <c r="AY145" s="242"/>
      <c r="AZ145" s="242"/>
      <c r="BA145" s="240"/>
      <c r="BB145" s="240"/>
      <c r="BC145" s="242"/>
      <c r="BD145" s="242"/>
      <c r="BE145" s="242"/>
      <c r="BF145" s="242"/>
      <c r="BG145" s="240"/>
      <c r="BH145" s="240"/>
      <c r="BI145" s="242"/>
      <c r="BJ145" s="242"/>
      <c r="BK145" s="242"/>
      <c r="BL145" s="242"/>
      <c r="BM145" s="240"/>
      <c r="BN145" s="240"/>
      <c r="BO145" s="242"/>
      <c r="BP145" s="242"/>
      <c r="BQ145" s="242"/>
      <c r="BR145" s="242"/>
      <c r="BS145" s="240"/>
      <c r="BT145" s="240"/>
      <c r="BU145" s="242"/>
      <c r="BV145" s="242"/>
      <c r="BW145" s="242"/>
      <c r="BX145" s="242"/>
      <c r="BY145" s="240"/>
      <c r="BZ145" s="240"/>
      <c r="CA145" s="242"/>
      <c r="CB145" s="242"/>
      <c r="CC145" s="242"/>
      <c r="CD145" s="242"/>
      <c r="CE145" s="240"/>
      <c r="CF145" s="240"/>
      <c r="CG145" s="242"/>
      <c r="CH145" s="242"/>
      <c r="CI145" s="242"/>
      <c r="CJ145" s="242"/>
      <c r="CK145" s="240"/>
      <c r="CL145" s="240"/>
      <c r="CM145" s="242"/>
      <c r="CN145" s="242"/>
      <c r="CO145" s="242"/>
      <c r="CP145" s="242"/>
      <c r="CQ145" s="240"/>
      <c r="CR145" s="240"/>
      <c r="CS145" s="242"/>
      <c r="CT145" s="242"/>
      <c r="CU145" s="242"/>
      <c r="CV145" s="242"/>
      <c r="CW145" s="240"/>
      <c r="CX145" s="240"/>
      <c r="CY145" s="242"/>
      <c r="CZ145" s="242"/>
      <c r="DA145" s="242"/>
      <c r="DB145" s="242"/>
      <c r="DC145" s="240"/>
      <c r="DD145" s="240"/>
      <c r="DE145" s="242"/>
      <c r="DF145" s="242"/>
      <c r="DG145" s="243"/>
      <c r="DH145" s="242"/>
      <c r="DI145" s="240"/>
      <c r="DJ145" s="240"/>
      <c r="DK145" s="240"/>
      <c r="DL145" s="240"/>
      <c r="DM145" s="240"/>
      <c r="DN145" s="240"/>
      <c r="DO145" s="240"/>
      <c r="DP145" s="240"/>
      <c r="DQ145" s="240"/>
      <c r="DR145" s="240"/>
      <c r="DS145" s="240"/>
      <c r="DT145" s="240"/>
      <c r="DU145" s="240"/>
      <c r="DV145" s="240"/>
      <c r="DW145" s="240"/>
      <c r="DX145" s="240"/>
      <c r="DY145" s="240"/>
      <c r="DZ145" s="240"/>
      <c r="EA145" s="240"/>
      <c r="EB145" s="240"/>
      <c r="EC145" s="240"/>
      <c r="ED145" s="240"/>
      <c r="EE145" s="240"/>
      <c r="EF145" s="240"/>
      <c r="EG145" s="240"/>
      <c r="EH145" s="120"/>
      <c r="EI145" s="488"/>
      <c r="EJ145" s="27"/>
    </row>
    <row r="146" spans="1:140" ht="11.25" customHeight="1" x14ac:dyDescent="0.2">
      <c r="A146" s="51" t="s">
        <v>15</v>
      </c>
      <c r="B146" s="19"/>
      <c r="C146" s="19"/>
      <c r="D146" s="19"/>
      <c r="E146" s="93"/>
      <c r="F146" s="67"/>
      <c r="G146" s="93">
        <f>BS!E19</f>
        <v>403.488</v>
      </c>
      <c r="H146" s="67"/>
      <c r="I146" s="93">
        <f>BS!G19</f>
        <v>510.19799999999998</v>
      </c>
      <c r="J146" s="67"/>
      <c r="K146" s="93">
        <f>BS!I19</f>
        <v>500.18900000000002</v>
      </c>
      <c r="L146" s="67"/>
      <c r="M146" s="82">
        <f>BS!K19</f>
        <v>575.53099999999995</v>
      </c>
      <c r="N146" s="67">
        <f>M154</f>
        <v>549.57100000000003</v>
      </c>
      <c r="O146" s="67">
        <f>N154</f>
        <v>545.44799999999998</v>
      </c>
      <c r="P146" s="67">
        <f>O154</f>
        <v>536.99099999999999</v>
      </c>
      <c r="Q146" s="93">
        <f>M146</f>
        <v>575.53099999999995</v>
      </c>
      <c r="R146" s="67"/>
      <c r="S146" s="82">
        <f>BS!Q19</f>
        <v>533.572</v>
      </c>
      <c r="T146" s="67">
        <f>S154</f>
        <v>600.70799999999997</v>
      </c>
      <c r="U146" s="67">
        <f>T154</f>
        <v>572.55499999999995</v>
      </c>
      <c r="V146" s="67">
        <f>U154</f>
        <v>558.38199999999995</v>
      </c>
      <c r="W146" s="93">
        <f>S146</f>
        <v>533.572</v>
      </c>
      <c r="X146" s="67"/>
      <c r="Y146" s="82">
        <f>BS!W19</f>
        <v>597.37900000000002</v>
      </c>
      <c r="Z146" s="67">
        <f>Y154</f>
        <v>593.63199999999995</v>
      </c>
      <c r="AA146" s="67">
        <f>Z154</f>
        <v>577.49800000000005</v>
      </c>
      <c r="AB146" s="67">
        <f>AA154</f>
        <v>570.72400000000005</v>
      </c>
      <c r="AC146" s="93">
        <f>Y146</f>
        <v>597.37900000000002</v>
      </c>
      <c r="AD146" s="67"/>
      <c r="AE146" s="82">
        <f>BS!AC19</f>
        <v>573.36500000000001</v>
      </c>
      <c r="AF146" s="67">
        <f>AE154</f>
        <v>638.12400000000002</v>
      </c>
      <c r="AG146" s="67">
        <f>AF154</f>
        <v>727.15899999999999</v>
      </c>
      <c r="AH146" s="67">
        <f>AG154</f>
        <v>715.30200000000002</v>
      </c>
      <c r="AI146" s="93">
        <f>AE146</f>
        <v>573.36500000000001</v>
      </c>
      <c r="AJ146" s="67"/>
      <c r="AK146" s="82">
        <f>BS!AI19</f>
        <v>752.96600000000001</v>
      </c>
      <c r="AL146" s="67">
        <f>AK154</f>
        <v>730.95299999999997</v>
      </c>
      <c r="AM146" s="67">
        <f>AL154</f>
        <v>706.34400000000005</v>
      </c>
      <c r="AN146" s="67">
        <f>AM154</f>
        <v>737.92200000000003</v>
      </c>
      <c r="AO146" s="93">
        <f>AK146</f>
        <v>752.96600000000001</v>
      </c>
      <c r="AP146" s="67"/>
      <c r="AQ146" s="82">
        <f>AO154</f>
        <v>748.17200000000003</v>
      </c>
      <c r="AR146" s="67">
        <f>AQ154</f>
        <v>753.14</v>
      </c>
      <c r="AS146" s="67">
        <f>AR154</f>
        <v>855.82799999999997</v>
      </c>
      <c r="AT146" s="67">
        <f>AS154</f>
        <v>846.447</v>
      </c>
      <c r="AU146" s="93">
        <f>AO154</f>
        <v>748.17200000000003</v>
      </c>
      <c r="AV146" s="67"/>
      <c r="AW146" s="82">
        <f>AU154</f>
        <v>874.36800000000005</v>
      </c>
      <c r="AX146" s="67">
        <f>AW154</f>
        <v>888.70799999999997</v>
      </c>
      <c r="AY146" s="67">
        <f>AX154</f>
        <v>887.70899999999995</v>
      </c>
      <c r="AZ146" s="67">
        <f>AY154</f>
        <v>902.41099999999994</v>
      </c>
      <c r="BA146" s="93">
        <f>AU154</f>
        <v>874.36800000000005</v>
      </c>
      <c r="BB146" s="67"/>
      <c r="BC146" s="82">
        <f>BA154</f>
        <v>1108.634</v>
      </c>
      <c r="BD146" s="67">
        <f>BC154</f>
        <v>1127.7349999999999</v>
      </c>
      <c r="BE146" s="67">
        <f>BD154</f>
        <v>1131.8869999999999</v>
      </c>
      <c r="BF146" s="67">
        <f>BE154</f>
        <v>1106.3130000000001</v>
      </c>
      <c r="BG146" s="93">
        <f>BA154</f>
        <v>1108.634</v>
      </c>
      <c r="BH146" s="67"/>
      <c r="BI146" s="82">
        <f>BG154</f>
        <v>1108.6529999999996</v>
      </c>
      <c r="BJ146" s="67">
        <f>BI154</f>
        <v>1077.692</v>
      </c>
      <c r="BK146" s="67">
        <f>BJ154</f>
        <v>1096.721</v>
      </c>
      <c r="BL146" s="67">
        <f>BK154</f>
        <v>1097.424</v>
      </c>
      <c r="BM146" s="93">
        <f>BG154</f>
        <v>1108.6529999999996</v>
      </c>
      <c r="BN146" s="67"/>
      <c r="BO146" s="82">
        <f>BM154</f>
        <v>1143.3310000000001</v>
      </c>
      <c r="BP146" s="67">
        <f>BO154</f>
        <v>1179.0940000000001</v>
      </c>
      <c r="BQ146" s="67">
        <f>BP154</f>
        <v>1163.335</v>
      </c>
      <c r="BR146" s="67">
        <f>BQ154</f>
        <v>1153.431</v>
      </c>
      <c r="BS146" s="93">
        <f>BM154</f>
        <v>1143.3310000000001</v>
      </c>
      <c r="BT146" s="67"/>
      <c r="BU146" s="82">
        <f>BS154</f>
        <v>1192.3030000000003</v>
      </c>
      <c r="BV146" s="67">
        <f>BU154</f>
        <v>1177.703</v>
      </c>
      <c r="BW146" s="67">
        <f>BV154</f>
        <v>2226.1190000000001</v>
      </c>
      <c r="BX146" s="67">
        <f>BW154</f>
        <v>2151.0520000000001</v>
      </c>
      <c r="BY146" s="93">
        <f>BS154</f>
        <v>1192.3030000000003</v>
      </c>
      <c r="BZ146" s="67"/>
      <c r="CA146" s="82">
        <f>BY154</f>
        <v>2100.9899999999998</v>
      </c>
      <c r="CB146" s="67">
        <f>CA154</f>
        <v>2104.8110000000001</v>
      </c>
      <c r="CC146" s="67">
        <f>CB154</f>
        <v>2065.451</v>
      </c>
      <c r="CD146" s="67">
        <f>CC154</f>
        <v>2062.9520000000002</v>
      </c>
      <c r="CE146" s="93">
        <f>BY154</f>
        <v>2100.9899999999998</v>
      </c>
      <c r="CF146" s="67"/>
      <c r="CG146" s="82">
        <f>CE154</f>
        <v>2140.9</v>
      </c>
      <c r="CH146" s="67">
        <f>CG154</f>
        <v>2109.9</v>
      </c>
      <c r="CI146" s="67">
        <f>CH154</f>
        <v>2148.9</v>
      </c>
      <c r="CJ146" s="67">
        <f>CI154</f>
        <v>2179.1999999999998</v>
      </c>
      <c r="CK146" s="93">
        <f>CE154</f>
        <v>2140.9</v>
      </c>
      <c r="CL146" s="67"/>
      <c r="CM146" s="82">
        <f>CK154</f>
        <v>2211.3000000000002</v>
      </c>
      <c r="CN146" s="67">
        <f>CM154</f>
        <v>2182.6</v>
      </c>
      <c r="CO146" s="67">
        <f>CN154</f>
        <v>2232.1</v>
      </c>
      <c r="CP146" s="67">
        <f>CO154</f>
        <v>2161.6</v>
      </c>
      <c r="CQ146" s="93">
        <f>CK154</f>
        <v>2211.3000000000002</v>
      </c>
      <c r="CR146" s="67"/>
      <c r="CS146" s="82">
        <f>CQ154</f>
        <v>2203</v>
      </c>
      <c r="CT146" s="67">
        <f>CS154</f>
        <v>2135.9</v>
      </c>
      <c r="CU146" s="67">
        <f>CT154</f>
        <v>2161.3000000000002</v>
      </c>
      <c r="CV146" s="67">
        <f>CU154</f>
        <v>2791.6</v>
      </c>
      <c r="CW146" s="93">
        <f>CQ154</f>
        <v>2203</v>
      </c>
      <c r="CX146" s="67"/>
      <c r="CY146" s="82">
        <f>CW154</f>
        <v>2302.7000000000003</v>
      </c>
      <c r="CZ146" s="67">
        <f>CY154</f>
        <v>2872.5</v>
      </c>
      <c r="DA146" s="67">
        <f>CZ154</f>
        <v>2784.8</v>
      </c>
      <c r="DB146" s="67">
        <f>DA154</f>
        <v>2255.1</v>
      </c>
      <c r="DC146" s="93">
        <f>CW154</f>
        <v>2302.7000000000003</v>
      </c>
      <c r="DD146" s="67"/>
      <c r="DE146" s="82">
        <f>DC154</f>
        <v>2353.9999999999995</v>
      </c>
      <c r="DF146" s="67">
        <f>DE154</f>
        <v>2408.6999999999998</v>
      </c>
      <c r="DG146" s="67">
        <f>DF154</f>
        <v>2422.8000000000002</v>
      </c>
      <c r="DH146" s="67">
        <f>DG154</f>
        <v>2424.9</v>
      </c>
      <c r="DI146" s="93">
        <f>DC154</f>
        <v>2353.9999999999995</v>
      </c>
      <c r="DJ146" s="67"/>
      <c r="DK146" s="82">
        <f>DI154</f>
        <v>2454.5999999999995</v>
      </c>
      <c r="DL146" s="67">
        <f>DK154</f>
        <v>2455.0737639999998</v>
      </c>
      <c r="DM146" s="67">
        <f>DL154</f>
        <v>2462.6016283700001</v>
      </c>
      <c r="DN146" s="67">
        <f>DM154</f>
        <v>2467.2950148187247</v>
      </c>
      <c r="DO146" s="93">
        <f>DI154</f>
        <v>2454.5999999999995</v>
      </c>
      <c r="DP146" s="67"/>
      <c r="DQ146" s="82">
        <f>DO154</f>
        <v>2489.4447247066478</v>
      </c>
      <c r="DR146" s="67">
        <f>DQ154</f>
        <v>2494.4981287360151</v>
      </c>
      <c r="DS146" s="67">
        <f>DR154</f>
        <v>2506.9447851208943</v>
      </c>
      <c r="DT146" s="67">
        <f>DS154</f>
        <v>2514.8359582692428</v>
      </c>
      <c r="DU146" s="93">
        <f>DO154</f>
        <v>2489.4447247066478</v>
      </c>
      <c r="DV146" s="67"/>
      <c r="DW146" s="82">
        <f>DU154</f>
        <v>2540.663616500362</v>
      </c>
      <c r="DX146" s="67">
        <f>DW154</f>
        <v>2549.1129856188909</v>
      </c>
      <c r="DY146" s="67">
        <f>DX154</f>
        <v>2565.0894473908807</v>
      </c>
      <c r="DZ146" s="67">
        <f>DY154</f>
        <v>2576.1447201831493</v>
      </c>
      <c r="EA146" s="93">
        <f>DU154</f>
        <v>2540.663616500362</v>
      </c>
      <c r="EB146" s="67"/>
      <c r="EC146" s="82">
        <f t="shared" ref="EC146" si="738">EA154</f>
        <v>2605.7310969169002</v>
      </c>
      <c r="ED146" s="67">
        <f t="shared" ref="ED146:EF146" si="739">EC154</f>
        <v>2617.0577988240111</v>
      </c>
      <c r="EE146" s="67">
        <f t="shared" si="739"/>
        <v>2636.0897989996351</v>
      </c>
      <c r="EF146" s="67">
        <f t="shared" si="739"/>
        <v>2649.8550557803592</v>
      </c>
      <c r="EG146" s="93">
        <f t="shared" ref="EG146" si="740">EA154</f>
        <v>2605.7310969169002</v>
      </c>
      <c r="EH146" s="67"/>
      <c r="EI146" s="71"/>
      <c r="EJ146" s="19"/>
    </row>
    <row r="147" spans="1:140" ht="11.25" customHeight="1" x14ac:dyDescent="0.2">
      <c r="A147" s="51" t="s">
        <v>89</v>
      </c>
      <c r="B147" s="19"/>
      <c r="C147" s="19"/>
      <c r="D147" s="19"/>
      <c r="E147" s="93"/>
      <c r="F147" s="67"/>
      <c r="G147" s="371">
        <f>-CF!G32</f>
        <v>101.614</v>
      </c>
      <c r="H147" s="67"/>
      <c r="I147" s="371">
        <f>-CF!I32</f>
        <v>88.909000000000006</v>
      </c>
      <c r="J147" s="67"/>
      <c r="K147" s="371">
        <f>-CF!K32</f>
        <v>103.718</v>
      </c>
      <c r="L147" s="67"/>
      <c r="M147" s="354">
        <f>-CF!M32</f>
        <v>21.103999999999999</v>
      </c>
      <c r="N147" s="355">
        <f>-CF!N32</f>
        <v>18.314</v>
      </c>
      <c r="O147" s="355">
        <f>-CF!O32</f>
        <v>17.805999999999997</v>
      </c>
      <c r="P147" s="355">
        <f>-CF!P32</f>
        <v>27.232999999999997</v>
      </c>
      <c r="Q147" s="93">
        <f t="shared" ref="Q147" si="741">SUM(M147:P147)</f>
        <v>84.456999999999994</v>
      </c>
      <c r="R147" s="67"/>
      <c r="S147" s="354">
        <f>-CF!S32</f>
        <v>12.923</v>
      </c>
      <c r="T147" s="355">
        <f>-CF!T32</f>
        <v>15.318</v>
      </c>
      <c r="U147" s="355">
        <f>-CF!U32</f>
        <v>16.712000000000003</v>
      </c>
      <c r="V147" s="355">
        <f>-CF!V32</f>
        <v>20.477000000000004</v>
      </c>
      <c r="W147" s="93">
        <f t="shared" ref="W147" si="742">SUM(S147:V147)</f>
        <v>65.430000000000007</v>
      </c>
      <c r="X147" s="67"/>
      <c r="Y147" s="354">
        <f>-CF!Y32</f>
        <v>15.617000000000001</v>
      </c>
      <c r="Z147" s="355">
        <f>-CF!Z32</f>
        <v>22.004000000000001</v>
      </c>
      <c r="AA147" s="355">
        <f>-CF!AA32</f>
        <v>16.438999999999997</v>
      </c>
      <c r="AB147" s="355">
        <f>-CF!AB32</f>
        <v>26.282999999999998</v>
      </c>
      <c r="AC147" s="93">
        <f t="shared" ref="AC147" si="743">SUM(Y147:AB147)</f>
        <v>80.343000000000004</v>
      </c>
      <c r="AD147" s="67"/>
      <c r="AE147" s="354">
        <f>-CF!AE32</f>
        <v>19.207999999999998</v>
      </c>
      <c r="AF147" s="355">
        <f>-CF!AF32</f>
        <v>23.959999999999997</v>
      </c>
      <c r="AG147" s="355">
        <f>-CF!AG32</f>
        <v>26.957999999999998</v>
      </c>
      <c r="AH147" s="355">
        <f>-CF!AH32</f>
        <v>45.780000000000015</v>
      </c>
      <c r="AI147" s="93">
        <f t="shared" ref="AI147" si="744">SUM(AE147:AH147)</f>
        <v>115.90600000000001</v>
      </c>
      <c r="AJ147" s="67"/>
      <c r="AK147" s="354">
        <f>-CF!AK32</f>
        <v>25.951000000000001</v>
      </c>
      <c r="AL147" s="355">
        <f>-CF!AL32</f>
        <v>30.97</v>
      </c>
      <c r="AM147" s="355">
        <f>-CF!AM32</f>
        <v>30.231000000000002</v>
      </c>
      <c r="AN147" s="355">
        <f>-CF!AN32</f>
        <v>34.053999999999995</v>
      </c>
      <c r="AO147" s="93">
        <f t="shared" ref="AO147" si="745">SUM(AK147:AN147)</f>
        <v>121.20599999999999</v>
      </c>
      <c r="AP147" s="67"/>
      <c r="AQ147" s="354">
        <f>-CF!AQ32</f>
        <v>27.582000000000001</v>
      </c>
      <c r="AR147" s="355">
        <f>-CF!AR32</f>
        <v>31.738</v>
      </c>
      <c r="AS147" s="355">
        <f>-CF!AS32</f>
        <v>39.969000000000001</v>
      </c>
      <c r="AT147" s="355">
        <f>-CF!AT32</f>
        <v>38.416999999999994</v>
      </c>
      <c r="AU147" s="93">
        <f t="shared" ref="AU147" si="746">SUM(AQ147:AT147)</f>
        <v>137.70599999999999</v>
      </c>
      <c r="AV147" s="67"/>
      <c r="AW147" s="354">
        <f>-CF!AW32</f>
        <v>31.442</v>
      </c>
      <c r="AX147" s="355">
        <f>-CF!AX32</f>
        <v>38.939</v>
      </c>
      <c r="AY147" s="355">
        <f>-CF!AY32</f>
        <v>29.805000000000007</v>
      </c>
      <c r="AZ147" s="355">
        <f>-CF!AZ32</f>
        <v>61.884999999999991</v>
      </c>
      <c r="BA147" s="93">
        <f t="shared" ref="BA147" si="747">SUM(AW147:AZ147)</f>
        <v>162.071</v>
      </c>
      <c r="BB147" s="67"/>
      <c r="BC147" s="354">
        <f>-CF!BC32</f>
        <v>38.96</v>
      </c>
      <c r="BD147" s="355">
        <f>-CF!BD32</f>
        <v>44.907000000000004</v>
      </c>
      <c r="BE147" s="355">
        <f>-CF!BE32</f>
        <v>34.312999999999995</v>
      </c>
      <c r="BF147" s="355">
        <f>-CF!BF32</f>
        <v>75.60299999999998</v>
      </c>
      <c r="BG147" s="93">
        <f t="shared" ref="BG147" si="748">SUM(BC147:BF147)</f>
        <v>193.78299999999999</v>
      </c>
      <c r="BH147" s="67"/>
      <c r="BI147" s="354">
        <f>-CF!BI32</f>
        <v>36.408000000000001</v>
      </c>
      <c r="BJ147" s="355">
        <f>-CF!BJ32</f>
        <v>47.534999999999997</v>
      </c>
      <c r="BK147" s="355">
        <f>-CF!BK32</f>
        <v>31.471000000000004</v>
      </c>
      <c r="BL147" s="355">
        <f>-CF!BL32</f>
        <v>73.13300000000001</v>
      </c>
      <c r="BM147" s="93">
        <f t="shared" ref="BM147" si="749">SUM(BI147:BL147)</f>
        <v>188.54700000000003</v>
      </c>
      <c r="BN147" s="67"/>
      <c r="BO147" s="354">
        <f>-CF!BO32</f>
        <v>37.284999999999997</v>
      </c>
      <c r="BP147" s="355">
        <f>-CF!BP32</f>
        <v>51.834000000000003</v>
      </c>
      <c r="BQ147" s="355">
        <f>-CF!BQ32</f>
        <v>51.062000000000012</v>
      </c>
      <c r="BR147" s="355">
        <f>-CF!BR32</f>
        <v>50.929000000000002</v>
      </c>
      <c r="BS147" s="93">
        <f t="shared" ref="BS147" si="750">SUM(BO147:BR147)</f>
        <v>191.11</v>
      </c>
      <c r="BT147" s="67"/>
      <c r="BU147" s="354">
        <f>-CF!BU32</f>
        <v>46.305999999999997</v>
      </c>
      <c r="BV147" s="355">
        <f>-CF!BV32</f>
        <v>58.795000000000002</v>
      </c>
      <c r="BW147" s="355">
        <f>-CF!BW32</f>
        <v>109.721</v>
      </c>
      <c r="BX147" s="355">
        <f>-CF!BX32</f>
        <v>119.678</v>
      </c>
      <c r="BY147" s="93">
        <f t="shared" ref="BY147" si="751">SUM(BU147:BX147)</f>
        <v>334.5</v>
      </c>
      <c r="BZ147" s="67"/>
      <c r="CA147" s="354">
        <f>-CF!CA32</f>
        <v>117.8</v>
      </c>
      <c r="CB147" s="355">
        <f>-CF!CB32</f>
        <v>110.7</v>
      </c>
      <c r="CC147" s="355">
        <f>-CF!CC32</f>
        <v>104.89999999999998</v>
      </c>
      <c r="CD147" s="355">
        <f>-CF!CD32</f>
        <v>124.90000000000003</v>
      </c>
      <c r="CE147" s="93">
        <f t="shared" ref="CE147" si="752">SUM(CA147:CD147)</f>
        <v>458.3</v>
      </c>
      <c r="CF147" s="67"/>
      <c r="CG147" s="354">
        <f>-CF!CG32</f>
        <v>116.3</v>
      </c>
      <c r="CH147" s="355">
        <f>-CF!CH32</f>
        <v>136.19999999999999</v>
      </c>
      <c r="CI147" s="355">
        <f>-CF!CI32</f>
        <v>139.30000000000001</v>
      </c>
      <c r="CJ147" s="355">
        <f>-CF!CJ32</f>
        <v>159.69999999999999</v>
      </c>
      <c r="CK147" s="93">
        <f t="shared" ref="CK147" si="753">SUM(CG147:CJ147)</f>
        <v>551.5</v>
      </c>
      <c r="CL147" s="67"/>
      <c r="CM147" s="354">
        <f>-CF!CM32</f>
        <v>130.9</v>
      </c>
      <c r="CN147" s="355">
        <f>-CF!CN32</f>
        <v>147.70000000000002</v>
      </c>
      <c r="CO147" s="355">
        <f>-CF!CO32</f>
        <v>130.69999999999999</v>
      </c>
      <c r="CP147" s="355">
        <f>-CF!CP32</f>
        <v>171.3</v>
      </c>
      <c r="CQ147" s="93">
        <f t="shared" ref="CQ147" si="754">SUM(CM147:CP147)</f>
        <v>580.6</v>
      </c>
      <c r="CR147" s="67"/>
      <c r="CS147" s="354">
        <f>-CF!CS32</f>
        <v>117</v>
      </c>
      <c r="CT147" s="355">
        <f>-CF!CT32</f>
        <v>136.19999999999999</v>
      </c>
      <c r="CU147" s="355">
        <f>-CF!CU32</f>
        <v>98.400000000000034</v>
      </c>
      <c r="CV147" s="355">
        <f>-CF!CV32</f>
        <v>161.29999999999995</v>
      </c>
      <c r="CW147" s="93">
        <f>SUM(CS147:CV147)</f>
        <v>512.9</v>
      </c>
      <c r="CX147" s="67"/>
      <c r="CY147" s="354">
        <f>-CF!CY32</f>
        <v>151</v>
      </c>
      <c r="CZ147" s="355">
        <f>-CF!CZ32</f>
        <v>183.89999999999998</v>
      </c>
      <c r="DA147" s="355">
        <f>-CF!DA32</f>
        <v>87.200000000000045</v>
      </c>
      <c r="DB147" s="355">
        <f>-CF!DB32</f>
        <v>167.5</v>
      </c>
      <c r="DC147" s="93">
        <f>SUM(CY147:DB147)</f>
        <v>589.6</v>
      </c>
      <c r="DD147" s="67"/>
      <c r="DE147" s="354">
        <f>-CF!DE32</f>
        <v>158.6</v>
      </c>
      <c r="DF147" s="355">
        <f>-CF!DF32</f>
        <v>147.9</v>
      </c>
      <c r="DG147" s="355">
        <f>-CF!DG32</f>
        <v>139.30000000000001</v>
      </c>
      <c r="DH147" s="355">
        <f>-CF!DH32</f>
        <v>173.8</v>
      </c>
      <c r="DI147" s="93">
        <f>SUM(DE147:DH147)</f>
        <v>619.6</v>
      </c>
      <c r="DJ147" s="67"/>
      <c r="DK147" s="82">
        <f>+DK119*DK148</f>
        <v>150.25279999999998</v>
      </c>
      <c r="DL147" s="67">
        <f>+DL119*DL148</f>
        <v>157.76616000000001</v>
      </c>
      <c r="DM147" s="67">
        <f>+DM119*DM148</f>
        <v>155.21801600000001</v>
      </c>
      <c r="DN147" s="67">
        <f>+DN119*DN148</f>
        <v>174.02564799999999</v>
      </c>
      <c r="DO147" s="93">
        <f>SUM(DK147:DN147)</f>
        <v>637.26262399999996</v>
      </c>
      <c r="DP147" s="67"/>
      <c r="DQ147" s="82">
        <f>+DQ119*DQ148</f>
        <v>157.23764000000003</v>
      </c>
      <c r="DR147" s="67">
        <f>+DR119*DR148</f>
        <v>165.39023743999999</v>
      </c>
      <c r="DS147" s="67">
        <f>+DS119*DS148</f>
        <v>161.31617856000003</v>
      </c>
      <c r="DT147" s="67">
        <f>+DT119*DT148</f>
        <v>180.82835632000001</v>
      </c>
      <c r="DU147" s="93">
        <f>SUM(DQ147:DT147)</f>
        <v>664.77241232000006</v>
      </c>
      <c r="DV147" s="67"/>
      <c r="DW147" s="82">
        <f>+DW119*DW148</f>
        <v>163.96554595999999</v>
      </c>
      <c r="DX147" s="67">
        <f>+DX119*DX148</f>
        <v>172.46732991520003</v>
      </c>
      <c r="DY147" s="67">
        <f>+DY119*DY148</f>
        <v>168.22060054880004</v>
      </c>
      <c r="DZ147" s="67">
        <f>+DZ119*DZ148</f>
        <v>188.55670890640005</v>
      </c>
      <c r="EA147" s="93">
        <f>SUM(DW147:DZ147)</f>
        <v>693.21018533040001</v>
      </c>
      <c r="EB147" s="67"/>
      <c r="EC147" s="82">
        <f t="shared" ref="EC147:EF147" si="755">+EC119*EC148</f>
        <v>170.98805302900001</v>
      </c>
      <c r="ED147" s="67">
        <f t="shared" si="755"/>
        <v>179.85445475650403</v>
      </c>
      <c r="EE147" s="67">
        <f t="shared" si="755"/>
        <v>175.42750156308</v>
      </c>
      <c r="EF147" s="67">
        <f t="shared" si="755"/>
        <v>196.62319198531603</v>
      </c>
      <c r="EG147" s="93">
        <f t="shared" ref="EG147" si="756">SUM(EC147:EF147)</f>
        <v>722.89320133390004</v>
      </c>
      <c r="EH147" s="67"/>
      <c r="EI147" s="71"/>
      <c r="EJ147" s="19"/>
    </row>
    <row r="148" spans="1:140" ht="11.25" customHeight="1" x14ac:dyDescent="0.2">
      <c r="A148" s="51" t="s">
        <v>152</v>
      </c>
      <c r="B148" s="19"/>
      <c r="C148" s="19"/>
      <c r="D148" s="19"/>
      <c r="E148" s="158"/>
      <c r="F148" s="67"/>
      <c r="G148" s="158">
        <f>+G147/G119</f>
        <v>3.3347773292638903E-2</v>
      </c>
      <c r="H148" s="67"/>
      <c r="I148" s="158">
        <f>+I147/I119</f>
        <v>2.7808394845489807E-2</v>
      </c>
      <c r="J148" s="67"/>
      <c r="K148" s="158">
        <f>+K147/K119</f>
        <v>2.7454770358335073E-2</v>
      </c>
      <c r="L148" s="67"/>
      <c r="M148" s="149">
        <f>+M147/M119</f>
        <v>2.0993093487107609E-2</v>
      </c>
      <c r="N148" s="22">
        <f>+N147/N119</f>
        <v>1.9144067628295253E-2</v>
      </c>
      <c r="O148" s="22">
        <f>+O147/O119</f>
        <v>1.9749597377072454E-2</v>
      </c>
      <c r="P148" s="22">
        <f>+P147/P119</f>
        <v>2.9635489894790906E-2</v>
      </c>
      <c r="Q148" s="158">
        <f>+Q147/Q119</f>
        <v>2.2328684839749112E-2</v>
      </c>
      <c r="R148" s="67"/>
      <c r="S148" s="149">
        <f>+S147/S119</f>
        <v>1.2868860703022384E-2</v>
      </c>
      <c r="T148" s="22">
        <f>+T147/T119</f>
        <v>1.3362690892468634E-2</v>
      </c>
      <c r="U148" s="22">
        <f>+U147/U119</f>
        <v>1.4510458696159923E-2</v>
      </c>
      <c r="V148" s="22">
        <f>+V147/V119</f>
        <v>1.6060669282136637E-2</v>
      </c>
      <c r="W148" s="158">
        <f>+W147/W119</f>
        <v>1.429466542224646E-2</v>
      </c>
      <c r="X148" s="67"/>
      <c r="Y148" s="149">
        <f>+Y147/Y119</f>
        <v>1.3055345401955337E-2</v>
      </c>
      <c r="Z148" s="22">
        <f>+Z147/Z119</f>
        <v>1.6933552506018013E-2</v>
      </c>
      <c r="AA148" s="22">
        <f>+AA147/AA119</f>
        <v>1.255411619067838E-2</v>
      </c>
      <c r="AB148" s="22">
        <f>+AB147/AB119</f>
        <v>1.7654076027453385E-2</v>
      </c>
      <c r="AC148" s="158">
        <f>+AC147/AC119</f>
        <v>1.5176592727143589E-2</v>
      </c>
      <c r="AD148" s="67"/>
      <c r="AE148" s="149">
        <f>+AE147/AE119</f>
        <v>1.2446936250924219E-2</v>
      </c>
      <c r="AF148" s="22">
        <f>+AF147/AF119</f>
        <v>1.4778765701667545E-2</v>
      </c>
      <c r="AG148" s="22">
        <f>+AG147/AG119</f>
        <v>1.5446187871894846E-2</v>
      </c>
      <c r="AH148" s="22">
        <f>+AH147/AH119</f>
        <v>2.3125498514118537E-2</v>
      </c>
      <c r="AI148" s="158">
        <f>+AI147/AI119</f>
        <v>1.6823928629592848E-2</v>
      </c>
      <c r="AJ148" s="67"/>
      <c r="AK148" s="149">
        <f>+AK147/AK119</f>
        <v>1.4212343396416548E-2</v>
      </c>
      <c r="AL148" s="22">
        <f>+AL147/AL119</f>
        <v>1.6058055808614108E-2</v>
      </c>
      <c r="AM148" s="22">
        <f>+AM147/AM119</f>
        <v>1.5373974953912658E-2</v>
      </c>
      <c r="AN148" s="22">
        <f>+AN147/AN119</f>
        <v>1.5043147337057231E-2</v>
      </c>
      <c r="AO148" s="158">
        <f>+AO147/AO119</f>
        <v>1.5179773727366725E-2</v>
      </c>
      <c r="AP148" s="67"/>
      <c r="AQ148" s="149">
        <f>+AQ147/AQ119</f>
        <v>1.3048630773706882E-2</v>
      </c>
      <c r="AR148" s="22">
        <f>+AR147/AR119</f>
        <v>1.3689719813214559E-2</v>
      </c>
      <c r="AS148" s="22">
        <f>+AS147/AS119</f>
        <v>1.6595010577144648E-2</v>
      </c>
      <c r="AT148" s="22">
        <f>+AT147/AT119</f>
        <v>1.463285129774807E-2</v>
      </c>
      <c r="AU148" s="158">
        <f>+AU147/AU119</f>
        <v>1.4547346857022607E-2</v>
      </c>
      <c r="AV148" s="67"/>
      <c r="AW148" s="149">
        <f>+AW147/AW119</f>
        <v>1.2468548065693648E-2</v>
      </c>
      <c r="AX148" s="22">
        <f>+AX147/AX119</f>
        <v>1.4795099329947926E-2</v>
      </c>
      <c r="AY148" s="22">
        <f>+AY147/AY119</f>
        <v>1.0912981376716266E-2</v>
      </c>
      <c r="AZ148" s="22">
        <f>+AZ147/AZ119</f>
        <v>1.9701213908035104E-2</v>
      </c>
      <c r="BA148" s="158">
        <f>+BA147/BA119</f>
        <v>1.469909353579448E-2</v>
      </c>
      <c r="BB148" s="67"/>
      <c r="BC148" s="149">
        <f>+BC147/BC119</f>
        <v>1.2862865870287111E-2</v>
      </c>
      <c r="BD148" s="22">
        <f>+BD147/BD119</f>
        <v>1.367491956959647E-2</v>
      </c>
      <c r="BE148" s="22">
        <f>+BE147/BE119</f>
        <v>1.0695468865378853E-2</v>
      </c>
      <c r="BF148" s="22">
        <f>+BF147/BF119</f>
        <v>2.380067911094768E-2</v>
      </c>
      <c r="BG148" s="158">
        <f>+BG147/BG119</f>
        <v>1.5261561056009957E-2</v>
      </c>
      <c r="BH148" s="67"/>
      <c r="BI148" s="149">
        <f>+BI147/BI119</f>
        <v>1.3855462952391828E-2</v>
      </c>
      <c r="BJ148" s="22">
        <f>+BJ147/BJ119</f>
        <v>1.777939856373429E-2</v>
      </c>
      <c r="BK148" s="22">
        <f>+BK147/BK119</f>
        <v>1.1441087723125022E-2</v>
      </c>
      <c r="BL148" s="22">
        <f>+BL147/BL119</f>
        <v>2.334354751188995E-2</v>
      </c>
      <c r="BM148" s="158">
        <f>+BM147/BM119</f>
        <v>1.6857280798219031E-2</v>
      </c>
      <c r="BN148" s="67"/>
      <c r="BO148" s="149">
        <f>+BO147/BO119</f>
        <v>1.2396103464326081E-2</v>
      </c>
      <c r="BP148" s="22">
        <f>+BP147/BP119</f>
        <v>1.611052402561074E-2</v>
      </c>
      <c r="BQ148" s="22">
        <f>+BQ147/BQ119</f>
        <v>1.6509958613554063E-2</v>
      </c>
      <c r="BR148" s="22">
        <f>+BR147/BR119</f>
        <v>1.4518786703916984E-2</v>
      </c>
      <c r="BS148" s="158">
        <f>+BS147/BS119</f>
        <v>1.4900435060581016E-2</v>
      </c>
      <c r="BT148" s="67"/>
      <c r="BU148" s="149">
        <f>+BU147/BU119</f>
        <v>1.4123280568518011E-2</v>
      </c>
      <c r="BV148" s="22">
        <f>+BV147/BV119</f>
        <v>1.6131643207945783E-2</v>
      </c>
      <c r="BW148" s="22">
        <f>+BW147/BW119</f>
        <v>2.4650311159039338E-2</v>
      </c>
      <c r="BX148" s="22">
        <f>+BX147/BX119</f>
        <v>2.5373248245595437E-2</v>
      </c>
      <c r="BY148" s="158">
        <f>+BY147/BY119</f>
        <v>2.0787759769314906E-2</v>
      </c>
      <c r="BZ148" s="67"/>
      <c r="CA148" s="149">
        <f>+CA147/CA119</f>
        <v>2.7292525832908577E-2</v>
      </c>
      <c r="CB148" s="22">
        <f>+CB147/CB119</f>
        <v>2.4310969583836609E-2</v>
      </c>
      <c r="CC148" s="22">
        <f>+CC147/CC119</f>
        <v>2.3757218888008146E-2</v>
      </c>
      <c r="CD148" s="22">
        <f>+CD147/CD119</f>
        <v>2.5104518411320154E-2</v>
      </c>
      <c r="CE148" s="158">
        <f>+CE147/CE119</f>
        <v>2.5098026330200876E-2</v>
      </c>
      <c r="CF148" s="67"/>
      <c r="CG148" s="149">
        <f>+CG147/CG119</f>
        <v>2.6165995455261323E-2</v>
      </c>
      <c r="CH148" s="22">
        <f>+CH147/CH119</f>
        <v>2.8749340369393136E-2</v>
      </c>
      <c r="CI148" s="22">
        <f>+CI147/CI119</f>
        <v>2.9834443468762718E-2</v>
      </c>
      <c r="CJ148" s="22">
        <f>+CJ147/CJ119</f>
        <v>3.0322592894981678E-2</v>
      </c>
      <c r="CK148" s="158">
        <f>+CK147/CK119</f>
        <v>2.8847159744743174E-2</v>
      </c>
      <c r="CL148" s="67"/>
      <c r="CM148" s="149">
        <f>+CM147/CM119</f>
        <v>2.9487295008109572E-2</v>
      </c>
      <c r="CN148" s="22">
        <f>+CN147/CN119</f>
        <v>3.0876972927772556E-2</v>
      </c>
      <c r="CO148" s="22">
        <f>+CO147/CO119</f>
        <v>2.7766565401202436E-2</v>
      </c>
      <c r="CP148" s="22">
        <f>+CP147/CP119</f>
        <v>3.2789709429194902E-2</v>
      </c>
      <c r="CQ148" s="158">
        <f>+CQ147/CQ119</f>
        <v>3.0312206327660018E-2</v>
      </c>
      <c r="CR148" s="67"/>
      <c r="CS148" s="149">
        <f>+CS147/CS119</f>
        <v>3.6651838857214465E-2</v>
      </c>
      <c r="CT148" s="22">
        <f>+CT147/CT119</f>
        <v>3.9984734169039714E-2</v>
      </c>
      <c r="CU148" s="22">
        <f>+CU147/CU119</f>
        <v>2.8016627754683686E-2</v>
      </c>
      <c r="CV148" s="22">
        <f>+CV147/CV119</f>
        <v>3.7312051815868601E-2</v>
      </c>
      <c r="CW148" s="158">
        <f>+CW147/CW119</f>
        <v>3.5534894032715099E-2</v>
      </c>
      <c r="CX148" s="67"/>
      <c r="CY148" s="149">
        <f>+CY147/CY119</f>
        <v>3.8480161056038326E-2</v>
      </c>
      <c r="CZ148" s="22">
        <f>+CZ147/CZ119</f>
        <v>4.3353214361488951E-2</v>
      </c>
      <c r="DA148" s="22">
        <f>+DA147/DA119</f>
        <v>2.1103071077660279E-2</v>
      </c>
      <c r="DB148" s="22">
        <f>+DB147/DB119</f>
        <v>3.6537748402155179E-2</v>
      </c>
      <c r="DC148" s="158">
        <f>+DC147/DC119</f>
        <v>3.4923944462872579E-2</v>
      </c>
      <c r="DD148" s="67"/>
      <c r="DE148" s="149">
        <f>+DE147/DE119</f>
        <v>3.7710725919585325E-2</v>
      </c>
      <c r="DF148" s="22">
        <f>+DF147/DF119</f>
        <v>3.279306445533358E-2</v>
      </c>
      <c r="DG148" s="22">
        <f>+DG147/DG119</f>
        <v>3.0762775495781991E-2</v>
      </c>
      <c r="DH148" s="22">
        <f>+DH147/DH119</f>
        <v>3.4174253298464324E-2</v>
      </c>
      <c r="DI148" s="158">
        <f>+DI147/DI119</f>
        <v>3.3803062788807237E-2</v>
      </c>
      <c r="DJ148" s="67"/>
      <c r="DK148" s="365">
        <v>3.2000000000000001E-2</v>
      </c>
      <c r="DL148" s="341">
        <f>+DK148</f>
        <v>3.2000000000000001E-2</v>
      </c>
      <c r="DM148" s="341">
        <f>+DL148</f>
        <v>3.2000000000000001E-2</v>
      </c>
      <c r="DN148" s="341">
        <f>+DM148</f>
        <v>3.2000000000000001E-2</v>
      </c>
      <c r="DO148" s="158">
        <f>+DO147/DO119</f>
        <v>3.2000000000000001E-2</v>
      </c>
      <c r="DP148" s="67"/>
      <c r="DQ148" s="365">
        <f>+DK148</f>
        <v>3.2000000000000001E-2</v>
      </c>
      <c r="DR148" s="341">
        <f>+DQ148</f>
        <v>3.2000000000000001E-2</v>
      </c>
      <c r="DS148" s="341">
        <f>+DR148</f>
        <v>3.2000000000000001E-2</v>
      </c>
      <c r="DT148" s="341">
        <f>+DS148</f>
        <v>3.2000000000000001E-2</v>
      </c>
      <c r="DU148" s="158">
        <f>+DU147/DU119</f>
        <v>3.1999999999999994E-2</v>
      </c>
      <c r="DV148" s="67"/>
      <c r="DW148" s="365">
        <f>+DQ148</f>
        <v>3.2000000000000001E-2</v>
      </c>
      <c r="DX148" s="341">
        <f t="shared" ref="DX148:DZ148" si="757">+DW148</f>
        <v>3.2000000000000001E-2</v>
      </c>
      <c r="DY148" s="341">
        <f t="shared" si="757"/>
        <v>3.2000000000000001E-2</v>
      </c>
      <c r="DZ148" s="341">
        <f t="shared" si="757"/>
        <v>3.2000000000000001E-2</v>
      </c>
      <c r="EA148" s="158">
        <f t="shared" ref="EA148" si="758">+EA147/EA119</f>
        <v>3.1999999999999994E-2</v>
      </c>
      <c r="EB148" s="67"/>
      <c r="EC148" s="365">
        <f t="shared" ref="EC148" si="759">+DW148</f>
        <v>3.2000000000000001E-2</v>
      </c>
      <c r="ED148" s="341">
        <f t="shared" ref="ED148" si="760">+EC148</f>
        <v>3.2000000000000001E-2</v>
      </c>
      <c r="EE148" s="341">
        <f t="shared" ref="EE148" si="761">+ED148</f>
        <v>3.2000000000000001E-2</v>
      </c>
      <c r="EF148" s="341">
        <f t="shared" ref="EF148" si="762">+EE148</f>
        <v>3.2000000000000001E-2</v>
      </c>
      <c r="EG148" s="158">
        <f t="shared" ref="EG148" si="763">+EG147/EG119</f>
        <v>3.2000000000000001E-2</v>
      </c>
      <c r="EH148" s="67"/>
      <c r="EI148" s="71"/>
      <c r="EJ148" s="19"/>
    </row>
    <row r="149" spans="1:140" ht="11.25" customHeight="1" x14ac:dyDescent="0.2">
      <c r="A149" s="51" t="s">
        <v>79</v>
      </c>
      <c r="B149" s="19"/>
      <c r="C149" s="19"/>
      <c r="D149" s="19"/>
      <c r="E149" s="93"/>
      <c r="F149" s="67"/>
      <c r="G149" s="93">
        <f>G151-G147-G146-G150</f>
        <v>114.62299999999999</v>
      </c>
      <c r="H149" s="67"/>
      <c r="I149" s="93">
        <f>I151-I147-I146-I150</f>
        <v>-9.7669999999999391</v>
      </c>
      <c r="J149" s="67"/>
      <c r="K149" s="93">
        <f>K151-K147-K146-K150</f>
        <v>116.34499999999997</v>
      </c>
      <c r="L149" s="67"/>
      <c r="M149" s="82">
        <f>M151-M147-M146-M150</f>
        <v>-10.932000000000016</v>
      </c>
      <c r="N149" s="67">
        <f>N151-N147-N146-N150</f>
        <v>12.548000000000002</v>
      </c>
      <c r="O149" s="67">
        <f>O151-O147-O146-O150</f>
        <v>9.0739999999999554</v>
      </c>
      <c r="P149" s="67">
        <f>P151-P147-P146-P150</f>
        <v>5.2840000000001055</v>
      </c>
      <c r="Q149" s="93">
        <f>Q151-Q147-Q146-Q150</f>
        <v>15.974000000000046</v>
      </c>
      <c r="R149" s="67"/>
      <c r="S149" s="82">
        <f>S151-S147-S146-S150</f>
        <v>79.480000000000018</v>
      </c>
      <c r="T149" s="67">
        <f>T151-T147-T146-T150</f>
        <v>-18.053999999999974</v>
      </c>
      <c r="U149" s="67">
        <f>U151-U147-U146-U150</f>
        <v>-6.8600000000000136</v>
      </c>
      <c r="V149" s="67">
        <f>V151-V147-V146-V150</f>
        <v>37.37600000000009</v>
      </c>
      <c r="W149" s="93">
        <f>W151-W147-W146-W150</f>
        <v>91.941999999999894</v>
      </c>
      <c r="X149" s="67"/>
      <c r="Y149" s="82">
        <f>Y151-Y147-Y146-Y150</f>
        <v>8.5989999999999327</v>
      </c>
      <c r="Z149" s="67">
        <f>Z151-Z147-Z146-Z150</f>
        <v>-11.482999999999947</v>
      </c>
      <c r="AA149" s="67">
        <f>AA151-AA147-AA146-AA150</f>
        <v>0.95000000000004547</v>
      </c>
      <c r="AB149" s="67">
        <f>AB151-AB147-AB146-AB150</f>
        <v>-4.98700000000008</v>
      </c>
      <c r="AC149" s="93">
        <f>AC151-AC147-AC146-AC150</f>
        <v>-6.9209999999999354</v>
      </c>
      <c r="AD149" s="67"/>
      <c r="AE149" s="82">
        <f>AE151-AE147-AE146-AE150</f>
        <v>75.960000000000036</v>
      </c>
      <c r="AF149" s="67">
        <f>AF151-AF147-AF146-AF150</f>
        <v>95.824999999999932</v>
      </c>
      <c r="AG149" s="67">
        <f>AG151-AG147-AG146-AG150</f>
        <v>-6.23599999999999</v>
      </c>
      <c r="AH149" s="67">
        <f>AH151-AH147-AH146-AH150</f>
        <v>18.274000000000001</v>
      </c>
      <c r="AI149" s="93">
        <f>AI151-AI147-AI146-AI150</f>
        <v>183.82300000000009</v>
      </c>
      <c r="AJ149" s="67"/>
      <c r="AK149" s="82">
        <f>AK151-AK147-AK146-AK150</f>
        <v>-9.7290000000000418</v>
      </c>
      <c r="AL149" s="67">
        <f>AL151-AL147-AL146-AL150</f>
        <v>-18.685999999999922</v>
      </c>
      <c r="AM149" s="67">
        <f>AM151-AM147-AM146-AM150</f>
        <v>36.346000000000004</v>
      </c>
      <c r="AN149" s="67">
        <f>AN151-AN147-AN146-AN150</f>
        <v>7.04099999999994</v>
      </c>
      <c r="AO149" s="93">
        <f>AO151-AO147-AO146-AO150</f>
        <v>14.97199999999998</v>
      </c>
      <c r="AP149" s="67"/>
      <c r="AQ149" s="82">
        <f>AQ151-AQ147-AQ146-AQ150</f>
        <v>10.876999999999953</v>
      </c>
      <c r="AR149" s="67">
        <f>AR151-AR147-AR146-AR150</f>
        <v>108.47400000000005</v>
      </c>
      <c r="AS149" s="67">
        <f>AS151-AS147-AS146-AS150</f>
        <v>-10.296000000000049</v>
      </c>
      <c r="AT149" s="67">
        <f>AT151-AT147-AT146-AT150</f>
        <v>30.95900000000006</v>
      </c>
      <c r="AU149" s="93">
        <f>SUM(AQ149:AT149)</f>
        <v>140.01400000000001</v>
      </c>
      <c r="AV149" s="67"/>
      <c r="AW149" s="82">
        <f>AW151-AW147-AW146-AW150</f>
        <v>24.662999999999897</v>
      </c>
      <c r="AX149" s="67">
        <f>AX151-AX147-AX146-AX150</f>
        <v>3.1159999999999854</v>
      </c>
      <c r="AY149" s="67">
        <f>AY151-AY147-AY146-AY150</f>
        <v>26.639999999999986</v>
      </c>
      <c r="AZ149" s="67">
        <f>AZ151-AZ147-AZ146-AZ150</f>
        <v>191.71800000000019</v>
      </c>
      <c r="BA149" s="93">
        <f>SUM(AW149:AZ149)</f>
        <v>246.13700000000006</v>
      </c>
      <c r="BB149" s="67"/>
      <c r="BC149" s="82">
        <f>BC151-BC147-BC146-BC150</f>
        <v>30.220999999999776</v>
      </c>
      <c r="BD149" s="67">
        <f>BD151-BD147-BD146-BD150</f>
        <v>6.9400000000000546</v>
      </c>
      <c r="BE149" s="67">
        <f>BE151-BE147-BE146-BE150</f>
        <v>-12.538000000000011</v>
      </c>
      <c r="BF149" s="67">
        <f>BF151-BF147-BF146-BF150</f>
        <v>-24.3900000000001</v>
      </c>
      <c r="BG149" s="93">
        <f>SUM(BC149:BF149)</f>
        <v>0.23299999999971988</v>
      </c>
      <c r="BH149" s="67"/>
      <c r="BI149" s="82">
        <f>BI151-BI147-BI146-BI150</f>
        <v>-21.977999999999383</v>
      </c>
      <c r="BJ149" s="67">
        <f>BJ151-BJ147-BJ146-BJ150</f>
        <v>17.759999999999991</v>
      </c>
      <c r="BK149" s="67">
        <f>BK151-BK147-BK146-BK150</f>
        <v>16.080999999999904</v>
      </c>
      <c r="BL149" s="67">
        <f>BL151-BL147-BL146-BL150</f>
        <v>18.791999999999916</v>
      </c>
      <c r="BM149" s="93">
        <f>SUM(BI149:BL149)</f>
        <v>30.655000000000427</v>
      </c>
      <c r="BN149" s="67"/>
      <c r="BO149" s="82">
        <f>BO151-BO147-BO146-BO150</f>
        <v>45.394999999999754</v>
      </c>
      <c r="BP149" s="67">
        <f>BP151-BP147-BP146-BP150</f>
        <v>-18.145999999999958</v>
      </c>
      <c r="BQ149" s="67">
        <f>BQ151-BQ147-BQ146-BQ150</f>
        <v>-15.445999999999913</v>
      </c>
      <c r="BR149" s="67">
        <f>BR151-BR147-BR146-BR150</f>
        <v>35.23700000000008</v>
      </c>
      <c r="BS149" s="93">
        <f>SUM(BO149:BR149)</f>
        <v>47.039999999999964</v>
      </c>
      <c r="BT149" s="67"/>
      <c r="BU149" s="82">
        <f>BU151-BU147-BU146-BU150</f>
        <v>-12.363000000000284</v>
      </c>
      <c r="BV149" s="67">
        <f>BV151-BV147-BV146-BV150</f>
        <v>1046.0149999999999</v>
      </c>
      <c r="BW149" s="67">
        <f>BW151-BW147-BW146-BW150</f>
        <v>-60.208999999999833</v>
      </c>
      <c r="BX149" s="67">
        <f>BX151-BX147-BX146-BX150</f>
        <v>-48.256000000000313</v>
      </c>
      <c r="BY149" s="93">
        <f>SUM(BU149:BX149)</f>
        <v>925.18699999999944</v>
      </c>
      <c r="BZ149" s="67"/>
      <c r="CA149" s="82">
        <f>CA151-CA147-CA146-CA150</f>
        <v>7.0289999999999964</v>
      </c>
      <c r="CB149" s="67">
        <f>CB151-CB147-CB146-CB150</f>
        <v>-26.28899999999976</v>
      </c>
      <c r="CC149" s="67">
        <f>CC151-CC147-CC146-CC150</f>
        <v>16.275000000000091</v>
      </c>
      <c r="CD149" s="67">
        <f>CD151-CD147-CD146-CD150</f>
        <v>82.394999999999982</v>
      </c>
      <c r="CE149" s="93">
        <f>SUM(CA149:CD149)</f>
        <v>79.410000000000309</v>
      </c>
      <c r="CF149" s="67"/>
      <c r="CG149" s="82">
        <f>CG151-CG147-CG146-CG150</f>
        <v>-19.800000000000182</v>
      </c>
      <c r="CH149" s="67">
        <f>CH151-CH147-CH146-CH150</f>
        <v>32.300000000000182</v>
      </c>
      <c r="CI149" s="67">
        <f>CI151-CI147-CI146-CI150</f>
        <v>24.399999999999636</v>
      </c>
      <c r="CJ149" s="67">
        <f>CJ151-CJ147-CJ146-CJ150</f>
        <v>11.900000000000546</v>
      </c>
      <c r="CK149" s="93">
        <f>SUM(CG149:CJ149)</f>
        <v>48.800000000000182</v>
      </c>
      <c r="CL149" s="67"/>
      <c r="CM149" s="82">
        <f>CM151-CM147-CM146-CM150</f>
        <v>-27.400000000000546</v>
      </c>
      <c r="CN149" s="67">
        <f>CN151-CN147-CN146-CN150</f>
        <v>42.200000000000273</v>
      </c>
      <c r="CO149" s="67">
        <f>CO151-CO147-CO146-CO150</f>
        <v>-95</v>
      </c>
      <c r="CP149" s="67">
        <f>CP151-CP147-CP146-CP150</f>
        <v>-3.0999999999999091</v>
      </c>
      <c r="CQ149" s="93">
        <f>SUM(CM149:CP149)</f>
        <v>-83.300000000000182</v>
      </c>
      <c r="CR149" s="67"/>
      <c r="CS149" s="82">
        <f>CS151-CS147-CS146-CS150</f>
        <v>-57.5</v>
      </c>
      <c r="CT149" s="67">
        <f>CT151-CT147-CT146-CT150</f>
        <v>19.100000000000364</v>
      </c>
      <c r="CU149" s="67">
        <f>CU151-CU147-CU146-CU150</f>
        <v>563.99999999999955</v>
      </c>
      <c r="CV149" s="67">
        <f>CV151-CV147-CV146-CV150</f>
        <v>-535.79999999999973</v>
      </c>
      <c r="CW149" s="93">
        <f>SUM(CS149:CV149)</f>
        <v>-10.199999999999818</v>
      </c>
      <c r="CX149" s="67"/>
      <c r="CY149" s="82">
        <f>CY151-CY147-CY146-CY150</f>
        <v>598.89999999999964</v>
      </c>
      <c r="CZ149" s="67">
        <f>CZ151-CZ147-CZ146-CZ150</f>
        <v>-90.799999999999727</v>
      </c>
      <c r="DA149" s="67">
        <f>DA151-DA147-DA146-DA150</f>
        <v>-581.90000000000055</v>
      </c>
      <c r="DB149" s="67">
        <f>DB151-DB147-DB146-DB150</f>
        <v>80.5</v>
      </c>
      <c r="DC149" s="93">
        <f>SUM(CY149:DB149)</f>
        <v>6.6999999999993634</v>
      </c>
      <c r="DD149" s="67"/>
      <c r="DE149" s="82">
        <f>DE151-DE147-DE146-DE150</f>
        <v>35.600000000000364</v>
      </c>
      <c r="DF149" s="67">
        <f>DF151-DF147-DF146-DF150</f>
        <v>9.1000000000003638</v>
      </c>
      <c r="DG149" s="67">
        <f>DG151-DG147-DG146-DG150</f>
        <v>7.6999999999998181</v>
      </c>
      <c r="DH149" s="67">
        <f>DH151-DH147-DH146-DH150</f>
        <v>6.3999999999996362</v>
      </c>
      <c r="DI149" s="93">
        <f>SUM(DE149:DH149)</f>
        <v>58.800000000000182</v>
      </c>
      <c r="DJ149" s="67"/>
      <c r="DK149" s="81">
        <v>0</v>
      </c>
      <c r="DL149" s="69">
        <v>0</v>
      </c>
      <c r="DM149" s="69">
        <v>0</v>
      </c>
      <c r="DN149" s="69">
        <v>0</v>
      </c>
      <c r="DO149" s="93">
        <f>SUM(DK149:DN149)</f>
        <v>0</v>
      </c>
      <c r="DP149" s="67"/>
      <c r="DQ149" s="81">
        <v>0</v>
      </c>
      <c r="DR149" s="69">
        <v>0</v>
      </c>
      <c r="DS149" s="69">
        <v>0</v>
      </c>
      <c r="DT149" s="69">
        <v>0</v>
      </c>
      <c r="DU149" s="93">
        <f>SUM(DQ149:DT149)</f>
        <v>0</v>
      </c>
      <c r="DV149" s="67"/>
      <c r="DW149" s="81">
        <v>0</v>
      </c>
      <c r="DX149" s="69">
        <v>0</v>
      </c>
      <c r="DY149" s="69">
        <v>0</v>
      </c>
      <c r="DZ149" s="69">
        <v>0</v>
      </c>
      <c r="EA149" s="93">
        <f>SUM(DW149:DZ149)</f>
        <v>0</v>
      </c>
      <c r="EB149" s="67"/>
      <c r="EC149" s="81">
        <v>0</v>
      </c>
      <c r="ED149" s="69">
        <v>0</v>
      </c>
      <c r="EE149" s="69">
        <v>0</v>
      </c>
      <c r="EF149" s="69">
        <v>0</v>
      </c>
      <c r="EG149" s="93">
        <f t="shared" ref="EG149:EG150" si="764">SUM(EC149:EF149)</f>
        <v>0</v>
      </c>
      <c r="EH149" s="67"/>
      <c r="EI149" s="71"/>
      <c r="EJ149" s="31"/>
    </row>
    <row r="150" spans="1:140" ht="11.25" customHeight="1" x14ac:dyDescent="0.2">
      <c r="A150" s="51" t="s">
        <v>16</v>
      </c>
      <c r="B150" s="19"/>
      <c r="C150" s="19"/>
      <c r="D150" s="19"/>
      <c r="E150" s="92"/>
      <c r="F150" s="67"/>
      <c r="G150" s="92">
        <v>0</v>
      </c>
      <c r="H150" s="71"/>
      <c r="I150" s="92">
        <v>0</v>
      </c>
      <c r="J150" s="71"/>
      <c r="K150" s="92">
        <v>0</v>
      </c>
      <c r="L150" s="67"/>
      <c r="M150" s="84">
        <v>0</v>
      </c>
      <c r="N150" s="71">
        <v>0</v>
      </c>
      <c r="O150" s="71">
        <v>0</v>
      </c>
      <c r="P150" s="71">
        <v>0</v>
      </c>
      <c r="Q150" s="92">
        <v>0</v>
      </c>
      <c r="R150" s="67"/>
      <c r="S150" s="84">
        <v>0</v>
      </c>
      <c r="T150" s="71">
        <v>0</v>
      </c>
      <c r="U150" s="71">
        <v>0</v>
      </c>
      <c r="V150" s="71">
        <v>0</v>
      </c>
      <c r="W150" s="92">
        <v>0</v>
      </c>
      <c r="X150" s="67"/>
      <c r="Y150" s="84">
        <v>0</v>
      </c>
      <c r="Z150" s="71">
        <v>0</v>
      </c>
      <c r="AA150" s="71">
        <v>0</v>
      </c>
      <c r="AB150" s="71">
        <v>0</v>
      </c>
      <c r="AC150" s="92">
        <v>0</v>
      </c>
      <c r="AD150" s="67"/>
      <c r="AE150" s="84">
        <v>0</v>
      </c>
      <c r="AF150" s="71">
        <v>0</v>
      </c>
      <c r="AG150" s="71">
        <v>0</v>
      </c>
      <c r="AH150" s="71">
        <v>0</v>
      </c>
      <c r="AI150" s="92">
        <v>0</v>
      </c>
      <c r="AJ150" s="67"/>
      <c r="AK150" s="84">
        <v>0</v>
      </c>
      <c r="AL150" s="71">
        <v>0</v>
      </c>
      <c r="AM150" s="71">
        <v>0</v>
      </c>
      <c r="AN150" s="71">
        <v>0</v>
      </c>
      <c r="AO150" s="92">
        <v>0</v>
      </c>
      <c r="AP150" s="67"/>
      <c r="AQ150" s="84">
        <v>0</v>
      </c>
      <c r="AR150" s="71">
        <v>0</v>
      </c>
      <c r="AS150" s="71">
        <v>0</v>
      </c>
      <c r="AT150" s="71">
        <v>0</v>
      </c>
      <c r="AU150" s="92">
        <v>0</v>
      </c>
      <c r="AV150" s="67"/>
      <c r="AW150" s="84">
        <v>0</v>
      </c>
      <c r="AX150" s="71">
        <v>0</v>
      </c>
      <c r="AY150" s="71">
        <v>0</v>
      </c>
      <c r="AZ150" s="71">
        <v>0</v>
      </c>
      <c r="BA150" s="92">
        <v>0</v>
      </c>
      <c r="BB150" s="67"/>
      <c r="BC150" s="84">
        <v>0</v>
      </c>
      <c r="BD150" s="71">
        <v>0</v>
      </c>
      <c r="BE150" s="71">
        <v>0</v>
      </c>
      <c r="BF150" s="71">
        <v>0</v>
      </c>
      <c r="BG150" s="92">
        <v>0</v>
      </c>
      <c r="BH150" s="67"/>
      <c r="BI150" s="84">
        <v>0</v>
      </c>
      <c r="BJ150" s="71">
        <v>0</v>
      </c>
      <c r="BK150" s="71">
        <v>0</v>
      </c>
      <c r="BL150" s="71">
        <v>0</v>
      </c>
      <c r="BM150" s="92">
        <v>0</v>
      </c>
      <c r="BN150" s="67"/>
      <c r="BO150" s="84">
        <v>0</v>
      </c>
      <c r="BP150" s="71">
        <v>0</v>
      </c>
      <c r="BQ150" s="71">
        <v>0</v>
      </c>
      <c r="BR150" s="71">
        <v>0</v>
      </c>
      <c r="BS150" s="92">
        <v>0</v>
      </c>
      <c r="BT150" s="67"/>
      <c r="BU150" s="84">
        <v>0</v>
      </c>
      <c r="BV150" s="71">
        <v>0</v>
      </c>
      <c r="BW150" s="71">
        <v>0</v>
      </c>
      <c r="BX150" s="71">
        <v>0</v>
      </c>
      <c r="BY150" s="93">
        <f>SUM(BU150:BX150)</f>
        <v>0</v>
      </c>
      <c r="BZ150" s="67"/>
      <c r="CA150" s="84">
        <v>0</v>
      </c>
      <c r="CB150" s="71">
        <v>0</v>
      </c>
      <c r="CC150" s="71">
        <v>0</v>
      </c>
      <c r="CD150" s="71">
        <v>0</v>
      </c>
      <c r="CE150" s="93">
        <f>SUM(CA150:CD150)</f>
        <v>0</v>
      </c>
      <c r="CF150" s="67"/>
      <c r="CG150" s="84">
        <v>0</v>
      </c>
      <c r="CH150" s="71">
        <v>0</v>
      </c>
      <c r="CI150" s="71">
        <v>0</v>
      </c>
      <c r="CJ150" s="71">
        <v>0</v>
      </c>
      <c r="CK150" s="93">
        <f>SUM(CG150:CJ150)</f>
        <v>0</v>
      </c>
      <c r="CL150" s="67"/>
      <c r="CM150" s="84">
        <v>0</v>
      </c>
      <c r="CN150" s="71">
        <v>0</v>
      </c>
      <c r="CO150" s="71">
        <v>0</v>
      </c>
      <c r="CP150" s="71">
        <v>0</v>
      </c>
      <c r="CQ150" s="93">
        <f>SUM(CM150:CP150)</f>
        <v>0</v>
      </c>
      <c r="CR150" s="67"/>
      <c r="CS150" s="84">
        <v>0</v>
      </c>
      <c r="CT150" s="71">
        <v>0</v>
      </c>
      <c r="CU150" s="71">
        <v>0</v>
      </c>
      <c r="CV150" s="71">
        <v>0</v>
      </c>
      <c r="CW150" s="93">
        <f>SUM(CS150:CV150)</f>
        <v>0</v>
      </c>
      <c r="CX150" s="67"/>
      <c r="CY150" s="84">
        <v>0</v>
      </c>
      <c r="CZ150" s="71">
        <v>0</v>
      </c>
      <c r="DA150" s="71">
        <v>0</v>
      </c>
      <c r="DB150" s="71">
        <v>0</v>
      </c>
      <c r="DC150" s="93">
        <f>SUM(CY150:DB150)</f>
        <v>0</v>
      </c>
      <c r="DD150" s="67"/>
      <c r="DE150" s="84">
        <v>0</v>
      </c>
      <c r="DF150" s="71">
        <v>0</v>
      </c>
      <c r="DG150" s="71">
        <v>0</v>
      </c>
      <c r="DH150" s="71">
        <v>0</v>
      </c>
      <c r="DI150" s="93">
        <f>SUM(DE150:DH150)</f>
        <v>0</v>
      </c>
      <c r="DJ150" s="67"/>
      <c r="DK150" s="81">
        <v>0</v>
      </c>
      <c r="DL150" s="69">
        <v>0</v>
      </c>
      <c r="DM150" s="69">
        <v>0</v>
      </c>
      <c r="DN150" s="69">
        <v>0</v>
      </c>
      <c r="DO150" s="93">
        <f>SUM(DK150:DN150)</f>
        <v>0</v>
      </c>
      <c r="DP150" s="67"/>
      <c r="DQ150" s="81">
        <v>0</v>
      </c>
      <c r="DR150" s="69">
        <v>0</v>
      </c>
      <c r="DS150" s="69">
        <v>0</v>
      </c>
      <c r="DT150" s="69">
        <v>0</v>
      </c>
      <c r="DU150" s="93">
        <f>SUM(DQ150:DT150)</f>
        <v>0</v>
      </c>
      <c r="DV150" s="67"/>
      <c r="DW150" s="81">
        <v>0</v>
      </c>
      <c r="DX150" s="69">
        <v>0</v>
      </c>
      <c r="DY150" s="69">
        <v>0</v>
      </c>
      <c r="DZ150" s="69">
        <v>0</v>
      </c>
      <c r="EA150" s="93">
        <f>SUM(DW150:DZ150)</f>
        <v>0</v>
      </c>
      <c r="EB150" s="67"/>
      <c r="EC150" s="81">
        <v>0</v>
      </c>
      <c r="ED150" s="69">
        <v>0</v>
      </c>
      <c r="EE150" s="69">
        <v>0</v>
      </c>
      <c r="EF150" s="69">
        <v>0</v>
      </c>
      <c r="EG150" s="93">
        <f t="shared" si="764"/>
        <v>0</v>
      </c>
      <c r="EH150" s="67"/>
      <c r="EI150" s="71"/>
      <c r="EJ150" s="31"/>
    </row>
    <row r="151" spans="1:140" ht="11.25" customHeight="1" x14ac:dyDescent="0.2">
      <c r="A151" s="50" t="s">
        <v>528</v>
      </c>
      <c r="B151" s="19"/>
      <c r="C151" s="19"/>
      <c r="D151" s="19"/>
      <c r="E151" s="93"/>
      <c r="F151" s="67"/>
      <c r="G151" s="93">
        <f>G154+G153</f>
        <v>619.72500000000002</v>
      </c>
      <c r="H151" s="67"/>
      <c r="I151" s="93">
        <f>I154+I153</f>
        <v>589.34</v>
      </c>
      <c r="J151" s="67"/>
      <c r="K151" s="93">
        <f>K154+K153</f>
        <v>720.25199999999995</v>
      </c>
      <c r="L151" s="67"/>
      <c r="M151" s="82">
        <f>M154+M153</f>
        <v>585.70299999999997</v>
      </c>
      <c r="N151" s="67">
        <f>N154+N153</f>
        <v>580.43299999999999</v>
      </c>
      <c r="O151" s="67">
        <f>O154+O153</f>
        <v>572.32799999999997</v>
      </c>
      <c r="P151" s="67">
        <f>P154+P153</f>
        <v>569.50800000000004</v>
      </c>
      <c r="Q151" s="93">
        <f>Q154+Q153</f>
        <v>675.96199999999999</v>
      </c>
      <c r="R151" s="67"/>
      <c r="S151" s="82">
        <f>S154+S153</f>
        <v>625.97500000000002</v>
      </c>
      <c r="T151" s="67">
        <f>T154+T153</f>
        <v>597.97199999999998</v>
      </c>
      <c r="U151" s="67">
        <f>U154+U153</f>
        <v>582.40699999999993</v>
      </c>
      <c r="V151" s="67">
        <f>V154+V153</f>
        <v>616.23500000000001</v>
      </c>
      <c r="W151" s="93">
        <f>W154+W153</f>
        <v>690.94399999999996</v>
      </c>
      <c r="X151" s="67"/>
      <c r="Y151" s="82">
        <f>Y154+Y153</f>
        <v>621.59499999999991</v>
      </c>
      <c r="Z151" s="67">
        <f>Z154+Z153</f>
        <v>604.15300000000002</v>
      </c>
      <c r="AA151" s="67">
        <f>AA154+AA153</f>
        <v>594.88700000000006</v>
      </c>
      <c r="AB151" s="67">
        <f>AB154+AB153</f>
        <v>592.02</v>
      </c>
      <c r="AC151" s="93">
        <f>AC154+AC153</f>
        <v>670.80100000000004</v>
      </c>
      <c r="AD151" s="67"/>
      <c r="AE151" s="82">
        <f>AE154+AE153</f>
        <v>668.53300000000002</v>
      </c>
      <c r="AF151" s="67">
        <f>AF154+AF153</f>
        <v>757.90899999999999</v>
      </c>
      <c r="AG151" s="67">
        <f>AG154+AG153</f>
        <v>747.88099999999997</v>
      </c>
      <c r="AH151" s="67">
        <f>AH154+AH153</f>
        <v>779.35599999999999</v>
      </c>
      <c r="AI151" s="93">
        <f>AI154+AI153</f>
        <v>873.09400000000005</v>
      </c>
      <c r="AJ151" s="67"/>
      <c r="AK151" s="82">
        <f>AK154+AK153</f>
        <v>769.18799999999999</v>
      </c>
      <c r="AL151" s="67">
        <f>AL154+AL153</f>
        <v>743.23700000000008</v>
      </c>
      <c r="AM151" s="67">
        <f>AM154+AM153</f>
        <v>772.92100000000005</v>
      </c>
      <c r="AN151" s="67">
        <f>AN154+AN153</f>
        <v>779.01699999999994</v>
      </c>
      <c r="AO151" s="93">
        <f>AO154+AO153</f>
        <v>889.14400000000001</v>
      </c>
      <c r="AP151" s="67"/>
      <c r="AQ151" s="82">
        <f>AQ154+AQ153</f>
        <v>786.63099999999997</v>
      </c>
      <c r="AR151" s="67">
        <f>AR154+AR153</f>
        <v>893.35199999999998</v>
      </c>
      <c r="AS151" s="67">
        <f>AS154+AS153</f>
        <v>885.50099999999998</v>
      </c>
      <c r="AT151" s="67">
        <f>AT154+AT153</f>
        <v>915.82300000000009</v>
      </c>
      <c r="AU151" s="93">
        <f>+SUM(AU146:AU147,AU149:AU150)</f>
        <v>1025.8920000000001</v>
      </c>
      <c r="AV151" s="67"/>
      <c r="AW151" s="82">
        <f>AW154+AW153</f>
        <v>930.47299999999996</v>
      </c>
      <c r="AX151" s="67">
        <f>AX154+AX153</f>
        <v>930.76299999999992</v>
      </c>
      <c r="AY151" s="67">
        <f>AY154+AY153</f>
        <v>944.154</v>
      </c>
      <c r="AZ151" s="67">
        <f>AZ154+AZ153</f>
        <v>1156.0140000000001</v>
      </c>
      <c r="BA151" s="93">
        <f>+SUM(BA146:BA147,BA149:BA150)</f>
        <v>1282.576</v>
      </c>
      <c r="BB151" s="67"/>
      <c r="BC151" s="82">
        <f>BC154+BC153</f>
        <v>1177.8149999999998</v>
      </c>
      <c r="BD151" s="67">
        <f>BD154+BD153</f>
        <v>1179.5819999999999</v>
      </c>
      <c r="BE151" s="67">
        <f>BE154+BE153</f>
        <v>1153.662</v>
      </c>
      <c r="BF151" s="67">
        <f>BF154+BF153</f>
        <v>1157.5260000000001</v>
      </c>
      <c r="BG151" s="93">
        <f>+SUM(BG146:BG147,BG149:BG150)</f>
        <v>1302.6499999999996</v>
      </c>
      <c r="BH151" s="67"/>
      <c r="BI151" s="82">
        <f>BI154+BI153</f>
        <v>1123.0830000000001</v>
      </c>
      <c r="BJ151" s="67">
        <f>BJ154+BJ153</f>
        <v>1142.9870000000001</v>
      </c>
      <c r="BK151" s="67">
        <f>BK154+BK153</f>
        <v>1144.2729999999999</v>
      </c>
      <c r="BL151" s="67">
        <f>BL154+BL153</f>
        <v>1189.3489999999999</v>
      </c>
      <c r="BM151" s="93">
        <f>+SUM(BM146:BM147,BM149:BM150)</f>
        <v>1327.855</v>
      </c>
      <c r="BN151" s="67"/>
      <c r="BO151" s="82">
        <f>BO154+BO153</f>
        <v>1226.011</v>
      </c>
      <c r="BP151" s="67">
        <f>BP154+BP153</f>
        <v>1212.7820000000002</v>
      </c>
      <c r="BQ151" s="67">
        <f>BQ154+BQ153</f>
        <v>1198.951</v>
      </c>
      <c r="BR151" s="67">
        <f>BR154+BR153</f>
        <v>1239.5970000000002</v>
      </c>
      <c r="BS151" s="93">
        <f>+SUM(BS146:BS147,BS149:BS150)</f>
        <v>1381.4810000000002</v>
      </c>
      <c r="BT151" s="67"/>
      <c r="BU151" s="82">
        <f>BU154+BU153</f>
        <v>1226.2460000000001</v>
      </c>
      <c r="BV151" s="67">
        <f>BV154+BV153</f>
        <v>2282.5129999999999</v>
      </c>
      <c r="BW151" s="67">
        <f>BW154+BW153</f>
        <v>2275.6310000000003</v>
      </c>
      <c r="BX151" s="67">
        <f>BX154+BX153</f>
        <v>2222.4739999999997</v>
      </c>
      <c r="BY151" s="93">
        <f>+SUM(BY146:BY147,BY149:BY150)</f>
        <v>2451.9899999999998</v>
      </c>
      <c r="BZ151" s="67"/>
      <c r="CA151" s="82">
        <f>CA154+CA153</f>
        <v>2225.819</v>
      </c>
      <c r="CB151" s="67">
        <f>CB154+CB153</f>
        <v>2189.2220000000002</v>
      </c>
      <c r="CC151" s="67">
        <f>CC154+CC153</f>
        <v>2186.6260000000002</v>
      </c>
      <c r="CD151" s="67">
        <f>CD154+CD153</f>
        <v>2270.2470000000003</v>
      </c>
      <c r="CE151" s="93">
        <f>+SUM(CE146:CE147,CE149:CE150)</f>
        <v>2638.7000000000003</v>
      </c>
      <c r="CF151" s="67"/>
      <c r="CG151" s="82">
        <f>CG154+CG153</f>
        <v>2237.4</v>
      </c>
      <c r="CH151" s="67">
        <f>CH154+CH153</f>
        <v>2278.4</v>
      </c>
      <c r="CI151" s="67">
        <f>CI154+CI153</f>
        <v>2312.6</v>
      </c>
      <c r="CJ151" s="67">
        <f>CJ154+CJ153</f>
        <v>2350.8000000000002</v>
      </c>
      <c r="CK151" s="93">
        <f>+SUM(CK146:CK147,CK149:CK150)</f>
        <v>2741.2000000000003</v>
      </c>
      <c r="CL151" s="67"/>
      <c r="CM151" s="82">
        <f>CM154+CM153</f>
        <v>2314.7999999999997</v>
      </c>
      <c r="CN151" s="67">
        <f>CN154+CN153</f>
        <v>2372.5</v>
      </c>
      <c r="CO151" s="67">
        <f>CO154+CO153</f>
        <v>2267.7999999999997</v>
      </c>
      <c r="CP151" s="67">
        <f>CP154+CP153</f>
        <v>2329.8000000000002</v>
      </c>
      <c r="CQ151" s="93">
        <f>+SUM(CQ146:CQ147,CQ149:CQ150)</f>
        <v>2708.6</v>
      </c>
      <c r="CR151" s="67"/>
      <c r="CS151" s="82">
        <f>CS154+CS153</f>
        <v>2262.5</v>
      </c>
      <c r="CT151" s="67">
        <f>CT154+CT153</f>
        <v>2291.2000000000003</v>
      </c>
      <c r="CU151" s="67">
        <f>CU154+CU153</f>
        <v>2823.7</v>
      </c>
      <c r="CV151" s="67">
        <f>CV154+CV153</f>
        <v>2417.1</v>
      </c>
      <c r="CW151" s="93">
        <f>+SUM(CW146:CW147,CW149:CW150)</f>
        <v>2705.7000000000003</v>
      </c>
      <c r="CX151" s="67"/>
      <c r="CY151" s="82">
        <f>CY154+CY153</f>
        <v>3052.6</v>
      </c>
      <c r="CZ151" s="67">
        <f>CZ154+CZ153</f>
        <v>2965.6000000000004</v>
      </c>
      <c r="DA151" s="67">
        <f>DA154+DA153</f>
        <v>2290.1</v>
      </c>
      <c r="DB151" s="67">
        <f>DB154+DB153</f>
        <v>2503.1</v>
      </c>
      <c r="DC151" s="93">
        <f>+SUM(DC146:DC147,DC149:DC150)</f>
        <v>2898.9999999999995</v>
      </c>
      <c r="DD151" s="67"/>
      <c r="DE151" s="82">
        <f>DE154+DE153</f>
        <v>2548.1999999999998</v>
      </c>
      <c r="DF151" s="67">
        <f>DF154+DF153</f>
        <v>2565.7000000000003</v>
      </c>
      <c r="DG151" s="67">
        <f>DG154+DG153</f>
        <v>2569.8000000000002</v>
      </c>
      <c r="DH151" s="67">
        <f>DH154+DH153</f>
        <v>2605.1</v>
      </c>
      <c r="DI151" s="93">
        <f>+SUM(DI146:DI147,DI149:DI150)</f>
        <v>3032.3999999999996</v>
      </c>
      <c r="DJ151" s="67"/>
      <c r="DK151" s="82">
        <f t="shared" ref="DK151:DO151" si="765">+SUM(DK146:DK147,DK149:DK150)</f>
        <v>2604.8527999999997</v>
      </c>
      <c r="DL151" s="67">
        <f t="shared" si="765"/>
        <v>2612.8399239999999</v>
      </c>
      <c r="DM151" s="67">
        <f t="shared" si="765"/>
        <v>2617.8196443699999</v>
      </c>
      <c r="DN151" s="67">
        <f t="shared" si="765"/>
        <v>2641.3206628187245</v>
      </c>
      <c r="DO151" s="93">
        <f t="shared" si="765"/>
        <v>3091.8626239999994</v>
      </c>
      <c r="DP151" s="67"/>
      <c r="DQ151" s="82">
        <f t="shared" ref="DQ151" si="766">+SUM(DQ146:DQ147,DQ149:DQ150)</f>
        <v>2646.6823647066476</v>
      </c>
      <c r="DR151" s="67">
        <f t="shared" ref="DR151" si="767">+SUM(DR146:DR147,DR149:DR150)</f>
        <v>2659.8883661760151</v>
      </c>
      <c r="DS151" s="67">
        <f t="shared" ref="DS151" si="768">+SUM(DS146:DS147,DS149:DS150)</f>
        <v>2668.2609636808943</v>
      </c>
      <c r="DT151" s="67">
        <f t="shared" ref="DT151" si="769">+SUM(DT146:DT147,DT149:DT150)</f>
        <v>2695.6643145892431</v>
      </c>
      <c r="DU151" s="93">
        <f t="shared" ref="DU151" si="770">+SUM(DU146:DU147,DU149:DU150)</f>
        <v>3154.2171370266478</v>
      </c>
      <c r="DV151" s="67"/>
      <c r="DW151" s="82">
        <f t="shared" ref="DW151:EA151" si="771">+SUM(DW146:DW147,DW149:DW150)</f>
        <v>2704.6291624603618</v>
      </c>
      <c r="DX151" s="67">
        <f t="shared" si="771"/>
        <v>2721.5803155340909</v>
      </c>
      <c r="DY151" s="67">
        <f t="shared" si="771"/>
        <v>2733.3100479396808</v>
      </c>
      <c r="DZ151" s="67">
        <f t="shared" si="771"/>
        <v>2764.7014290895495</v>
      </c>
      <c r="EA151" s="93">
        <f t="shared" si="771"/>
        <v>3233.8738018307622</v>
      </c>
      <c r="EB151" s="67"/>
      <c r="EC151" s="82">
        <f t="shared" ref="EC151:EG151" si="772">+SUM(EC146:EC147,EC149:EC150)</f>
        <v>2776.7191499459004</v>
      </c>
      <c r="ED151" s="67">
        <f t="shared" si="772"/>
        <v>2796.912253580515</v>
      </c>
      <c r="EE151" s="67">
        <f t="shared" si="772"/>
        <v>2811.5173005627153</v>
      </c>
      <c r="EF151" s="67">
        <f t="shared" si="772"/>
        <v>2846.4782477656754</v>
      </c>
      <c r="EG151" s="93">
        <f t="shared" si="772"/>
        <v>3328.6242982508002</v>
      </c>
      <c r="EH151" s="67"/>
      <c r="EI151" s="71"/>
      <c r="EJ151" s="31"/>
    </row>
    <row r="152" spans="1:140" ht="11.25" customHeight="1" x14ac:dyDescent="0.2">
      <c r="A152" s="51" t="s">
        <v>109</v>
      </c>
      <c r="B152" s="19"/>
      <c r="C152" s="19"/>
      <c r="D152" s="19"/>
      <c r="E152" s="158"/>
      <c r="F152" s="67"/>
      <c r="G152" s="158">
        <f>G153/G151</f>
        <v>0.17673484206704587</v>
      </c>
      <c r="H152" s="67"/>
      <c r="I152" s="158">
        <f>I153/I151</f>
        <v>0.15127261003834797</v>
      </c>
      <c r="J152" s="67"/>
      <c r="K152" s="158">
        <f>K153/K151</f>
        <v>0.20093106301683303</v>
      </c>
      <c r="L152" s="67"/>
      <c r="M152" s="149">
        <f>(M153*4)/M151</f>
        <v>0.24675987659274409</v>
      </c>
      <c r="N152" s="22">
        <f t="shared" ref="N152" si="773">(N153*4)/N151</f>
        <v>0.24109587153039203</v>
      </c>
      <c r="O152" s="22">
        <f t="shared" ref="O152" si="774">(O153*4)/O151</f>
        <v>0.24697026879691364</v>
      </c>
      <c r="P152" s="22">
        <f t="shared" ref="P152" si="775">(P153*4)/P151</f>
        <v>0.25240031746700642</v>
      </c>
      <c r="Q152" s="158">
        <f>Q153/Q151</f>
        <v>0.21064793583071237</v>
      </c>
      <c r="R152" s="67"/>
      <c r="S152" s="149">
        <f>(S153*4)/S151</f>
        <v>0.16145692719357804</v>
      </c>
      <c r="T152" s="22">
        <f t="shared" ref="T152" si="776">(T153*4)/T151</f>
        <v>0.17002133879178286</v>
      </c>
      <c r="U152" s="22">
        <f t="shared" ref="U152" si="777">(U153*4)/U151</f>
        <v>0.16500488490007859</v>
      </c>
      <c r="V152" s="22">
        <f t="shared" ref="V152" si="778">(V153*4)/V151</f>
        <v>0.12239486559510572</v>
      </c>
      <c r="W152" s="158">
        <f>W153/W151</f>
        <v>0.13541618423490182</v>
      </c>
      <c r="X152" s="67"/>
      <c r="Y152" s="149">
        <f>(Y153*4)/Y151</f>
        <v>0.17994353236432084</v>
      </c>
      <c r="Z152" s="22">
        <f t="shared" ref="Z152" si="779">(Z153*4)/Z151</f>
        <v>0.17647847482343043</v>
      </c>
      <c r="AA152" s="22">
        <f t="shared" ref="AA152" si="780">(AA153*4)/AA151</f>
        <v>0.16247119200789403</v>
      </c>
      <c r="AB152" s="22">
        <f t="shared" ref="AB152" si="781">(AB153*4)/AB151</f>
        <v>0.12604303908651737</v>
      </c>
      <c r="AC152" s="158">
        <f>AC153/AC151</f>
        <v>0.1452532122045137</v>
      </c>
      <c r="AD152" s="67"/>
      <c r="AE152" s="149">
        <f>(AE153*4)/AE151</f>
        <v>0.18194464596362483</v>
      </c>
      <c r="AF152" s="22">
        <f t="shared" ref="AF152" si="782">(AF153*4)/AF151</f>
        <v>0.16228861248514007</v>
      </c>
      <c r="AG152" s="22">
        <f t="shared" ref="AG152" si="783">(AG153*4)/AG151</f>
        <v>0.1742469724461512</v>
      </c>
      <c r="AH152" s="22">
        <f t="shared" ref="AH152" si="784">(AH153*4)/AH151</f>
        <v>0.13544516241614865</v>
      </c>
      <c r="AI152" s="158">
        <f>AI153/AI151</f>
        <v>0.13758885068503504</v>
      </c>
      <c r="AJ152" s="67"/>
      <c r="AK152" s="149">
        <f>(AK153*4)/AK151</f>
        <v>0.19883305511786456</v>
      </c>
      <c r="AL152" s="22">
        <f t="shared" ref="AL152" si="785">(AL153*4)/AL151</f>
        <v>0.1985530860277408</v>
      </c>
      <c r="AM152" s="22">
        <f t="shared" ref="AM152" si="786">(AM153*4)/AM151</f>
        <v>0.18112588479288314</v>
      </c>
      <c r="AN152" s="22">
        <f t="shared" ref="AN152" si="787">(AN153*4)/AN151</f>
        <v>0.1583790854371597</v>
      </c>
      <c r="AO152" s="158">
        <f>AO153/AO151</f>
        <v>0.15854799672493991</v>
      </c>
      <c r="AP152" s="67"/>
      <c r="AQ152" s="149">
        <f>(AQ153*4)/AQ151</f>
        <v>0.17030094161048828</v>
      </c>
      <c r="AR152" s="22">
        <f t="shared" ref="AR152" si="788">(AR153*4)/AR151</f>
        <v>0.16801439969911078</v>
      </c>
      <c r="AS152" s="22">
        <f t="shared" ref="AS152" si="789">(AS153*4)/AS151</f>
        <v>0.17641538518872368</v>
      </c>
      <c r="AT152" s="22">
        <f t="shared" ref="AT152" si="790">(AT153*4)/AT151</f>
        <v>0.1810611875875579</v>
      </c>
      <c r="AU152" s="158">
        <f>AU153/AU151</f>
        <v>0.14769975786924938</v>
      </c>
      <c r="AV152" s="67"/>
      <c r="AW152" s="149">
        <f>(AW153*4)/AW151</f>
        <v>0.17954309259914045</v>
      </c>
      <c r="AX152" s="22">
        <f t="shared" ref="AX152" si="791">(AX153*4)/AX151</f>
        <v>0.18502669315389633</v>
      </c>
      <c r="AY152" s="22">
        <f t="shared" ref="AY152" si="792">(AY153*4)/AY151</f>
        <v>0.17684826839689285</v>
      </c>
      <c r="AZ152" s="22">
        <f t="shared" ref="AZ152" si="793">(AZ153*4)/AZ151</f>
        <v>0.16394265121356674</v>
      </c>
      <c r="BA152" s="158">
        <f>BA153/BA151</f>
        <v>0.13561925375182449</v>
      </c>
      <c r="BB152" s="67"/>
      <c r="BC152" s="149">
        <f>(BC153*4)/BC151</f>
        <v>0.17007764377257889</v>
      </c>
      <c r="BD152" s="22">
        <f t="shared" ref="BD152" si="794">(BD153*4)/BD151</f>
        <v>0.16173525876115444</v>
      </c>
      <c r="BE152" s="22">
        <f t="shared" ref="BE152" si="795">(BE153*4)/BE151</f>
        <v>0.16416940143646919</v>
      </c>
      <c r="BF152" s="22">
        <f t="shared" ref="BF152" si="796">(BF153*4)/BF151</f>
        <v>0.1688877830821944</v>
      </c>
      <c r="BG152" s="158">
        <f>BG153/BG151</f>
        <v>0.14892488389053091</v>
      </c>
      <c r="BH152" s="67"/>
      <c r="BI152" s="149">
        <f>(BI153*4)/BI151</f>
        <v>0.16166570057600368</v>
      </c>
      <c r="BJ152" s="22">
        <f t="shared" ref="BJ152" si="797">(BJ153*4)/BJ151</f>
        <v>0.16191260268052038</v>
      </c>
      <c r="BK152" s="22">
        <f t="shared" ref="BK152" si="798">(BK153*4)/BK151</f>
        <v>0.16376861116184691</v>
      </c>
      <c r="BL152" s="22">
        <f t="shared" ref="BL152" si="799">(BL153*4)/BL151</f>
        <v>0.15476701960484271</v>
      </c>
      <c r="BM152" s="158">
        <f>BM153/BM151</f>
        <v>0.13896396820435966</v>
      </c>
      <c r="BN152" s="67"/>
      <c r="BO152" s="149">
        <f>(BO153*4)/BO151</f>
        <v>0.15307203605840403</v>
      </c>
      <c r="BP152" s="22">
        <f t="shared" ref="BP152" si="800">(BP153*4)/BP151</f>
        <v>0.16308619356157988</v>
      </c>
      <c r="BQ152" s="22">
        <f t="shared" ref="BQ152" si="801">(BQ153*4)/BQ151</f>
        <v>0.15186608960666442</v>
      </c>
      <c r="BR152" s="22">
        <f t="shared" ref="BR152" si="802">(BR153*4)/BR151</f>
        <v>0.15261088886146063</v>
      </c>
      <c r="BS152" s="158">
        <f>BS153/BS151</f>
        <v>0.13693854638608852</v>
      </c>
      <c r="BT152" s="67"/>
      <c r="BU152" s="149">
        <f>(BU153*4)/BU151</f>
        <v>0.15834669389339498</v>
      </c>
      <c r="BV152" s="22">
        <f t="shared" ref="BV152" si="803">(BV153*4)/BV151</f>
        <v>9.8827914671241732E-2</v>
      </c>
      <c r="BW152" s="22">
        <f t="shared" ref="BW152" si="804">(BW153*4)/BW151</f>
        <v>0.21897926333399392</v>
      </c>
      <c r="BX152" s="22">
        <f t="shared" ref="BX152" si="805">(BX153*4)/BX151</f>
        <v>0.21864642735978015</v>
      </c>
      <c r="BY152" s="158">
        <f>BY153/BY151</f>
        <v>0.14314903404989418</v>
      </c>
      <c r="BZ152" s="67"/>
      <c r="CA152" s="149">
        <f>(CA153*4)/CA151</f>
        <v>0.21746242619009004</v>
      </c>
      <c r="CB152" s="22">
        <f t="shared" ref="CB152" si="806">(CB153*4)/CB151</f>
        <v>0.22614609208202732</v>
      </c>
      <c r="CC152" s="22">
        <f t="shared" ref="CC152" si="807">(CC153*4)/CC151</f>
        <v>0.22623713428816811</v>
      </c>
      <c r="CD152" s="22">
        <f t="shared" ref="CD152" si="808">(CD153*4)/CD151</f>
        <v>0.22789943120726514</v>
      </c>
      <c r="CE152" s="158">
        <f>CE153/CE151</f>
        <v>0.18865350361920641</v>
      </c>
      <c r="CF152" s="67"/>
      <c r="CG152" s="149">
        <f>(CG153*4)/CG151</f>
        <v>0.22794314829713061</v>
      </c>
      <c r="CH152" s="22">
        <f t="shared" ref="CH152" si="809">(CH153*4)/CH151</f>
        <v>0.22735252808988762</v>
      </c>
      <c r="CI152" s="22">
        <f t="shared" ref="CI152" si="810">(CI153*4)/CI151</f>
        <v>0.23073596817434919</v>
      </c>
      <c r="CJ152" s="22">
        <f t="shared" ref="CJ152" si="811">(CJ153*4)/CJ151</f>
        <v>0.23736600306278713</v>
      </c>
      <c r="CK152" s="158">
        <f>CK153/CK151</f>
        <v>0.19330949948927476</v>
      </c>
      <c r="CL152" s="67"/>
      <c r="CM152" s="149">
        <f>(CM153*4)/CM151</f>
        <v>0.22844306203559703</v>
      </c>
      <c r="CN152" s="22">
        <f t="shared" ref="CN152" si="812">(CN153*4)/CN151</f>
        <v>0.23671232876712334</v>
      </c>
      <c r="CO152" s="22">
        <f t="shared" ref="CO152" si="813">(CO153*4)/CO151</f>
        <v>0.18731810565305582</v>
      </c>
      <c r="CP152" s="22">
        <f t="shared" ref="CP152" si="814">(CP153*4)/CP151</f>
        <v>0.21770109022233669</v>
      </c>
      <c r="CQ152" s="158">
        <f>CQ153/CQ151</f>
        <v>0.18666469762977186</v>
      </c>
      <c r="CR152" s="67"/>
      <c r="CS152" s="149">
        <f>(CS153*4)/CS151</f>
        <v>0.22382320441988948</v>
      </c>
      <c r="CT152" s="22">
        <f t="shared" ref="CT152" si="815">(CT153*4)/CT151</f>
        <v>0.22678072625698323</v>
      </c>
      <c r="CU152" s="22">
        <f t="shared" ref="CU152" si="816">(CU153*4)/CU151</f>
        <v>4.5472252718064904E-2</v>
      </c>
      <c r="CV152" s="22">
        <f t="shared" ref="CV152" si="817">(CV153*4)/CV151</f>
        <v>0.18931777750196532</v>
      </c>
      <c r="CW152" s="158">
        <f>CW153/CW151</f>
        <v>0.14894482019440436</v>
      </c>
      <c r="CX152" s="67"/>
      <c r="CY152" s="149">
        <f>(CY153*4)/CY151</f>
        <v>0.23599554478149778</v>
      </c>
      <c r="CZ152" s="22">
        <f t="shared" ref="CZ152:DB152" si="818">(CZ153*4)/CZ151</f>
        <v>0.24386296196385207</v>
      </c>
      <c r="DA152" s="22">
        <f t="shared" si="818"/>
        <v>6.1132701628749841E-2</v>
      </c>
      <c r="DB152" s="22">
        <f t="shared" si="818"/>
        <v>0.23826455195557514</v>
      </c>
      <c r="DC152" s="158">
        <f>DC153/DC151</f>
        <v>0.18799586064160054</v>
      </c>
      <c r="DD152" s="67"/>
      <c r="DE152" s="149">
        <f>(DE153*4)/DE151</f>
        <v>0.21897810218978109</v>
      </c>
      <c r="DF152" s="22">
        <f t="shared" ref="DF152" si="819">(DF153*4)/DF151</f>
        <v>0.22278520481739866</v>
      </c>
      <c r="DG152" s="22">
        <f t="shared" ref="DG152:DH152" si="820">(DG153*4)/DG151</f>
        <v>0.22554284380107401</v>
      </c>
      <c r="DH152" s="22">
        <f t="shared" si="820"/>
        <v>0.23108517907182058</v>
      </c>
      <c r="DI152" s="158">
        <f>DI153/DI151</f>
        <v>0.19054214483577364</v>
      </c>
      <c r="DJ152" s="67"/>
      <c r="DK152" s="365">
        <v>0.23</v>
      </c>
      <c r="DL152" s="341">
        <f>+DK152</f>
        <v>0.23</v>
      </c>
      <c r="DM152" s="341">
        <f>+DL152</f>
        <v>0.23</v>
      </c>
      <c r="DN152" s="341">
        <f>+DM152</f>
        <v>0.23</v>
      </c>
      <c r="DO152" s="158">
        <f>DO153/DO151</f>
        <v>0.19483980129556744</v>
      </c>
      <c r="DP152" s="67"/>
      <c r="DQ152" s="365">
        <f>+DN152</f>
        <v>0.23</v>
      </c>
      <c r="DR152" s="341">
        <f>+DQ152</f>
        <v>0.23</v>
      </c>
      <c r="DS152" s="341">
        <f>+DR152</f>
        <v>0.23</v>
      </c>
      <c r="DT152" s="341">
        <f>+DS152</f>
        <v>0.23</v>
      </c>
      <c r="DU152" s="158">
        <f>DU153/DU151</f>
        <v>0.19451847918899393</v>
      </c>
      <c r="DV152" s="67"/>
      <c r="DW152" s="365">
        <f>+DT152</f>
        <v>0.23</v>
      </c>
      <c r="DX152" s="341">
        <f>+DW152</f>
        <v>0.23</v>
      </c>
      <c r="DY152" s="341">
        <f>+DX152</f>
        <v>0.23</v>
      </c>
      <c r="DZ152" s="341">
        <f>+DY152</f>
        <v>0.23</v>
      </c>
      <c r="EA152" s="158">
        <f>EA153/EA151</f>
        <v>0.19423847169245051</v>
      </c>
      <c r="EB152" s="67"/>
      <c r="EC152" s="365">
        <f t="shared" ref="EC152" si="821">+DZ152</f>
        <v>0.23</v>
      </c>
      <c r="ED152" s="341">
        <f t="shared" ref="ED152:EF152" si="822">+EC152</f>
        <v>0.23</v>
      </c>
      <c r="EE152" s="341">
        <f t="shared" si="822"/>
        <v>0.23</v>
      </c>
      <c r="EF152" s="341">
        <f t="shared" si="822"/>
        <v>0.23</v>
      </c>
      <c r="EG152" s="158">
        <f t="shared" ref="EG152" si="823">EG153/EG151</f>
        <v>0.19401965853311548</v>
      </c>
      <c r="EH152" s="22"/>
      <c r="EI152" s="193"/>
      <c r="EJ152" s="32"/>
    </row>
    <row r="153" spans="1:140" ht="11.25" customHeight="1" x14ac:dyDescent="0.2">
      <c r="A153" s="50" t="s">
        <v>114</v>
      </c>
      <c r="B153" s="19"/>
      <c r="C153" s="19"/>
      <c r="D153" s="19"/>
      <c r="E153" s="93"/>
      <c r="F153" s="67"/>
      <c r="G153" s="93">
        <v>109.527</v>
      </c>
      <c r="H153" s="67"/>
      <c r="I153" s="93">
        <v>89.150999999999996</v>
      </c>
      <c r="J153" s="67"/>
      <c r="K153" s="93">
        <v>144.721</v>
      </c>
      <c r="L153" s="67"/>
      <c r="M153" s="82">
        <v>36.131999999999998</v>
      </c>
      <c r="N153" s="67">
        <v>34.985000000000007</v>
      </c>
      <c r="O153" s="67">
        <v>35.336999999999996</v>
      </c>
      <c r="P153" s="67">
        <v>35.935999999999979</v>
      </c>
      <c r="Q153" s="93">
        <v>142.38999999999999</v>
      </c>
      <c r="R153" s="67"/>
      <c r="S153" s="82">
        <v>25.267000000000003</v>
      </c>
      <c r="T153" s="67">
        <v>25.416999999999994</v>
      </c>
      <c r="U153" s="67">
        <v>24.025000000000013</v>
      </c>
      <c r="V153" s="67">
        <v>18.855999999999995</v>
      </c>
      <c r="W153" s="93">
        <v>93.564999999999998</v>
      </c>
      <c r="X153" s="67"/>
      <c r="Y153" s="82">
        <v>27.963000000000001</v>
      </c>
      <c r="Z153" s="67">
        <v>26.654999999999994</v>
      </c>
      <c r="AA153" s="67">
        <v>24.163000000000018</v>
      </c>
      <c r="AB153" s="67">
        <v>18.655000000000001</v>
      </c>
      <c r="AC153" s="93">
        <v>97.436000000000007</v>
      </c>
      <c r="AD153" s="67"/>
      <c r="AE153" s="82">
        <v>30.408999999999999</v>
      </c>
      <c r="AF153" s="67">
        <v>30.750000000000007</v>
      </c>
      <c r="AG153" s="67">
        <v>32.579000000000001</v>
      </c>
      <c r="AH153" s="67">
        <v>26.389999999999986</v>
      </c>
      <c r="AI153" s="93">
        <v>120.12799999999999</v>
      </c>
      <c r="AJ153" s="67"/>
      <c r="AK153" s="82">
        <v>38.234999999999999</v>
      </c>
      <c r="AL153" s="67">
        <v>36.893000000000001</v>
      </c>
      <c r="AM153" s="67">
        <v>34.999000000000009</v>
      </c>
      <c r="AN153" s="67">
        <v>30.844999999999956</v>
      </c>
      <c r="AO153" s="93">
        <v>140.97199999999998</v>
      </c>
      <c r="AP153" s="67"/>
      <c r="AQ153" s="82">
        <v>33.491</v>
      </c>
      <c r="AR153" s="67">
        <v>37.524000000000001</v>
      </c>
      <c r="AS153" s="67">
        <v>39.054000000000002</v>
      </c>
      <c r="AT153" s="67">
        <v>41.455000000000013</v>
      </c>
      <c r="AU153" s="93">
        <f>SUM(AQ153:AT153)</f>
        <v>151.524</v>
      </c>
      <c r="AV153" s="67"/>
      <c r="AW153" s="82">
        <v>41.765000000000001</v>
      </c>
      <c r="AX153" s="67">
        <v>43.054000000000002</v>
      </c>
      <c r="AY153" s="67">
        <v>41.742999999999995</v>
      </c>
      <c r="AZ153" s="67">
        <v>47.380000000000038</v>
      </c>
      <c r="BA153" s="93">
        <f>SUM(AW153:AZ153)</f>
        <v>173.94200000000004</v>
      </c>
      <c r="BB153" s="67"/>
      <c r="BC153" s="82">
        <v>50.079999999999991</v>
      </c>
      <c r="BD153" s="67">
        <v>47.695000000000014</v>
      </c>
      <c r="BE153" s="67">
        <v>47.348999999999982</v>
      </c>
      <c r="BF153" s="67">
        <v>48.87300000000004</v>
      </c>
      <c r="BG153" s="93">
        <f>SUM(BC153:BF153)</f>
        <v>193.99700000000004</v>
      </c>
      <c r="BH153" s="67"/>
      <c r="BI153" s="82">
        <v>45.390999999999991</v>
      </c>
      <c r="BJ153" s="67">
        <v>46.265999999999991</v>
      </c>
      <c r="BK153" s="67">
        <v>46.849000000000004</v>
      </c>
      <c r="BL153" s="67">
        <v>46.018000000000015</v>
      </c>
      <c r="BM153" s="93">
        <f>SUM(BI153:BL153)</f>
        <v>184.524</v>
      </c>
      <c r="BN153" s="67"/>
      <c r="BO153" s="82">
        <v>46.916999999999994</v>
      </c>
      <c r="BP153" s="67">
        <v>49.447000000000003</v>
      </c>
      <c r="BQ153" s="67">
        <v>45.519999999999982</v>
      </c>
      <c r="BR153" s="67">
        <v>47.294000000000011</v>
      </c>
      <c r="BS153" s="93">
        <f>SUM(BO153:BR153)</f>
        <v>189.178</v>
      </c>
      <c r="BT153" s="67"/>
      <c r="BU153" s="82">
        <v>48.543000000000006</v>
      </c>
      <c r="BV153" s="67">
        <v>56.393999999999991</v>
      </c>
      <c r="BW153" s="67">
        <v>124.57899999999999</v>
      </c>
      <c r="BX153" s="67">
        <v>121.48399999999999</v>
      </c>
      <c r="BY153" s="93">
        <f>SUM(BU153:BX153)</f>
        <v>351</v>
      </c>
      <c r="BZ153" s="67"/>
      <c r="CA153" s="82">
        <v>121.00800000000001</v>
      </c>
      <c r="CB153" s="67">
        <v>123.77100000000002</v>
      </c>
      <c r="CC153" s="67">
        <v>123.67399999999998</v>
      </c>
      <c r="CD153" s="67">
        <v>129.34700000000004</v>
      </c>
      <c r="CE153" s="93">
        <f>SUM(CA153:CD153)</f>
        <v>497.8</v>
      </c>
      <c r="CF153" s="67"/>
      <c r="CG153" s="82">
        <v>127.50000000000001</v>
      </c>
      <c r="CH153" s="67">
        <v>129.5</v>
      </c>
      <c r="CI153" s="67">
        <v>133.39999999999998</v>
      </c>
      <c r="CJ153" s="67">
        <v>139.5</v>
      </c>
      <c r="CK153" s="93">
        <f>SUM(CG153:CJ153)</f>
        <v>529.9</v>
      </c>
      <c r="CL153" s="67"/>
      <c r="CM153" s="82">
        <v>132.19999999999999</v>
      </c>
      <c r="CN153" s="67">
        <v>140.40000000000003</v>
      </c>
      <c r="CO153" s="67">
        <v>106.19999999999999</v>
      </c>
      <c r="CP153" s="67">
        <v>126.80000000000001</v>
      </c>
      <c r="CQ153" s="93">
        <v>505.6</v>
      </c>
      <c r="CR153" s="67"/>
      <c r="CS153" s="82">
        <v>126.6</v>
      </c>
      <c r="CT153" s="67">
        <v>129.9</v>
      </c>
      <c r="CU153" s="67">
        <v>32.099999999999966</v>
      </c>
      <c r="CV153" s="67">
        <v>114.40000000000009</v>
      </c>
      <c r="CW153" s="93">
        <v>402.99999999999994</v>
      </c>
      <c r="CX153" s="67"/>
      <c r="CY153" s="82">
        <v>180.10000000000002</v>
      </c>
      <c r="CZ153" s="67">
        <v>180.79999999999995</v>
      </c>
      <c r="DA153" s="67">
        <v>35</v>
      </c>
      <c r="DB153" s="67">
        <v>149.10000000000002</v>
      </c>
      <c r="DC153" s="93">
        <v>544.99999999999989</v>
      </c>
      <c r="DD153" s="67"/>
      <c r="DE153" s="82">
        <v>139.50000000000003</v>
      </c>
      <c r="DF153" s="67">
        <v>142.89999999999995</v>
      </c>
      <c r="DG153" s="67">
        <v>144.9</v>
      </c>
      <c r="DH153" s="67">
        <v>150.49999999999994</v>
      </c>
      <c r="DI153" s="93">
        <v>577.79999999999995</v>
      </c>
      <c r="DJ153" s="67"/>
      <c r="DK153" s="82">
        <f>+DK151*DK152/4</f>
        <v>149.77903599999999</v>
      </c>
      <c r="DL153" s="67">
        <f t="shared" ref="DL153" si="824">+DL151*DL152/4</f>
        <v>150.23829563000001</v>
      </c>
      <c r="DM153" s="67">
        <f t="shared" ref="DM153" si="825">+DM151*DM152/4</f>
        <v>150.52462955127501</v>
      </c>
      <c r="DN153" s="67">
        <f t="shared" ref="DN153" si="826">+DN151*DN152/4</f>
        <v>151.87593811207665</v>
      </c>
      <c r="DO153" s="93">
        <f>SUM(DK153:DN153)</f>
        <v>602.41789929335164</v>
      </c>
      <c r="DP153" s="67"/>
      <c r="DQ153" s="82">
        <f>+DQ151*DQ152/4</f>
        <v>152.18423597063224</v>
      </c>
      <c r="DR153" s="67">
        <f t="shared" ref="DR153" si="827">+DR151*DR152/4</f>
        <v>152.94358105512089</v>
      </c>
      <c r="DS153" s="67">
        <f t="shared" ref="DS153" si="828">+DS151*DS152/4</f>
        <v>153.42500541165143</v>
      </c>
      <c r="DT153" s="67">
        <f t="shared" ref="DT153" si="829">+DT151*DT152/4</f>
        <v>155.00069808888148</v>
      </c>
      <c r="DU153" s="93">
        <f>SUM(DQ153:DT153)</f>
        <v>613.55352052628598</v>
      </c>
      <c r="DV153" s="67"/>
      <c r="DW153" s="82">
        <f>+DW151*DW152/4</f>
        <v>155.51617684147081</v>
      </c>
      <c r="DX153" s="67">
        <f t="shared" ref="DX153:DZ153" si="830">+DX151*DX152/4</f>
        <v>156.49086814321024</v>
      </c>
      <c r="DY153" s="67">
        <f t="shared" si="830"/>
        <v>157.16532775653164</v>
      </c>
      <c r="DZ153" s="67">
        <f t="shared" si="830"/>
        <v>158.97033217264911</v>
      </c>
      <c r="EA153" s="93">
        <f>SUM(DW153:DZ153)</f>
        <v>628.14270491386185</v>
      </c>
      <c r="EB153" s="67"/>
      <c r="EC153" s="82">
        <f t="shared" ref="EC153:EF153" si="831">+EC151*EC152/4</f>
        <v>159.66135112188928</v>
      </c>
      <c r="ED153" s="67">
        <f t="shared" si="831"/>
        <v>160.82245458087962</v>
      </c>
      <c r="EE153" s="67">
        <f t="shared" si="831"/>
        <v>161.66224478235614</v>
      </c>
      <c r="EF153" s="67">
        <f t="shared" si="831"/>
        <v>163.67249924652634</v>
      </c>
      <c r="EG153" s="93">
        <f t="shared" ref="EG153" si="832">SUM(EC153:EF153)</f>
        <v>645.81854973165139</v>
      </c>
      <c r="EH153" s="67"/>
      <c r="EI153" s="71"/>
      <c r="EJ153" s="31"/>
    </row>
    <row r="154" spans="1:140" ht="11.25" customHeight="1" x14ac:dyDescent="0.2">
      <c r="A154" s="51" t="s">
        <v>106</v>
      </c>
      <c r="B154" s="19"/>
      <c r="C154" s="19"/>
      <c r="D154" s="19"/>
      <c r="E154" s="93">
        <f>BS!E19</f>
        <v>403.488</v>
      </c>
      <c r="F154" s="67"/>
      <c r="G154" s="93">
        <f>BS!G19</f>
        <v>510.19799999999998</v>
      </c>
      <c r="H154" s="67"/>
      <c r="I154" s="93">
        <f>BS!I19</f>
        <v>500.18900000000002</v>
      </c>
      <c r="J154" s="67"/>
      <c r="K154" s="93">
        <f>BS!K19</f>
        <v>575.53099999999995</v>
      </c>
      <c r="L154" s="67"/>
      <c r="M154" s="82">
        <f>BS!M19</f>
        <v>549.57100000000003</v>
      </c>
      <c r="N154" s="67">
        <f>BS!N19</f>
        <v>545.44799999999998</v>
      </c>
      <c r="O154" s="67">
        <f>BS!O19</f>
        <v>536.99099999999999</v>
      </c>
      <c r="P154" s="67">
        <f>BS!Q19</f>
        <v>533.572</v>
      </c>
      <c r="Q154" s="93">
        <f>P154</f>
        <v>533.572</v>
      </c>
      <c r="R154" s="67"/>
      <c r="S154" s="82">
        <f>BS!S19</f>
        <v>600.70799999999997</v>
      </c>
      <c r="T154" s="67">
        <f>BS!T19</f>
        <v>572.55499999999995</v>
      </c>
      <c r="U154" s="67">
        <f>BS!U19</f>
        <v>558.38199999999995</v>
      </c>
      <c r="V154" s="67">
        <f>BS!W19</f>
        <v>597.37900000000002</v>
      </c>
      <c r="W154" s="93">
        <f>V154</f>
        <v>597.37900000000002</v>
      </c>
      <c r="X154" s="67"/>
      <c r="Y154" s="82">
        <f>BS!Y19</f>
        <v>593.63199999999995</v>
      </c>
      <c r="Z154" s="67">
        <f>BS!Z19</f>
        <v>577.49800000000005</v>
      </c>
      <c r="AA154" s="67">
        <f>BS!AA19</f>
        <v>570.72400000000005</v>
      </c>
      <c r="AB154" s="67">
        <f>BS!AC19</f>
        <v>573.36500000000001</v>
      </c>
      <c r="AC154" s="93">
        <f>AB154</f>
        <v>573.36500000000001</v>
      </c>
      <c r="AD154" s="67"/>
      <c r="AE154" s="82">
        <f>BS!AE19</f>
        <v>638.12400000000002</v>
      </c>
      <c r="AF154" s="67">
        <f>BS!AF19</f>
        <v>727.15899999999999</v>
      </c>
      <c r="AG154" s="67">
        <f>BS!AG19</f>
        <v>715.30200000000002</v>
      </c>
      <c r="AH154" s="67">
        <f>BS!AI19</f>
        <v>752.96600000000001</v>
      </c>
      <c r="AI154" s="93">
        <f>AH154</f>
        <v>752.96600000000001</v>
      </c>
      <c r="AJ154" s="67"/>
      <c r="AK154" s="82">
        <f>BS!AK19</f>
        <v>730.95299999999997</v>
      </c>
      <c r="AL154" s="67">
        <f>BS!AL19</f>
        <v>706.34400000000005</v>
      </c>
      <c r="AM154" s="67">
        <f>BS!AM19</f>
        <v>737.92200000000003</v>
      </c>
      <c r="AN154" s="67">
        <f>BS!AO19</f>
        <v>748.17200000000003</v>
      </c>
      <c r="AO154" s="93">
        <f>AN154</f>
        <v>748.17200000000003</v>
      </c>
      <c r="AP154" s="67"/>
      <c r="AQ154" s="82">
        <f>BS!AQ19</f>
        <v>753.14</v>
      </c>
      <c r="AR154" s="67">
        <f>BS!AR19</f>
        <v>855.82799999999997</v>
      </c>
      <c r="AS154" s="67">
        <f>BS!AS19</f>
        <v>846.447</v>
      </c>
      <c r="AT154" s="67">
        <f>BS!AU19</f>
        <v>874.36800000000005</v>
      </c>
      <c r="AU154" s="93">
        <f>AU151-AU153</f>
        <v>874.36800000000005</v>
      </c>
      <c r="AV154" s="67"/>
      <c r="AW154" s="82">
        <f>BS!AW19</f>
        <v>888.70799999999997</v>
      </c>
      <c r="AX154" s="67">
        <f>BS!AX19</f>
        <v>887.70899999999995</v>
      </c>
      <c r="AY154" s="67">
        <f>BS!AY19</f>
        <v>902.41099999999994</v>
      </c>
      <c r="AZ154" s="67">
        <f>BS!AZ19</f>
        <v>1108.634</v>
      </c>
      <c r="BA154" s="93">
        <f>BA151-BA153</f>
        <v>1108.634</v>
      </c>
      <c r="BB154" s="67"/>
      <c r="BC154" s="82">
        <f>BS!BC19</f>
        <v>1127.7349999999999</v>
      </c>
      <c r="BD154" s="67">
        <f>BS!BD19</f>
        <v>1131.8869999999999</v>
      </c>
      <c r="BE154" s="67">
        <f>BS!BE19</f>
        <v>1106.3130000000001</v>
      </c>
      <c r="BF154" s="67">
        <f>BS!BF19</f>
        <v>1108.653</v>
      </c>
      <c r="BG154" s="93">
        <f>BG151-BG153</f>
        <v>1108.6529999999996</v>
      </c>
      <c r="BH154" s="67"/>
      <c r="BI154" s="82">
        <f>BS!BI19</f>
        <v>1077.692</v>
      </c>
      <c r="BJ154" s="67">
        <f>BS!BJ19</f>
        <v>1096.721</v>
      </c>
      <c r="BK154" s="67">
        <f>BS!BK19</f>
        <v>1097.424</v>
      </c>
      <c r="BL154" s="67">
        <f>BS!BL19</f>
        <v>1143.3309999999999</v>
      </c>
      <c r="BM154" s="93">
        <f>BM151-BM153</f>
        <v>1143.3310000000001</v>
      </c>
      <c r="BN154" s="67"/>
      <c r="BO154" s="82">
        <f>BS!BO19</f>
        <v>1179.0940000000001</v>
      </c>
      <c r="BP154" s="67">
        <f>BS!BP19</f>
        <v>1163.335</v>
      </c>
      <c r="BQ154" s="67">
        <f>BS!BQ19</f>
        <v>1153.431</v>
      </c>
      <c r="BR154" s="67">
        <f>BS!BR19</f>
        <v>1192.3030000000001</v>
      </c>
      <c r="BS154" s="93">
        <f>BS151-BS153</f>
        <v>1192.3030000000003</v>
      </c>
      <c r="BT154" s="67"/>
      <c r="BU154" s="82">
        <f>BS!BU19</f>
        <v>1177.703</v>
      </c>
      <c r="BV154" s="67">
        <f>BS!BV19</f>
        <v>2226.1190000000001</v>
      </c>
      <c r="BW154" s="67">
        <f>BS!BW19</f>
        <v>2151.0520000000001</v>
      </c>
      <c r="BX154" s="67">
        <f>BS!BX19</f>
        <v>2100.9899999999998</v>
      </c>
      <c r="BY154" s="93">
        <f>BY151-BY153</f>
        <v>2100.9899999999998</v>
      </c>
      <c r="BZ154" s="67"/>
      <c r="CA154" s="82">
        <f>BS!CA19</f>
        <v>2104.8110000000001</v>
      </c>
      <c r="CB154" s="67">
        <f>BS!CB19</f>
        <v>2065.451</v>
      </c>
      <c r="CC154" s="67">
        <f>BS!CC19</f>
        <v>2062.9520000000002</v>
      </c>
      <c r="CD154" s="67">
        <f>BS!CD19</f>
        <v>2140.9</v>
      </c>
      <c r="CE154" s="93">
        <f>CE151-CE153</f>
        <v>2140.9</v>
      </c>
      <c r="CF154" s="67"/>
      <c r="CG154" s="82">
        <f>BS!CG19</f>
        <v>2109.9</v>
      </c>
      <c r="CH154" s="67">
        <f>BS!CH19</f>
        <v>2148.9</v>
      </c>
      <c r="CI154" s="67">
        <f>BS!CI19</f>
        <v>2179.1999999999998</v>
      </c>
      <c r="CJ154" s="67">
        <f>BS!CJ19</f>
        <v>2211.3000000000002</v>
      </c>
      <c r="CK154" s="93">
        <f>CK151-CK153</f>
        <v>2211.3000000000002</v>
      </c>
      <c r="CL154" s="67"/>
      <c r="CM154" s="82">
        <f>BS!CM19</f>
        <v>2182.6</v>
      </c>
      <c r="CN154" s="67">
        <f>BS!CN19</f>
        <v>2232.1</v>
      </c>
      <c r="CO154" s="67">
        <f>BS!CO19</f>
        <v>2161.6</v>
      </c>
      <c r="CP154" s="67">
        <f>BS!CP19</f>
        <v>2203</v>
      </c>
      <c r="CQ154" s="93">
        <f>CQ151-CQ153</f>
        <v>2203</v>
      </c>
      <c r="CR154" s="67"/>
      <c r="CS154" s="82">
        <f>BS!CS19</f>
        <v>2135.9</v>
      </c>
      <c r="CT154" s="67">
        <f>BS!CT19</f>
        <v>2161.3000000000002</v>
      </c>
      <c r="CU154" s="67">
        <f>BS!CU19</f>
        <v>2791.6</v>
      </c>
      <c r="CV154" s="67">
        <f>BS!CV19</f>
        <v>2302.6999999999998</v>
      </c>
      <c r="CW154" s="93">
        <f>CW151-CW153</f>
        <v>2302.7000000000003</v>
      </c>
      <c r="CX154" s="67"/>
      <c r="CY154" s="82">
        <f>BS!CY19</f>
        <v>2872.5</v>
      </c>
      <c r="CZ154" s="67">
        <f>BS!CZ19</f>
        <v>2784.8</v>
      </c>
      <c r="DA154" s="67">
        <f>BS!DA19</f>
        <v>2255.1</v>
      </c>
      <c r="DB154" s="67">
        <f>BS!DB19</f>
        <v>2354</v>
      </c>
      <c r="DC154" s="93">
        <f>DC151-DC153</f>
        <v>2353.9999999999995</v>
      </c>
      <c r="DD154" s="67"/>
      <c r="DE154" s="82">
        <f>BS!DE19</f>
        <v>2408.6999999999998</v>
      </c>
      <c r="DF154" s="67">
        <f>BS!DF19</f>
        <v>2422.8000000000002</v>
      </c>
      <c r="DG154" s="67">
        <f>BS!DG19</f>
        <v>2424.9</v>
      </c>
      <c r="DH154" s="67">
        <f>BS!DH19</f>
        <v>2454.6</v>
      </c>
      <c r="DI154" s="93">
        <f>DI151-DI153</f>
        <v>2454.5999999999995</v>
      </c>
      <c r="DJ154" s="67"/>
      <c r="DK154" s="82">
        <f>DK151-DK153</f>
        <v>2455.0737639999998</v>
      </c>
      <c r="DL154" s="67">
        <f>DL151-DL153</f>
        <v>2462.6016283700001</v>
      </c>
      <c r="DM154" s="67">
        <f>DM151-DM153</f>
        <v>2467.2950148187247</v>
      </c>
      <c r="DN154" s="67">
        <f>DN151-DN153</f>
        <v>2489.4447247066478</v>
      </c>
      <c r="DO154" s="93">
        <f>DO151-DO153</f>
        <v>2489.4447247066478</v>
      </c>
      <c r="DP154" s="67"/>
      <c r="DQ154" s="82">
        <f>DQ151-DQ153</f>
        <v>2494.4981287360151</v>
      </c>
      <c r="DR154" s="67">
        <f>DR151-DR153</f>
        <v>2506.9447851208943</v>
      </c>
      <c r="DS154" s="67">
        <f>DS151-DS153</f>
        <v>2514.8359582692428</v>
      </c>
      <c r="DT154" s="67">
        <f>DT151-DT153</f>
        <v>2540.6636165003615</v>
      </c>
      <c r="DU154" s="93">
        <f>DU151-DU153</f>
        <v>2540.663616500362</v>
      </c>
      <c r="DV154" s="67"/>
      <c r="DW154" s="82">
        <f>DW151-DW153</f>
        <v>2549.1129856188909</v>
      </c>
      <c r="DX154" s="67">
        <f>DX151-DX153</f>
        <v>2565.0894473908807</v>
      </c>
      <c r="DY154" s="67">
        <f>DY151-DY153</f>
        <v>2576.1447201831493</v>
      </c>
      <c r="DZ154" s="67">
        <f>DZ151-DZ153</f>
        <v>2605.7310969169002</v>
      </c>
      <c r="EA154" s="93">
        <f>EA151-EA153</f>
        <v>2605.7310969169002</v>
      </c>
      <c r="EB154" s="67"/>
      <c r="EC154" s="82">
        <f t="shared" ref="EC154:EG154" si="833">EC151-EC153</f>
        <v>2617.0577988240111</v>
      </c>
      <c r="ED154" s="67">
        <f t="shared" si="833"/>
        <v>2636.0897989996351</v>
      </c>
      <c r="EE154" s="67">
        <f t="shared" si="833"/>
        <v>2649.8550557803592</v>
      </c>
      <c r="EF154" s="67">
        <f t="shared" si="833"/>
        <v>2682.8057485191489</v>
      </c>
      <c r="EG154" s="93">
        <f t="shared" si="833"/>
        <v>2682.8057485191489</v>
      </c>
      <c r="EH154" s="67"/>
      <c r="EI154" s="71"/>
      <c r="EJ154" s="10"/>
    </row>
    <row r="155" spans="1:140" ht="11.25" customHeight="1" x14ac:dyDescent="0.2">
      <c r="A155" s="51"/>
      <c r="B155" s="19"/>
      <c r="C155" s="19"/>
      <c r="D155" s="19"/>
      <c r="E155" s="93"/>
      <c r="F155" s="67"/>
      <c r="G155" s="93"/>
      <c r="H155" s="67"/>
      <c r="I155" s="93"/>
      <c r="J155" s="67"/>
      <c r="K155" s="93"/>
      <c r="L155" s="67"/>
      <c r="M155" s="82"/>
      <c r="N155" s="67"/>
      <c r="O155" s="67"/>
      <c r="P155" s="67"/>
      <c r="Q155" s="93"/>
      <c r="R155" s="67"/>
      <c r="S155" s="82"/>
      <c r="T155" s="67"/>
      <c r="U155" s="67"/>
      <c r="V155" s="67"/>
      <c r="W155" s="93"/>
      <c r="X155" s="67"/>
      <c r="Y155" s="82"/>
      <c r="Z155" s="67"/>
      <c r="AA155" s="67"/>
      <c r="AB155" s="67"/>
      <c r="AC155" s="93"/>
      <c r="AD155" s="67"/>
      <c r="AE155" s="82"/>
      <c r="AF155" s="67"/>
      <c r="AG155" s="67"/>
      <c r="AH155" s="67"/>
      <c r="AI155" s="93"/>
      <c r="AJ155" s="67"/>
      <c r="AK155" s="82"/>
      <c r="AL155" s="67"/>
      <c r="AM155" s="67"/>
      <c r="AN155" s="67"/>
      <c r="AO155" s="93"/>
      <c r="AP155" s="67"/>
      <c r="AQ155" s="82"/>
      <c r="AR155" s="67"/>
      <c r="AS155" s="67"/>
      <c r="AT155" s="67"/>
      <c r="AU155" s="93"/>
      <c r="AV155" s="67"/>
      <c r="AW155" s="82"/>
      <c r="AX155" s="67"/>
      <c r="AY155" s="67"/>
      <c r="AZ155" s="67"/>
      <c r="BA155" s="93"/>
      <c r="BB155" s="67"/>
      <c r="BC155" s="82"/>
      <c r="BD155" s="67"/>
      <c r="BE155" s="67"/>
      <c r="BF155" s="67"/>
      <c r="BG155" s="93"/>
      <c r="BH155" s="67"/>
      <c r="BI155" s="82"/>
      <c r="BJ155" s="67"/>
      <c r="BK155" s="67"/>
      <c r="BL155" s="67"/>
      <c r="BM155" s="93"/>
      <c r="BN155" s="67"/>
      <c r="BO155" s="82"/>
      <c r="BP155" s="67"/>
      <c r="BQ155" s="67"/>
      <c r="BR155" s="67"/>
      <c r="BS155" s="93"/>
      <c r="BT155" s="67"/>
      <c r="BU155" s="82"/>
      <c r="BV155" s="67"/>
      <c r="BW155" s="67"/>
      <c r="BX155" s="67"/>
      <c r="BY155" s="93"/>
      <c r="BZ155" s="67"/>
      <c r="CA155" s="82"/>
      <c r="CB155" s="67"/>
      <c r="CC155" s="67"/>
      <c r="CD155" s="67"/>
      <c r="CE155" s="93"/>
      <c r="CF155" s="67"/>
      <c r="CG155" s="82"/>
      <c r="CH155" s="67"/>
      <c r="CI155" s="67"/>
      <c r="CJ155" s="67"/>
      <c r="CK155" s="93"/>
      <c r="CL155" s="67"/>
      <c r="CM155" s="82"/>
      <c r="CN155" s="67"/>
      <c r="CO155" s="67"/>
      <c r="CP155" s="67"/>
      <c r="CQ155" s="93"/>
      <c r="CR155" s="67"/>
      <c r="CS155" s="82"/>
      <c r="CT155" s="67"/>
      <c r="CU155" s="67"/>
      <c r="CV155" s="67"/>
      <c r="CW155" s="93"/>
      <c r="CX155" s="67"/>
      <c r="CY155" s="82"/>
      <c r="CZ155" s="67"/>
      <c r="DA155" s="67"/>
      <c r="DB155" s="71"/>
      <c r="DC155" s="92"/>
      <c r="DD155" s="67"/>
      <c r="DE155" s="82"/>
      <c r="DF155" s="71"/>
      <c r="DG155" s="71"/>
      <c r="DH155" s="71"/>
      <c r="DI155" s="92"/>
      <c r="DJ155" s="67"/>
      <c r="DK155" s="84"/>
      <c r="DL155" s="71"/>
      <c r="DM155" s="71"/>
      <c r="DN155" s="71"/>
      <c r="DO155" s="92"/>
      <c r="DP155" s="67"/>
      <c r="DQ155" s="84"/>
      <c r="DR155" s="71"/>
      <c r="DS155" s="71"/>
      <c r="DT155" s="71"/>
      <c r="DU155" s="93"/>
      <c r="DV155" s="67"/>
      <c r="DW155" s="84"/>
      <c r="DX155" s="71"/>
      <c r="DY155" s="71"/>
      <c r="DZ155" s="71"/>
      <c r="EA155" s="93"/>
      <c r="EB155" s="67"/>
      <c r="EC155" s="84"/>
      <c r="ED155" s="71"/>
      <c r="EE155" s="71"/>
      <c r="EF155" s="71"/>
      <c r="EG155" s="93"/>
      <c r="EH155" s="67"/>
      <c r="EI155" s="71"/>
      <c r="EJ155" s="10"/>
    </row>
    <row r="156" spans="1:140" ht="11.25" customHeight="1" x14ac:dyDescent="0.2">
      <c r="A156" s="50" t="s">
        <v>129</v>
      </c>
      <c r="B156" s="19"/>
      <c r="C156" s="19"/>
      <c r="D156" s="19"/>
      <c r="E156" s="93"/>
      <c r="F156" s="67"/>
      <c r="G156" s="93"/>
      <c r="H156" s="67"/>
      <c r="I156" s="93"/>
      <c r="J156" s="67"/>
      <c r="K156" s="93"/>
      <c r="L156" s="67"/>
      <c r="M156" s="82"/>
      <c r="N156" s="67"/>
      <c r="O156" s="67"/>
      <c r="P156" s="67"/>
      <c r="Q156" s="93"/>
      <c r="R156" s="67"/>
      <c r="S156" s="82"/>
      <c r="T156" s="67"/>
      <c r="U156" s="67"/>
      <c r="V156" s="67"/>
      <c r="W156" s="93"/>
      <c r="X156" s="67"/>
      <c r="Y156" s="82"/>
      <c r="Z156" s="67"/>
      <c r="AA156" s="67"/>
      <c r="AB156" s="67"/>
      <c r="AC156" s="93"/>
      <c r="AD156" s="67"/>
      <c r="AE156" s="82"/>
      <c r="AF156" s="67"/>
      <c r="AG156" s="67"/>
      <c r="AH156" s="67"/>
      <c r="AI156" s="93"/>
      <c r="AJ156" s="67"/>
      <c r="AK156" s="82"/>
      <c r="AL156" s="67"/>
      <c r="AM156" s="67"/>
      <c r="AN156" s="67"/>
      <c r="AO156" s="93"/>
      <c r="AP156" s="67"/>
      <c r="AQ156" s="82"/>
      <c r="AR156" s="67"/>
      <c r="AS156" s="67"/>
      <c r="AT156" s="67"/>
      <c r="AU156" s="93"/>
      <c r="AV156" s="67"/>
      <c r="AW156" s="82"/>
      <c r="AX156" s="67"/>
      <c r="AY156" s="67"/>
      <c r="AZ156" s="67"/>
      <c r="BA156" s="93"/>
      <c r="BB156" s="67"/>
      <c r="BC156" s="82"/>
      <c r="BD156" s="67"/>
      <c r="BE156" s="67"/>
      <c r="BF156" s="67"/>
      <c r="BG156" s="93"/>
      <c r="BH156" s="67"/>
      <c r="BI156" s="82"/>
      <c r="BJ156" s="67"/>
      <c r="BK156" s="67"/>
      <c r="BL156" s="67"/>
      <c r="BM156" s="93"/>
      <c r="BN156" s="67"/>
      <c r="BO156" s="82"/>
      <c r="BP156" s="67"/>
      <c r="BQ156" s="67"/>
      <c r="BR156" s="67"/>
      <c r="BS156" s="93"/>
      <c r="BT156" s="67"/>
      <c r="BU156" s="82"/>
      <c r="BV156" s="67"/>
      <c r="BW156" s="67"/>
      <c r="BX156" s="67"/>
      <c r="BY156" s="93"/>
      <c r="BZ156" s="67"/>
      <c r="CA156" s="82"/>
      <c r="CB156" s="67"/>
      <c r="CC156" s="67"/>
      <c r="CD156" s="67"/>
      <c r="CE156" s="93"/>
      <c r="CF156" s="67"/>
      <c r="CG156" s="82"/>
      <c r="CH156" s="67"/>
      <c r="CI156" s="67"/>
      <c r="CJ156" s="67"/>
      <c r="CK156" s="93"/>
      <c r="CL156" s="67"/>
      <c r="CM156" s="82"/>
      <c r="CN156" s="67"/>
      <c r="CO156" s="67"/>
      <c r="CP156" s="67"/>
      <c r="CQ156" s="93"/>
      <c r="CR156" s="67"/>
      <c r="CS156" s="82"/>
      <c r="CT156" s="67"/>
      <c r="CU156" s="67"/>
      <c r="CV156" s="67"/>
      <c r="CW156" s="93"/>
      <c r="CX156" s="67"/>
      <c r="CY156" s="82"/>
      <c r="CZ156" s="67"/>
      <c r="DA156" s="67"/>
      <c r="DB156" s="67"/>
      <c r="DC156" s="93"/>
      <c r="DD156" s="67"/>
      <c r="DE156" s="82"/>
      <c r="DF156" s="67"/>
      <c r="DG156" s="67"/>
      <c r="DH156" s="67"/>
      <c r="DI156" s="93"/>
      <c r="DJ156" s="67"/>
      <c r="DK156" s="82"/>
      <c r="DL156" s="67"/>
      <c r="DM156" s="67"/>
      <c r="DN156" s="67"/>
      <c r="DO156" s="93"/>
      <c r="DP156" s="67"/>
      <c r="DQ156" s="82"/>
      <c r="DR156" s="67"/>
      <c r="DS156" s="67"/>
      <c r="DT156" s="67"/>
      <c r="DU156" s="93"/>
      <c r="DV156" s="67"/>
      <c r="DW156" s="82"/>
      <c r="DX156" s="67"/>
      <c r="DY156" s="67"/>
      <c r="DZ156" s="67"/>
      <c r="EA156" s="93"/>
      <c r="EB156" s="67"/>
      <c r="EC156" s="82"/>
      <c r="ED156" s="67"/>
      <c r="EE156" s="67"/>
      <c r="EF156" s="67"/>
      <c r="EG156" s="93"/>
      <c r="EH156" s="67"/>
      <c r="EI156" s="71"/>
      <c r="EJ156" s="10"/>
    </row>
    <row r="157" spans="1:140" ht="11.25" customHeight="1" x14ac:dyDescent="0.2">
      <c r="A157" s="51" t="s">
        <v>76</v>
      </c>
      <c r="B157" s="19"/>
      <c r="C157" s="19"/>
      <c r="D157" s="19"/>
      <c r="E157" s="93"/>
      <c r="F157" s="67"/>
      <c r="G157" s="93">
        <f>BS!E24</f>
        <v>863.35199999999998</v>
      </c>
      <c r="H157" s="67"/>
      <c r="I157" s="93">
        <f>BS!G24</f>
        <v>1287.7619999999999</v>
      </c>
      <c r="J157" s="67"/>
      <c r="K157" s="93">
        <f>BS!I24</f>
        <v>1292.289</v>
      </c>
      <c r="L157" s="67"/>
      <c r="M157" s="82">
        <f>BS!K24</f>
        <v>1863.9</v>
      </c>
      <c r="N157" s="67">
        <f>M163</f>
        <v>1976.3489999999999</v>
      </c>
      <c r="O157" s="67">
        <f>N163</f>
        <v>2068.8539999999998</v>
      </c>
      <c r="P157" s="67">
        <f>O163</f>
        <v>2174.9490000000001</v>
      </c>
      <c r="Q157" s="93">
        <f>M157</f>
        <v>1863.9</v>
      </c>
      <c r="R157" s="67"/>
      <c r="S157" s="82">
        <f>BS!Q24</f>
        <v>2292.6570000000002</v>
      </c>
      <c r="T157" s="67">
        <f>S163</f>
        <v>2825.3890000000001</v>
      </c>
      <c r="U157" s="67">
        <f>T163</f>
        <v>2869.9720000000002</v>
      </c>
      <c r="V157" s="67">
        <f>U163</f>
        <v>3023.6669999999999</v>
      </c>
      <c r="W157" s="93">
        <f>S157</f>
        <v>2292.6570000000002</v>
      </c>
      <c r="X157" s="67"/>
      <c r="Y157" s="82">
        <f>BS!W24</f>
        <v>3007.7040000000002</v>
      </c>
      <c r="Z157" s="67">
        <f>Y163</f>
        <v>3145.3850000000002</v>
      </c>
      <c r="AA157" s="67">
        <f>Z163</f>
        <v>3179.5509999999999</v>
      </c>
      <c r="AB157" s="67">
        <f>AA163</f>
        <v>3208.0420000000004</v>
      </c>
      <c r="AC157" s="93">
        <f>Y157</f>
        <v>3007.7040000000002</v>
      </c>
      <c r="AD157" s="67"/>
      <c r="AE157" s="82">
        <f>BS!AC24</f>
        <v>3341.9719999999998</v>
      </c>
      <c r="AF157" s="67">
        <f>AE163</f>
        <v>371.61799999999999</v>
      </c>
      <c r="AG157" s="67">
        <f>AF163</f>
        <v>556.82600000000002</v>
      </c>
      <c r="AH157" s="67">
        <f>AG163</f>
        <v>654.42499999999995</v>
      </c>
      <c r="AI157" s="93">
        <f>AE157</f>
        <v>3341.9719999999998</v>
      </c>
      <c r="AJ157" s="67"/>
      <c r="AK157" s="82">
        <f>BS!AI24</f>
        <v>660</v>
      </c>
      <c r="AL157" s="67">
        <f>AK163</f>
        <v>765.40499999999997</v>
      </c>
      <c r="AM157" s="67">
        <f>AL163</f>
        <v>742.49300000000005</v>
      </c>
      <c r="AN157" s="67">
        <f>AM163</f>
        <v>852.89800000000002</v>
      </c>
      <c r="AO157" s="93">
        <f>AK157</f>
        <v>660</v>
      </c>
      <c r="AP157" s="67"/>
      <c r="AQ157" s="82">
        <f>AO163</f>
        <v>834.14700000000005</v>
      </c>
      <c r="AR157" s="67">
        <f>AQ163</f>
        <v>882.09900000000005</v>
      </c>
      <c r="AS157" s="67">
        <f>AR163</f>
        <v>1274.703</v>
      </c>
      <c r="AT157" s="67">
        <f>AS163</f>
        <v>1584.373</v>
      </c>
      <c r="AU157" s="93">
        <f>AO163</f>
        <v>834.14700000000005</v>
      </c>
      <c r="AV157" s="67"/>
      <c r="AW157" s="82">
        <f>AU163</f>
        <v>1698.3240000000001</v>
      </c>
      <c r="AX157" s="67">
        <f>AW163</f>
        <v>1742.1410000000001</v>
      </c>
      <c r="AY157" s="67">
        <f>AX163</f>
        <v>1760.348</v>
      </c>
      <c r="AZ157" s="67">
        <f>AY163</f>
        <v>1844.2470000000001</v>
      </c>
      <c r="BA157" s="93">
        <f>AU163</f>
        <v>1698.3240000000001</v>
      </c>
      <c r="BB157" s="67"/>
      <c r="BC157" s="82">
        <f>BA163</f>
        <v>2564.9729999999995</v>
      </c>
      <c r="BD157" s="67">
        <f>BC163</f>
        <v>2585.0120000000002</v>
      </c>
      <c r="BE157" s="67">
        <f>BD163</f>
        <v>2697.9229999999998</v>
      </c>
      <c r="BF157" s="67">
        <f>BE163</f>
        <v>2624.6619999999998</v>
      </c>
      <c r="BG157" s="93">
        <f>BA163</f>
        <v>2564.9729999999995</v>
      </c>
      <c r="BH157" s="67"/>
      <c r="BI157" s="82">
        <f>BG163</f>
        <v>2519.4220000000005</v>
      </c>
      <c r="BJ157" s="67">
        <f>BI163</f>
        <v>2474.913</v>
      </c>
      <c r="BK157" s="67">
        <f>BJ163</f>
        <v>2535.5970000000002</v>
      </c>
      <c r="BL157" s="67">
        <f>BK163</f>
        <v>2553.913</v>
      </c>
      <c r="BM157" s="93">
        <f>BG163</f>
        <v>2519.4220000000005</v>
      </c>
      <c r="BN157" s="67"/>
      <c r="BO157" s="82">
        <f>BM163</f>
        <v>2655.5030000000006</v>
      </c>
      <c r="BP157" s="67">
        <f>BO163</f>
        <v>2954.643</v>
      </c>
      <c r="BQ157" s="67">
        <f>BP163</f>
        <v>2903.0810000000001</v>
      </c>
      <c r="BR157" s="67">
        <f>BQ163</f>
        <v>3070.99</v>
      </c>
      <c r="BS157" s="93">
        <f>BM163</f>
        <v>2655.5030000000006</v>
      </c>
      <c r="BT157" s="67"/>
      <c r="BU157" s="82">
        <f>BS163</f>
        <v>3324.5020000000004</v>
      </c>
      <c r="BV157" s="67">
        <f>BU163</f>
        <v>3539.4659999999999</v>
      </c>
      <c r="BW157" s="67">
        <f>BV163</f>
        <v>6210.7690000000002</v>
      </c>
      <c r="BX157" s="67">
        <f>BW163</f>
        <v>6037.607</v>
      </c>
      <c r="BY157" s="93">
        <f>BS163</f>
        <v>3324.5020000000004</v>
      </c>
      <c r="BZ157" s="67"/>
      <c r="CA157" s="82">
        <f>BY163</f>
        <v>5840.2089999999989</v>
      </c>
      <c r="CB157" s="67">
        <f>CA163</f>
        <v>5861.848</v>
      </c>
      <c r="CC157" s="67">
        <f>CB163</f>
        <v>6176.8819999999996</v>
      </c>
      <c r="CD157" s="67">
        <f>CC163</f>
        <v>6104.0730000000003</v>
      </c>
      <c r="CE157" s="93">
        <f>BY163</f>
        <v>5840.2089999999989</v>
      </c>
      <c r="CF157" s="67"/>
      <c r="CG157" s="82">
        <f>CE163</f>
        <v>6344.0000000000009</v>
      </c>
      <c r="CH157" s="67">
        <f>CG163</f>
        <v>6148.4</v>
      </c>
      <c r="CI157" s="67">
        <f>CH163</f>
        <v>6195.5</v>
      </c>
      <c r="CJ157" s="67">
        <f>CI163</f>
        <v>6344.5</v>
      </c>
      <c r="CK157" s="93">
        <f>CE163</f>
        <v>6344.0000000000009</v>
      </c>
      <c r="CL157" s="67"/>
      <c r="CM157" s="82">
        <f>CK163</f>
        <v>6247.7</v>
      </c>
      <c r="CN157" s="67">
        <f>CM163</f>
        <v>6212.6</v>
      </c>
      <c r="CO157" s="67">
        <f>CN163</f>
        <v>6369.1</v>
      </c>
      <c r="CP157" s="67">
        <f>CO163</f>
        <v>6213.9</v>
      </c>
      <c r="CQ157" s="93">
        <f>CK163</f>
        <v>6247.7</v>
      </c>
      <c r="CR157" s="67"/>
      <c r="CS157" s="82">
        <f>CQ163</f>
        <v>7369.2</v>
      </c>
      <c r="CT157" s="67">
        <f>CS163</f>
        <v>7358.4</v>
      </c>
      <c r="CU157" s="67">
        <f>CT163</f>
        <v>7097.3</v>
      </c>
      <c r="CV157" s="67">
        <f>CU163</f>
        <v>11690.5</v>
      </c>
      <c r="CW157" s="93">
        <f>CQ163</f>
        <v>7369.2</v>
      </c>
      <c r="CX157" s="67"/>
      <c r="CY157" s="82">
        <f>CW163</f>
        <v>10545.3</v>
      </c>
      <c r="CZ157" s="67">
        <f>CY163</f>
        <v>11263.8</v>
      </c>
      <c r="DA157" s="67">
        <f>CZ163</f>
        <v>11083.5</v>
      </c>
      <c r="DB157" s="67">
        <f>DA163</f>
        <v>10307.9</v>
      </c>
      <c r="DC157" s="93">
        <f>CW163</f>
        <v>10545.3</v>
      </c>
      <c r="DD157" s="67"/>
      <c r="DE157" s="82">
        <f>DC163</f>
        <v>10180.700000000001</v>
      </c>
      <c r="DF157" s="67">
        <f>DE163</f>
        <v>10012.799999999999</v>
      </c>
      <c r="DG157" s="67">
        <f>DF163</f>
        <v>9945.9</v>
      </c>
      <c r="DH157" s="67">
        <f>DG163</f>
        <v>9889.2999999999993</v>
      </c>
      <c r="DI157" s="93">
        <f>DC163</f>
        <v>10180.700000000001</v>
      </c>
      <c r="DJ157" s="67"/>
      <c r="DK157" s="82">
        <f>DI163</f>
        <v>10516.7</v>
      </c>
      <c r="DL157" s="67">
        <f>DK163</f>
        <v>10343.17445</v>
      </c>
      <c r="DM157" s="67">
        <f>DL163</f>
        <v>10168.633381156251</v>
      </c>
      <c r="DN157" s="67">
        <f>DM163</f>
        <v>9997.0376928492387</v>
      </c>
      <c r="DO157" s="93">
        <f>DI163</f>
        <v>10516.7</v>
      </c>
      <c r="DP157" s="67"/>
      <c r="DQ157" s="82">
        <f>DO163</f>
        <v>9828.3376817824083</v>
      </c>
      <c r="DR157" s="67">
        <f>DQ163</f>
        <v>9653.8846879307712</v>
      </c>
      <c r="DS157" s="67">
        <f>DR163</f>
        <v>9482.5282347199991</v>
      </c>
      <c r="DT157" s="67">
        <f>DS163</f>
        <v>9314.2133585537194</v>
      </c>
      <c r="DU157" s="93">
        <f>DO163</f>
        <v>9828.3376817824083</v>
      </c>
      <c r="DV157" s="67"/>
      <c r="DW157" s="82">
        <f>DU163</f>
        <v>9148.8860714393904</v>
      </c>
      <c r="DX157" s="67">
        <f>DW163</f>
        <v>8975.0572360820424</v>
      </c>
      <c r="DY157" s="67">
        <f>DX163</f>
        <v>8804.531148596483</v>
      </c>
      <c r="DZ157" s="67">
        <f>DY163</f>
        <v>8637.2450567731503</v>
      </c>
      <c r="EA157" s="93">
        <f>DU163</f>
        <v>9148.8860714393904</v>
      </c>
      <c r="EB157" s="67"/>
      <c r="EC157" s="82">
        <f t="shared" ref="EC157" si="834">EA163</f>
        <v>8473.1374006944607</v>
      </c>
      <c r="ED157" s="67">
        <f t="shared" ref="ED157:EF157" si="835">EC163</f>
        <v>8301.5563683303972</v>
      </c>
      <c r="EE157" s="67">
        <f t="shared" si="835"/>
        <v>8133.4498518717064</v>
      </c>
      <c r="EF157" s="67">
        <f t="shared" si="835"/>
        <v>7968.7474923713044</v>
      </c>
      <c r="EG157" s="93">
        <f t="shared" ref="EG157" si="836">EA163</f>
        <v>8473.1374006944607</v>
      </c>
      <c r="EH157" s="67"/>
      <c r="EI157" s="71"/>
      <c r="EJ157" s="10"/>
    </row>
    <row r="158" spans="1:140" ht="11.25" customHeight="1" x14ac:dyDescent="0.2">
      <c r="A158" s="51" t="s">
        <v>110</v>
      </c>
      <c r="B158" s="19"/>
      <c r="C158" s="19"/>
      <c r="D158" s="19"/>
      <c r="E158" s="93"/>
      <c r="F158" s="67"/>
      <c r="G158" s="93">
        <f>G160-G159-G157</f>
        <v>429.40999999999997</v>
      </c>
      <c r="H158" s="67"/>
      <c r="I158" s="93">
        <f>I160-I159-I157</f>
        <v>9.5270000000000437</v>
      </c>
      <c r="J158" s="67"/>
      <c r="K158" s="93">
        <f>K160-K159-K157</f>
        <v>576.6110000000001</v>
      </c>
      <c r="L158" s="67"/>
      <c r="M158" s="82">
        <f>M160-M159-M157</f>
        <v>119.94899999999984</v>
      </c>
      <c r="N158" s="67">
        <f>N160-N159-N157</f>
        <v>100.00499999999988</v>
      </c>
      <c r="O158" s="67">
        <f>O160-O159-O157</f>
        <v>114.59500000000025</v>
      </c>
      <c r="P158" s="67">
        <f>P160-P159-P157</f>
        <v>130.20800000000008</v>
      </c>
      <c r="Q158" s="93">
        <f>Q160-Q159-Q157</f>
        <v>464.75700000000006</v>
      </c>
      <c r="R158" s="67"/>
      <c r="S158" s="82">
        <f>S160-S159-S157</f>
        <v>540.23199999999997</v>
      </c>
      <c r="T158" s="67">
        <f>T160-T159-T157</f>
        <v>52.083000000000084</v>
      </c>
      <c r="U158" s="67">
        <f>U160-U159-U157</f>
        <v>162.19499999999971</v>
      </c>
      <c r="V158" s="67">
        <f>V160-V159-V157</f>
        <v>-3.4629999999997381</v>
      </c>
      <c r="W158" s="93">
        <f>W160-W159-W157</f>
        <v>751.04700000000003</v>
      </c>
      <c r="X158" s="67"/>
      <c r="Y158" s="82">
        <f>Y160-Y159-Y157</f>
        <v>145.18100000000004</v>
      </c>
      <c r="Z158" s="67">
        <f>Z160-Z159-Z157</f>
        <v>41.665999999999713</v>
      </c>
      <c r="AA158" s="67">
        <f>AA160-AA159-AA157</f>
        <v>36.99100000000044</v>
      </c>
      <c r="AB158" s="67">
        <f>AB160-AB159-AB157</f>
        <v>146.42999999999938</v>
      </c>
      <c r="AC158" s="93">
        <f>AC160-AC159-AC157</f>
        <v>370.26799999999957</v>
      </c>
      <c r="AD158" s="67"/>
      <c r="AE158" s="82">
        <f>AE160-AE159-AE157</f>
        <v>-2962.8539999999998</v>
      </c>
      <c r="AF158" s="67">
        <f>AF160-AF159-AF157</f>
        <v>192.70800000000003</v>
      </c>
      <c r="AG158" s="67">
        <f>AG160-AG159-AG157</f>
        <v>106.09899999999993</v>
      </c>
      <c r="AH158" s="67">
        <f>AH160-AH159-AH157</f>
        <v>18.075000000000045</v>
      </c>
      <c r="AI158" s="93">
        <f>AI160-AI159-AI157</f>
        <v>-2645.9719999999998</v>
      </c>
      <c r="AJ158" s="67"/>
      <c r="AK158" s="82">
        <f>AK160-AK159-AK157</f>
        <v>112.90499999999997</v>
      </c>
      <c r="AL158" s="67">
        <f>AL160-AL159-AL157</f>
        <v>-15.411999999999921</v>
      </c>
      <c r="AM158" s="67">
        <f>AM160-AM159-AM157</f>
        <v>118.90499999999997</v>
      </c>
      <c r="AN158" s="67">
        <f>AN160-AN159-AN157</f>
        <v>-6.2509999999999764</v>
      </c>
      <c r="AO158" s="93">
        <f>AO160-AO159-AO157</f>
        <v>210.14700000000005</v>
      </c>
      <c r="AP158" s="67"/>
      <c r="AQ158" s="82">
        <f>AQ160-AQ159-AQ157</f>
        <v>60.451999999999998</v>
      </c>
      <c r="AR158" s="67">
        <f>AR160-AR159-AR157</f>
        <v>505.08899999999983</v>
      </c>
      <c r="AS158" s="67">
        <f>AS160-AS159-AS157</f>
        <v>325.67000000000007</v>
      </c>
      <c r="AT158" s="67">
        <f>AT160-AT159-AT157</f>
        <v>135.62400000000002</v>
      </c>
      <c r="AU158" s="93">
        <f>SUM(AQ158:AT158)</f>
        <v>1026.835</v>
      </c>
      <c r="AV158" s="67"/>
      <c r="AW158" s="82">
        <f>AW160-AW159-AW157</f>
        <v>65.099999999999909</v>
      </c>
      <c r="AX158" s="67">
        <f>AX160-AX159-AX157</f>
        <v>39.489999999999782</v>
      </c>
      <c r="AY158" s="67">
        <f>AY160-AY159-AY157</f>
        <v>105.18200000000002</v>
      </c>
      <c r="AZ158" s="67">
        <f>AZ160-AZ159-AZ157</f>
        <v>751.42699999999991</v>
      </c>
      <c r="BA158" s="93">
        <f>SUM(AW158:AZ158)</f>
        <v>961.19899999999961</v>
      </c>
      <c r="BB158" s="67"/>
      <c r="BC158" s="82">
        <f>BC160-BC159-BC157</f>
        <v>57.053000000000793</v>
      </c>
      <c r="BD158" s="67">
        <f>BD160-BD159-BD157</f>
        <v>148.65199999999959</v>
      </c>
      <c r="BE158" s="67">
        <f>BE160-BE159-BE157</f>
        <v>-36.083999999999833</v>
      </c>
      <c r="BF158" s="67">
        <f>BF160-BF159-BF157</f>
        <v>-69.881999999999607</v>
      </c>
      <c r="BG158" s="93">
        <f>SUM(BC158:BF158)</f>
        <v>99.739000000000942</v>
      </c>
      <c r="BH158" s="67"/>
      <c r="BI158" s="82">
        <f>BI160-BI159-BI157</f>
        <v>-9.1040000000002692</v>
      </c>
      <c r="BJ158" s="67">
        <f>BJ160-BJ159-BJ157</f>
        <v>100.36800000000039</v>
      </c>
      <c r="BK158" s="67">
        <f>BK160-BK159-BK157</f>
        <v>57.117999999999938</v>
      </c>
      <c r="BL158" s="67">
        <f>BL160-BL159-BL157</f>
        <v>134.9670000000001</v>
      </c>
      <c r="BM158" s="93">
        <f>SUM(BI158:BL158)</f>
        <v>283.34900000000016</v>
      </c>
      <c r="BN158" s="67"/>
      <c r="BO158" s="82">
        <f>BO160-BO159-BO157</f>
        <v>345.21599999999944</v>
      </c>
      <c r="BP158" s="67">
        <f>BP160-BP159-BP157</f>
        <v>-3.2759999999998399</v>
      </c>
      <c r="BQ158" s="67">
        <f>BQ160-BQ159-BQ157</f>
        <v>263.48999999999978</v>
      </c>
      <c r="BR158" s="67">
        <f>BR160-BR159-BR157</f>
        <v>319.19500000000016</v>
      </c>
      <c r="BS158" s="93">
        <f>SUM(BO158:BR158)</f>
        <v>924.62499999999955</v>
      </c>
      <c r="BT158" s="67"/>
      <c r="BU158" s="82">
        <f>BU160-BU159-BU157</f>
        <v>270.54399999999941</v>
      </c>
      <c r="BV158" s="67">
        <f>BV160-BV159-BV157</f>
        <v>2734.3960000000002</v>
      </c>
      <c r="BW158" s="67">
        <f>BW160-BW159-BW157</f>
        <v>-77.595000000000255</v>
      </c>
      <c r="BX158" s="67">
        <f>BX160-BX159-BX157</f>
        <v>-112.83800000000065</v>
      </c>
      <c r="BY158" s="93">
        <f>SUM(BU158:BX158)</f>
        <v>2814.5069999999987</v>
      </c>
      <c r="BZ158" s="67"/>
      <c r="CA158" s="82">
        <f>CA160-CA159-CA157</f>
        <v>105.63100000000122</v>
      </c>
      <c r="CB158" s="67">
        <f>CB160-CB159-CB157</f>
        <v>410.16299999999956</v>
      </c>
      <c r="CC158" s="67">
        <f>CC160-CC159-CC157</f>
        <v>23.217000000001462</v>
      </c>
      <c r="CD158" s="67">
        <f>CD160-CD159-CD157</f>
        <v>336.77999999999975</v>
      </c>
      <c r="CE158" s="93">
        <f>SUM(CA158:CD158)</f>
        <v>875.79100000000199</v>
      </c>
      <c r="CF158" s="67"/>
      <c r="CG158" s="82">
        <f>CG160-CG159-CG157</f>
        <v>-115.20000000000073</v>
      </c>
      <c r="CH158" s="67">
        <f>CH160-CH159-CH157</f>
        <v>140.20000000000073</v>
      </c>
      <c r="CI158" s="67">
        <f>CI160-CI159-CI157</f>
        <v>243.19999999999982</v>
      </c>
      <c r="CJ158" s="67">
        <f>CJ160-CJ159-CJ157</f>
        <v>-1.8000000000001819</v>
      </c>
      <c r="CK158" s="93">
        <f>SUM(CG158:CJ158)</f>
        <v>266.39999999999964</v>
      </c>
      <c r="CL158" s="67"/>
      <c r="CM158" s="82">
        <f>CM160-CM159-CM157</f>
        <v>66.400000000000546</v>
      </c>
      <c r="CN158" s="67">
        <f>CN160-CN159-CN157</f>
        <v>253.69999999999982</v>
      </c>
      <c r="CO158" s="67">
        <f>CO160-CO159-CO157</f>
        <v>-47.500000000000909</v>
      </c>
      <c r="CP158" s="67">
        <f>CP160-CP159-CP157</f>
        <v>1263.1000000000004</v>
      </c>
      <c r="CQ158" s="93">
        <f>SUM(CM158:CP158)</f>
        <v>1535.6999999999998</v>
      </c>
      <c r="CR158" s="67"/>
      <c r="CS158" s="82">
        <f>CS160-CS159-CS157</f>
        <v>101.29999999999927</v>
      </c>
      <c r="CT158" s="67">
        <f>CT160-CT159-CT157</f>
        <v>-150.69999999999891</v>
      </c>
      <c r="CU158" s="67">
        <f>CU160-CU159-CU157</f>
        <v>4725.8</v>
      </c>
      <c r="CV158" s="67">
        <f>CV160-CV159-CV157</f>
        <v>-956.20000000000073</v>
      </c>
      <c r="CW158" s="93">
        <f>SUM(CS158:CV158)</f>
        <v>3720.2</v>
      </c>
      <c r="CX158" s="67"/>
      <c r="CY158" s="82">
        <f>CY160-CY159-CY157</f>
        <v>850.5</v>
      </c>
      <c r="CZ158" s="67">
        <f>CZ160-CZ159-CZ157</f>
        <v>-32.699999999998909</v>
      </c>
      <c r="DA158" s="67">
        <f>DA160-DA159-DA157</f>
        <v>-621.39999999999964</v>
      </c>
      <c r="DB158" s="67">
        <f>DB160-DB159-DB157</f>
        <v>53.800000000001091</v>
      </c>
      <c r="DC158" s="93">
        <f>SUM(CY158:DB158)</f>
        <v>250.20000000000255</v>
      </c>
      <c r="DD158" s="67"/>
      <c r="DE158" s="82">
        <f>DE160-DE159-DE157</f>
        <v>-6.9000000000014552</v>
      </c>
      <c r="DF158" s="67">
        <f>DF160-DF159-DF157</f>
        <v>126</v>
      </c>
      <c r="DG158" s="67">
        <f>DG160-DG159-DG157</f>
        <v>80</v>
      </c>
      <c r="DH158" s="67">
        <f>DH160-DH159-DH157</f>
        <v>821.50000000000182</v>
      </c>
      <c r="DI158" s="93">
        <f>SUM(DE158:DH158)</f>
        <v>1020.6000000000004</v>
      </c>
      <c r="DJ158" s="67"/>
      <c r="DK158" s="81">
        <v>0</v>
      </c>
      <c r="DL158" s="69">
        <v>0</v>
      </c>
      <c r="DM158" s="69">
        <v>0</v>
      </c>
      <c r="DN158" s="69">
        <v>0</v>
      </c>
      <c r="DO158" s="93">
        <f>SUM(DK158:DN158)</f>
        <v>0</v>
      </c>
      <c r="DP158" s="67"/>
      <c r="DQ158" s="81">
        <v>0</v>
      </c>
      <c r="DR158" s="69">
        <v>0</v>
      </c>
      <c r="DS158" s="69">
        <v>0</v>
      </c>
      <c r="DT158" s="69">
        <v>0</v>
      </c>
      <c r="DU158" s="93">
        <f>SUM(DQ158:DT158)</f>
        <v>0</v>
      </c>
      <c r="DV158" s="67"/>
      <c r="DW158" s="81">
        <v>0</v>
      </c>
      <c r="DX158" s="69">
        <v>0</v>
      </c>
      <c r="DY158" s="69">
        <v>0</v>
      </c>
      <c r="DZ158" s="69">
        <v>0</v>
      </c>
      <c r="EA158" s="93">
        <f>SUM(DW158:DZ158)</f>
        <v>0</v>
      </c>
      <c r="EB158" s="67"/>
      <c r="EC158" s="81">
        <v>0</v>
      </c>
      <c r="ED158" s="69">
        <v>0</v>
      </c>
      <c r="EE158" s="69">
        <v>0</v>
      </c>
      <c r="EF158" s="69">
        <v>0</v>
      </c>
      <c r="EG158" s="93">
        <f t="shared" ref="EG158:EG159" si="837">SUM(EC158:EF158)</f>
        <v>0</v>
      </c>
      <c r="EH158" s="67"/>
      <c r="EI158" s="71"/>
      <c r="EJ158" s="10"/>
    </row>
    <row r="159" spans="1:140" ht="11.25" customHeight="1" x14ac:dyDescent="0.2">
      <c r="A159" s="51" t="s">
        <v>111</v>
      </c>
      <c r="B159" s="19"/>
      <c r="C159" s="19"/>
      <c r="D159" s="19"/>
      <c r="E159" s="92"/>
      <c r="F159" s="67"/>
      <c r="G159" s="92">
        <v>0</v>
      </c>
      <c r="H159" s="71"/>
      <c r="I159" s="92">
        <v>0</v>
      </c>
      <c r="J159" s="71"/>
      <c r="K159" s="92">
        <v>0</v>
      </c>
      <c r="L159" s="67"/>
      <c r="M159" s="84">
        <v>0</v>
      </c>
      <c r="N159" s="71">
        <v>0</v>
      </c>
      <c r="O159" s="71">
        <v>0</v>
      </c>
      <c r="P159" s="71">
        <v>0</v>
      </c>
      <c r="Q159" s="93">
        <f>SUM(M159:P159)</f>
        <v>0</v>
      </c>
      <c r="R159" s="67"/>
      <c r="S159" s="84">
        <v>0</v>
      </c>
      <c r="T159" s="71">
        <v>0</v>
      </c>
      <c r="U159" s="71">
        <v>0</v>
      </c>
      <c r="V159" s="71">
        <v>0</v>
      </c>
      <c r="W159" s="93">
        <f>SUM(S159:V159)</f>
        <v>0</v>
      </c>
      <c r="X159" s="67"/>
      <c r="Y159" s="84">
        <v>0</v>
      </c>
      <c r="Z159" s="71">
        <v>0</v>
      </c>
      <c r="AA159" s="71">
        <v>0</v>
      </c>
      <c r="AB159" s="71">
        <v>0</v>
      </c>
      <c r="AC159" s="93">
        <f>SUM(Y159:AB159)</f>
        <v>0</v>
      </c>
      <c r="AD159" s="67"/>
      <c r="AE159" s="84">
        <v>0</v>
      </c>
      <c r="AF159" s="71">
        <v>0</v>
      </c>
      <c r="AG159" s="71">
        <v>0</v>
      </c>
      <c r="AH159" s="71">
        <v>0</v>
      </c>
      <c r="AI159" s="93">
        <f>SUM(AE159:AH159)</f>
        <v>0</v>
      </c>
      <c r="AJ159" s="67"/>
      <c r="AK159" s="84">
        <v>0</v>
      </c>
      <c r="AL159" s="71">
        <v>0</v>
      </c>
      <c r="AM159" s="71">
        <v>0</v>
      </c>
      <c r="AN159" s="71">
        <v>0</v>
      </c>
      <c r="AO159" s="93">
        <f>SUM(AK159:AN159)</f>
        <v>0</v>
      </c>
      <c r="AP159" s="67"/>
      <c r="AQ159" s="354">
        <f>-CF!AQ35</f>
        <v>0</v>
      </c>
      <c r="AR159" s="355">
        <f>-CF!AR35</f>
        <v>-98.484999999999999</v>
      </c>
      <c r="AS159" s="355">
        <f>-CF!AS35</f>
        <v>0</v>
      </c>
      <c r="AT159" s="71">
        <v>0</v>
      </c>
      <c r="AU159" s="93">
        <f>SUM(AQ159:AT159)</f>
        <v>-98.484999999999999</v>
      </c>
      <c r="AV159" s="67"/>
      <c r="AW159" s="84">
        <v>0</v>
      </c>
      <c r="AX159" s="71">
        <v>0</v>
      </c>
      <c r="AY159" s="71">
        <v>0</v>
      </c>
      <c r="AZ159" s="71">
        <v>0</v>
      </c>
      <c r="BA159" s="93">
        <f>SUM(AW159:AZ159)</f>
        <v>0</v>
      </c>
      <c r="BB159" s="67"/>
      <c r="BC159" s="84">
        <v>0</v>
      </c>
      <c r="BD159" s="71">
        <v>0</v>
      </c>
      <c r="BE159" s="71">
        <v>0</v>
      </c>
      <c r="BF159" s="355">
        <f>CF!BF35</f>
        <v>0</v>
      </c>
      <c r="BG159" s="93">
        <f>SUM(BC159:BF159)</f>
        <v>0</v>
      </c>
      <c r="BH159" s="67"/>
      <c r="BI159" s="354">
        <f>CF!BI35</f>
        <v>0</v>
      </c>
      <c r="BJ159" s="355">
        <f>CF!BJ35</f>
        <v>0</v>
      </c>
      <c r="BK159" s="355">
        <f>CF!BK35</f>
        <v>0</v>
      </c>
      <c r="BL159" s="355">
        <f>CF!BL35</f>
        <v>9.7949999999999999</v>
      </c>
      <c r="BM159" s="93">
        <f>SUM(BI159:BL159)</f>
        <v>9.7949999999999999</v>
      </c>
      <c r="BN159" s="67"/>
      <c r="BO159" s="354">
        <f>-CF!BO35</f>
        <v>0</v>
      </c>
      <c r="BP159" s="355">
        <f>-CF!BP35</f>
        <v>0</v>
      </c>
      <c r="BQ159" s="355">
        <f>-CF!BQ35</f>
        <v>-45.225999999999999</v>
      </c>
      <c r="BR159" s="355">
        <f>-CF!BR35</f>
        <v>-11.316000000000003</v>
      </c>
      <c r="BS159" s="93">
        <f>SUM(BO159:BR159)</f>
        <v>-56.542000000000002</v>
      </c>
      <c r="BT159" s="67"/>
      <c r="BU159" s="354">
        <f>-CF!BU35</f>
        <v>0</v>
      </c>
      <c r="BV159" s="355">
        <f>-CF!BV35</f>
        <v>0</v>
      </c>
      <c r="BW159" s="355">
        <f>-CF!BW35</f>
        <v>-12.454000000000001</v>
      </c>
      <c r="BX159" s="355">
        <f>-CF!BX35</f>
        <v>-2.3460000000000001</v>
      </c>
      <c r="BY159" s="93">
        <f>-CF!BY35</f>
        <v>-14.8</v>
      </c>
      <c r="BZ159" s="67"/>
      <c r="CA159" s="354">
        <f>-CF!CA35</f>
        <v>-2.7</v>
      </c>
      <c r="CB159" s="355">
        <f>-CF!CB35</f>
        <v>-11.399999999999999</v>
      </c>
      <c r="CC159" s="355">
        <f>-CF!CC35</f>
        <v>-9.1000000000000014</v>
      </c>
      <c r="CD159" s="355">
        <f>-CF!CD35</f>
        <v>-6.8000000000000007</v>
      </c>
      <c r="CE159" s="93">
        <f>-CF!CE35</f>
        <v>-30</v>
      </c>
      <c r="CF159" s="67"/>
      <c r="CG159" s="354">
        <f>-CF!CG35</f>
        <v>8.9</v>
      </c>
      <c r="CH159" s="355">
        <f>-CF!CH35</f>
        <v>-3</v>
      </c>
      <c r="CI159" s="355">
        <f>-CF!CI35</f>
        <v>-2.3000000000000003</v>
      </c>
      <c r="CJ159" s="355">
        <f>-CF!CJ35</f>
        <v>-1.2000000000000002</v>
      </c>
      <c r="CK159" s="93">
        <f>-CF!CK35</f>
        <v>2.4</v>
      </c>
      <c r="CL159" s="67"/>
      <c r="CM159" s="354">
        <f>-CF!CM35</f>
        <v>-9</v>
      </c>
      <c r="CN159" s="355">
        <f>-CF!CN35</f>
        <v>-2.1999999999999993</v>
      </c>
      <c r="CO159" s="355">
        <f>-CF!CO35</f>
        <v>-9.5</v>
      </c>
      <c r="CP159" s="355">
        <f>-CF!CP35</f>
        <v>-9.6000000000000014</v>
      </c>
      <c r="CQ159" s="93">
        <f>SUM(CM159:CP159)</f>
        <v>-30.3</v>
      </c>
      <c r="CR159" s="67"/>
      <c r="CS159" s="354">
        <f>-CF!CS35</f>
        <v>-3.2</v>
      </c>
      <c r="CT159" s="355">
        <f>-CF!CT35</f>
        <v>-3.3</v>
      </c>
      <c r="CU159" s="355">
        <f>-CF!CU35</f>
        <v>-28.4</v>
      </c>
      <c r="CV159" s="355">
        <f>-CF!CV35</f>
        <v>-31.4</v>
      </c>
      <c r="CW159" s="93">
        <f>SUM(CS159:CV159)</f>
        <v>-66.3</v>
      </c>
      <c r="CX159" s="67"/>
      <c r="CY159" s="354">
        <f>-CF!CY35</f>
        <v>-2</v>
      </c>
      <c r="CZ159" s="355">
        <f>-CF!CZ35</f>
        <v>-7.6</v>
      </c>
      <c r="DA159" s="355">
        <f>-CF!DA35</f>
        <v>2.3999999999999995</v>
      </c>
      <c r="DB159" s="355">
        <f>-CF!DB35</f>
        <v>-24.5</v>
      </c>
      <c r="DC159" s="93">
        <f>SUM(CY159:DB159)</f>
        <v>-31.7</v>
      </c>
      <c r="DD159" s="67"/>
      <c r="DE159" s="354">
        <f>-CF!DE35</f>
        <v>5.0999999999999996</v>
      </c>
      <c r="DF159" s="355">
        <f>-CF!DF35</f>
        <v>-32.6</v>
      </c>
      <c r="DG159" s="355">
        <f>-CF!DG35</f>
        <v>29.9</v>
      </c>
      <c r="DH159" s="355">
        <f>-CF!DH35</f>
        <v>-26.5</v>
      </c>
      <c r="DI159" s="93">
        <f>SUM(DE159:DH159)</f>
        <v>-24.1</v>
      </c>
      <c r="DJ159" s="67"/>
      <c r="DK159" s="81">
        <v>0</v>
      </c>
      <c r="DL159" s="69">
        <v>0</v>
      </c>
      <c r="DM159" s="69">
        <v>0</v>
      </c>
      <c r="DN159" s="69">
        <v>0</v>
      </c>
      <c r="DO159" s="93">
        <f>SUM(DK159:DN159)</f>
        <v>0</v>
      </c>
      <c r="DP159" s="67"/>
      <c r="DQ159" s="81">
        <v>0</v>
      </c>
      <c r="DR159" s="69">
        <v>0</v>
      </c>
      <c r="DS159" s="69">
        <v>0</v>
      </c>
      <c r="DT159" s="69">
        <v>0</v>
      </c>
      <c r="DU159" s="93">
        <f>SUM(DQ159:DT159)</f>
        <v>0</v>
      </c>
      <c r="DV159" s="67"/>
      <c r="DW159" s="81">
        <v>0</v>
      </c>
      <c r="DX159" s="69">
        <v>0</v>
      </c>
      <c r="DY159" s="69">
        <v>0</v>
      </c>
      <c r="DZ159" s="69">
        <v>0</v>
      </c>
      <c r="EA159" s="93">
        <f>SUM(DW159:DZ159)</f>
        <v>0</v>
      </c>
      <c r="EB159" s="67"/>
      <c r="EC159" s="81">
        <v>0</v>
      </c>
      <c r="ED159" s="69">
        <v>0</v>
      </c>
      <c r="EE159" s="69">
        <v>0</v>
      </c>
      <c r="EF159" s="69">
        <v>0</v>
      </c>
      <c r="EG159" s="93">
        <f t="shared" si="837"/>
        <v>0</v>
      </c>
      <c r="EH159" s="67"/>
      <c r="EI159" s="71"/>
      <c r="EJ159" s="10"/>
    </row>
    <row r="160" spans="1:140" ht="11.25" customHeight="1" x14ac:dyDescent="0.2">
      <c r="A160" s="50" t="s">
        <v>588</v>
      </c>
      <c r="B160" s="19"/>
      <c r="C160" s="19"/>
      <c r="D160" s="19"/>
      <c r="E160" s="93"/>
      <c r="F160" s="67"/>
      <c r="G160" s="93">
        <f>G163+G162</f>
        <v>1292.7619999999999</v>
      </c>
      <c r="H160" s="67"/>
      <c r="I160" s="93">
        <f>I163+I162</f>
        <v>1297.289</v>
      </c>
      <c r="J160" s="67"/>
      <c r="K160" s="93">
        <f>K163+K162</f>
        <v>1868.9</v>
      </c>
      <c r="L160" s="67"/>
      <c r="M160" s="82">
        <f>M163+M162</f>
        <v>1983.8489999999999</v>
      </c>
      <c r="N160" s="67">
        <f>N163+N162</f>
        <v>2076.3539999999998</v>
      </c>
      <c r="O160" s="67">
        <f>O163+O162</f>
        <v>2183.4490000000001</v>
      </c>
      <c r="P160" s="67">
        <f>P163+P162</f>
        <v>2305.1570000000002</v>
      </c>
      <c r="Q160" s="93">
        <f>Q163+Q162</f>
        <v>2328.6570000000002</v>
      </c>
      <c r="R160" s="67"/>
      <c r="S160" s="82">
        <f>S163+S162</f>
        <v>2832.8890000000001</v>
      </c>
      <c r="T160" s="67">
        <f>T163+T162</f>
        <v>2877.4720000000002</v>
      </c>
      <c r="U160" s="67">
        <f>U163+U162</f>
        <v>3032.1669999999999</v>
      </c>
      <c r="V160" s="67">
        <f>V163+V162</f>
        <v>3020.2040000000002</v>
      </c>
      <c r="W160" s="93">
        <f>W163+W162</f>
        <v>3043.7040000000002</v>
      </c>
      <c r="X160" s="67"/>
      <c r="Y160" s="82">
        <f>Y163+Y162</f>
        <v>3152.8850000000002</v>
      </c>
      <c r="Z160" s="67">
        <f>Z163+Z162</f>
        <v>3187.0509999999999</v>
      </c>
      <c r="AA160" s="67">
        <f>AA163+AA162</f>
        <v>3216.5420000000004</v>
      </c>
      <c r="AB160" s="67">
        <f>AB163+AB162</f>
        <v>3354.4719999999998</v>
      </c>
      <c r="AC160" s="93">
        <f>AC163+AC162</f>
        <v>3377.9719999999998</v>
      </c>
      <c r="AD160" s="67"/>
      <c r="AE160" s="82">
        <f>AE163+AE162</f>
        <v>379.11799999999999</v>
      </c>
      <c r="AF160" s="67">
        <f>AF163+AF162</f>
        <v>564.32600000000002</v>
      </c>
      <c r="AG160" s="67">
        <f>AG163+AG162</f>
        <v>662.92499999999995</v>
      </c>
      <c r="AH160" s="67">
        <f>AH163+AH162</f>
        <v>672.5</v>
      </c>
      <c r="AI160" s="93">
        <f>AI163+AI162</f>
        <v>696</v>
      </c>
      <c r="AJ160" s="67"/>
      <c r="AK160" s="82">
        <f>AK163+AK162</f>
        <v>772.90499999999997</v>
      </c>
      <c r="AL160" s="67">
        <f>AL163+AL162</f>
        <v>749.99300000000005</v>
      </c>
      <c r="AM160" s="67">
        <f>AM163+AM162</f>
        <v>861.39800000000002</v>
      </c>
      <c r="AN160" s="67">
        <f>AN163+AN162</f>
        <v>846.64700000000005</v>
      </c>
      <c r="AO160" s="93">
        <f>AO163+AO162</f>
        <v>870.14700000000005</v>
      </c>
      <c r="AP160" s="67"/>
      <c r="AQ160" s="82">
        <f>AQ163+AQ162</f>
        <v>894.59900000000005</v>
      </c>
      <c r="AR160" s="67">
        <f>AR163+AR162</f>
        <v>1288.703</v>
      </c>
      <c r="AS160" s="67">
        <f>AS163+AS162</f>
        <v>1600.373</v>
      </c>
      <c r="AT160" s="67">
        <f>AT163+AT162</f>
        <v>1719.9970000000001</v>
      </c>
      <c r="AU160" s="93">
        <f>SUM(AU157:AU159)</f>
        <v>1762.4970000000001</v>
      </c>
      <c r="AV160" s="67"/>
      <c r="AW160" s="82">
        <f>AW163+AW162</f>
        <v>1763.424</v>
      </c>
      <c r="AX160" s="67">
        <f>AX163+AX162</f>
        <v>1781.6309999999999</v>
      </c>
      <c r="AY160" s="67">
        <f>AY163+AY162</f>
        <v>1865.53</v>
      </c>
      <c r="AZ160" s="67">
        <f>AZ163+AZ162</f>
        <v>2595.674</v>
      </c>
      <c r="BA160" s="93">
        <f>SUM(BA157:BA159)</f>
        <v>2659.5229999999997</v>
      </c>
      <c r="BB160" s="67"/>
      <c r="BC160" s="82">
        <f>BC163+BC162</f>
        <v>2622.0260000000003</v>
      </c>
      <c r="BD160" s="67">
        <f>BD163+BD162</f>
        <v>2733.6639999999998</v>
      </c>
      <c r="BE160" s="67">
        <f>BE163+BE162</f>
        <v>2661.8389999999999</v>
      </c>
      <c r="BF160" s="67">
        <f>BF163+BF162</f>
        <v>2554.7800000000002</v>
      </c>
      <c r="BG160" s="93">
        <f>SUM(BG157:BG159)</f>
        <v>2664.7120000000004</v>
      </c>
      <c r="BH160" s="67"/>
      <c r="BI160" s="82">
        <f>BI163+BI162</f>
        <v>2510.3180000000002</v>
      </c>
      <c r="BJ160" s="67">
        <f>BJ163+BJ162</f>
        <v>2575.2810000000004</v>
      </c>
      <c r="BK160" s="67">
        <f>BK163+BK162</f>
        <v>2592.7150000000001</v>
      </c>
      <c r="BL160" s="67">
        <f>BL163+BL162</f>
        <v>2698.6750000000002</v>
      </c>
      <c r="BM160" s="93">
        <f>SUM(BM157:BM159)</f>
        <v>2812.5660000000007</v>
      </c>
      <c r="BN160" s="67"/>
      <c r="BO160" s="82">
        <f>BO163+BO162</f>
        <v>3000.7190000000001</v>
      </c>
      <c r="BP160" s="67">
        <f>BP163+BP162</f>
        <v>2951.3670000000002</v>
      </c>
      <c r="BQ160" s="67">
        <f>BQ163+BQ162</f>
        <v>3121.3449999999998</v>
      </c>
      <c r="BR160" s="67">
        <f>BR163+BR162</f>
        <v>3378.8690000000001</v>
      </c>
      <c r="BS160" s="93">
        <f>SUM(BS157:BS159)</f>
        <v>3523.5860000000002</v>
      </c>
      <c r="BT160" s="67"/>
      <c r="BU160" s="82">
        <f>BU163+BU162</f>
        <v>3595.0459999999998</v>
      </c>
      <c r="BV160" s="67">
        <f>BV163+BV162</f>
        <v>6273.8620000000001</v>
      </c>
      <c r="BW160" s="67">
        <f>BW163+BW162</f>
        <v>6120.72</v>
      </c>
      <c r="BX160" s="67">
        <f>BX163+BX162</f>
        <v>5922.4229999999998</v>
      </c>
      <c r="BY160" s="93">
        <f>SUM(BY157:BY159)</f>
        <v>6124.2089999999989</v>
      </c>
      <c r="BZ160" s="67"/>
      <c r="CA160" s="82">
        <f>CA163+CA162</f>
        <v>5943.14</v>
      </c>
      <c r="CB160" s="67">
        <f>CB163+CB162</f>
        <v>6260.6109999999999</v>
      </c>
      <c r="CC160" s="67">
        <f>CC163+CC162</f>
        <v>6190.9990000000007</v>
      </c>
      <c r="CD160" s="67">
        <f>CD163+CD162</f>
        <v>6434.0529999999999</v>
      </c>
      <c r="CE160" s="93">
        <f>SUM(CE157:CE159)</f>
        <v>6686.0000000000009</v>
      </c>
      <c r="CF160" s="67"/>
      <c r="CG160" s="82">
        <f>CG163+CG162</f>
        <v>6237.7</v>
      </c>
      <c r="CH160" s="67">
        <f>CH163+CH162</f>
        <v>6285.6</v>
      </c>
      <c r="CI160" s="67">
        <f>CI163+CI162</f>
        <v>6436.4</v>
      </c>
      <c r="CJ160" s="67">
        <f>CJ163+CJ162</f>
        <v>6341.5</v>
      </c>
      <c r="CK160" s="93">
        <f>SUM(CK157:CK159)</f>
        <v>6612.8</v>
      </c>
      <c r="CL160" s="67"/>
      <c r="CM160" s="82">
        <f>CM163+CM162</f>
        <v>6305.1</v>
      </c>
      <c r="CN160" s="67">
        <f>CN163+CN162</f>
        <v>6464.1</v>
      </c>
      <c r="CO160" s="67">
        <f>CO163+CO162</f>
        <v>6312.0999999999995</v>
      </c>
      <c r="CP160" s="67">
        <f>CP163+CP162</f>
        <v>7467.4</v>
      </c>
      <c r="CQ160" s="93">
        <f>SUM(CQ157:CQ159)</f>
        <v>7753.0999999999995</v>
      </c>
      <c r="CR160" s="67"/>
      <c r="CS160" s="82">
        <f>CS163+CS162</f>
        <v>7467.2999999999993</v>
      </c>
      <c r="CT160" s="67">
        <f>CT163+CT162</f>
        <v>7204.4000000000005</v>
      </c>
      <c r="CU160" s="67">
        <f>CU163+CU162</f>
        <v>11794.7</v>
      </c>
      <c r="CV160" s="67">
        <f>CV163+CV162</f>
        <v>10702.9</v>
      </c>
      <c r="CW160" s="93">
        <f>SUM(CW157:CW159)</f>
        <v>11023.1</v>
      </c>
      <c r="CX160" s="67"/>
      <c r="CY160" s="82">
        <f>CY163+CY162</f>
        <v>11393.8</v>
      </c>
      <c r="CZ160" s="67">
        <f>CZ163+CZ162</f>
        <v>11223.5</v>
      </c>
      <c r="DA160" s="67">
        <f>DA163+DA162</f>
        <v>10464.5</v>
      </c>
      <c r="DB160" s="67">
        <f>DB163+DB162</f>
        <v>10337.200000000001</v>
      </c>
      <c r="DC160" s="93">
        <f>SUM(DC157:DC159)</f>
        <v>10763.800000000001</v>
      </c>
      <c r="DD160" s="67"/>
      <c r="DE160" s="82">
        <f>DE163+DE162</f>
        <v>10178.9</v>
      </c>
      <c r="DF160" s="67">
        <f>DF163+DF162</f>
        <v>10106.199999999999</v>
      </c>
      <c r="DG160" s="67">
        <f>DG163+DG162</f>
        <v>10055.799999999999</v>
      </c>
      <c r="DH160" s="67">
        <f>DH163+DH162</f>
        <v>10684.300000000001</v>
      </c>
      <c r="DI160" s="93">
        <f>SUM(DI157:DI159)</f>
        <v>11177.2</v>
      </c>
      <c r="DJ160" s="67"/>
      <c r="DK160" s="82">
        <f>SUM(DK157:DK159)</f>
        <v>10516.7</v>
      </c>
      <c r="DL160" s="67">
        <f>SUM(DL157:DL159)</f>
        <v>10343.17445</v>
      </c>
      <c r="DM160" s="67">
        <f>SUM(DM157:DM159)</f>
        <v>10168.633381156251</v>
      </c>
      <c r="DN160" s="67">
        <f>SUM(DN157:DN159)</f>
        <v>9997.0376928492387</v>
      </c>
      <c r="DO160" s="93">
        <f>SUM(DO157:DO159)</f>
        <v>10516.7</v>
      </c>
      <c r="DP160" s="67"/>
      <c r="DQ160" s="82">
        <f>SUM(DQ157:DQ159)</f>
        <v>9828.3376817824083</v>
      </c>
      <c r="DR160" s="67">
        <f>SUM(DR157:DR159)</f>
        <v>9653.8846879307712</v>
      </c>
      <c r="DS160" s="67">
        <f>SUM(DS157:DS159)</f>
        <v>9482.5282347199991</v>
      </c>
      <c r="DT160" s="67">
        <f>SUM(DT157:DT159)</f>
        <v>9314.2133585537194</v>
      </c>
      <c r="DU160" s="93">
        <f>SUM(DU157:DU159)</f>
        <v>9828.3376817824083</v>
      </c>
      <c r="DV160" s="67"/>
      <c r="DW160" s="82">
        <f>SUM(DW157:DW159)</f>
        <v>9148.8860714393904</v>
      </c>
      <c r="DX160" s="67">
        <f>SUM(DX157:DX159)</f>
        <v>8975.0572360820424</v>
      </c>
      <c r="DY160" s="67">
        <f>SUM(DY157:DY159)</f>
        <v>8804.531148596483</v>
      </c>
      <c r="DZ160" s="67">
        <f>SUM(DZ157:DZ159)</f>
        <v>8637.2450567731503</v>
      </c>
      <c r="EA160" s="93">
        <f>SUM(EA157:EA159)</f>
        <v>9148.8860714393904</v>
      </c>
      <c r="EB160" s="67"/>
      <c r="EC160" s="82">
        <f t="shared" ref="EC160:EG160" si="838">SUM(EC157:EC159)</f>
        <v>8473.1374006944607</v>
      </c>
      <c r="ED160" s="67">
        <f t="shared" si="838"/>
        <v>8301.5563683303972</v>
      </c>
      <c r="EE160" s="67">
        <f t="shared" si="838"/>
        <v>8133.4498518717064</v>
      </c>
      <c r="EF160" s="67">
        <f t="shared" si="838"/>
        <v>7968.7474923713044</v>
      </c>
      <c r="EG160" s="93">
        <f t="shared" si="838"/>
        <v>8473.1374006944607</v>
      </c>
      <c r="EH160" s="67"/>
      <c r="EI160" s="71"/>
      <c r="EJ160" s="10"/>
    </row>
    <row r="161" spans="1:140" ht="11.25" customHeight="1" x14ac:dyDescent="0.2">
      <c r="A161" s="51" t="s">
        <v>130</v>
      </c>
      <c r="B161" s="19"/>
      <c r="C161" s="19"/>
      <c r="D161" s="19"/>
      <c r="E161" s="158"/>
      <c r="F161" s="67"/>
      <c r="G161" s="158">
        <f>G162/G160</f>
        <v>3.867687942560193E-3</v>
      </c>
      <c r="H161" s="67"/>
      <c r="I161" s="158">
        <f>I162/I160</f>
        <v>3.8541913174319677E-3</v>
      </c>
      <c r="J161" s="67"/>
      <c r="K161" s="158">
        <f>K162/K160</f>
        <v>2.6753705388196263E-3</v>
      </c>
      <c r="L161" s="67"/>
      <c r="M161" s="149">
        <f>(M162*4)/M160</f>
        <v>1.5122118669314046E-2</v>
      </c>
      <c r="N161" s="22">
        <f t="shared" ref="N161:P161" si="839">(N162*4)/N160</f>
        <v>1.444840330695055E-2</v>
      </c>
      <c r="O161" s="22">
        <f t="shared" si="839"/>
        <v>1.5571694140783686E-2</v>
      </c>
      <c r="P161" s="22">
        <f t="shared" si="839"/>
        <v>2.1690496569214155E-2</v>
      </c>
      <c r="Q161" s="158">
        <f>Q162/Q160</f>
        <v>1.5459554584466496E-2</v>
      </c>
      <c r="R161" s="67"/>
      <c r="S161" s="149">
        <f>(S162*4)/S160</f>
        <v>1.0589896038990585E-2</v>
      </c>
      <c r="T161" s="22">
        <f t="shared" ref="T161" si="840">(T162*4)/T160</f>
        <v>1.0425818218213765E-2</v>
      </c>
      <c r="U161" s="22">
        <f t="shared" ref="U161" si="841">(U162*4)/U160</f>
        <v>1.1213102708393041E-2</v>
      </c>
      <c r="V161" s="22">
        <f t="shared" ref="V161" si="842">(V162*4)/V160</f>
        <v>1.6555173094267805E-2</v>
      </c>
      <c r="W161" s="158">
        <f>W162/W160</f>
        <v>1.1827694151599498E-2</v>
      </c>
      <c r="X161" s="67"/>
      <c r="Y161" s="149">
        <f>(Y162*4)/Y160</f>
        <v>9.5150949051424332E-3</v>
      </c>
      <c r="Z161" s="22">
        <f t="shared" ref="Z161" si="843">(Z162*4)/Z160</f>
        <v>9.4130906596725308E-3</v>
      </c>
      <c r="AA161" s="22">
        <f t="shared" ref="AA161" si="844">(AA162*4)/AA160</f>
        <v>1.0570357856356297E-2</v>
      </c>
      <c r="AB161" s="22">
        <f t="shared" ref="AB161" si="845">(AB162*4)/AB160</f>
        <v>1.4905475436968919E-2</v>
      </c>
      <c r="AC161" s="158">
        <f>AC162/AC160</f>
        <v>1.0657281943130375E-2</v>
      </c>
      <c r="AD161" s="67"/>
      <c r="AE161" s="149">
        <f>(AE162*4)/AE160</f>
        <v>7.9131035719749526E-2</v>
      </c>
      <c r="AF161" s="22">
        <f t="shared" ref="AF161" si="846">(AF162*4)/AF160</f>
        <v>5.3160761687393455E-2</v>
      </c>
      <c r="AG161" s="22">
        <f t="shared" ref="AG161" si="847">(AG162*4)/AG160</f>
        <v>5.1287853075385602E-2</v>
      </c>
      <c r="AH161" s="22">
        <f t="shared" ref="AH161" si="848">(AH162*4)/AH160</f>
        <v>7.434944237918216E-2</v>
      </c>
      <c r="AI161" s="158">
        <f>AI162/AI160</f>
        <v>5.1724137931034482E-2</v>
      </c>
      <c r="AJ161" s="67"/>
      <c r="AK161" s="149">
        <f>(AK162*4)/AK160</f>
        <v>3.881460205329245E-2</v>
      </c>
      <c r="AL161" s="22">
        <f t="shared" ref="AL161" si="849">(AL162*4)/AL160</f>
        <v>4.0000373336817809E-2</v>
      </c>
      <c r="AM161" s="22">
        <f t="shared" ref="AM161" si="850">(AM162*4)/AM160</f>
        <v>3.9470720851453103E-2</v>
      </c>
      <c r="AN161" s="22">
        <f t="shared" ref="AN161" si="851">(AN162*4)/AN160</f>
        <v>5.9056489894844008E-2</v>
      </c>
      <c r="AO161" s="158">
        <f>AO162/AO160</f>
        <v>4.1372319849404753E-2</v>
      </c>
      <c r="AP161" s="67"/>
      <c r="AQ161" s="149">
        <f>(AQ162*4)/AQ160</f>
        <v>5.5890963437249537E-2</v>
      </c>
      <c r="AR161" s="22">
        <f t="shared" ref="AR161" si="852">(AR162*4)/AR160</f>
        <v>4.3454543056080416E-2</v>
      </c>
      <c r="AS161" s="22">
        <f t="shared" ref="AS161" si="853">(AS162*4)/AS160</f>
        <v>3.9990677173383955E-2</v>
      </c>
      <c r="AT161" s="22">
        <f t="shared" ref="AT161" si="854">(AT162*4)/AT160</f>
        <v>5.0402413492581677E-2</v>
      </c>
      <c r="AU161" s="158">
        <f>AU162/AU160</f>
        <v>3.6410274740893173E-2</v>
      </c>
      <c r="AV161" s="67"/>
      <c r="AW161" s="149">
        <f>(AW162*4)/AW160</f>
        <v>4.8276534741502897E-2</v>
      </c>
      <c r="AX161" s="22">
        <f t="shared" ref="AX161" si="855">(AX162*4)/AX160</f>
        <v>4.7783182937432056E-2</v>
      </c>
      <c r="AY161" s="22">
        <f t="shared" ref="AY161" si="856">(AY162*4)/AY160</f>
        <v>4.5634216549720455E-2</v>
      </c>
      <c r="AZ161" s="22">
        <f t="shared" ref="AZ161" si="857">(AZ162*4)/AZ160</f>
        <v>4.7311025960887224E-2</v>
      </c>
      <c r="BA161" s="158">
        <f>BA162/BA160</f>
        <v>3.5551487992395631E-2</v>
      </c>
      <c r="BB161" s="67"/>
      <c r="BC161" s="149">
        <f>(BC162*4)/BC160</f>
        <v>5.646625929719995E-2</v>
      </c>
      <c r="BD161" s="22">
        <f t="shared" ref="BD161" si="858">(BD162*4)/BD160</f>
        <v>5.2297575707914351E-2</v>
      </c>
      <c r="BE161" s="22">
        <f t="shared" ref="BE161" si="859">(BE162*4)/BE160</f>
        <v>5.5866639567607207E-2</v>
      </c>
      <c r="BF161" s="22">
        <f t="shared" ref="BF161" si="860">(BF162*4)/BF160</f>
        <v>5.5359757004517035E-2</v>
      </c>
      <c r="BG161" s="158">
        <f>BG162/BG160</f>
        <v>5.4523715883742774E-2</v>
      </c>
      <c r="BH161" s="67"/>
      <c r="BI161" s="149">
        <f>(BI162*4)/BI160</f>
        <v>5.6415163337871929E-2</v>
      </c>
      <c r="BJ161" s="22">
        <f t="shared" ref="BJ161" si="861">(BJ162*4)/BJ160</f>
        <v>6.1638322186976867E-2</v>
      </c>
      <c r="BK161" s="22">
        <f t="shared" ref="BK161" si="862">(BK162*4)/BK160</f>
        <v>5.986311646285844E-2</v>
      </c>
      <c r="BL161" s="22">
        <f t="shared" ref="BL161" si="863">(BL162*4)/BL160</f>
        <v>6.3989920979740031E-2</v>
      </c>
      <c r="BM161" s="158">
        <f>BM162/BM160</f>
        <v>5.5843311765839433E-2</v>
      </c>
      <c r="BN161" s="67"/>
      <c r="BO161" s="149">
        <f>(BO162*4)/BO160</f>
        <v>6.1419946352857434E-2</v>
      </c>
      <c r="BP161" s="22">
        <f t="shared" ref="BP161" si="864">(BP162*4)/BP160</f>
        <v>6.5442217114984338E-2</v>
      </c>
      <c r="BQ161" s="22">
        <f t="shared" ref="BQ161" si="865">(BQ162*4)/BQ160</f>
        <v>6.4529874140795099E-2</v>
      </c>
      <c r="BR161" s="22">
        <f t="shared" ref="BR161" si="866">(BR162*4)/BR160</f>
        <v>6.4361181211819676E-2</v>
      </c>
      <c r="BS161" s="158">
        <f>BS162/BS160</f>
        <v>5.6500394768284355E-2</v>
      </c>
      <c r="BT161" s="67"/>
      <c r="BU161" s="149">
        <f>(BU162*4)/BU160</f>
        <v>6.1840655168250977E-2</v>
      </c>
      <c r="BV161" s="22">
        <f t="shared" ref="BV161" si="867">(BV162*4)/BV160</f>
        <v>4.0225940576952446E-2</v>
      </c>
      <c r="BW161" s="22">
        <f t="shared" ref="BW161" si="868">(BW162*4)/BW160</f>
        <v>5.4315832124325253E-2</v>
      </c>
      <c r="BX161" s="22">
        <f t="shared" ref="BX161" si="869">(BX162*4)/BX160</f>
        <v>5.5527273212332175E-2</v>
      </c>
      <c r="BY161" s="158">
        <f>BY162/BY160</f>
        <v>4.6373335723846137E-2</v>
      </c>
      <c r="BZ161" s="67"/>
      <c r="CA161" s="149">
        <f>(CA162*4)/CA160</f>
        <v>5.4713165094545976E-2</v>
      </c>
      <c r="CB161" s="22">
        <f t="shared" ref="CB161" si="870">(CB162*4)/CB160</f>
        <v>5.3495737077419434E-2</v>
      </c>
      <c r="CC161" s="22">
        <f t="shared" ref="CC161" si="871">(CC162*4)/CC160</f>
        <v>5.6162826064097254E-2</v>
      </c>
      <c r="CD161" s="22">
        <f t="shared" ref="CD161" si="872">(CD162*4)/CD160</f>
        <v>5.5985239785870569E-2</v>
      </c>
      <c r="CE161" s="158">
        <f>CE162/CE160</f>
        <v>5.1151660185462154E-2</v>
      </c>
      <c r="CF161" s="67"/>
      <c r="CG161" s="149">
        <f>(CG162*4)/CG160</f>
        <v>5.7264696923545536E-2</v>
      </c>
      <c r="CH161" s="22">
        <f t="shared" ref="CH161" si="873">(CH162*4)/CH160</f>
        <v>5.7337406134656994E-2</v>
      </c>
      <c r="CI161" s="22">
        <f t="shared" ref="CI161" si="874">(CI162*4)/CI160</f>
        <v>5.7112671679821023E-2</v>
      </c>
      <c r="CJ161" s="22">
        <f t="shared" ref="CJ161" si="875">(CJ162*4)/CJ160</f>
        <v>5.9165812504927862E-2</v>
      </c>
      <c r="CK161" s="158">
        <f>CK162/CK160</f>
        <v>5.5211105734333417E-2</v>
      </c>
      <c r="CL161" s="67"/>
      <c r="CM161" s="149">
        <f>(CM162*4)/CM160</f>
        <v>5.8682653724762487E-2</v>
      </c>
      <c r="CN161" s="22">
        <f t="shared" ref="CN161" si="876">(CN162*4)/CN160</f>
        <v>5.8786219272597882E-2</v>
      </c>
      <c r="CO161" s="22">
        <f t="shared" ref="CO161" si="877">(CO162*4)/CO160</f>
        <v>6.222968584147906E-2</v>
      </c>
      <c r="CP161" s="22">
        <f t="shared" ref="CP161" si="878">(CP162*4)/CP160</f>
        <v>5.2601976591584748E-2</v>
      </c>
      <c r="CQ161" s="158">
        <f>CQ162/CQ160</f>
        <v>4.9515677599927768E-2</v>
      </c>
      <c r="CR161" s="67"/>
      <c r="CS161" s="149">
        <f>(CS162*4)/CS160</f>
        <v>5.8334337712426187E-2</v>
      </c>
      <c r="CT161" s="22">
        <f t="shared" ref="CT161" si="879">(CT162*4)/CT160</f>
        <v>5.9463661095996885E-2</v>
      </c>
      <c r="CU161" s="22">
        <f t="shared" ref="CU161" si="880">(CU162*4)/CU160</f>
        <v>3.5337906008630987E-2</v>
      </c>
      <c r="CV161" s="22">
        <f t="shared" ref="CV161" si="881">(CV162*4)/CV160</f>
        <v>5.8899924319576927E-2</v>
      </c>
      <c r="CW161" s="158">
        <f>CW162/CW160</f>
        <v>4.3345338425669733E-2</v>
      </c>
      <c r="CX161" s="67"/>
      <c r="CY161" s="149">
        <f>(CY162*4)/CY160</f>
        <v>4.5638856220049505E-2</v>
      </c>
      <c r="CZ161" s="22">
        <f t="shared" ref="CZ161" si="882">(CZ162*4)/CZ160</f>
        <v>4.9895308949971046E-2</v>
      </c>
      <c r="DA161" s="22">
        <f t="shared" ref="DA161" si="883">(DA162*4)/DA160</f>
        <v>5.9859525060920266E-2</v>
      </c>
      <c r="DB161" s="22">
        <f t="shared" ref="DB161" si="884">(DB162*4)/DB160</f>
        <v>6.0557984754092013E-2</v>
      </c>
      <c r="DC161" s="158">
        <f>DC162/DC160</f>
        <v>5.4172318326241656E-2</v>
      </c>
      <c r="DD161" s="67"/>
      <c r="DE161" s="149">
        <f>(DE162*4)/DE160</f>
        <v>6.527227892994332E-2</v>
      </c>
      <c r="DF161" s="22">
        <f t="shared" ref="DF161:DH161" si="885">(DF162*4)/DF160</f>
        <v>6.3446201341750608E-2</v>
      </c>
      <c r="DG161" s="22">
        <f t="shared" si="885"/>
        <v>6.6230434177290728E-2</v>
      </c>
      <c r="DH161" s="22">
        <f t="shared" si="885"/>
        <v>6.274627256816076E-2</v>
      </c>
      <c r="DI161" s="158">
        <f>DI162/DI160</f>
        <v>5.9093511791862001E-2</v>
      </c>
      <c r="DJ161" s="67"/>
      <c r="DK161" s="365">
        <v>6.6000000000000003E-2</v>
      </c>
      <c r="DL161" s="341">
        <v>6.7500000000000004E-2</v>
      </c>
      <c r="DM161" s="341">
        <f>+DL161</f>
        <v>6.7500000000000004E-2</v>
      </c>
      <c r="DN161" s="341">
        <f>+DM161</f>
        <v>6.7500000000000004E-2</v>
      </c>
      <c r="DO161" s="158">
        <f>DO162/DO160</f>
        <v>6.5454212653930671E-2</v>
      </c>
      <c r="DP161" s="67"/>
      <c r="DQ161" s="365">
        <f>+DK161+0.005</f>
        <v>7.1000000000000008E-2</v>
      </c>
      <c r="DR161" s="341">
        <f t="shared" ref="DR161:DT161" si="886">+DQ161</f>
        <v>7.1000000000000008E-2</v>
      </c>
      <c r="DS161" s="341">
        <f t="shared" si="886"/>
        <v>7.1000000000000008E-2</v>
      </c>
      <c r="DT161" s="341">
        <f t="shared" si="886"/>
        <v>7.1000000000000008E-2</v>
      </c>
      <c r="DU161" s="158">
        <f t="shared" ref="DU161" si="887">DU162/DU160</f>
        <v>6.91318951731211E-2</v>
      </c>
      <c r="DV161" s="67"/>
      <c r="DW161" s="365">
        <f t="shared" ref="DW161" si="888">+DQ161+0.005</f>
        <v>7.6000000000000012E-2</v>
      </c>
      <c r="DX161" s="341">
        <f t="shared" ref="DX161" si="889">+DW161</f>
        <v>7.6000000000000012E-2</v>
      </c>
      <c r="DY161" s="341">
        <f t="shared" ref="DY161" si="890">+DX161</f>
        <v>7.6000000000000012E-2</v>
      </c>
      <c r="DZ161" s="341">
        <f t="shared" ref="DZ161" si="891">+DY161</f>
        <v>7.6000000000000012E-2</v>
      </c>
      <c r="EA161" s="158">
        <f t="shared" ref="EA161" si="892">EA162/EA160</f>
        <v>7.3861305679000011E-2</v>
      </c>
      <c r="EB161" s="67"/>
      <c r="EC161" s="365">
        <f t="shared" ref="EC161" si="893">+DW161+0.005</f>
        <v>8.1000000000000016E-2</v>
      </c>
      <c r="ED161" s="341">
        <f t="shared" ref="ED161" si="894">+EC161</f>
        <v>8.1000000000000016E-2</v>
      </c>
      <c r="EE161" s="341">
        <f t="shared" ref="EE161" si="895">+ED161</f>
        <v>8.1000000000000016E-2</v>
      </c>
      <c r="EF161" s="341">
        <f t="shared" ref="EF161" si="896">+EE161</f>
        <v>8.1000000000000016E-2</v>
      </c>
      <c r="EG161" s="158">
        <f t="shared" ref="EG161" si="897">EG162/EG160</f>
        <v>7.8572671911246103E-2</v>
      </c>
      <c r="EH161" s="22"/>
      <c r="EI161" s="193"/>
      <c r="EJ161" s="32"/>
    </row>
    <row r="162" spans="1:140" ht="11.25" customHeight="1" x14ac:dyDescent="0.2">
      <c r="A162" s="50" t="s">
        <v>129</v>
      </c>
      <c r="B162" s="19"/>
      <c r="C162" s="19"/>
      <c r="D162" s="19"/>
      <c r="E162" s="92"/>
      <c r="F162" s="67"/>
      <c r="G162" s="92">
        <v>5</v>
      </c>
      <c r="H162" s="71"/>
      <c r="I162" s="92">
        <v>5</v>
      </c>
      <c r="J162" s="71"/>
      <c r="K162" s="92">
        <v>5</v>
      </c>
      <c r="L162" s="67"/>
      <c r="M162" s="84">
        <v>7.5</v>
      </c>
      <c r="N162" s="67">
        <f>M162</f>
        <v>7.5</v>
      </c>
      <c r="O162" s="71">
        <v>8.5</v>
      </c>
      <c r="P162" s="67">
        <f>Q162-O162-N162-M162</f>
        <v>12.5</v>
      </c>
      <c r="Q162" s="92">
        <v>36</v>
      </c>
      <c r="R162" s="67"/>
      <c r="S162" s="84">
        <v>7.5</v>
      </c>
      <c r="T162" s="67">
        <f>S162</f>
        <v>7.5</v>
      </c>
      <c r="U162" s="71">
        <v>8.5</v>
      </c>
      <c r="V162" s="67">
        <f>W162-U162-T162-S162</f>
        <v>12.5</v>
      </c>
      <c r="W162" s="92">
        <v>36</v>
      </c>
      <c r="X162" s="67"/>
      <c r="Y162" s="84">
        <v>7.5</v>
      </c>
      <c r="Z162" s="67">
        <f>Y162</f>
        <v>7.5</v>
      </c>
      <c r="AA162" s="71">
        <v>8.5</v>
      </c>
      <c r="AB162" s="67">
        <f>AC162-AA162-Z162-Y162</f>
        <v>12.5</v>
      </c>
      <c r="AC162" s="92">
        <v>36</v>
      </c>
      <c r="AD162" s="67"/>
      <c r="AE162" s="82">
        <v>7.5</v>
      </c>
      <c r="AF162" s="67">
        <f>AE162</f>
        <v>7.5</v>
      </c>
      <c r="AG162" s="67">
        <v>8.5</v>
      </c>
      <c r="AH162" s="67">
        <f>AI162-AG162-AF162-AE162</f>
        <v>12.5</v>
      </c>
      <c r="AI162" s="93">
        <v>36</v>
      </c>
      <c r="AJ162" s="67"/>
      <c r="AK162" s="84">
        <v>7.5</v>
      </c>
      <c r="AL162" s="71">
        <f>AK162</f>
        <v>7.5</v>
      </c>
      <c r="AM162" s="71">
        <v>8.5</v>
      </c>
      <c r="AN162" s="67">
        <f>AO162-AM162-AL162-AK162</f>
        <v>12.5</v>
      </c>
      <c r="AO162" s="92">
        <v>36</v>
      </c>
      <c r="AP162" s="67"/>
      <c r="AQ162" s="82">
        <f>AN162</f>
        <v>12.5</v>
      </c>
      <c r="AR162" s="71">
        <v>14</v>
      </c>
      <c r="AS162" s="71">
        <v>16</v>
      </c>
      <c r="AT162" s="67">
        <f>AU162-AS162-AR162-AQ162</f>
        <v>21.673000000000002</v>
      </c>
      <c r="AU162" s="93">
        <v>64.173000000000002</v>
      </c>
      <c r="AV162" s="67"/>
      <c r="AW162" s="84">
        <v>21.283000000000001</v>
      </c>
      <c r="AX162" s="67">
        <f>AW162</f>
        <v>21.283000000000001</v>
      </c>
      <c r="AY162" s="67">
        <f>AX162</f>
        <v>21.283000000000001</v>
      </c>
      <c r="AZ162" s="67">
        <f>BA162-SUM(AW162:AY162)</f>
        <v>30.700999999999993</v>
      </c>
      <c r="BA162" s="92">
        <v>94.55</v>
      </c>
      <c r="BB162" s="67"/>
      <c r="BC162" s="84">
        <v>37.014000000000003</v>
      </c>
      <c r="BD162" s="71">
        <f>72.755-BC162</f>
        <v>35.740999999999993</v>
      </c>
      <c r="BE162" s="71">
        <f>109.932-BD162-BC162</f>
        <v>37.177</v>
      </c>
      <c r="BF162" s="71">
        <f>145.29-BE162-BD162-BC162</f>
        <v>35.358000000000011</v>
      </c>
      <c r="BG162" s="93">
        <f>SUM(BC162:BF162)</f>
        <v>145.29</v>
      </c>
      <c r="BH162" s="67"/>
      <c r="BI162" s="82">
        <v>35.405000000000001</v>
      </c>
      <c r="BJ162" s="67">
        <f>75.089-BI162</f>
        <v>39.683999999999997</v>
      </c>
      <c r="BK162" s="67">
        <f>113.891-BI162-BJ162</f>
        <v>38.802000000000007</v>
      </c>
      <c r="BL162" s="67">
        <f>157.063-BK162-BJ162-BI162</f>
        <v>43.171999999999983</v>
      </c>
      <c r="BM162" s="93">
        <f>SUM(BI162:BL162)</f>
        <v>157.06299999999999</v>
      </c>
      <c r="BN162" s="67"/>
      <c r="BO162" s="84">
        <v>46.076000000000001</v>
      </c>
      <c r="BP162" s="71">
        <v>48.286000000000001</v>
      </c>
      <c r="BQ162" s="71">
        <f>144.717-BO162-BP162</f>
        <v>50.355000000000018</v>
      </c>
      <c r="BR162" s="71">
        <f>199.084-BO162-BP162-BQ162</f>
        <v>54.36699999999999</v>
      </c>
      <c r="BS162" s="93">
        <f>SUM(BO162:BR162)</f>
        <v>199.084</v>
      </c>
      <c r="BT162" s="67"/>
      <c r="BU162" s="84">
        <v>55.58</v>
      </c>
      <c r="BV162" s="71">
        <f>118.673-BU162</f>
        <v>63.093000000000004</v>
      </c>
      <c r="BW162" s="71">
        <f>201.786-BU162-BV162</f>
        <v>83.113000000000014</v>
      </c>
      <c r="BX162" s="71">
        <f>284-BU162-BV162-BW162</f>
        <v>82.213999999999984</v>
      </c>
      <c r="BY162" s="93">
        <f>SUM(BU162:BX162)</f>
        <v>284</v>
      </c>
      <c r="BZ162" s="67"/>
      <c r="CA162" s="84">
        <v>81.292000000000002</v>
      </c>
      <c r="CB162" s="71">
        <f>165.021-CA162</f>
        <v>83.728999999999985</v>
      </c>
      <c r="CC162" s="71">
        <f>251.947-CA162-CB162</f>
        <v>86.926000000000016</v>
      </c>
      <c r="CD162" s="71">
        <f>342-CA162-CB162-CC162</f>
        <v>90.052999999999969</v>
      </c>
      <c r="CE162" s="93">
        <f>SUM(CA162:CD162)</f>
        <v>342</v>
      </c>
      <c r="CF162" s="67"/>
      <c r="CG162" s="84">
        <v>89.3</v>
      </c>
      <c r="CH162" s="71">
        <f>179.4-CG162</f>
        <v>90.100000000000009</v>
      </c>
      <c r="CI162" s="71">
        <f>271.3-SUM(CG162:CH162)</f>
        <v>91.9</v>
      </c>
      <c r="CJ162" s="71">
        <f>365.1-SUM(CG162:CI162)</f>
        <v>93.800000000000011</v>
      </c>
      <c r="CK162" s="93">
        <f>SUM(CG162:CJ162)</f>
        <v>365.1</v>
      </c>
      <c r="CL162" s="67"/>
      <c r="CM162" s="84">
        <v>92.5</v>
      </c>
      <c r="CN162" s="71">
        <f>187.5-CM162</f>
        <v>95</v>
      </c>
      <c r="CO162" s="71">
        <f>285.7-CN162-CM162</f>
        <v>98.199999999999989</v>
      </c>
      <c r="CP162" s="67">
        <f>+CO162</f>
        <v>98.199999999999989</v>
      </c>
      <c r="CQ162" s="93">
        <f>SUM(CM162:CP162)</f>
        <v>383.9</v>
      </c>
      <c r="CR162" s="67"/>
      <c r="CS162" s="84">
        <v>108.9</v>
      </c>
      <c r="CT162" s="71">
        <f>216-CS162</f>
        <v>107.1</v>
      </c>
      <c r="CU162" s="71">
        <f>320.2-CT162-CS162</f>
        <v>104.19999999999999</v>
      </c>
      <c r="CV162" s="67">
        <f>CW162-CS162-CT162-CU162</f>
        <v>157.59999999999997</v>
      </c>
      <c r="CW162" s="92">
        <v>477.8</v>
      </c>
      <c r="CX162" s="67"/>
      <c r="CY162" s="84">
        <v>130</v>
      </c>
      <c r="CZ162" s="71">
        <v>140</v>
      </c>
      <c r="DA162" s="71">
        <f>426.6-CZ162-CY162</f>
        <v>156.60000000000002</v>
      </c>
      <c r="DB162" s="71">
        <f>583.1-SUM(CY162:DA162)</f>
        <v>156.5</v>
      </c>
      <c r="DC162" s="93">
        <f>SUM(CY162:DB162)</f>
        <v>583.1</v>
      </c>
      <c r="DD162" s="67"/>
      <c r="DE162" s="84">
        <v>166.1</v>
      </c>
      <c r="DF162" s="549">
        <f>326.4-DE162</f>
        <v>160.29999999999998</v>
      </c>
      <c r="DG162" s="549">
        <f>492.9-DF162-DE162</f>
        <v>166.50000000000003</v>
      </c>
      <c r="DH162" s="71">
        <f>660.5-SUM(DE162:DG162)</f>
        <v>167.60000000000002</v>
      </c>
      <c r="DI162" s="93">
        <f>SUM(DE162:DH162)</f>
        <v>660.5</v>
      </c>
      <c r="DJ162" s="67"/>
      <c r="DK162" s="82">
        <f t="shared" ref="DK162:DL162" si="898">+DK161*DK160/4</f>
        <v>173.52555000000001</v>
      </c>
      <c r="DL162" s="67">
        <f t="shared" si="898"/>
        <v>174.54106884375003</v>
      </c>
      <c r="DM162" s="67">
        <f>+DM161*DM160/4</f>
        <v>171.59568830701176</v>
      </c>
      <c r="DN162" s="67">
        <f>+DN161*DN160/4</f>
        <v>168.70001106683091</v>
      </c>
      <c r="DO162" s="93">
        <f>SUM(DK162:DN162)</f>
        <v>688.3623182175927</v>
      </c>
      <c r="DP162" s="67"/>
      <c r="DQ162" s="82">
        <f t="shared" ref="DQ162" si="899">+DQ161*DQ160/4</f>
        <v>174.45299385163776</v>
      </c>
      <c r="DR162" s="67">
        <f t="shared" ref="DR162:DT162" si="900">+DR161*DR160/4</f>
        <v>171.35645321077121</v>
      </c>
      <c r="DS162" s="67">
        <f t="shared" si="900"/>
        <v>168.31487616628002</v>
      </c>
      <c r="DT162" s="67">
        <f t="shared" si="900"/>
        <v>165.32728711432853</v>
      </c>
      <c r="DU162" s="93">
        <f t="shared" ref="DU162" si="901">SUM(DQ162:DT162)</f>
        <v>679.45161034301748</v>
      </c>
      <c r="DV162" s="67"/>
      <c r="DW162" s="82">
        <f t="shared" ref="DW162" si="902">+DW161*DW160/4</f>
        <v>173.82883535734845</v>
      </c>
      <c r="DX162" s="67">
        <f t="shared" ref="DX162:DZ162" si="903">+DX161*DX160/4</f>
        <v>170.52608748555883</v>
      </c>
      <c r="DY162" s="67">
        <f t="shared" si="903"/>
        <v>167.28609182333321</v>
      </c>
      <c r="DZ162" s="67">
        <f t="shared" si="903"/>
        <v>164.10765607868987</v>
      </c>
      <c r="EA162" s="93">
        <f t="shared" ref="EA162" si="904">SUM(DW162:DZ162)</f>
        <v>675.74867074493034</v>
      </c>
      <c r="EB162" s="67"/>
      <c r="EC162" s="82">
        <f t="shared" ref="EC162:EF162" si="905">+EC161*EC160/4</f>
        <v>171.58103236406285</v>
      </c>
      <c r="ED162" s="67">
        <f t="shared" si="905"/>
        <v>168.10651645869058</v>
      </c>
      <c r="EE162" s="67">
        <f t="shared" si="905"/>
        <v>164.70235950040208</v>
      </c>
      <c r="EF162" s="67">
        <f t="shared" si="905"/>
        <v>161.36713672051894</v>
      </c>
      <c r="EG162" s="93">
        <f t="shared" ref="EG162" si="906">SUM(EC162:EF162)</f>
        <v>665.75704504367445</v>
      </c>
      <c r="EH162" s="67"/>
      <c r="EI162" s="71"/>
      <c r="EJ162" s="31"/>
    </row>
    <row r="163" spans="1:140" ht="11.25" customHeight="1" x14ac:dyDescent="0.2">
      <c r="A163" s="199" t="s">
        <v>168</v>
      </c>
      <c r="B163" s="19"/>
      <c r="C163" s="19"/>
      <c r="D163" s="19"/>
      <c r="E163" s="196">
        <f>BS!E24</f>
        <v>863.35199999999998</v>
      </c>
      <c r="F163" s="67"/>
      <c r="G163" s="196">
        <f>BS!G24</f>
        <v>1287.7619999999999</v>
      </c>
      <c r="H163" s="67"/>
      <c r="I163" s="196">
        <f>BS!I24</f>
        <v>1292.289</v>
      </c>
      <c r="J163" s="67"/>
      <c r="K163" s="196">
        <f>BS!K24</f>
        <v>1863.9</v>
      </c>
      <c r="L163" s="67"/>
      <c r="M163" s="197">
        <f>BS!M24</f>
        <v>1976.3489999999999</v>
      </c>
      <c r="N163" s="87">
        <f>BS!N24</f>
        <v>2068.8539999999998</v>
      </c>
      <c r="O163" s="87">
        <f>BS!O24</f>
        <v>2174.9490000000001</v>
      </c>
      <c r="P163" s="87">
        <f>BS!Q24</f>
        <v>2292.6570000000002</v>
      </c>
      <c r="Q163" s="196">
        <f>P163</f>
        <v>2292.6570000000002</v>
      </c>
      <c r="R163" s="67"/>
      <c r="S163" s="197">
        <f>BS!S24</f>
        <v>2825.3890000000001</v>
      </c>
      <c r="T163" s="87">
        <f>BS!T24</f>
        <v>2869.9720000000002</v>
      </c>
      <c r="U163" s="87">
        <f>BS!U24</f>
        <v>3023.6669999999999</v>
      </c>
      <c r="V163" s="87">
        <f>BS!W24</f>
        <v>3007.7040000000002</v>
      </c>
      <c r="W163" s="196">
        <f>V163</f>
        <v>3007.7040000000002</v>
      </c>
      <c r="X163" s="67"/>
      <c r="Y163" s="197">
        <f>BS!Y24</f>
        <v>3145.3850000000002</v>
      </c>
      <c r="Z163" s="87">
        <f>BS!Z24</f>
        <v>3179.5509999999999</v>
      </c>
      <c r="AA163" s="87">
        <f>BS!AA24</f>
        <v>3208.0420000000004</v>
      </c>
      <c r="AB163" s="87">
        <f>BS!AC24</f>
        <v>3341.9719999999998</v>
      </c>
      <c r="AC163" s="196">
        <f>AB163</f>
        <v>3341.9719999999998</v>
      </c>
      <c r="AD163" s="67"/>
      <c r="AE163" s="197">
        <f>BS!AE24</f>
        <v>371.61799999999999</v>
      </c>
      <c r="AF163" s="87">
        <f>BS!AF24</f>
        <v>556.82600000000002</v>
      </c>
      <c r="AG163" s="87">
        <f>BS!AG24</f>
        <v>654.42499999999995</v>
      </c>
      <c r="AH163" s="87">
        <f>BS!AI24</f>
        <v>660</v>
      </c>
      <c r="AI163" s="196">
        <f>AH163</f>
        <v>660</v>
      </c>
      <c r="AJ163" s="67"/>
      <c r="AK163" s="197">
        <f>BS!AK24</f>
        <v>765.40499999999997</v>
      </c>
      <c r="AL163" s="87">
        <f>BS!AL24</f>
        <v>742.49300000000005</v>
      </c>
      <c r="AM163" s="87">
        <f>BS!AM24</f>
        <v>852.89800000000002</v>
      </c>
      <c r="AN163" s="87">
        <f>BS!AO24</f>
        <v>834.14700000000005</v>
      </c>
      <c r="AO163" s="196">
        <f>AN163</f>
        <v>834.14700000000005</v>
      </c>
      <c r="AP163" s="67"/>
      <c r="AQ163" s="197">
        <f>BS!AQ24</f>
        <v>882.09900000000005</v>
      </c>
      <c r="AR163" s="87">
        <f>BS!AR24</f>
        <v>1274.703</v>
      </c>
      <c r="AS163" s="87">
        <f>BS!AS24</f>
        <v>1584.373</v>
      </c>
      <c r="AT163" s="87">
        <f>BS!AU24</f>
        <v>1698.3240000000001</v>
      </c>
      <c r="AU163" s="196">
        <f>AU160-AU162</f>
        <v>1698.3240000000001</v>
      </c>
      <c r="AV163" s="67"/>
      <c r="AW163" s="197">
        <f>BS!AW24</f>
        <v>1742.1410000000001</v>
      </c>
      <c r="AX163" s="87">
        <f>BS!AX24</f>
        <v>1760.348</v>
      </c>
      <c r="AY163" s="87">
        <f>BS!AY24</f>
        <v>1844.2470000000001</v>
      </c>
      <c r="AZ163" s="87">
        <f>BS!AZ24</f>
        <v>2564.973</v>
      </c>
      <c r="BA163" s="196">
        <f>BA160-BA162</f>
        <v>2564.9729999999995</v>
      </c>
      <c r="BB163" s="67"/>
      <c r="BC163" s="197">
        <f>BS!BC24</f>
        <v>2585.0120000000002</v>
      </c>
      <c r="BD163" s="87">
        <f>BS!BD24</f>
        <v>2697.9229999999998</v>
      </c>
      <c r="BE163" s="87">
        <f>BS!BE24</f>
        <v>2624.6619999999998</v>
      </c>
      <c r="BF163" s="87">
        <f>BS!BF24</f>
        <v>2519.422</v>
      </c>
      <c r="BG163" s="196">
        <f>BG160-BG162</f>
        <v>2519.4220000000005</v>
      </c>
      <c r="BH163" s="67"/>
      <c r="BI163" s="197">
        <f>BS!BI24</f>
        <v>2474.913</v>
      </c>
      <c r="BJ163" s="87">
        <f>BS!BJ24</f>
        <v>2535.5970000000002</v>
      </c>
      <c r="BK163" s="87">
        <f>BS!BK24</f>
        <v>2553.913</v>
      </c>
      <c r="BL163" s="87">
        <f>BS!BL24</f>
        <v>2655.5030000000002</v>
      </c>
      <c r="BM163" s="196">
        <f>BM160-BM162</f>
        <v>2655.5030000000006</v>
      </c>
      <c r="BN163" s="67"/>
      <c r="BO163" s="197">
        <f>BS!BO24</f>
        <v>2954.643</v>
      </c>
      <c r="BP163" s="87">
        <f>BS!BP24</f>
        <v>2903.0810000000001</v>
      </c>
      <c r="BQ163" s="87">
        <f>BS!BQ24</f>
        <v>3070.99</v>
      </c>
      <c r="BR163" s="87">
        <f>BS!BR24</f>
        <v>3324.502</v>
      </c>
      <c r="BS163" s="196">
        <f>BS160-BS162</f>
        <v>3324.5020000000004</v>
      </c>
      <c r="BT163" s="67"/>
      <c r="BU163" s="197">
        <f>BS!BU24</f>
        <v>3539.4659999999999</v>
      </c>
      <c r="BV163" s="87">
        <f>BS!BV24</f>
        <v>6210.7690000000002</v>
      </c>
      <c r="BW163" s="87">
        <f>BS!BW24</f>
        <v>6037.607</v>
      </c>
      <c r="BX163" s="87">
        <f>BS!BX24</f>
        <v>5840.2089999999998</v>
      </c>
      <c r="BY163" s="196">
        <f>BY160-BY162</f>
        <v>5840.2089999999989</v>
      </c>
      <c r="BZ163" s="67"/>
      <c r="CA163" s="197">
        <f>BS!CA24</f>
        <v>5861.848</v>
      </c>
      <c r="CB163" s="87">
        <f>BS!CB24</f>
        <v>6176.8819999999996</v>
      </c>
      <c r="CC163" s="87">
        <f>BS!CC24</f>
        <v>6104.0730000000003</v>
      </c>
      <c r="CD163" s="87">
        <f>BS!CD24</f>
        <v>6344</v>
      </c>
      <c r="CE163" s="196">
        <f>CE160-CE162</f>
        <v>6344.0000000000009</v>
      </c>
      <c r="CF163" s="67"/>
      <c r="CG163" s="197">
        <f>BS!CG24</f>
        <v>6148.4</v>
      </c>
      <c r="CH163" s="87">
        <f>BS!CH24</f>
        <v>6195.5</v>
      </c>
      <c r="CI163" s="87">
        <f>BS!CI24</f>
        <v>6344.5</v>
      </c>
      <c r="CJ163" s="87">
        <f>BS!CJ24</f>
        <v>6247.7</v>
      </c>
      <c r="CK163" s="196">
        <f>CK160-CK162</f>
        <v>6247.7</v>
      </c>
      <c r="CL163" s="67"/>
      <c r="CM163" s="197">
        <f>BS!CM24</f>
        <v>6212.6</v>
      </c>
      <c r="CN163" s="87">
        <f>BS!CN24</f>
        <v>6369.1</v>
      </c>
      <c r="CO163" s="87">
        <f>BS!CO24</f>
        <v>6213.9</v>
      </c>
      <c r="CP163" s="87">
        <f>BS!CP24</f>
        <v>7369.2</v>
      </c>
      <c r="CQ163" s="196">
        <f>BS!CQ24</f>
        <v>7369.2</v>
      </c>
      <c r="CR163" s="67"/>
      <c r="CS163" s="197">
        <f>BS!CS24</f>
        <v>7358.4</v>
      </c>
      <c r="CT163" s="87">
        <f>BS!CT24</f>
        <v>7097.3</v>
      </c>
      <c r="CU163" s="87">
        <f>BS!CU24</f>
        <v>11690.5</v>
      </c>
      <c r="CV163" s="87">
        <f>BS!CV24</f>
        <v>10545.3</v>
      </c>
      <c r="CW163" s="196">
        <f>BS!CW24</f>
        <v>10545.3</v>
      </c>
      <c r="CX163" s="67"/>
      <c r="CY163" s="197">
        <f>BS!CY24</f>
        <v>11263.8</v>
      </c>
      <c r="CZ163" s="87">
        <f>BS!CZ24</f>
        <v>11083.5</v>
      </c>
      <c r="DA163" s="87">
        <f>BS!DA24</f>
        <v>10307.9</v>
      </c>
      <c r="DB163" s="87">
        <f>BS!DB24</f>
        <v>10180.700000000001</v>
      </c>
      <c r="DC163" s="196">
        <f>BS!DC24</f>
        <v>10180.700000000001</v>
      </c>
      <c r="DD163" s="67"/>
      <c r="DE163" s="197">
        <f>BS!DE24</f>
        <v>10012.799999999999</v>
      </c>
      <c r="DF163" s="87">
        <f>BS!DF24</f>
        <v>9945.9</v>
      </c>
      <c r="DG163" s="87">
        <f>BS!DG24</f>
        <v>9889.2999999999993</v>
      </c>
      <c r="DH163" s="87">
        <f>BS!DH24</f>
        <v>10516.7</v>
      </c>
      <c r="DI163" s="196">
        <f>BS!DI24</f>
        <v>10516.7</v>
      </c>
      <c r="DJ163" s="67"/>
      <c r="DK163" s="197">
        <f>DK160-DK162</f>
        <v>10343.17445</v>
      </c>
      <c r="DL163" s="87">
        <f>DL160-DL162</f>
        <v>10168.633381156251</v>
      </c>
      <c r="DM163" s="87">
        <f>DM160-DM162</f>
        <v>9997.0376928492387</v>
      </c>
      <c r="DN163" s="87">
        <f>DN160-DN162</f>
        <v>9828.3376817824083</v>
      </c>
      <c r="DO163" s="196">
        <f>DO160-DO162</f>
        <v>9828.3376817824083</v>
      </c>
      <c r="DP163" s="67"/>
      <c r="DQ163" s="197">
        <f>DQ160-DQ162</f>
        <v>9653.8846879307712</v>
      </c>
      <c r="DR163" s="87">
        <f>DR160-DR162</f>
        <v>9482.5282347199991</v>
      </c>
      <c r="DS163" s="87">
        <f>DS160-DS162</f>
        <v>9314.2133585537194</v>
      </c>
      <c r="DT163" s="87">
        <f>DT160-DT162</f>
        <v>9148.8860714393904</v>
      </c>
      <c r="DU163" s="196">
        <f>DU160-DU162</f>
        <v>9148.8860714393904</v>
      </c>
      <c r="DV163" s="67"/>
      <c r="DW163" s="197">
        <f>DW160-DW162</f>
        <v>8975.0572360820424</v>
      </c>
      <c r="DX163" s="87">
        <f>DX160-DX162</f>
        <v>8804.531148596483</v>
      </c>
      <c r="DY163" s="87">
        <f>DY160-DY162</f>
        <v>8637.2450567731503</v>
      </c>
      <c r="DZ163" s="87">
        <f>DZ160-DZ162</f>
        <v>8473.1374006944607</v>
      </c>
      <c r="EA163" s="196">
        <f>EA160-EA162</f>
        <v>8473.1374006944607</v>
      </c>
      <c r="EB163" s="67"/>
      <c r="EC163" s="197">
        <f t="shared" ref="EC163:EG163" si="907">EC160-EC162</f>
        <v>8301.5563683303972</v>
      </c>
      <c r="ED163" s="87">
        <f t="shared" si="907"/>
        <v>8133.4498518717064</v>
      </c>
      <c r="EE163" s="87">
        <f t="shared" si="907"/>
        <v>7968.7474923713044</v>
      </c>
      <c r="EF163" s="87">
        <f t="shared" si="907"/>
        <v>7807.3803556507855</v>
      </c>
      <c r="EG163" s="196">
        <f t="shared" si="907"/>
        <v>7807.3803556507864</v>
      </c>
      <c r="EH163" s="67"/>
      <c r="EI163" s="71"/>
      <c r="EJ163" s="31"/>
    </row>
    <row r="164" spans="1:140" ht="11.25" customHeight="1" x14ac:dyDescent="0.2">
      <c r="A164" s="2"/>
      <c r="B164" s="19"/>
      <c r="C164" s="19"/>
      <c r="D164" s="19"/>
      <c r="E164" s="67"/>
      <c r="F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67"/>
      <c r="BI164" s="67"/>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c r="DK164" s="67"/>
      <c r="DL164" s="67"/>
      <c r="DM164" s="67"/>
      <c r="DN164" s="67"/>
      <c r="DO164" s="67"/>
      <c r="DP164" s="67"/>
      <c r="DQ164" s="67"/>
      <c r="DR164" s="67"/>
      <c r="DS164" s="67"/>
      <c r="DT164" s="67"/>
      <c r="DU164" s="67"/>
      <c r="DV164" s="67"/>
      <c r="DW164" s="67"/>
      <c r="DX164" s="67"/>
      <c r="DY164" s="67"/>
      <c r="DZ164" s="67"/>
      <c r="EA164" s="67"/>
      <c r="EB164" s="67"/>
      <c r="EC164" s="67"/>
      <c r="ED164" s="67"/>
      <c r="EE164" s="67"/>
      <c r="EF164" s="67"/>
      <c r="EG164" s="67"/>
      <c r="EH164" s="67"/>
      <c r="EI164" s="71"/>
      <c r="EJ164" s="31"/>
    </row>
    <row r="165" spans="1:140" ht="11.25" customHeight="1" x14ac:dyDescent="0.2">
      <c r="A165" s="106" t="s">
        <v>682</v>
      </c>
      <c r="B165" s="170"/>
      <c r="C165" s="170"/>
      <c r="D165" s="170"/>
      <c r="E165" s="171"/>
      <c r="F165" s="171"/>
      <c r="G165" s="171"/>
      <c r="H165" s="171"/>
      <c r="I165" s="171"/>
      <c r="J165" s="171"/>
      <c r="K165" s="171"/>
      <c r="L165" s="171"/>
      <c r="M165" s="172"/>
      <c r="N165" s="172"/>
      <c r="O165" s="172"/>
      <c r="P165" s="172"/>
      <c r="Q165" s="171"/>
      <c r="R165" s="171"/>
      <c r="S165" s="172"/>
      <c r="T165" s="172"/>
      <c r="U165" s="172"/>
      <c r="V165" s="172"/>
      <c r="W165" s="171"/>
      <c r="X165" s="171"/>
      <c r="Y165" s="172"/>
      <c r="Z165" s="172"/>
      <c r="AA165" s="172"/>
      <c r="AB165" s="172"/>
      <c r="AC165" s="171"/>
      <c r="AD165" s="171"/>
      <c r="AE165" s="172"/>
      <c r="AF165" s="172"/>
      <c r="AG165" s="172"/>
      <c r="AH165" s="172"/>
      <c r="AI165" s="171"/>
      <c r="AJ165" s="171"/>
      <c r="AK165" s="172"/>
      <c r="AL165" s="172"/>
      <c r="AM165" s="172"/>
      <c r="AN165" s="172"/>
      <c r="AO165" s="171"/>
      <c r="AP165" s="171"/>
      <c r="AQ165" s="172"/>
      <c r="AR165" s="172"/>
      <c r="AS165" s="172"/>
      <c r="AT165" s="172"/>
      <c r="AU165" s="171"/>
      <c r="AV165" s="171"/>
      <c r="AW165" s="172"/>
      <c r="AX165" s="172"/>
      <c r="AY165" s="172"/>
      <c r="AZ165" s="172"/>
      <c r="BA165" s="171"/>
      <c r="BB165" s="171"/>
      <c r="BC165" s="172"/>
      <c r="BD165" s="172"/>
      <c r="BE165" s="172"/>
      <c r="BF165" s="172"/>
      <c r="BG165" s="171"/>
      <c r="BH165" s="171"/>
      <c r="BI165" s="172"/>
      <c r="BJ165" s="172"/>
      <c r="BK165" s="172"/>
      <c r="BL165" s="172"/>
      <c r="BM165" s="171"/>
      <c r="BN165" s="171"/>
      <c r="BO165" s="172"/>
      <c r="BP165" s="172"/>
      <c r="BQ165" s="172"/>
      <c r="BR165" s="172"/>
      <c r="BS165" s="171"/>
      <c r="BT165" s="171"/>
      <c r="BU165" s="172"/>
      <c r="BV165" s="172"/>
      <c r="BW165" s="172"/>
      <c r="BX165" s="172"/>
      <c r="BY165" s="171"/>
      <c r="BZ165" s="171"/>
      <c r="CA165" s="172"/>
      <c r="CB165" s="172"/>
      <c r="CC165" s="172"/>
      <c r="CD165" s="172"/>
      <c r="CE165" s="171"/>
      <c r="CF165" s="171"/>
      <c r="CG165" s="172"/>
      <c r="CH165" s="172"/>
      <c r="CI165" s="172"/>
      <c r="CJ165" s="172"/>
      <c r="CK165" s="171"/>
      <c r="CL165" s="171"/>
      <c r="CM165" s="172"/>
      <c r="CN165" s="172"/>
      <c r="CO165" s="172"/>
      <c r="CP165" s="172"/>
      <c r="CQ165" s="171"/>
      <c r="CR165" s="171"/>
      <c r="CS165" s="172"/>
      <c r="CT165" s="172"/>
      <c r="CU165" s="172"/>
      <c r="CV165" s="172"/>
      <c r="CW165" s="171"/>
      <c r="CX165" s="171"/>
      <c r="CY165" s="172"/>
      <c r="CZ165" s="172"/>
      <c r="DA165" s="172"/>
      <c r="DB165" s="172"/>
      <c r="DC165" s="171"/>
      <c r="DD165" s="171"/>
      <c r="DE165" s="172"/>
      <c r="DF165" s="172"/>
      <c r="DG165" s="172"/>
      <c r="DH165" s="172"/>
      <c r="DI165" s="171"/>
      <c r="DJ165" s="171"/>
      <c r="DK165" s="172"/>
      <c r="DL165" s="172"/>
      <c r="DM165" s="172"/>
      <c r="DN165" s="172"/>
      <c r="DO165" s="171"/>
      <c r="DP165" s="171"/>
      <c r="DQ165" s="172"/>
      <c r="DR165" s="172"/>
      <c r="DS165" s="172"/>
      <c r="DT165" s="172"/>
      <c r="DU165" s="171"/>
      <c r="DV165" s="171"/>
      <c r="DW165" s="172"/>
      <c r="DX165" s="172"/>
      <c r="DY165" s="172"/>
      <c r="DZ165" s="172"/>
      <c r="EA165" s="171"/>
      <c r="EB165" s="171"/>
      <c r="EC165" s="172"/>
      <c r="ED165" s="172"/>
      <c r="EE165" s="172"/>
      <c r="EF165" s="172"/>
      <c r="EG165" s="171"/>
      <c r="EH165" s="7"/>
      <c r="EI165" s="482"/>
      <c r="EJ165" s="7"/>
    </row>
    <row r="166" spans="1:140" ht="11.25" customHeight="1" x14ac:dyDescent="0.2">
      <c r="A166" s="50" t="s">
        <v>683</v>
      </c>
      <c r="B166" s="3"/>
      <c r="C166" s="3"/>
      <c r="D166" s="3"/>
      <c r="E166" s="167">
        <f>+E172*E192</f>
        <v>0.15368417655751815</v>
      </c>
      <c r="F166" s="166"/>
      <c r="G166" s="167">
        <f>+G172*G192</f>
        <v>0.14287929819215206</v>
      </c>
      <c r="H166" s="166"/>
      <c r="I166" s="167">
        <f>+I172*I192</f>
        <v>0.15537317296675629</v>
      </c>
      <c r="J166" s="166"/>
      <c r="K166" s="167">
        <f>+K172*K192</f>
        <v>0.16399320529250813</v>
      </c>
      <c r="L166" s="166"/>
      <c r="M166" s="168">
        <f>+M172*M192</f>
        <v>0.14141791354288588</v>
      </c>
      <c r="N166" s="169">
        <f>+N172*N192</f>
        <v>0.16073212946932455</v>
      </c>
      <c r="O166" s="169">
        <f>+O172*O192</f>
        <v>0.1475056322929075</v>
      </c>
      <c r="P166" s="169">
        <f>+P172*P192</f>
        <v>5.638135823473938E-2</v>
      </c>
      <c r="Q166" s="167">
        <f>+Q172*Q192</f>
        <v>0.12349522094108181</v>
      </c>
      <c r="R166" s="166"/>
      <c r="S166" s="168">
        <f>+S172*S192</f>
        <v>0.13349349747726</v>
      </c>
      <c r="T166" s="169">
        <f>+T172*T192</f>
        <v>0.13854681175028782</v>
      </c>
      <c r="U166" s="169">
        <f>+U172*U192</f>
        <v>0.15488013629172917</v>
      </c>
      <c r="V166" s="169">
        <f>+V172*V192</f>
        <v>0.16105701758726831</v>
      </c>
      <c r="W166" s="167">
        <f>+W172*W192</f>
        <v>0.14422296869591525</v>
      </c>
      <c r="X166" s="166"/>
      <c r="Y166" s="168">
        <f>+Y172*Y192</f>
        <v>0.12658555755036896</v>
      </c>
      <c r="Z166" s="169">
        <f>+Z172*Z192</f>
        <v>0.14959185572896999</v>
      </c>
      <c r="AA166" s="169">
        <f>+AA172*AA192</f>
        <v>0.1624651360941386</v>
      </c>
      <c r="AB166" s="169">
        <f>+AB172*AB192</f>
        <v>0.19297856104973099</v>
      </c>
      <c r="AC166" s="167">
        <f>+AC172*AC192</f>
        <v>0.15673713011696444</v>
      </c>
      <c r="AD166" s="166"/>
      <c r="AE166" s="168">
        <f>+AE172*AE192</f>
        <v>0.17099042588810584</v>
      </c>
      <c r="AF166" s="169">
        <f>+AF172*AF192</f>
        <v>0.96565665436586423</v>
      </c>
      <c r="AG166" s="169">
        <f>+AG172*AG192</f>
        <v>0.73331913398441351</v>
      </c>
      <c r="AH166" s="169">
        <f>+AH172*AH192</f>
        <v>0.75949768290420527</v>
      </c>
      <c r="AI166" s="167">
        <f>+AI172*AI192</f>
        <v>0.48156645045402657</v>
      </c>
      <c r="AJ166" s="166"/>
      <c r="AK166" s="168">
        <f>+AK172*AK192</f>
        <v>0.6092633482984624</v>
      </c>
      <c r="AL166" s="169">
        <f>+AL172*AL192</f>
        <v>0.71871764100221835</v>
      </c>
      <c r="AM166" s="169">
        <f>+AM172*AM192</f>
        <v>0.74342319670569101</v>
      </c>
      <c r="AN166" s="169">
        <f>+AN172*AN192</f>
        <v>0.78438456490393549</v>
      </c>
      <c r="AO166" s="167">
        <f>+AO172*AO192</f>
        <v>0.70820005313311107</v>
      </c>
      <c r="AP166" s="166"/>
      <c r="AQ166" s="168">
        <f>+AQ172*AQ192</f>
        <v>0.63871292723408368</v>
      </c>
      <c r="AR166" s="169">
        <f>+AR172*AR192</f>
        <v>0.76883275100422832</v>
      </c>
      <c r="AS166" s="169">
        <f>+AS172*AS192</f>
        <v>0.59668294533819632</v>
      </c>
      <c r="AT166" s="169">
        <f>+AT172*AT192</f>
        <v>0.63853167849029757</v>
      </c>
      <c r="AU166" s="167">
        <f>+AU172*AU192</f>
        <v>0.61707714543483649</v>
      </c>
      <c r="AV166" s="166"/>
      <c r="AW166" s="168">
        <f>+AW172*AW192</f>
        <v>0.50889358971338106</v>
      </c>
      <c r="AX166" s="169">
        <f>+AX172*AX192</f>
        <v>0.56846781168080052</v>
      </c>
      <c r="AY166" s="169">
        <f>+AY172*AY192</f>
        <v>0.56493447630373039</v>
      </c>
      <c r="AZ166" s="169">
        <f>+AZ172*AZ192</f>
        <v>0.56350010327636646</v>
      </c>
      <c r="BA166" s="167">
        <f>+BA172*BA192</f>
        <v>0.50955291135941472</v>
      </c>
      <c r="BB166" s="166"/>
      <c r="BC166" s="168">
        <f>+BC172*BC192</f>
        <v>0.37355777890295749</v>
      </c>
      <c r="BD166" s="169">
        <f>+BD172*BD192</f>
        <v>0.45689109237474618</v>
      </c>
      <c r="BE166" s="169">
        <f>+BE172*BE192</f>
        <v>0.46537244190041283</v>
      </c>
      <c r="BF166" s="169">
        <f>+BF172*BF192</f>
        <v>0.38357274235176231</v>
      </c>
      <c r="BG166" s="167">
        <f>+BG172*BG192</f>
        <v>0.43374216464585735</v>
      </c>
      <c r="BH166" s="166"/>
      <c r="BI166" s="168">
        <f>+BI172*BI192</f>
        <v>0.36228087815848414</v>
      </c>
      <c r="BJ166" s="169">
        <f>+BJ172*BJ192</f>
        <v>0.36661509299837591</v>
      </c>
      <c r="BK166" s="169">
        <f>+BK172*BK192</f>
        <v>0.48336860047011165</v>
      </c>
      <c r="BL166" s="169">
        <f>+BL172*BL192</f>
        <v>0.40964745330520452</v>
      </c>
      <c r="BM166" s="167">
        <f>+BM172*BM192</f>
        <v>0.40129251302464414</v>
      </c>
      <c r="BN166" s="166"/>
      <c r="BO166" s="168">
        <f>+BO172*BO192</f>
        <v>0.41321517081621567</v>
      </c>
      <c r="BP166" s="169">
        <f>+BP172*BP192</f>
        <v>0.4285543145297212</v>
      </c>
      <c r="BQ166" s="169">
        <f>+BQ172*BQ192</f>
        <v>0.47940867557274364</v>
      </c>
      <c r="BR166" s="169">
        <f>+BR172*BR192</f>
        <v>0.72127409010339583</v>
      </c>
      <c r="BS166" s="167">
        <f>+BS172*BS192</f>
        <v>0.50260089065718294</v>
      </c>
      <c r="BT166" s="166"/>
      <c r="BU166" s="168">
        <f>+BU172*BU192</f>
        <v>0.47505068923118049</v>
      </c>
      <c r="BV166" s="169">
        <f>+BV172*BV192</f>
        <v>0.4321303189935552</v>
      </c>
      <c r="BW166" s="169">
        <f>+BW172*BW192</f>
        <v>0.27279018450676668</v>
      </c>
      <c r="BX166" s="169">
        <f>+BX172*BX192</f>
        <v>0.34154779843391897</v>
      </c>
      <c r="BY166" s="167">
        <f>+BY172*BY192</f>
        <v>0.34487027247216628</v>
      </c>
      <c r="BZ166" s="166"/>
      <c r="CA166" s="168">
        <f>+CA172*CA192</f>
        <v>0.34000172604160817</v>
      </c>
      <c r="CB166" s="169">
        <f>+CB172*CB192</f>
        <v>0.38060749096919244</v>
      </c>
      <c r="CC166" s="169">
        <f>+CC172*CC192</f>
        <v>0.3533946308682589</v>
      </c>
      <c r="CD166" s="169">
        <f>+CD172*CD192</f>
        <v>0.4137520955550032</v>
      </c>
      <c r="CE166" s="167">
        <f>+CE172*CE192</f>
        <v>0.37053783698110998</v>
      </c>
      <c r="CF166" s="166"/>
      <c r="CG166" s="168">
        <f>+CG172*CG192</f>
        <v>0.31848061739388528</v>
      </c>
      <c r="CH166" s="169">
        <f>+CH172*CH192</f>
        <v>0.36992705439555507</v>
      </c>
      <c r="CI166" s="169">
        <f>+CI172*CI192</f>
        <v>0.35817674530356053</v>
      </c>
      <c r="CJ166" s="169">
        <f>+CJ172*CJ192</f>
        <v>0.38045295353724046</v>
      </c>
      <c r="CK166" s="167">
        <f>+CK172*CK192</f>
        <v>0.35619420611987845</v>
      </c>
      <c r="CL166" s="166"/>
      <c r="CM166" s="168">
        <f>+CM172*CM192</f>
        <v>0.25753691334412226</v>
      </c>
      <c r="CN166" s="169">
        <f>+CN172*CN192</f>
        <v>0.31273083606323876</v>
      </c>
      <c r="CO166" s="169">
        <f>+CO172*CO192</f>
        <v>0.3756801524151071</v>
      </c>
      <c r="CP166" s="169">
        <f>+CP172*CP192</f>
        <v>0.54560767004764599</v>
      </c>
      <c r="CQ166" s="167">
        <f>+CQ172*CQ192</f>
        <v>0.37267904005524866</v>
      </c>
      <c r="CR166" s="166"/>
      <c r="CS166" s="168">
        <f>+CS172*CS192</f>
        <v>0.35358322547243082</v>
      </c>
      <c r="CT166" s="169">
        <f>+CT172*CT192</f>
        <v>0.41408649958479088</v>
      </c>
      <c r="CU166" s="169">
        <f>+CU172*CU192</f>
        <v>0.36944114938294331</v>
      </c>
      <c r="CV166" s="169">
        <f>+CV172*CV192</f>
        <v>0.28370004272895638</v>
      </c>
      <c r="CW166" s="167">
        <f>+CW172*CW192</f>
        <v>0.32397828735861628</v>
      </c>
      <c r="CX166" s="166"/>
      <c r="CY166" s="168">
        <f>+CY172*CY192</f>
        <v>0.23955318122662203</v>
      </c>
      <c r="CZ166" s="169">
        <f>+CZ172*CZ192</f>
        <v>0.2853239178859609</v>
      </c>
      <c r="DA166" s="169">
        <f>+DA172*DA192</f>
        <v>0.20260225705572729</v>
      </c>
      <c r="DB166" s="169">
        <f>+DB172*DB192</f>
        <v>0.24092089137107592</v>
      </c>
      <c r="DC166" s="167">
        <f>+DC172*DC192</f>
        <v>0.24136011578252858</v>
      </c>
      <c r="DD166" s="166"/>
      <c r="DE166" s="168">
        <f>+DE172*DE192</f>
        <v>0.18448271941791713</v>
      </c>
      <c r="DF166" s="169">
        <f>+DF172*DF192</f>
        <v>0.21719983520256358</v>
      </c>
      <c r="DG166" s="169">
        <f>+DG172*DG192</f>
        <v>0.21944720769483961</v>
      </c>
      <c r="DH166" s="169">
        <f>+DH172*DH192</f>
        <v>0.27268942268724894</v>
      </c>
      <c r="DI166" s="167">
        <f>+DI172*DI192</f>
        <v>0.22246385111346847</v>
      </c>
      <c r="DJ166" s="166"/>
      <c r="DK166" s="168">
        <f>+DK172*DK192</f>
        <v>0.21219027065911319</v>
      </c>
      <c r="DL166" s="169">
        <f>+DL172*DL192</f>
        <v>0.24867037631558245</v>
      </c>
      <c r="DM166" s="169">
        <f>+DM172*DM192</f>
        <v>0.25505492166659466</v>
      </c>
      <c r="DN166" s="169">
        <f>+DN172*DN192</f>
        <v>0.33029178873997861</v>
      </c>
      <c r="DO166" s="167">
        <f>+DO172*DO192</f>
        <v>0.26248384533567182</v>
      </c>
      <c r="DP166" s="166"/>
      <c r="DQ166" s="168">
        <f>+DQ172*DQ192</f>
        <v>0.2557612942434484</v>
      </c>
      <c r="DR166" s="169">
        <f>+DR172*DR192</f>
        <v>0.29482909833192922</v>
      </c>
      <c r="DS166" s="169">
        <f>+DS172*DS192</f>
        <v>0.2980318720086827</v>
      </c>
      <c r="DT166" s="169">
        <f>+DT172*DT192</f>
        <v>0.37968513387761699</v>
      </c>
      <c r="DU166" s="167">
        <f>+DU172*DU192</f>
        <v>0.30811106042903946</v>
      </c>
      <c r="DV166" s="166"/>
      <c r="DW166" s="168">
        <f>+DW172*DW192</f>
        <v>0.30078448115513934</v>
      </c>
      <c r="DX166" s="169">
        <f>+DX172*DX192</f>
        <v>0.34965202288809438</v>
      </c>
      <c r="DY166" s="169">
        <f>+DY172*DY192</f>
        <v>0.35548413566276776</v>
      </c>
      <c r="DZ166" s="169">
        <f>+DZ172*DZ192</f>
        <v>0.44650667202776406</v>
      </c>
      <c r="EA166" s="167">
        <f>+EA172*EA192</f>
        <v>0.36453217022511863</v>
      </c>
      <c r="EB166" s="166"/>
      <c r="EC166" s="168">
        <f t="shared" ref="EC166:EG166" si="908">+EC172*EC192</f>
        <v>0.35748047773665464</v>
      </c>
      <c r="ED166" s="169">
        <f t="shared" si="908"/>
        <v>0.41392728293295239</v>
      </c>
      <c r="EE166" s="169">
        <f t="shared" si="908"/>
        <v>0.42359184697246793</v>
      </c>
      <c r="EF166" s="169">
        <f t="shared" si="908"/>
        <v>0.52317369346477027</v>
      </c>
      <c r="EG166" s="167">
        <f t="shared" si="908"/>
        <v>0.43162298162254153</v>
      </c>
      <c r="EH166" s="7"/>
      <c r="EI166" s="482"/>
      <c r="EJ166" s="7"/>
    </row>
    <row r="167" spans="1:140" ht="11.25" customHeight="1" x14ac:dyDescent="0.2">
      <c r="A167" s="51" t="s">
        <v>249</v>
      </c>
      <c r="B167" s="2"/>
      <c r="C167" s="2"/>
      <c r="D167" s="2"/>
      <c r="E167" s="371">
        <v>2492</v>
      </c>
      <c r="F167" s="374"/>
      <c r="G167" s="371">
        <v>3047.1</v>
      </c>
      <c r="H167" s="374"/>
      <c r="I167" s="371">
        <v>3197.2</v>
      </c>
      <c r="J167" s="374"/>
      <c r="K167" s="371">
        <v>3777.777</v>
      </c>
      <c r="L167" s="374"/>
      <c r="M167" s="354">
        <v>1005.283</v>
      </c>
      <c r="N167" s="355">
        <v>956.64099999999996</v>
      </c>
      <c r="O167" s="355">
        <v>901.58799999999997</v>
      </c>
      <c r="P167" s="355">
        <v>918.93200000000002</v>
      </c>
      <c r="Q167" s="371">
        <v>3782.444</v>
      </c>
      <c r="R167" s="374"/>
      <c r="S167" s="354">
        <v>1004.207</v>
      </c>
      <c r="T167" s="355">
        <v>1146.326</v>
      </c>
      <c r="U167" s="355">
        <v>1151.721</v>
      </c>
      <c r="V167" s="355">
        <v>1274.9780000000001</v>
      </c>
      <c r="W167" s="371">
        <v>4577.232</v>
      </c>
      <c r="X167" s="374"/>
      <c r="Y167" s="354">
        <v>1196.2149999999999</v>
      </c>
      <c r="Z167" s="355">
        <v>1299.432</v>
      </c>
      <c r="AA167" s="355">
        <v>1309.451</v>
      </c>
      <c r="AB167" s="355">
        <v>1488.7780000000002</v>
      </c>
      <c r="AC167" s="371">
        <v>5293.8760000000002</v>
      </c>
      <c r="AD167" s="374"/>
      <c r="AE167" s="354">
        <v>1543.191</v>
      </c>
      <c r="AF167" s="355">
        <v>1621.2449999999999</v>
      </c>
      <c r="AG167" s="355">
        <v>1745.2850000000001</v>
      </c>
      <c r="AH167" s="355">
        <v>1979.6329999999996</v>
      </c>
      <c r="AI167" s="371">
        <v>6889.3539999999994</v>
      </c>
      <c r="AJ167" s="374"/>
      <c r="AK167" s="354">
        <v>1825.9479999999999</v>
      </c>
      <c r="AL167" s="355">
        <v>1928.627</v>
      </c>
      <c r="AM167" s="355">
        <v>1966.375</v>
      </c>
      <c r="AN167" s="355">
        <v>2263.7550000000001</v>
      </c>
      <c r="AO167" s="371">
        <v>7984.7039999999997</v>
      </c>
      <c r="AP167" s="374"/>
      <c r="AQ167" s="354">
        <v>2113.7849999999999</v>
      </c>
      <c r="AR167" s="355">
        <v>2318.3820000000001</v>
      </c>
      <c r="AS167" s="355">
        <v>2408.4949999999999</v>
      </c>
      <c r="AT167" s="355">
        <v>2625.3939999999998</v>
      </c>
      <c r="AU167" s="371">
        <v>9466.0560000000005</v>
      </c>
      <c r="AV167" s="374"/>
      <c r="AW167" s="354">
        <v>2521.7049999999999</v>
      </c>
      <c r="AX167" s="355">
        <v>2631.8850000000002</v>
      </c>
      <c r="AY167" s="355">
        <v>2731.1509999999998</v>
      </c>
      <c r="AZ167" s="355">
        <v>3141.1770000000001</v>
      </c>
      <c r="BA167" s="371">
        <v>11025.918</v>
      </c>
      <c r="BB167" s="374"/>
      <c r="BC167" s="354">
        <v>3028.8739999999998</v>
      </c>
      <c r="BD167" s="355">
        <v>3283.8950000000004</v>
      </c>
      <c r="BE167" s="355">
        <v>3208.181</v>
      </c>
      <c r="BF167" s="355">
        <v>3176.5060000000003</v>
      </c>
      <c r="BG167" s="371">
        <v>12697.456000000002</v>
      </c>
      <c r="BH167" s="374"/>
      <c r="BI167" s="354">
        <v>2627.7</v>
      </c>
      <c r="BJ167" s="355">
        <v>2673.6</v>
      </c>
      <c r="BK167" s="355">
        <v>2750.7000000000003</v>
      </c>
      <c r="BL167" s="355">
        <v>3132.8999999999996</v>
      </c>
      <c r="BM167" s="371">
        <v>11184.9</v>
      </c>
      <c r="BN167" s="374"/>
      <c r="BO167" s="354">
        <v>3007.8000000000006</v>
      </c>
      <c r="BP167" s="355">
        <v>3217.4000000000005</v>
      </c>
      <c r="BQ167" s="355">
        <v>3092.8</v>
      </c>
      <c r="BR167" s="355">
        <v>3507.8</v>
      </c>
      <c r="BS167" s="371">
        <v>12825.800000000001</v>
      </c>
      <c r="BT167" s="374"/>
      <c r="BU167" s="354">
        <v>3278.7</v>
      </c>
      <c r="BV167" s="355">
        <v>3644.7000000000003</v>
      </c>
      <c r="BW167" s="355">
        <v>4451.1000000000004</v>
      </c>
      <c r="BX167" s="355">
        <v>4716.7</v>
      </c>
      <c r="BY167" s="371">
        <v>16091.199999999999</v>
      </c>
      <c r="BZ167" s="374"/>
      <c r="CA167" s="354">
        <v>4316.2</v>
      </c>
      <c r="CB167" s="355">
        <v>4553.5</v>
      </c>
      <c r="CC167" s="355">
        <v>4415.5</v>
      </c>
      <c r="CD167" s="355">
        <v>4975.2</v>
      </c>
      <c r="CE167" s="371">
        <v>18260.399999999998</v>
      </c>
      <c r="CF167" s="374"/>
      <c r="CG167" s="354">
        <v>4444.7</v>
      </c>
      <c r="CH167" s="355">
        <v>4737.5</v>
      </c>
      <c r="CI167" s="355">
        <v>4669.1000000000004</v>
      </c>
      <c r="CJ167" s="355">
        <v>5266.7</v>
      </c>
      <c r="CK167" s="371">
        <v>19118</v>
      </c>
      <c r="CL167" s="374"/>
      <c r="CM167" s="354">
        <v>4439.2</v>
      </c>
      <c r="CN167" s="355">
        <v>4783.5</v>
      </c>
      <c r="CO167" s="355">
        <v>4707.1000000000004</v>
      </c>
      <c r="CP167" s="355">
        <v>5224.2</v>
      </c>
      <c r="CQ167" s="371">
        <v>19154</v>
      </c>
      <c r="CR167" s="374"/>
      <c r="CS167" s="354">
        <v>4694.7000000000007</v>
      </c>
      <c r="CT167" s="355">
        <v>4960</v>
      </c>
      <c r="CU167" s="355">
        <v>5023.3999999999996</v>
      </c>
      <c r="CV167" s="355">
        <v>5884.8000000000011</v>
      </c>
      <c r="CW167" s="371">
        <v>20562.899999999998</v>
      </c>
      <c r="CX167" s="374"/>
      <c r="CY167" s="354">
        <v>5387.2</v>
      </c>
      <c r="CZ167" s="355">
        <v>5785</v>
      </c>
      <c r="DA167" s="1085">
        <f>+'Pro Forma IS'!DA11</f>
        <v>4132.1000000000004</v>
      </c>
      <c r="DB167" s="1085">
        <f>+'Pro Forma IS'!DB11</f>
        <v>4584.3</v>
      </c>
      <c r="DC167" s="163">
        <f>+SUM(CY167:DB167)</f>
        <v>19888.600000000002</v>
      </c>
      <c r="DD167" s="374"/>
      <c r="DE167" s="354">
        <f>+'Pro Forma IS'!DE11</f>
        <v>4205.7</v>
      </c>
      <c r="DF167" s="355">
        <f>+'Pro Forma IS'!DF11</f>
        <v>4510.1000000000004</v>
      </c>
      <c r="DG167" s="355">
        <f>+'Pro Forma IS'!DG11</f>
        <v>4528.2</v>
      </c>
      <c r="DH167" s="355">
        <f>+'Pro Forma IS'!DH11</f>
        <v>5085.7</v>
      </c>
      <c r="DI167" s="371">
        <f>+'Pro Forma IS'!DI11</f>
        <v>18329.7</v>
      </c>
      <c r="DJ167" s="374"/>
      <c r="DK167" s="354">
        <f>+'Pro Forma IS'!DK11</f>
        <v>4695.3999999999996</v>
      </c>
      <c r="DL167" s="355">
        <f>+'Pro Forma IS'!DL11</f>
        <v>4930.1925000000001</v>
      </c>
      <c r="DM167" s="355">
        <f>+'Pro Forma IS'!DM11</f>
        <v>4850.5630000000001</v>
      </c>
      <c r="DN167" s="355">
        <f>+'Pro Forma IS'!DN11</f>
        <v>5438.3014999999996</v>
      </c>
      <c r="DO167" s="371">
        <f>+'Pro Forma IS'!DO11</f>
        <v>19914.456999999999</v>
      </c>
      <c r="DP167" s="374"/>
      <c r="DQ167" s="354">
        <f>+'Pro Forma IS'!DQ11</f>
        <v>4913.6762500000004</v>
      </c>
      <c r="DR167" s="355">
        <f>+'Pro Forma IS'!DR11</f>
        <v>5168.4449199999999</v>
      </c>
      <c r="DS167" s="355">
        <f>+'Pro Forma IS'!DS11</f>
        <v>5041.1305800000009</v>
      </c>
      <c r="DT167" s="355">
        <f>+'Pro Forma IS'!DT11</f>
        <v>5650.8861350000006</v>
      </c>
      <c r="DU167" s="371">
        <f>+'Pro Forma IS'!DU11</f>
        <v>20774.137885000004</v>
      </c>
      <c r="DV167" s="374"/>
      <c r="DW167" s="354">
        <f>+'Pro Forma IS'!DW11</f>
        <v>5123.9233112499996</v>
      </c>
      <c r="DX167" s="355">
        <f>+'Pro Forma IS'!DX11</f>
        <v>5389.6040598500003</v>
      </c>
      <c r="DY167" s="355">
        <f>+'Pro Forma IS'!DY11</f>
        <v>5256.8937671500007</v>
      </c>
      <c r="DZ167" s="355">
        <f>+'Pro Forma IS'!DZ11</f>
        <v>5892.3971533250015</v>
      </c>
      <c r="EA167" s="371">
        <f>+'Pro Forma IS'!EA11</f>
        <v>21662.818291575004</v>
      </c>
      <c r="EB167" s="374"/>
      <c r="EC167" s="354">
        <f>+'Pro Forma IS'!EC11</f>
        <v>5343.3766571562501</v>
      </c>
      <c r="ED167" s="355">
        <f>+'Pro Forma IS'!ED11</f>
        <v>5620.4517111407504</v>
      </c>
      <c r="EE167" s="355">
        <f>+'Pro Forma IS'!EE11</f>
        <v>5482.1094238462501</v>
      </c>
      <c r="EF167" s="355">
        <f>+'Pro Forma IS'!EF11</f>
        <v>6144.4747495411257</v>
      </c>
      <c r="EG167" s="371">
        <f>+'Pro Forma IS'!EG11</f>
        <v>22590.412541684374</v>
      </c>
      <c r="EH167" s="7"/>
      <c r="EI167" s="482"/>
      <c r="EJ167" s="7"/>
    </row>
    <row r="168" spans="1:140" ht="11.25" customHeight="1" x14ac:dyDescent="0.2">
      <c r="A168" s="51" t="s">
        <v>448</v>
      </c>
      <c r="B168" s="2"/>
      <c r="C168" s="2"/>
      <c r="D168" s="2"/>
      <c r="E168" s="371">
        <v>301.05399999999997</v>
      </c>
      <c r="F168" s="374"/>
      <c r="G168" s="371">
        <v>343.35499999999985</v>
      </c>
      <c r="H168" s="374"/>
      <c r="I168" s="371">
        <v>445.96899999999994</v>
      </c>
      <c r="J168" s="374"/>
      <c r="K168" s="371">
        <v>552.14899999999977</v>
      </c>
      <c r="L168" s="374"/>
      <c r="M168" s="354">
        <v>138.423</v>
      </c>
      <c r="N168" s="355">
        <v>156.613</v>
      </c>
      <c r="O168" s="355">
        <v>147.63999999999999</v>
      </c>
      <c r="P168" s="355">
        <v>59.334999999999951</v>
      </c>
      <c r="Q168" s="371">
        <v>502.01099999999997</v>
      </c>
      <c r="R168" s="374"/>
      <c r="S168" s="354">
        <v>137.22100000000003</v>
      </c>
      <c r="T168" s="355">
        <v>169.57499999999999</v>
      </c>
      <c r="U168" s="355">
        <v>190.91299999999998</v>
      </c>
      <c r="V168" s="355">
        <v>203.41299999999998</v>
      </c>
      <c r="W168" s="371">
        <v>701.12199999999984</v>
      </c>
      <c r="X168" s="374"/>
      <c r="Y168" s="354">
        <v>166.99299999999991</v>
      </c>
      <c r="Z168" s="355">
        <v>201.21099999999996</v>
      </c>
      <c r="AA168" s="355">
        <v>215.76500000000001</v>
      </c>
      <c r="AB168" s="355">
        <v>262.02599999999995</v>
      </c>
      <c r="AC168" s="371">
        <v>845.995</v>
      </c>
      <c r="AD168" s="374"/>
      <c r="AE168" s="354">
        <v>224.96600000000009</v>
      </c>
      <c r="AF168" s="355">
        <v>272.24199999999996</v>
      </c>
      <c r="AG168" s="355">
        <v>291.92100000000005</v>
      </c>
      <c r="AH168" s="355">
        <v>316.05699999999939</v>
      </c>
      <c r="AI168" s="371">
        <v>1105.1859999999995</v>
      </c>
      <c r="AJ168" s="374"/>
      <c r="AK168" s="354">
        <v>271.83699999999993</v>
      </c>
      <c r="AL168" s="355">
        <v>321.02100000000007</v>
      </c>
      <c r="AM168" s="355">
        <v>319.68200000000013</v>
      </c>
      <c r="AN168" s="355">
        <v>352.12900000000019</v>
      </c>
      <c r="AO168" s="371">
        <v>1264.6680000000001</v>
      </c>
      <c r="AP168" s="374"/>
      <c r="AQ168" s="354">
        <v>293.66899999999976</v>
      </c>
      <c r="AR168" s="355">
        <v>377.70900000000023</v>
      </c>
      <c r="AS168" s="355">
        <v>386.62499999999983</v>
      </c>
      <c r="AT168" s="355">
        <v>442.20699999999977</v>
      </c>
      <c r="AU168" s="371">
        <v>1500.21</v>
      </c>
      <c r="AV168" s="374"/>
      <c r="AW168" s="354">
        <v>370.11799999999994</v>
      </c>
      <c r="AX168" s="355">
        <v>442.88800000000009</v>
      </c>
      <c r="AY168" s="355">
        <v>462.93399999999974</v>
      </c>
      <c r="AZ168" s="355">
        <v>464.77000000000021</v>
      </c>
      <c r="BA168" s="371">
        <v>1740.7099999999996</v>
      </c>
      <c r="BB168" s="374"/>
      <c r="BC168" s="354">
        <v>413.22199999999987</v>
      </c>
      <c r="BD168" s="355">
        <v>510.4640000000004</v>
      </c>
      <c r="BE168" s="355">
        <v>522.14</v>
      </c>
      <c r="BF168" s="355">
        <v>423.65100000000029</v>
      </c>
      <c r="BG168" s="371">
        <v>1869.4770000000026</v>
      </c>
      <c r="BH168" s="374"/>
      <c r="BI168" s="354">
        <v>340.17499999999984</v>
      </c>
      <c r="BJ168" s="355">
        <v>343.93700000000001</v>
      </c>
      <c r="BK168" s="355">
        <v>464.60400000000021</v>
      </c>
      <c r="BL168" s="355">
        <v>393.72199999999953</v>
      </c>
      <c r="BM168" s="371">
        <v>1542.4379999999992</v>
      </c>
      <c r="BN168" s="374"/>
      <c r="BO168" s="354">
        <v>421.51600000000076</v>
      </c>
      <c r="BP168" s="355">
        <v>517.73800000000051</v>
      </c>
      <c r="BQ168" s="355">
        <v>553.07700000000023</v>
      </c>
      <c r="BR168" s="355">
        <v>833.05600000000038</v>
      </c>
      <c r="BS168" s="371">
        <v>2325.3870000000015</v>
      </c>
      <c r="BT168" s="374"/>
      <c r="BU168" s="354">
        <v>571.3549999999999</v>
      </c>
      <c r="BV168" s="355">
        <v>618.78600000000029</v>
      </c>
      <c r="BW168" s="355">
        <v>648.4680000000003</v>
      </c>
      <c r="BX168" s="355">
        <v>779.29100000000039</v>
      </c>
      <c r="BY168" s="371">
        <v>2617.9000000000005</v>
      </c>
      <c r="BZ168" s="374"/>
      <c r="CA168" s="354">
        <v>734.9</v>
      </c>
      <c r="CB168" s="355">
        <v>811.30000000000018</v>
      </c>
      <c r="CC168" s="355">
        <v>755.8</v>
      </c>
      <c r="CD168" s="355">
        <v>863.09999999999945</v>
      </c>
      <c r="CE168" s="371">
        <v>3165.0999999999972</v>
      </c>
      <c r="CF168" s="374"/>
      <c r="CG168" s="354">
        <v>730.89999999999964</v>
      </c>
      <c r="CH168" s="355">
        <v>843.59999999999991</v>
      </c>
      <c r="CI168" s="355">
        <v>812.40000000000009</v>
      </c>
      <c r="CJ168" s="355">
        <v>888.00000000000045</v>
      </c>
      <c r="CK168" s="371">
        <v>3274.8999999999996</v>
      </c>
      <c r="CL168" s="374"/>
      <c r="CM168" s="354">
        <v>565.39999999999964</v>
      </c>
      <c r="CN168" s="355">
        <v>709.19999999999982</v>
      </c>
      <c r="CO168" s="355">
        <v>866.20000000000027</v>
      </c>
      <c r="CP168" s="355">
        <v>1205.8000000000011</v>
      </c>
      <c r="CQ168" s="371">
        <v>3346.6000000000004</v>
      </c>
      <c r="CR168" s="374"/>
      <c r="CS168" s="354">
        <v>755.10000000000036</v>
      </c>
      <c r="CT168" s="355">
        <v>934.19999999999982</v>
      </c>
      <c r="CU168" s="355">
        <v>800.79999999999973</v>
      </c>
      <c r="CV168" s="355">
        <v>978.80000000000109</v>
      </c>
      <c r="CW168" s="371">
        <v>3468.8999999999969</v>
      </c>
      <c r="CX168" s="374"/>
      <c r="CY168" s="354">
        <v>882.09999999999991</v>
      </c>
      <c r="CZ168" s="355">
        <v>1034.5</v>
      </c>
      <c r="DA168" s="1085">
        <f>+'Pro Forma IS'!DA20</f>
        <v>699.10000000000059</v>
      </c>
      <c r="DB168" s="1085">
        <f>+'Pro Forma IS'!DB20</f>
        <v>728.59999999999991</v>
      </c>
      <c r="DC168" s="163">
        <f>+SUM(CY168:DB168)</f>
        <v>3344.3000000000006</v>
      </c>
      <c r="DD168" s="374"/>
      <c r="DE168" s="354">
        <f>+'Pro Forma IS'!DE20</f>
        <v>616.99999999999955</v>
      </c>
      <c r="DF168" s="355">
        <f>+'Pro Forma IS'!DF20</f>
        <v>751.70000000000027</v>
      </c>
      <c r="DG168" s="355">
        <f>+'Pro Forma IS'!DG20</f>
        <v>760.49999999999977</v>
      </c>
      <c r="DH168" s="355">
        <f>+'Pro Forma IS'!DH20</f>
        <v>938.09999999999991</v>
      </c>
      <c r="DI168" s="371">
        <f>+'Pro Forma IS'!DI20</f>
        <v>3067.3</v>
      </c>
      <c r="DJ168" s="374"/>
      <c r="DK168" s="354">
        <f>+'Pro Forma IS'!DK20</f>
        <v>742.99999999999932</v>
      </c>
      <c r="DL168" s="355">
        <f>+'Pro Forma IS'!DL20</f>
        <v>846.67385112525881</v>
      </c>
      <c r="DM168" s="355">
        <f>+'Pro Forma IS'!DM20</f>
        <v>838.35817036357389</v>
      </c>
      <c r="DN168" s="355">
        <f>+'Pro Forma IS'!DN20</f>
        <v>1083.6991826970002</v>
      </c>
      <c r="DO168" s="371">
        <f>+'Pro Forma IS'!DO20</f>
        <v>3511.7312041858322</v>
      </c>
      <c r="DP168" s="374"/>
      <c r="DQ168" s="354">
        <f>+'Pro Forma IS'!DQ20</f>
        <v>831.01285591470992</v>
      </c>
      <c r="DR168" s="355">
        <f>+'Pro Forma IS'!DR20</f>
        <v>936.6945017558287</v>
      </c>
      <c r="DS168" s="355">
        <f>+'Pro Forma IS'!DS20</f>
        <v>912.44778798650032</v>
      </c>
      <c r="DT168" s="355">
        <f>+'Pro Forma IS'!DT20</f>
        <v>1164.2544783239423</v>
      </c>
      <c r="DU168" s="371">
        <f>+'Pro Forma IS'!DU20</f>
        <v>3844.4096239809815</v>
      </c>
      <c r="DV168" s="374"/>
      <c r="DW168" s="354">
        <f>+'Pro Forma IS'!DW20</f>
        <v>915.13431627624277</v>
      </c>
      <c r="DX168" s="355">
        <f>+'Pro Forma IS'!DX20</f>
        <v>1024.0005010559762</v>
      </c>
      <c r="DY168" s="355">
        <f>+'Pro Forma IS'!DY20</f>
        <v>998.13822701194158</v>
      </c>
      <c r="DZ168" s="355">
        <f>+'Pro Forma IS'!DZ20</f>
        <v>1258.0119481572929</v>
      </c>
      <c r="EA168" s="371">
        <f>+'Pro Forma IS'!EA20</f>
        <v>4195.2849925014525</v>
      </c>
      <c r="EB168" s="374"/>
      <c r="EC168" s="354">
        <f>+'Pro Forma IS'!EC20</f>
        <v>997.17471445038109</v>
      </c>
      <c r="ED168" s="355">
        <f>+'Pro Forma IS'!ED20</f>
        <v>1109.4064849579895</v>
      </c>
      <c r="EE168" s="355">
        <f>+'Pro Forma IS'!EE20</f>
        <v>1081.7769862924097</v>
      </c>
      <c r="EF168" s="355">
        <f>+'Pro Forma IS'!EF20</f>
        <v>1344.0020318694014</v>
      </c>
      <c r="EG168" s="371">
        <f>+'Pro Forma IS'!EG20</f>
        <v>4532.3602175701817</v>
      </c>
      <c r="EH168" s="7"/>
      <c r="EI168" s="482"/>
      <c r="EJ168" s="7"/>
    </row>
    <row r="169" spans="1:140" ht="11.25" customHeight="1" x14ac:dyDescent="0.2">
      <c r="A169" s="51" t="s">
        <v>280</v>
      </c>
      <c r="B169" s="2"/>
      <c r="C169" s="2"/>
      <c r="D169" s="2"/>
      <c r="E169" s="375">
        <f>+CF!E138</f>
        <v>0.35299999999999998</v>
      </c>
      <c r="F169" s="374"/>
      <c r="G169" s="375">
        <f>+CF!G138</f>
        <v>0.35</v>
      </c>
      <c r="H169" s="374"/>
      <c r="I169" s="375">
        <f>+CF!I138</f>
        <v>0.35899999999999999</v>
      </c>
      <c r="J169" s="374"/>
      <c r="K169" s="375">
        <f>+CF!K138</f>
        <v>0.34899999999999998</v>
      </c>
      <c r="L169" s="374"/>
      <c r="M169" s="366">
        <f>+CF!$M$138</f>
        <v>0.34599999999999997</v>
      </c>
      <c r="N169" s="367">
        <f>+CF!N138</f>
        <v>0.34599999999999997</v>
      </c>
      <c r="O169" s="367">
        <f>+CF!O138</f>
        <v>0.34599999999999997</v>
      </c>
      <c r="P169" s="367">
        <f>+CF!P138</f>
        <v>0.34599999999999997</v>
      </c>
      <c r="Q169" s="375">
        <f>+CF!Q138</f>
        <v>0.34599999999999997</v>
      </c>
      <c r="R169" s="374"/>
      <c r="S169" s="366">
        <f>+CF!S138</f>
        <v>0.33999999999999997</v>
      </c>
      <c r="T169" s="367">
        <f>+CF!T138</f>
        <v>0.33999999999999997</v>
      </c>
      <c r="U169" s="367">
        <f>+CF!U138</f>
        <v>0.33999999999999997</v>
      </c>
      <c r="V169" s="367">
        <f>+CF!V138</f>
        <v>0.33999999999999997</v>
      </c>
      <c r="W169" s="375">
        <f>+CF!W138</f>
        <v>0.33999999999999997</v>
      </c>
      <c r="X169" s="374"/>
      <c r="Y169" s="366">
        <f>+CF!Y138</f>
        <v>0.33499999999999996</v>
      </c>
      <c r="Z169" s="367">
        <f>+CF!Z138</f>
        <v>0.33499999999999996</v>
      </c>
      <c r="AA169" s="367">
        <f>+CF!AA138</f>
        <v>0.33499999999999996</v>
      </c>
      <c r="AB169" s="367">
        <f>+CF!AB138</f>
        <v>0.33499999999999996</v>
      </c>
      <c r="AC169" s="375">
        <f>+CF!AC138</f>
        <v>0.33499999999999996</v>
      </c>
      <c r="AD169" s="374"/>
      <c r="AE169" s="366">
        <f>+CF!AE138</f>
        <v>0.29399999999999998</v>
      </c>
      <c r="AF169" s="367">
        <f>+CF!AF138</f>
        <v>0.29399999999999998</v>
      </c>
      <c r="AG169" s="367">
        <f>+CF!AG138</f>
        <v>0.29399999999999998</v>
      </c>
      <c r="AH169" s="367">
        <f>+CF!AH138</f>
        <v>0.29399999999999998</v>
      </c>
      <c r="AI169" s="375">
        <f>+CF!AI138</f>
        <v>0.29399999999999998</v>
      </c>
      <c r="AJ169" s="374"/>
      <c r="AK169" s="366">
        <f>+CF!AK138</f>
        <v>0.27699999999999997</v>
      </c>
      <c r="AL169" s="367">
        <f>+CF!AL138</f>
        <v>0.27699999999999997</v>
      </c>
      <c r="AM169" s="367">
        <f>+CF!AM138</f>
        <v>0.27699999999999997</v>
      </c>
      <c r="AN169" s="367">
        <f>+CF!AN138</f>
        <v>0.27699999999999997</v>
      </c>
      <c r="AO169" s="375">
        <f>+CF!AO138</f>
        <v>0.27699999999999997</v>
      </c>
      <c r="AP169" s="374"/>
      <c r="AQ169" s="366">
        <f>+CF!AQ138</f>
        <v>0.27600000000000002</v>
      </c>
      <c r="AR169" s="367">
        <f>+CF!AR138</f>
        <v>0.27600000000000002</v>
      </c>
      <c r="AS169" s="367">
        <f>+CF!AS138</f>
        <v>0.27600000000000002</v>
      </c>
      <c r="AT169" s="367">
        <f>+CF!AT138</f>
        <v>0.27600000000000002</v>
      </c>
      <c r="AU169" s="375">
        <f>+CF!AU138</f>
        <v>0.27600000000000002</v>
      </c>
      <c r="AV169" s="374"/>
      <c r="AW169" s="366">
        <f>+CF!AW138</f>
        <v>0.25600000000000001</v>
      </c>
      <c r="AX169" s="367">
        <f>+CF!AX138</f>
        <v>0.25600000000000001</v>
      </c>
      <c r="AY169" s="367">
        <f>+CF!AY138</f>
        <v>0.25600000000000001</v>
      </c>
      <c r="AZ169" s="367">
        <f>+CF!AZ138</f>
        <v>0.25600000000000001</v>
      </c>
      <c r="BA169" s="375">
        <f>+CF!BA138</f>
        <v>0.25600000000000001</v>
      </c>
      <c r="BB169" s="374"/>
      <c r="BC169" s="366">
        <f>+CF!BC138</f>
        <v>0.247</v>
      </c>
      <c r="BD169" s="367">
        <f>+CF!BD138</f>
        <v>0.247</v>
      </c>
      <c r="BE169" s="367">
        <f>+CF!BE138</f>
        <v>0.247</v>
      </c>
      <c r="BF169" s="367">
        <f>+CF!BF138</f>
        <v>0.247</v>
      </c>
      <c r="BG169" s="375">
        <f>+CF!BG138</f>
        <v>0.247</v>
      </c>
      <c r="BH169" s="374"/>
      <c r="BI169" s="366">
        <f>+CF!BI138</f>
        <v>0.248</v>
      </c>
      <c r="BJ169" s="367">
        <f>+CF!BJ138</f>
        <v>0.248</v>
      </c>
      <c r="BK169" s="367">
        <f>+CF!BK138</f>
        <v>0.248</v>
      </c>
      <c r="BL169" s="367">
        <f>+CF!BL138</f>
        <v>0.248</v>
      </c>
      <c r="BM169" s="375">
        <f>+CF!BM138</f>
        <v>0.248</v>
      </c>
      <c r="BN169" s="374"/>
      <c r="BO169" s="366">
        <f>+CF!BO138</f>
        <v>0.25900000000000001</v>
      </c>
      <c r="BP169" s="367">
        <f>+CF!BP138</f>
        <v>0.25900000000000001</v>
      </c>
      <c r="BQ169" s="367">
        <f>+CF!BQ138</f>
        <v>0.25900000000000001</v>
      </c>
      <c r="BR169" s="367">
        <f>+CF!BR138</f>
        <v>0.25900000000000001</v>
      </c>
      <c r="BS169" s="375">
        <f>+CF!BS138</f>
        <v>0.25900000000000001</v>
      </c>
      <c r="BT169" s="374"/>
      <c r="BU169" s="366">
        <f>+CF!BU138</f>
        <v>0.23199999999999998</v>
      </c>
      <c r="BV169" s="367">
        <f>+CF!BV138</f>
        <v>0.23199999999999998</v>
      </c>
      <c r="BW169" s="367">
        <f>+CF!BW138</f>
        <v>0.23199999999999998</v>
      </c>
      <c r="BX169" s="367">
        <f>+CF!BX138</f>
        <v>0.23199999999999998</v>
      </c>
      <c r="BY169" s="375">
        <f>+CF!BY138</f>
        <v>0.23199999999999998</v>
      </c>
      <c r="BZ169" s="374"/>
      <c r="CA169" s="366">
        <f>+CF!CA138</f>
        <v>0.22</v>
      </c>
      <c r="CB169" s="367">
        <f>+CF!CB138</f>
        <v>0.22</v>
      </c>
      <c r="CC169" s="367">
        <f>+CF!CC138</f>
        <v>0.22</v>
      </c>
      <c r="CD169" s="367">
        <f>+CF!CD138</f>
        <v>0.22</v>
      </c>
      <c r="CE169" s="375">
        <f>+CF!CE138</f>
        <v>0.22</v>
      </c>
      <c r="CF169" s="374"/>
      <c r="CG169" s="366">
        <f>+CF!CG138</f>
        <v>0.26600000000000001</v>
      </c>
      <c r="CH169" s="367">
        <f>+CF!CH138</f>
        <v>0.26600000000000001</v>
      </c>
      <c r="CI169" s="367">
        <f>+CF!CI138</f>
        <v>0.26600000000000001</v>
      </c>
      <c r="CJ169" s="367">
        <f>+CF!CJ138</f>
        <v>0.26600000000000001</v>
      </c>
      <c r="CK169" s="375">
        <f>+CF!CK138</f>
        <v>0.26600000000000001</v>
      </c>
      <c r="CL169" s="374"/>
      <c r="CM169" s="366">
        <f>+CF!CM138</f>
        <v>0.22599999999999998</v>
      </c>
      <c r="CN169" s="367">
        <f>+CF!CN138</f>
        <v>0.22599999999999998</v>
      </c>
      <c r="CO169" s="367">
        <f>+CF!CO138</f>
        <v>0.22599999999999998</v>
      </c>
      <c r="CP169" s="367">
        <f>+CF!CP138</f>
        <v>0.22599999999999998</v>
      </c>
      <c r="CQ169" s="375">
        <f>+CF!CQ138</f>
        <v>0.22599999999999998</v>
      </c>
      <c r="CR169" s="374"/>
      <c r="CS169" s="366">
        <f>+CF!CS138</f>
        <v>0.18599999999999997</v>
      </c>
      <c r="CT169" s="367">
        <f>+CF!CT138</f>
        <v>0.18599999999999997</v>
      </c>
      <c r="CU169" s="367">
        <f>+CF!CU138</f>
        <v>0.18599999999999997</v>
      </c>
      <c r="CV169" s="367">
        <f>+CF!CV138</f>
        <v>0.18599999999999997</v>
      </c>
      <c r="CW169" s="375">
        <f>+CF!CW138</f>
        <v>0.18599999999999997</v>
      </c>
      <c r="CX169" s="374"/>
      <c r="CY169" s="366">
        <f>+CF!CY138</f>
        <v>0.254</v>
      </c>
      <c r="CZ169" s="367">
        <f>+CF!CZ138</f>
        <v>0.254</v>
      </c>
      <c r="DA169" s="1086">
        <f>+CF!DA138</f>
        <v>0.254</v>
      </c>
      <c r="DB169" s="1086">
        <f>+CF!DB138</f>
        <v>0.254</v>
      </c>
      <c r="DC169" s="375">
        <f>+CF!DC138</f>
        <v>0.254</v>
      </c>
      <c r="DD169" s="374"/>
      <c r="DE169" s="366">
        <f>+CF!DE138</f>
        <v>0.21099999999999999</v>
      </c>
      <c r="DF169" s="367">
        <f>+CF!DF138</f>
        <v>0.21099999999999999</v>
      </c>
      <c r="DG169" s="367">
        <f>+CF!DG138</f>
        <v>0.21099999999999999</v>
      </c>
      <c r="DH169" s="367">
        <f>+CF!DH138</f>
        <v>0.21099999999999999</v>
      </c>
      <c r="DI169" s="375">
        <f>+CF!DI138</f>
        <v>0.21099999999999999</v>
      </c>
      <c r="DJ169" s="374"/>
      <c r="DK169" s="366">
        <f>+CF!DK138</f>
        <v>0.20599999999999999</v>
      </c>
      <c r="DL169" s="367">
        <f>+CF!DL138</f>
        <v>0.20599999999999999</v>
      </c>
      <c r="DM169" s="367">
        <f>+CF!DM138</f>
        <v>0.20599999999999999</v>
      </c>
      <c r="DN169" s="367">
        <f>+CF!DN138</f>
        <v>0.20599999999999999</v>
      </c>
      <c r="DO169" s="375">
        <f>+CF!DO138</f>
        <v>0.20599999999999999</v>
      </c>
      <c r="DP169" s="374"/>
      <c r="DQ169" s="366">
        <f>+CF!DQ138</f>
        <v>0.20599999999999999</v>
      </c>
      <c r="DR169" s="367">
        <f>+CF!DR138</f>
        <v>0.20599999999999999</v>
      </c>
      <c r="DS169" s="367">
        <f>+CF!DS138</f>
        <v>0.20599999999999999</v>
      </c>
      <c r="DT169" s="367">
        <f>+CF!DT138</f>
        <v>0.20599999999999999</v>
      </c>
      <c r="DU169" s="375">
        <f>+CF!DU138</f>
        <v>0.20599999999999999</v>
      </c>
      <c r="DV169" s="374"/>
      <c r="DW169" s="366">
        <f>+CF!DW138</f>
        <v>0.20599999999999999</v>
      </c>
      <c r="DX169" s="367">
        <f>+CF!DX138</f>
        <v>0.20599999999999999</v>
      </c>
      <c r="DY169" s="367">
        <f>+CF!DY138</f>
        <v>0.20599999999999999</v>
      </c>
      <c r="DZ169" s="367">
        <f>+CF!DZ138</f>
        <v>0.20599999999999999</v>
      </c>
      <c r="EA169" s="375">
        <f>+CF!EA138</f>
        <v>0.20599999999999999</v>
      </c>
      <c r="EB169" s="374"/>
      <c r="EC169" s="366">
        <f>+CF!EC138</f>
        <v>0.20599999999999999</v>
      </c>
      <c r="ED169" s="367">
        <f>+CF!ED138</f>
        <v>0.20599999999999999</v>
      </c>
      <c r="EE169" s="367">
        <f>+CF!EE138</f>
        <v>0.20599999999999999</v>
      </c>
      <c r="EF169" s="367">
        <f>+CF!EF138</f>
        <v>0.20599999999999999</v>
      </c>
      <c r="EG169" s="375">
        <f>+CF!EG138</f>
        <v>0.20599999999999999</v>
      </c>
      <c r="EH169" s="7"/>
      <c r="EI169" s="482"/>
      <c r="EJ169" s="7"/>
    </row>
    <row r="170" spans="1:140" ht="11.25" customHeight="1" x14ac:dyDescent="0.2">
      <c r="A170" s="51" t="s">
        <v>157</v>
      </c>
      <c r="B170" s="2"/>
      <c r="C170" s="2"/>
      <c r="D170" s="2"/>
      <c r="E170" s="93">
        <f t="shared" ref="E170:K170" si="909">E168*E169</f>
        <v>106.27206199999999</v>
      </c>
      <c r="F170" s="126"/>
      <c r="G170" s="93">
        <f t="shared" si="909"/>
        <v>120.17424999999994</v>
      </c>
      <c r="H170" s="126"/>
      <c r="I170" s="93">
        <f t="shared" si="909"/>
        <v>160.10287099999996</v>
      </c>
      <c r="J170" s="126"/>
      <c r="K170" s="93">
        <f t="shared" si="909"/>
        <v>192.7000009999999</v>
      </c>
      <c r="L170" s="126"/>
      <c r="M170" s="82">
        <f>M168*M169</f>
        <v>47.894357999999997</v>
      </c>
      <c r="N170" s="67">
        <f t="shared" ref="N170" si="910">N168*N169</f>
        <v>54.188097999999997</v>
      </c>
      <c r="O170" s="67">
        <f t="shared" ref="O170" si="911">O168*O169</f>
        <v>51.083439999999989</v>
      </c>
      <c r="P170" s="67">
        <f t="shared" ref="P170" si="912">P168*P169</f>
        <v>20.529909999999983</v>
      </c>
      <c r="Q170" s="93">
        <f t="shared" ref="Q170" si="913">Q168*Q169</f>
        <v>173.69580599999998</v>
      </c>
      <c r="R170" s="126"/>
      <c r="S170" s="82">
        <f>S168*S169</f>
        <v>46.65514000000001</v>
      </c>
      <c r="T170" s="67">
        <f t="shared" ref="T170" si="914">T168*T169</f>
        <v>57.655499999999989</v>
      </c>
      <c r="U170" s="67">
        <f t="shared" ref="U170" si="915">U168*U169</f>
        <v>64.910419999999988</v>
      </c>
      <c r="V170" s="67">
        <f t="shared" ref="V170" si="916">V168*V169</f>
        <v>69.160419999999988</v>
      </c>
      <c r="W170" s="93">
        <f t="shared" ref="W170" si="917">W168*W169</f>
        <v>238.38147999999993</v>
      </c>
      <c r="X170" s="126"/>
      <c r="Y170" s="82">
        <f>Y168*Y169</f>
        <v>55.942654999999966</v>
      </c>
      <c r="Z170" s="67">
        <f t="shared" ref="Z170" si="918">Z168*Z169</f>
        <v>67.405684999999977</v>
      </c>
      <c r="AA170" s="67">
        <f t="shared" ref="AA170" si="919">AA168*AA169</f>
        <v>72.281274999999994</v>
      </c>
      <c r="AB170" s="67">
        <f t="shared" ref="AB170" si="920">AB168*AB169</f>
        <v>87.778709999999975</v>
      </c>
      <c r="AC170" s="93">
        <f t="shared" ref="AC170" si="921">AC168*AC169</f>
        <v>283.40832499999999</v>
      </c>
      <c r="AD170" s="126"/>
      <c r="AE170" s="82">
        <f>AE168*AE169</f>
        <v>66.140004000000019</v>
      </c>
      <c r="AF170" s="67">
        <f t="shared" ref="AF170" si="922">AF168*AF169</f>
        <v>80.039147999999983</v>
      </c>
      <c r="AG170" s="67">
        <f t="shared" ref="AG170" si="923">AG168*AG169</f>
        <v>85.824774000000005</v>
      </c>
      <c r="AH170" s="67">
        <f t="shared" ref="AH170" si="924">AH168*AH169</f>
        <v>92.920757999999822</v>
      </c>
      <c r="AI170" s="93">
        <f t="shared" ref="AI170" si="925">AI168*AI169</f>
        <v>324.92468399999984</v>
      </c>
      <c r="AJ170" s="126"/>
      <c r="AK170" s="82">
        <f>AK168*AK169</f>
        <v>75.298848999999976</v>
      </c>
      <c r="AL170" s="67">
        <f t="shared" ref="AL170" si="926">AL168*AL169</f>
        <v>88.922817000000009</v>
      </c>
      <c r="AM170" s="67">
        <f t="shared" ref="AM170" si="927">AM168*AM169</f>
        <v>88.551914000000025</v>
      </c>
      <c r="AN170" s="67">
        <f t="shared" ref="AN170" si="928">AN168*AN169</f>
        <v>97.539733000000041</v>
      </c>
      <c r="AO170" s="93">
        <f t="shared" ref="AO170" si="929">AO168*AO169</f>
        <v>350.31303600000001</v>
      </c>
      <c r="AP170" s="126"/>
      <c r="AQ170" s="82">
        <f>AQ168*AQ169</f>
        <v>81.052643999999944</v>
      </c>
      <c r="AR170" s="67">
        <f t="shared" ref="AR170" si="930">AR168*AR169</f>
        <v>104.24768400000008</v>
      </c>
      <c r="AS170" s="67">
        <f t="shared" ref="AS170" si="931">AS168*AS169</f>
        <v>106.70849999999996</v>
      </c>
      <c r="AT170" s="67">
        <f t="shared" ref="AT170" si="932">AT168*AT169</f>
        <v>122.04913199999994</v>
      </c>
      <c r="AU170" s="93">
        <f t="shared" ref="AU170" si="933">AU168*AU169</f>
        <v>414.05796000000004</v>
      </c>
      <c r="AV170" s="126"/>
      <c r="AW170" s="82">
        <f>AW168*AW169</f>
        <v>94.750207999999986</v>
      </c>
      <c r="AX170" s="67">
        <f t="shared" ref="AX170" si="934">AX168*AX169</f>
        <v>113.37932800000003</v>
      </c>
      <c r="AY170" s="67">
        <f t="shared" ref="AY170" si="935">AY168*AY169</f>
        <v>118.51110399999993</v>
      </c>
      <c r="AZ170" s="67">
        <f t="shared" ref="AZ170" si="936">AZ168*AZ169</f>
        <v>118.98112000000006</v>
      </c>
      <c r="BA170" s="93">
        <f t="shared" ref="BA170" si="937">BA168*BA169</f>
        <v>445.62175999999988</v>
      </c>
      <c r="BB170" s="126"/>
      <c r="BC170" s="82">
        <f>BC168*BC169</f>
        <v>102.06583399999997</v>
      </c>
      <c r="BD170" s="67">
        <f t="shared" ref="BD170" si="938">BD168*BD169</f>
        <v>126.0846080000001</v>
      </c>
      <c r="BE170" s="67">
        <f t="shared" ref="BE170" si="939">BE168*BE169</f>
        <v>128.96858</v>
      </c>
      <c r="BF170" s="67">
        <f t="shared" ref="BF170" si="940">BF168*BF169</f>
        <v>104.64179700000007</v>
      </c>
      <c r="BG170" s="93">
        <f t="shared" ref="BG170" si="941">BG168*BG169</f>
        <v>461.76081900000065</v>
      </c>
      <c r="BH170" s="126"/>
      <c r="BI170" s="82">
        <f>BI168*BI169</f>
        <v>84.363399999999956</v>
      </c>
      <c r="BJ170" s="67">
        <f t="shared" ref="BJ170" si="942">BJ168*BJ169</f>
        <v>85.296376000000009</v>
      </c>
      <c r="BK170" s="67">
        <f t="shared" ref="BK170" si="943">BK168*BK169</f>
        <v>115.22179200000005</v>
      </c>
      <c r="BL170" s="67">
        <f t="shared" ref="BL170" si="944">BL168*BL169</f>
        <v>97.643055999999888</v>
      </c>
      <c r="BM170" s="93">
        <f t="shared" ref="BM170" si="945">BM168*BM169</f>
        <v>382.52462399999979</v>
      </c>
      <c r="BN170" s="126"/>
      <c r="BO170" s="82">
        <f>BO168*BO169</f>
        <v>109.1726440000002</v>
      </c>
      <c r="BP170" s="67">
        <f t="shared" ref="BP170" si="946">BP168*BP169</f>
        <v>134.09414200000015</v>
      </c>
      <c r="BQ170" s="67">
        <f t="shared" ref="BQ170" si="947">BQ168*BQ169</f>
        <v>143.24694300000007</v>
      </c>
      <c r="BR170" s="67">
        <f t="shared" ref="BR170" si="948">BR168*BR169</f>
        <v>215.76150400000012</v>
      </c>
      <c r="BS170" s="93">
        <f t="shared" ref="BS170" si="949">BS168*BS169</f>
        <v>602.27523300000041</v>
      </c>
      <c r="BT170" s="126"/>
      <c r="BU170" s="82">
        <f>BU168*BU169</f>
        <v>132.55435999999997</v>
      </c>
      <c r="BV170" s="67">
        <f t="shared" ref="BV170" si="950">BV168*BV169</f>
        <v>143.55835200000007</v>
      </c>
      <c r="BW170" s="67">
        <f t="shared" ref="BW170" si="951">BW168*BW169</f>
        <v>150.44457600000007</v>
      </c>
      <c r="BX170" s="67">
        <f t="shared" ref="BX170" si="952">BX168*BX169</f>
        <v>180.79551200000009</v>
      </c>
      <c r="BY170" s="93">
        <f t="shared" ref="BY170" si="953">BY168*BY169</f>
        <v>607.35280000000012</v>
      </c>
      <c r="BZ170" s="126"/>
      <c r="CA170" s="82">
        <f>CA168*CA169</f>
        <v>161.678</v>
      </c>
      <c r="CB170" s="67">
        <f t="shared" ref="CB170" si="954">CB168*CB169</f>
        <v>178.48600000000005</v>
      </c>
      <c r="CC170" s="67">
        <f t="shared" ref="CC170" si="955">CC168*CC169</f>
        <v>166.27599999999998</v>
      </c>
      <c r="CD170" s="67">
        <f t="shared" ref="CD170" si="956">CD168*CD169</f>
        <v>189.88199999999989</v>
      </c>
      <c r="CE170" s="93">
        <f t="shared" ref="CE170" si="957">CE168*CE169</f>
        <v>696.32199999999943</v>
      </c>
      <c r="CF170" s="126"/>
      <c r="CG170" s="82">
        <f>CG168*CG169</f>
        <v>194.41939999999991</v>
      </c>
      <c r="CH170" s="67">
        <f t="shared" ref="CH170" si="958">CH168*CH169</f>
        <v>224.39759999999998</v>
      </c>
      <c r="CI170" s="67">
        <f t="shared" ref="CI170" si="959">CI168*CI169</f>
        <v>216.09840000000003</v>
      </c>
      <c r="CJ170" s="67">
        <f t="shared" ref="CJ170" si="960">CJ168*CJ169</f>
        <v>236.20800000000014</v>
      </c>
      <c r="CK170" s="93">
        <f t="shared" ref="CK170" si="961">CK168*CK169</f>
        <v>871.12339999999995</v>
      </c>
      <c r="CL170" s="126"/>
      <c r="CM170" s="82">
        <f>CM168*CM169</f>
        <v>127.7803999999999</v>
      </c>
      <c r="CN170" s="67">
        <f t="shared" ref="CN170" si="962">CN168*CN169</f>
        <v>160.27919999999995</v>
      </c>
      <c r="CO170" s="67">
        <f t="shared" ref="CO170" si="963">CO168*CO169</f>
        <v>195.76120000000003</v>
      </c>
      <c r="CP170" s="67">
        <f t="shared" ref="CP170" si="964">CP168*CP169</f>
        <v>272.51080000000024</v>
      </c>
      <c r="CQ170" s="93">
        <f t="shared" ref="CQ170" si="965">CQ168*CQ169</f>
        <v>756.33159999999998</v>
      </c>
      <c r="CR170" s="126"/>
      <c r="CS170" s="82">
        <f>CS168*CS169</f>
        <v>140.44860000000006</v>
      </c>
      <c r="CT170" s="67">
        <f t="shared" ref="CT170" si="966">CT168*CT169</f>
        <v>173.76119999999995</v>
      </c>
      <c r="CU170" s="67">
        <f t="shared" ref="CU170" si="967">CU168*CU169</f>
        <v>148.94879999999992</v>
      </c>
      <c r="CV170" s="67">
        <f t="shared" ref="CV170" si="968">CV168*CV169</f>
        <v>182.05680000000018</v>
      </c>
      <c r="CW170" s="93">
        <f t="shared" ref="CW170" si="969">CW168*CW169</f>
        <v>645.21539999999936</v>
      </c>
      <c r="CX170" s="126"/>
      <c r="CY170" s="82">
        <f>CY168*CY169</f>
        <v>224.05339999999998</v>
      </c>
      <c r="CZ170" s="67">
        <f t="shared" ref="CZ170:DB170" si="970">CZ168*CZ169</f>
        <v>262.76299999999998</v>
      </c>
      <c r="DA170" s="67">
        <f>DA168*DA169</f>
        <v>177.57140000000015</v>
      </c>
      <c r="DB170" s="67">
        <f t="shared" si="970"/>
        <v>185.06439999999998</v>
      </c>
      <c r="DC170" s="163">
        <f>+SUM(CY170:DB170)</f>
        <v>849.45220000000006</v>
      </c>
      <c r="DD170" s="126"/>
      <c r="DE170" s="82">
        <f>DE168*DE169</f>
        <v>130.1869999999999</v>
      </c>
      <c r="DF170" s="67">
        <f t="shared" ref="DF170" si="971">DF168*DF169</f>
        <v>158.60870000000006</v>
      </c>
      <c r="DG170" s="67">
        <f t="shared" ref="DG170" si="972">DG168*DG169</f>
        <v>160.46549999999993</v>
      </c>
      <c r="DH170" s="67">
        <f t="shared" ref="DH170" si="973">DH168*DH169</f>
        <v>197.93909999999997</v>
      </c>
      <c r="DI170" s="93">
        <f t="shared" ref="DI170" si="974">DI168*DI169</f>
        <v>647.20029999999997</v>
      </c>
      <c r="DJ170" s="126"/>
      <c r="DK170" s="82">
        <f>DK168*DK169</f>
        <v>153.05799999999985</v>
      </c>
      <c r="DL170" s="67">
        <f t="shared" ref="DL170" si="975">DL168*DL169</f>
        <v>174.41481333180332</v>
      </c>
      <c r="DM170" s="67">
        <f t="shared" ref="DM170" si="976">DM168*DM169</f>
        <v>172.7017830948962</v>
      </c>
      <c r="DN170" s="67">
        <f t="shared" ref="DN170" si="977">DN168*DN169</f>
        <v>223.24203163558204</v>
      </c>
      <c r="DO170" s="93">
        <f t="shared" ref="DO170" si="978">DO168*DO169</f>
        <v>723.41662806228135</v>
      </c>
      <c r="DP170" s="126"/>
      <c r="DQ170" s="82">
        <f>DQ168*DQ169</f>
        <v>171.18864831843024</v>
      </c>
      <c r="DR170" s="67">
        <f t="shared" ref="DR170" si="979">DR168*DR169</f>
        <v>192.9590673617007</v>
      </c>
      <c r="DS170" s="67">
        <f t="shared" ref="DS170" si="980">DS168*DS169</f>
        <v>187.96424432521906</v>
      </c>
      <c r="DT170" s="67">
        <f t="shared" ref="DT170" si="981">DT168*DT169</f>
        <v>239.83642253473209</v>
      </c>
      <c r="DU170" s="93">
        <f t="shared" ref="DU170" si="982">DU168*DU169</f>
        <v>791.94838254008209</v>
      </c>
      <c r="DV170" s="126"/>
      <c r="DW170" s="82">
        <f>DW168*DW169</f>
        <v>188.517669152906</v>
      </c>
      <c r="DX170" s="67">
        <f t="shared" ref="DX170:EA170" si="983">DX168*DX169</f>
        <v>210.94410321753108</v>
      </c>
      <c r="DY170" s="67">
        <f t="shared" si="983"/>
        <v>205.61647476445995</v>
      </c>
      <c r="DZ170" s="67">
        <f t="shared" si="983"/>
        <v>259.15046132040231</v>
      </c>
      <c r="EA170" s="93">
        <f t="shared" si="983"/>
        <v>864.22870845529917</v>
      </c>
      <c r="EB170" s="126"/>
      <c r="EC170" s="82">
        <f t="shared" ref="EC170:EG170" si="984">EC168*EC169</f>
        <v>205.41799117677849</v>
      </c>
      <c r="ED170" s="67">
        <f t="shared" si="984"/>
        <v>228.53773590134583</v>
      </c>
      <c r="EE170" s="67">
        <f t="shared" si="984"/>
        <v>222.84605917623639</v>
      </c>
      <c r="EF170" s="67">
        <f t="shared" si="984"/>
        <v>276.86441856509668</v>
      </c>
      <c r="EG170" s="93">
        <f t="shared" si="984"/>
        <v>933.66620481945733</v>
      </c>
      <c r="EH170" s="7"/>
      <c r="EI170" s="482"/>
      <c r="EJ170" s="7"/>
    </row>
    <row r="171" spans="1:140" ht="11.25" customHeight="1" x14ac:dyDescent="0.2">
      <c r="A171" s="51" t="s">
        <v>281</v>
      </c>
      <c r="B171" s="2"/>
      <c r="C171" s="2"/>
      <c r="D171" s="2"/>
      <c r="E171" s="93">
        <f t="shared" ref="E171:K171" si="985">E168-E170</f>
        <v>194.78193799999997</v>
      </c>
      <c r="F171" s="126"/>
      <c r="G171" s="93">
        <f t="shared" si="985"/>
        <v>223.1807499999999</v>
      </c>
      <c r="H171" s="126"/>
      <c r="I171" s="93">
        <f t="shared" si="985"/>
        <v>285.866129</v>
      </c>
      <c r="J171" s="126"/>
      <c r="K171" s="93">
        <f t="shared" si="985"/>
        <v>359.44899899999984</v>
      </c>
      <c r="L171" s="126"/>
      <c r="M171" s="82">
        <f>M168-M170</f>
        <v>90.528642000000005</v>
      </c>
      <c r="N171" s="67">
        <f t="shared" ref="N171" si="986">N168-N170</f>
        <v>102.424902</v>
      </c>
      <c r="O171" s="67">
        <f t="shared" ref="O171" si="987">O168-O170</f>
        <v>96.55655999999999</v>
      </c>
      <c r="P171" s="67">
        <f t="shared" ref="P171" si="988">P168-P170</f>
        <v>38.805089999999964</v>
      </c>
      <c r="Q171" s="93">
        <f t="shared" ref="Q171" si="989">Q168-Q170</f>
        <v>328.31519400000002</v>
      </c>
      <c r="R171" s="126"/>
      <c r="S171" s="82">
        <f>S168-S170</f>
        <v>90.565860000000015</v>
      </c>
      <c r="T171" s="67">
        <f t="shared" ref="T171" si="990">T168-T170</f>
        <v>111.9195</v>
      </c>
      <c r="U171" s="67">
        <f t="shared" ref="U171" si="991">U168-U170</f>
        <v>126.00257999999999</v>
      </c>
      <c r="V171" s="67">
        <f t="shared" ref="V171" si="992">V168-V170</f>
        <v>134.25257999999999</v>
      </c>
      <c r="W171" s="93">
        <f t="shared" ref="W171" si="993">W168-W170</f>
        <v>462.74051999999995</v>
      </c>
      <c r="X171" s="126"/>
      <c r="Y171" s="82">
        <f>Y168-Y170</f>
        <v>111.05034499999994</v>
      </c>
      <c r="Z171" s="67">
        <f t="shared" ref="Z171" si="994">Z168-Z170</f>
        <v>133.80531499999998</v>
      </c>
      <c r="AA171" s="67">
        <f t="shared" ref="AA171" si="995">AA168-AA170</f>
        <v>143.48372500000002</v>
      </c>
      <c r="AB171" s="67">
        <f t="shared" ref="AB171" si="996">AB168-AB170</f>
        <v>174.24728999999996</v>
      </c>
      <c r="AC171" s="93">
        <f t="shared" ref="AC171" si="997">AC168-AC170</f>
        <v>562.58667500000001</v>
      </c>
      <c r="AD171" s="126"/>
      <c r="AE171" s="82">
        <f>AE168-AE170</f>
        <v>158.82599600000009</v>
      </c>
      <c r="AF171" s="67">
        <f t="shared" ref="AF171" si="998">AF168-AF170</f>
        <v>192.20285199999998</v>
      </c>
      <c r="AG171" s="67">
        <f t="shared" ref="AG171" si="999">AG168-AG170</f>
        <v>206.09622600000006</v>
      </c>
      <c r="AH171" s="67">
        <f t="shared" ref="AH171" si="1000">AH168-AH170</f>
        <v>223.13624199999958</v>
      </c>
      <c r="AI171" s="93">
        <f t="shared" ref="AI171" si="1001">AI168-AI170</f>
        <v>780.26131599999962</v>
      </c>
      <c r="AJ171" s="126"/>
      <c r="AK171" s="82">
        <f>AK168-AK170</f>
        <v>196.53815099999997</v>
      </c>
      <c r="AL171" s="67">
        <f t="shared" ref="AL171" si="1002">AL168-AL170</f>
        <v>232.09818300000006</v>
      </c>
      <c r="AM171" s="67">
        <f t="shared" ref="AM171" si="1003">AM168-AM170</f>
        <v>231.13008600000012</v>
      </c>
      <c r="AN171" s="67">
        <f t="shared" ref="AN171" si="1004">AN168-AN170</f>
        <v>254.58926700000015</v>
      </c>
      <c r="AO171" s="93">
        <f t="shared" ref="AO171" si="1005">AO168-AO170</f>
        <v>914.35496400000011</v>
      </c>
      <c r="AP171" s="126"/>
      <c r="AQ171" s="82">
        <f>AQ168-AQ170</f>
        <v>212.61635599999983</v>
      </c>
      <c r="AR171" s="67">
        <f t="shared" ref="AR171" si="1006">AR168-AR170</f>
        <v>273.46131600000012</v>
      </c>
      <c r="AS171" s="67">
        <f t="shared" ref="AS171" si="1007">AS168-AS170</f>
        <v>279.91649999999987</v>
      </c>
      <c r="AT171" s="67">
        <f t="shared" ref="AT171" si="1008">AT168-AT170</f>
        <v>320.15786799999984</v>
      </c>
      <c r="AU171" s="93">
        <f t="shared" ref="AU171" si="1009">AU168-AU170</f>
        <v>1086.1520399999999</v>
      </c>
      <c r="AV171" s="126"/>
      <c r="AW171" s="82">
        <f>AW168-AW170</f>
        <v>275.36779199999995</v>
      </c>
      <c r="AX171" s="67">
        <f t="shared" ref="AX171" si="1010">AX168-AX170</f>
        <v>329.50867200000005</v>
      </c>
      <c r="AY171" s="67">
        <f t="shared" ref="AY171" si="1011">AY168-AY170</f>
        <v>344.42289599999981</v>
      </c>
      <c r="AZ171" s="67">
        <f t="shared" ref="AZ171" si="1012">AZ168-AZ170</f>
        <v>345.78888000000018</v>
      </c>
      <c r="BA171" s="93">
        <f t="shared" ref="BA171" si="1013">BA168-BA170</f>
        <v>1295.0882399999996</v>
      </c>
      <c r="BB171" s="126"/>
      <c r="BC171" s="82">
        <f>BC168-BC170</f>
        <v>311.15616599999987</v>
      </c>
      <c r="BD171" s="67">
        <f t="shared" ref="BD171" si="1014">BD168-BD170</f>
        <v>384.37939200000028</v>
      </c>
      <c r="BE171" s="67">
        <f t="shared" ref="BE171" si="1015">BE168-BE170</f>
        <v>393.17142000000001</v>
      </c>
      <c r="BF171" s="67">
        <f t="shared" ref="BF171" si="1016">BF168-BF170</f>
        <v>319.00920300000024</v>
      </c>
      <c r="BG171" s="93">
        <f t="shared" ref="BG171" si="1017">BG168-BG170</f>
        <v>1407.7161810000021</v>
      </c>
      <c r="BH171" s="126"/>
      <c r="BI171" s="82">
        <f>BI168-BI170</f>
        <v>255.81159999999988</v>
      </c>
      <c r="BJ171" s="67">
        <f t="shared" ref="BJ171" si="1018">BJ168-BJ170</f>
        <v>258.640624</v>
      </c>
      <c r="BK171" s="67">
        <f t="shared" ref="BK171" si="1019">BK168-BK170</f>
        <v>349.38220800000016</v>
      </c>
      <c r="BL171" s="67">
        <f t="shared" ref="BL171" si="1020">BL168-BL170</f>
        <v>296.07894399999964</v>
      </c>
      <c r="BM171" s="93">
        <f t="shared" ref="BM171" si="1021">BM168-BM170</f>
        <v>1159.9133759999995</v>
      </c>
      <c r="BN171" s="126"/>
      <c r="BO171" s="82">
        <f>BO168-BO170</f>
        <v>312.34335600000054</v>
      </c>
      <c r="BP171" s="67">
        <f t="shared" ref="BP171" si="1022">BP168-BP170</f>
        <v>383.64385800000036</v>
      </c>
      <c r="BQ171" s="67">
        <f t="shared" ref="BQ171" si="1023">BQ168-BQ170</f>
        <v>409.83005700000012</v>
      </c>
      <c r="BR171" s="67">
        <f t="shared" ref="BR171" si="1024">BR168-BR170</f>
        <v>617.29449600000021</v>
      </c>
      <c r="BS171" s="93">
        <f t="shared" ref="BS171" si="1025">BS168-BS170</f>
        <v>1723.1117670000012</v>
      </c>
      <c r="BT171" s="126"/>
      <c r="BU171" s="82">
        <f>BU168-BU170</f>
        <v>438.80063999999993</v>
      </c>
      <c r="BV171" s="67">
        <f t="shared" ref="BV171" si="1026">BV168-BV170</f>
        <v>475.22764800000022</v>
      </c>
      <c r="BW171" s="67">
        <f t="shared" ref="BW171" si="1027">BW168-BW170</f>
        <v>498.0234240000002</v>
      </c>
      <c r="BX171" s="67">
        <f t="shared" ref="BX171" si="1028">BX168-BX170</f>
        <v>598.49548800000025</v>
      </c>
      <c r="BY171" s="93">
        <f t="shared" ref="BY171" si="1029">BY168-BY170</f>
        <v>2010.5472000000004</v>
      </c>
      <c r="BZ171" s="126"/>
      <c r="CA171" s="82">
        <f>CA168-CA170</f>
        <v>573.22199999999998</v>
      </c>
      <c r="CB171" s="67">
        <f t="shared" ref="CB171" si="1030">CB168-CB170</f>
        <v>632.81400000000008</v>
      </c>
      <c r="CC171" s="67">
        <f t="shared" ref="CC171" si="1031">CC168-CC170</f>
        <v>589.524</v>
      </c>
      <c r="CD171" s="67">
        <f t="shared" ref="CD171" si="1032">CD168-CD170</f>
        <v>673.21799999999962</v>
      </c>
      <c r="CE171" s="93">
        <f t="shared" ref="CE171" si="1033">CE168-CE170</f>
        <v>2468.7779999999975</v>
      </c>
      <c r="CF171" s="126"/>
      <c r="CG171" s="82">
        <f>CG168-CG170</f>
        <v>536.48059999999975</v>
      </c>
      <c r="CH171" s="67">
        <f t="shared" ref="CH171" si="1034">CH168-CH170</f>
        <v>619.2023999999999</v>
      </c>
      <c r="CI171" s="67">
        <f t="shared" ref="CI171" si="1035">CI168-CI170</f>
        <v>596.30160000000001</v>
      </c>
      <c r="CJ171" s="67">
        <f t="shared" ref="CJ171" si="1036">CJ168-CJ170</f>
        <v>651.79200000000037</v>
      </c>
      <c r="CK171" s="93">
        <f t="shared" ref="CK171" si="1037">CK168-CK170</f>
        <v>2403.7765999999997</v>
      </c>
      <c r="CL171" s="126"/>
      <c r="CM171" s="82">
        <f>CM168-CM170</f>
        <v>437.61959999999976</v>
      </c>
      <c r="CN171" s="67">
        <f t="shared" ref="CN171" si="1038">CN168-CN170</f>
        <v>548.92079999999987</v>
      </c>
      <c r="CO171" s="67">
        <f t="shared" ref="CO171" si="1039">CO168-CO170</f>
        <v>670.43880000000024</v>
      </c>
      <c r="CP171" s="67">
        <f t="shared" ref="CP171" si="1040">CP168-CP170</f>
        <v>933.28920000000085</v>
      </c>
      <c r="CQ171" s="93">
        <f t="shared" ref="CQ171" si="1041">CQ168-CQ170</f>
        <v>2590.2684000000004</v>
      </c>
      <c r="CR171" s="126"/>
      <c r="CS171" s="82">
        <f>CS168-CS170</f>
        <v>614.65140000000031</v>
      </c>
      <c r="CT171" s="67">
        <f t="shared" ref="CT171" si="1042">CT168-CT170</f>
        <v>760.4387999999999</v>
      </c>
      <c r="CU171" s="67">
        <f t="shared" ref="CU171" si="1043">CU168-CU170</f>
        <v>651.85119999999984</v>
      </c>
      <c r="CV171" s="67">
        <f t="shared" ref="CV171" si="1044">CV168-CV170</f>
        <v>796.74320000000091</v>
      </c>
      <c r="CW171" s="93">
        <f t="shared" ref="CW171" si="1045">CW168-CW170</f>
        <v>2823.6845999999978</v>
      </c>
      <c r="CX171" s="126"/>
      <c r="CY171" s="82">
        <f>CY168-CY170</f>
        <v>658.0465999999999</v>
      </c>
      <c r="CZ171" s="67">
        <f t="shared" ref="CZ171:DC171" si="1046">CZ168-CZ170</f>
        <v>771.73700000000008</v>
      </c>
      <c r="DA171" s="67">
        <f>DA168-DA170</f>
        <v>521.52860000000044</v>
      </c>
      <c r="DB171" s="67">
        <f t="shared" si="1046"/>
        <v>543.53559999999993</v>
      </c>
      <c r="DC171" s="93">
        <f t="shared" si="1046"/>
        <v>2494.8478000000005</v>
      </c>
      <c r="DD171" s="126"/>
      <c r="DE171" s="82">
        <f>DE168-DE170</f>
        <v>486.81299999999965</v>
      </c>
      <c r="DF171" s="67">
        <f t="shared" ref="DF171" si="1047">DF168-DF170</f>
        <v>593.09130000000027</v>
      </c>
      <c r="DG171" s="67">
        <f t="shared" ref="DG171" si="1048">DG168-DG170</f>
        <v>600.03449999999987</v>
      </c>
      <c r="DH171" s="67">
        <f t="shared" ref="DH171" si="1049">DH168-DH170</f>
        <v>740.16089999999997</v>
      </c>
      <c r="DI171" s="93">
        <f t="shared" ref="DI171" si="1050">DI168-DI170</f>
        <v>2420.0997000000002</v>
      </c>
      <c r="DJ171" s="126"/>
      <c r="DK171" s="82">
        <f>DK168-DK170</f>
        <v>589.94199999999944</v>
      </c>
      <c r="DL171" s="67">
        <f t="shared" ref="DL171" si="1051">DL168-DL170</f>
        <v>672.25903779345549</v>
      </c>
      <c r="DM171" s="67">
        <f t="shared" ref="DM171" si="1052">DM168-DM170</f>
        <v>665.65638726867769</v>
      </c>
      <c r="DN171" s="67">
        <f t="shared" ref="DN171" si="1053">DN168-DN170</f>
        <v>860.45715106141813</v>
      </c>
      <c r="DO171" s="93">
        <f t="shared" ref="DO171" si="1054">DO168-DO170</f>
        <v>2788.314576123551</v>
      </c>
      <c r="DP171" s="126"/>
      <c r="DQ171" s="82">
        <f>DQ168-DQ170</f>
        <v>659.82420759627962</v>
      </c>
      <c r="DR171" s="67">
        <f t="shared" ref="DR171" si="1055">DR168-DR170</f>
        <v>743.73543439412799</v>
      </c>
      <c r="DS171" s="67">
        <f t="shared" ref="DS171" si="1056">DS168-DS170</f>
        <v>724.48354366128126</v>
      </c>
      <c r="DT171" s="67">
        <f t="shared" ref="DT171" si="1057">DT168-DT170</f>
        <v>924.41805578921026</v>
      </c>
      <c r="DU171" s="93">
        <f t="shared" ref="DU171" si="1058">DU168-DU170</f>
        <v>3052.4612414408994</v>
      </c>
      <c r="DV171" s="126"/>
      <c r="DW171" s="82">
        <f>DW168-DW170</f>
        <v>726.61664712333675</v>
      </c>
      <c r="DX171" s="67">
        <f t="shared" ref="DX171:EA171" si="1059">DX168-DX170</f>
        <v>813.05639783844515</v>
      </c>
      <c r="DY171" s="67">
        <f t="shared" si="1059"/>
        <v>792.52175224748157</v>
      </c>
      <c r="DZ171" s="67">
        <f t="shared" si="1059"/>
        <v>998.86148683689055</v>
      </c>
      <c r="EA171" s="93">
        <f t="shared" si="1059"/>
        <v>3331.0562840461535</v>
      </c>
      <c r="EB171" s="126"/>
      <c r="EC171" s="82">
        <f t="shared" ref="EC171:EG171" si="1060">EC168-EC170</f>
        <v>791.75672327360257</v>
      </c>
      <c r="ED171" s="67">
        <f t="shared" si="1060"/>
        <v>880.86874905664365</v>
      </c>
      <c r="EE171" s="67">
        <f t="shared" si="1060"/>
        <v>858.93092711617328</v>
      </c>
      <c r="EF171" s="67">
        <f t="shared" si="1060"/>
        <v>1067.1376133043048</v>
      </c>
      <c r="EG171" s="93">
        <f t="shared" si="1060"/>
        <v>3598.6940127507241</v>
      </c>
      <c r="EH171" s="7"/>
      <c r="EI171" s="482"/>
      <c r="EJ171" s="7"/>
    </row>
    <row r="172" spans="1:140" ht="11.25" customHeight="1" x14ac:dyDescent="0.2">
      <c r="A172" s="51" t="s">
        <v>282</v>
      </c>
      <c r="B172" s="2"/>
      <c r="C172" s="2"/>
      <c r="D172" s="2"/>
      <c r="E172" s="47">
        <f t="shared" ref="E172:K172" si="1061">E171/E167</f>
        <v>7.8162896468699825E-2</v>
      </c>
      <c r="F172" s="126"/>
      <c r="G172" s="47">
        <f t="shared" si="1061"/>
        <v>7.3243657904236786E-2</v>
      </c>
      <c r="H172" s="126"/>
      <c r="I172" s="47">
        <f t="shared" si="1061"/>
        <v>8.9411400287751783E-2</v>
      </c>
      <c r="J172" s="126"/>
      <c r="K172" s="47">
        <f t="shared" si="1061"/>
        <v>9.5148284030529023E-2</v>
      </c>
      <c r="L172" s="126"/>
      <c r="M172" s="111">
        <f>M171/M167</f>
        <v>9.0052892568560305E-2</v>
      </c>
      <c r="N172" s="15">
        <f>N171/N167</f>
        <v>0.10706723002672895</v>
      </c>
      <c r="O172" s="15">
        <f t="shared" ref="O172" si="1062">O171/O167</f>
        <v>0.10709610154527345</v>
      </c>
      <c r="P172" s="15">
        <f t="shared" ref="P172" si="1063">P171/P167</f>
        <v>4.2228467394758225E-2</v>
      </c>
      <c r="Q172" s="47">
        <f t="shared" ref="Q172" si="1064">Q171/Q167</f>
        <v>8.6799750108659909E-2</v>
      </c>
      <c r="R172" s="126"/>
      <c r="S172" s="111">
        <f>S171/S167</f>
        <v>9.0186445623262945E-2</v>
      </c>
      <c r="T172" s="15">
        <f>T171/T167</f>
        <v>9.7633221265154932E-2</v>
      </c>
      <c r="U172" s="15">
        <f t="shared" ref="U172" si="1065">U171/U167</f>
        <v>0.10940373580059753</v>
      </c>
      <c r="V172" s="15">
        <f t="shared" ref="V172" si="1066">V171/V167</f>
        <v>0.10529795808241396</v>
      </c>
      <c r="W172" s="47">
        <f t="shared" ref="W172" si="1067">W171/W167</f>
        <v>0.10109614719114084</v>
      </c>
      <c r="X172" s="126"/>
      <c r="Y172" s="111">
        <f>Y171/Y167</f>
        <v>9.2834770505302089E-2</v>
      </c>
      <c r="Z172" s="15">
        <f>Z171/Z167</f>
        <v>0.10297215629598161</v>
      </c>
      <c r="AA172" s="15">
        <f t="shared" ref="AA172" si="1068">AA171/AA167</f>
        <v>0.10957548239682127</v>
      </c>
      <c r="AB172" s="15">
        <f t="shared" ref="AB172" si="1069">AB171/AB167</f>
        <v>0.11704047883566249</v>
      </c>
      <c r="AC172" s="47">
        <f t="shared" ref="AC172" si="1070">AC171/AC167</f>
        <v>0.10627122263536207</v>
      </c>
      <c r="AD172" s="126"/>
      <c r="AE172" s="111">
        <f>AE171/AE167</f>
        <v>0.10292050433160904</v>
      </c>
      <c r="AF172" s="15">
        <f>AF171/AF167</f>
        <v>0.11855262591403519</v>
      </c>
      <c r="AG172" s="15">
        <f t="shared" ref="AG172" si="1071">AG171/AG167</f>
        <v>0.11808743328453522</v>
      </c>
      <c r="AH172" s="15">
        <f t="shared" ref="AH172" si="1072">AH171/AH167</f>
        <v>0.11271596401959334</v>
      </c>
      <c r="AI172" s="47">
        <f t="shared" ref="AI172" si="1073">AI171/AI167</f>
        <v>0.11325609280637919</v>
      </c>
      <c r="AJ172" s="126"/>
      <c r="AK172" s="111">
        <f>AK171/AK167</f>
        <v>0.10763622567564902</v>
      </c>
      <c r="AL172" s="15">
        <f>AL171/AL167</f>
        <v>0.1203437383174663</v>
      </c>
      <c r="AM172" s="15">
        <f t="shared" ref="AM172" si="1074">AM171/AM167</f>
        <v>0.11754120450066753</v>
      </c>
      <c r="AN172" s="15">
        <f t="shared" ref="AN172" si="1075">AN171/AN167</f>
        <v>0.11246325993758165</v>
      </c>
      <c r="AO172" s="47">
        <f t="shared" ref="AO172" si="1076">AO171/AO167</f>
        <v>0.11451331996777842</v>
      </c>
      <c r="AP172" s="126"/>
      <c r="AQ172" s="111">
        <f>AQ171/AQ167</f>
        <v>0.10058561111939002</v>
      </c>
      <c r="AR172" s="15">
        <f>AR171/AR167</f>
        <v>0.11795351930786217</v>
      </c>
      <c r="AS172" s="15">
        <f t="shared" ref="AS172" si="1077">AS171/AS167</f>
        <v>0.11622050284513769</v>
      </c>
      <c r="AT172" s="15">
        <f t="shared" ref="AT172" si="1078">AT171/AT167</f>
        <v>0.12194659849150255</v>
      </c>
      <c r="AU172" s="47">
        <f t="shared" ref="AU172" si="1079">AU171/AU167</f>
        <v>0.11474177207487468</v>
      </c>
      <c r="AV172" s="126"/>
      <c r="AW172" s="111">
        <f>AW171/AW167</f>
        <v>0.10919905064232334</v>
      </c>
      <c r="AX172" s="15">
        <f>AX171/AX167</f>
        <v>0.1251987347471489</v>
      </c>
      <c r="AY172" s="15">
        <f t="shared" ref="AY172" si="1080">AY171/AY167</f>
        <v>0.12610906390748802</v>
      </c>
      <c r="AZ172" s="15">
        <f t="shared" ref="AZ172" si="1081">AZ171/AZ167</f>
        <v>0.11008258369394662</v>
      </c>
      <c r="BA172" s="47">
        <f t="shared" ref="BA172" si="1082">BA171/BA167</f>
        <v>0.11745854086707334</v>
      </c>
      <c r="BB172" s="126"/>
      <c r="BC172" s="111">
        <f>BC171/BC167</f>
        <v>0.10272998018405516</v>
      </c>
      <c r="BD172" s="15">
        <f>BD171/BD167</f>
        <v>0.11704984233661558</v>
      </c>
      <c r="BE172" s="15">
        <f t="shared" ref="BE172" si="1083">BE171/BE167</f>
        <v>0.12255275497236597</v>
      </c>
      <c r="BF172" s="15">
        <f t="shared" ref="BF172" si="1084">BF171/BF167</f>
        <v>0.100427703583749</v>
      </c>
      <c r="BG172" s="47">
        <f t="shared" ref="BG172" si="1085">BG171/BG167</f>
        <v>0.11086600189833316</v>
      </c>
      <c r="BH172" s="126"/>
      <c r="BI172" s="111">
        <f>BI171/BI167</f>
        <v>9.7351904707538878E-2</v>
      </c>
      <c r="BJ172" s="15">
        <f>BJ171/BJ167</f>
        <v>9.6738713345302221E-2</v>
      </c>
      <c r="BK172" s="15">
        <f t="shared" ref="BK172" si="1086">BK171/BK167</f>
        <v>0.12701574435598215</v>
      </c>
      <c r="BL172" s="15">
        <f t="shared" ref="BL172" si="1087">BL171/BL167</f>
        <v>9.4506350027131314E-2</v>
      </c>
      <c r="BM172" s="47">
        <f>BM171/BM167</f>
        <v>0.10370350883780807</v>
      </c>
      <c r="BN172" s="126"/>
      <c r="BO172" s="111">
        <f>BO171/BO167</f>
        <v>0.10384445641332551</v>
      </c>
      <c r="BP172" s="15">
        <f>BP171/BP167</f>
        <v>0.11924033629638849</v>
      </c>
      <c r="BQ172" s="15">
        <f t="shared" ref="BQ172" si="1088">BQ171/BQ167</f>
        <v>0.13251101170460428</v>
      </c>
      <c r="BR172" s="15">
        <f t="shared" ref="BR172" si="1089">BR171/BR167</f>
        <v>0.17597767717657797</v>
      </c>
      <c r="BS172" s="47">
        <f t="shared" ref="BS172" si="1090">BS171/BS167</f>
        <v>0.13434731299412131</v>
      </c>
      <c r="BT172" s="126"/>
      <c r="BU172" s="111">
        <f>BU171/BU167</f>
        <v>0.13383372678195624</v>
      </c>
      <c r="BV172" s="15">
        <f>BV171/BV167</f>
        <v>0.13038868713474364</v>
      </c>
      <c r="BW172" s="15">
        <f t="shared" ref="BW172" si="1091">BW171/BW167</f>
        <v>0.11188771854148416</v>
      </c>
      <c r="BX172" s="15">
        <f t="shared" ref="BX172" si="1092">BX171/BX167</f>
        <v>0.12688860601691868</v>
      </c>
      <c r="BY172" s="47">
        <f t="shared" ref="BY172" si="1093">BY171/BY167</f>
        <v>0.12494700208809788</v>
      </c>
      <c r="BZ172" s="126"/>
      <c r="CA172" s="111">
        <f>CA171/CA167</f>
        <v>0.13280709883693989</v>
      </c>
      <c r="CB172" s="15">
        <f>CB171/CB167</f>
        <v>0.13897309761721754</v>
      </c>
      <c r="CC172" s="15">
        <f t="shared" ref="CC172" si="1094">CC171/CC167</f>
        <v>0.13351239950175517</v>
      </c>
      <c r="CD172" s="15">
        <f t="shared" ref="CD172" si="1095">CD171/CD167</f>
        <v>0.13531476121562946</v>
      </c>
      <c r="CE172" s="47">
        <f t="shared" ref="CE172" si="1096">CE171/CE167</f>
        <v>0.13519846224617194</v>
      </c>
      <c r="CF172" s="126"/>
      <c r="CG172" s="111">
        <f>CG171/CG167</f>
        <v>0.12070119468130577</v>
      </c>
      <c r="CH172" s="15">
        <f>CH171/CH167</f>
        <v>0.13070235356200527</v>
      </c>
      <c r="CI172" s="15">
        <f t="shared" ref="CI172" si="1097">CI171/CI167</f>
        <v>0.12771232143239597</v>
      </c>
      <c r="CJ172" s="15">
        <f t="shared" ref="CJ172" si="1098">CJ171/CJ167</f>
        <v>0.12375719141018102</v>
      </c>
      <c r="CK172" s="47">
        <f t="shared" ref="CK172" si="1099">CK171/CK167</f>
        <v>0.1257336855319594</v>
      </c>
      <c r="CL172" s="126"/>
      <c r="CM172" s="111">
        <f>CM171/CM167</f>
        <v>9.8580735267615738E-2</v>
      </c>
      <c r="CN172" s="15">
        <f>CN171/CN167</f>
        <v>0.11475296331138285</v>
      </c>
      <c r="CO172" s="15">
        <f t="shared" ref="CO172" si="1100">CO171/CO167</f>
        <v>0.14243139087761045</v>
      </c>
      <c r="CP172" s="15">
        <f t="shared" ref="CP172" si="1101">CP171/CP167</f>
        <v>0.17864729527966022</v>
      </c>
      <c r="CQ172" s="47">
        <f t="shared" ref="CQ172" si="1102">CQ171/CQ167</f>
        <v>0.13523381017019945</v>
      </c>
      <c r="CR172" s="126"/>
      <c r="CS172" s="111">
        <f>CS171/CS167</f>
        <v>0.13092453191897249</v>
      </c>
      <c r="CT172" s="15">
        <f>CT171/CT167</f>
        <v>0.15331427419354837</v>
      </c>
      <c r="CU172" s="15">
        <f t="shared" ref="CU172" si="1103">CU171/CU167</f>
        <v>0.12976294939682284</v>
      </c>
      <c r="CV172" s="15">
        <f t="shared" ref="CV172" si="1104">CV171/CV167</f>
        <v>0.13539002175095174</v>
      </c>
      <c r="CW172" s="47">
        <f t="shared" ref="CW172" si="1105">CW171/CW167</f>
        <v>0.13731937615803208</v>
      </c>
      <c r="CX172" s="126"/>
      <c r="CY172" s="111">
        <f>CY171/CY167</f>
        <v>0.12215002227502227</v>
      </c>
      <c r="CZ172" s="15">
        <f>CZ171/CZ167</f>
        <v>0.13340311149524633</v>
      </c>
      <c r="DA172" s="15">
        <f>DA171/DA167</f>
        <v>0.12621393480312684</v>
      </c>
      <c r="DB172" s="15">
        <f t="shared" ref="DB172" si="1106">DB171/DB167</f>
        <v>0.11856457910695196</v>
      </c>
      <c r="DC172" s="47">
        <f>DC171/DC167</f>
        <v>0.12544109690978753</v>
      </c>
      <c r="DD172" s="126"/>
      <c r="DE172" s="111">
        <f>DE171/DE167</f>
        <v>0.11575076681646329</v>
      </c>
      <c r="DF172" s="15">
        <f>DF171/DF167</f>
        <v>0.13150291567814465</v>
      </c>
      <c r="DG172" s="15">
        <f t="shared" ref="DG172" si="1107">DG171/DG167</f>
        <v>0.13251060023850533</v>
      </c>
      <c r="DH172" s="15">
        <f t="shared" ref="DH172" si="1108">DH171/DH167</f>
        <v>0.14553766443164165</v>
      </c>
      <c r="DI172" s="47">
        <f t="shared" ref="DI172" si="1109">DI171/DI167</f>
        <v>0.13203160444524462</v>
      </c>
      <c r="DJ172" s="126"/>
      <c r="DK172" s="111">
        <f>DK171/DK167</f>
        <v>0.12564254376623918</v>
      </c>
      <c r="DL172" s="15">
        <f>DL171/DL167</f>
        <v>0.1363555353656993</v>
      </c>
      <c r="DM172" s="15">
        <f t="shared" ref="DM172" si="1110">DM171/DM167</f>
        <v>0.1372328093189755</v>
      </c>
      <c r="DN172" s="15">
        <f t="shared" ref="DN172" si="1111">DN171/DN167</f>
        <v>0.1582216710606093</v>
      </c>
      <c r="DO172" s="47">
        <f t="shared" ref="DO172" si="1112">DO171/DO167</f>
        <v>0.14001459221928828</v>
      </c>
      <c r="DP172" s="126"/>
      <c r="DQ172" s="111">
        <f>DQ171/DQ167</f>
        <v>0.13428320752639727</v>
      </c>
      <c r="DR172" s="15">
        <f>DR171/DR167</f>
        <v>0.14389926678257567</v>
      </c>
      <c r="DS172" s="15">
        <f t="shared" ref="DS172" si="1113">DS171/DS167</f>
        <v>0.14371449661224231</v>
      </c>
      <c r="DT172" s="15">
        <f t="shared" ref="DT172" si="1114">DT171/DT167</f>
        <v>0.16358815833566787</v>
      </c>
      <c r="DU172" s="47">
        <f t="shared" ref="DU172" si="1115">DU171/DU167</f>
        <v>0.1469356398007223</v>
      </c>
      <c r="DV172" s="126"/>
      <c r="DW172" s="111">
        <f>DW171/DW167</f>
        <v>0.14180864993197487</v>
      </c>
      <c r="DX172" s="15">
        <f>DX171/DX167</f>
        <v>0.15085642448122127</v>
      </c>
      <c r="DY172" s="15">
        <f t="shared" ref="DY172:EA172" si="1116">DY171/DY167</f>
        <v>0.15075856339344354</v>
      </c>
      <c r="DZ172" s="15">
        <f t="shared" si="1116"/>
        <v>0.16951699976184503</v>
      </c>
      <c r="EA172" s="47">
        <f t="shared" si="1116"/>
        <v>0.15376837118841788</v>
      </c>
      <c r="EB172" s="126"/>
      <c r="EC172" s="111">
        <f t="shared" ref="EC172:EG172" si="1117">EC171/EC167</f>
        <v>0.14817535316609634</v>
      </c>
      <c r="ED172" s="15">
        <f t="shared" si="1117"/>
        <v>0.15672561465310744</v>
      </c>
      <c r="EE172" s="15">
        <f t="shared" si="1117"/>
        <v>0.15667890965108591</v>
      </c>
      <c r="EF172" s="15">
        <f t="shared" si="1117"/>
        <v>0.1736743426903983</v>
      </c>
      <c r="EG172" s="47">
        <f t="shared" si="1117"/>
        <v>0.15930182798168591</v>
      </c>
      <c r="EH172" s="7"/>
      <c r="EI172" s="482"/>
      <c r="EJ172" s="7"/>
    </row>
    <row r="173" spans="1:140" ht="11.25" customHeight="1" x14ac:dyDescent="0.2">
      <c r="A173" s="51"/>
      <c r="B173" s="2"/>
      <c r="C173" s="2"/>
      <c r="D173" s="2"/>
      <c r="E173" s="47"/>
      <c r="F173" s="126"/>
      <c r="G173" s="47"/>
      <c r="H173" s="126"/>
      <c r="I173" s="47"/>
      <c r="J173" s="126"/>
      <c r="K173" s="47"/>
      <c r="L173" s="126"/>
      <c r="M173" s="111"/>
      <c r="N173" s="15"/>
      <c r="O173" s="15"/>
      <c r="P173" s="15"/>
      <c r="Q173" s="47"/>
      <c r="R173" s="126"/>
      <c r="S173" s="111"/>
      <c r="T173" s="15"/>
      <c r="U173" s="15"/>
      <c r="V173" s="15"/>
      <c r="W173" s="47"/>
      <c r="X173" s="126"/>
      <c r="Y173" s="111"/>
      <c r="Z173" s="15"/>
      <c r="AA173" s="15"/>
      <c r="AB173" s="15"/>
      <c r="AC173" s="47"/>
      <c r="AD173" s="126"/>
      <c r="AE173" s="111"/>
      <c r="AF173" s="15"/>
      <c r="AG173" s="15"/>
      <c r="AH173" s="15"/>
      <c r="AI173" s="47"/>
      <c r="AJ173" s="126"/>
      <c r="AK173" s="111"/>
      <c r="AL173" s="15"/>
      <c r="AM173" s="15"/>
      <c r="AN173" s="15"/>
      <c r="AO173" s="47"/>
      <c r="AP173" s="126"/>
      <c r="AQ173" s="111"/>
      <c r="AR173" s="15"/>
      <c r="AS173" s="15"/>
      <c r="AT173" s="15"/>
      <c r="AU173" s="47"/>
      <c r="AV173" s="126"/>
      <c r="AW173" s="111"/>
      <c r="AX173" s="15"/>
      <c r="AY173" s="15"/>
      <c r="AZ173" s="15"/>
      <c r="BA173" s="47"/>
      <c r="BB173" s="126"/>
      <c r="BC173" s="111"/>
      <c r="BD173" s="15"/>
      <c r="BE173" s="15"/>
      <c r="BF173" s="15"/>
      <c r="BG173" s="47"/>
      <c r="BH173" s="126"/>
      <c r="BI173" s="111"/>
      <c r="BJ173" s="15"/>
      <c r="BK173" s="15"/>
      <c r="BL173" s="15"/>
      <c r="BM173" s="47"/>
      <c r="BN173" s="126"/>
      <c r="BO173" s="111"/>
      <c r="BP173" s="15"/>
      <c r="BQ173" s="15"/>
      <c r="BR173" s="15"/>
      <c r="BS173" s="47"/>
      <c r="BT173" s="126"/>
      <c r="BU173" s="111"/>
      <c r="BV173" s="15"/>
      <c r="BW173" s="15"/>
      <c r="BX173" s="15"/>
      <c r="BY173" s="47"/>
      <c r="BZ173" s="126"/>
      <c r="CA173" s="111"/>
      <c r="CB173" s="15"/>
      <c r="CC173" s="15"/>
      <c r="CD173" s="15"/>
      <c r="CE173" s="47"/>
      <c r="CF173" s="126"/>
      <c r="CG173" s="111"/>
      <c r="CH173" s="15"/>
      <c r="CI173" s="15"/>
      <c r="CJ173" s="15"/>
      <c r="CK173" s="47"/>
      <c r="CL173" s="126"/>
      <c r="CM173" s="111"/>
      <c r="CN173" s="15"/>
      <c r="CO173" s="15"/>
      <c r="CP173" s="15"/>
      <c r="CQ173" s="47"/>
      <c r="CR173" s="126"/>
      <c r="CS173" s="111"/>
      <c r="CT173" s="15"/>
      <c r="CU173" s="15"/>
      <c r="CV173" s="15"/>
      <c r="CW173" s="47"/>
      <c r="CX173" s="126"/>
      <c r="CY173" s="111"/>
      <c r="CZ173" s="15"/>
      <c r="DA173" s="15"/>
      <c r="DB173" s="15"/>
      <c r="DC173" s="47"/>
      <c r="DD173" s="126"/>
      <c r="DE173" s="111"/>
      <c r="DF173" s="15"/>
      <c r="DG173" s="15"/>
      <c r="DH173" s="15"/>
      <c r="DI173" s="47"/>
      <c r="DJ173" s="126"/>
      <c r="DK173" s="111"/>
      <c r="DL173" s="15"/>
      <c r="DM173" s="15"/>
      <c r="DN173" s="15"/>
      <c r="DO173" s="47"/>
      <c r="DP173" s="126"/>
      <c r="DQ173" s="111"/>
      <c r="DR173" s="15"/>
      <c r="DS173" s="15"/>
      <c r="DT173" s="15"/>
      <c r="DU173" s="47"/>
      <c r="DV173" s="126"/>
      <c r="DW173" s="111"/>
      <c r="DX173" s="15"/>
      <c r="DY173" s="15"/>
      <c r="DZ173" s="15"/>
      <c r="EA173" s="47"/>
      <c r="EB173" s="126"/>
      <c r="EC173" s="111"/>
      <c r="ED173" s="15"/>
      <c r="EE173" s="15"/>
      <c r="EF173" s="15"/>
      <c r="EG173" s="47"/>
      <c r="EH173" s="7"/>
      <c r="EI173" s="482"/>
      <c r="EJ173" s="7"/>
    </row>
    <row r="174" spans="1:140" ht="11.25" customHeight="1" x14ac:dyDescent="0.2">
      <c r="A174" s="51" t="s">
        <v>116</v>
      </c>
      <c r="B174" s="2"/>
      <c r="C174" s="2"/>
      <c r="D174" s="2"/>
      <c r="E174" s="93">
        <f>+E13</f>
        <v>403.858</v>
      </c>
      <c r="F174" s="126"/>
      <c r="G174" s="93">
        <f>+G13</f>
        <v>485.54300000000001</v>
      </c>
      <c r="H174" s="126"/>
      <c r="I174" s="93">
        <f>+I13</f>
        <v>544.73800000000006</v>
      </c>
      <c r="J174" s="126"/>
      <c r="K174" s="93">
        <f>+K13</f>
        <v>704.21400000000006</v>
      </c>
      <c r="L174" s="126"/>
      <c r="M174" s="82">
        <f t="shared" ref="M174:Q177" si="1118">+M13</f>
        <v>647.774</v>
      </c>
      <c r="N174" s="67">
        <f t="shared" si="1118"/>
        <v>635.29499999999996</v>
      </c>
      <c r="O174" s="67">
        <f t="shared" si="1118"/>
        <v>632.81100000000004</v>
      </c>
      <c r="P174" s="67">
        <f t="shared" si="1118"/>
        <v>585.31799999999998</v>
      </c>
      <c r="Q174" s="93">
        <f t="shared" si="1118"/>
        <v>585.31799999999998</v>
      </c>
      <c r="R174" s="126"/>
      <c r="S174" s="82">
        <f t="shared" ref="S174:W177" si="1119">+S13</f>
        <v>721.20899999999995</v>
      </c>
      <c r="T174" s="67">
        <f t="shared" si="1119"/>
        <v>746.40499999999997</v>
      </c>
      <c r="U174" s="67">
        <f t="shared" si="1119"/>
        <v>757.00599999999997</v>
      </c>
      <c r="V174" s="67">
        <f t="shared" si="1119"/>
        <v>759.02800000000002</v>
      </c>
      <c r="W174" s="93">
        <f t="shared" si="1119"/>
        <v>759.02800000000002</v>
      </c>
      <c r="X174" s="126"/>
      <c r="Y174" s="82">
        <f t="shared" ref="Y174:AC177" si="1120">+Y13</f>
        <v>770.33900000000006</v>
      </c>
      <c r="Z174" s="67">
        <f t="shared" si="1120"/>
        <v>784.06200000000001</v>
      </c>
      <c r="AA174" s="67">
        <f t="shared" si="1120"/>
        <v>836.58600000000001</v>
      </c>
      <c r="AB174" s="67">
        <f t="shared" si="1120"/>
        <v>868.09699999999998</v>
      </c>
      <c r="AC174" s="93">
        <f t="shared" si="1120"/>
        <v>868.09699999999998</v>
      </c>
      <c r="AD174" s="126"/>
      <c r="AE174" s="82">
        <f t="shared" ref="AE174:AI177" si="1121">+AE13</f>
        <v>951.66099999999994</v>
      </c>
      <c r="AF174" s="67">
        <f t="shared" si="1121"/>
        <v>1094.029</v>
      </c>
      <c r="AG174" s="67">
        <f t="shared" si="1121"/>
        <v>1110.2809999999999</v>
      </c>
      <c r="AH174" s="67">
        <f t="shared" si="1121"/>
        <v>1231.0650000000001</v>
      </c>
      <c r="AI174" s="93">
        <f t="shared" si="1121"/>
        <v>1231.0650000000001</v>
      </c>
      <c r="AJ174" s="126"/>
      <c r="AK174" s="82">
        <f t="shared" ref="AK174:AO177" si="1122">+AK13</f>
        <v>1164.672</v>
      </c>
      <c r="AL174" s="67">
        <f t="shared" si="1122"/>
        <v>1176.5820000000001</v>
      </c>
      <c r="AM174" s="67">
        <f t="shared" si="1122"/>
        <v>1364.32</v>
      </c>
      <c r="AN174" s="67">
        <f t="shared" si="1122"/>
        <v>1407.8579999999999</v>
      </c>
      <c r="AO174" s="93">
        <f t="shared" si="1122"/>
        <v>1407.8579999999999</v>
      </c>
      <c r="AP174" s="126"/>
      <c r="AQ174" s="82">
        <f t="shared" ref="AQ174:AU177" si="1123">+AQ13</f>
        <v>1388.559</v>
      </c>
      <c r="AR174" s="67">
        <f t="shared" si="1123"/>
        <v>1561.3209999999999</v>
      </c>
      <c r="AS174" s="67">
        <f t="shared" si="1123"/>
        <v>1595.579</v>
      </c>
      <c r="AT174" s="67">
        <f t="shared" si="1123"/>
        <v>1674.97</v>
      </c>
      <c r="AU174" s="93">
        <f t="shared" si="1123"/>
        <v>1674.97</v>
      </c>
      <c r="AV174" s="126"/>
      <c r="AW174" s="82">
        <f t="shared" ref="AW174:BA177" si="1124">+AW13</f>
        <v>1682.874</v>
      </c>
      <c r="AX174" s="67">
        <f t="shared" si="1124"/>
        <v>1732.1859999999999</v>
      </c>
      <c r="AY174" s="67">
        <f t="shared" si="1124"/>
        <v>1826.7090000000001</v>
      </c>
      <c r="AZ174" s="67">
        <f t="shared" si="1124"/>
        <v>1984.384</v>
      </c>
      <c r="BA174" s="93">
        <f t="shared" si="1124"/>
        <v>1984.384</v>
      </c>
      <c r="BB174" s="126"/>
      <c r="BC174" s="82">
        <f t="shared" ref="BC174:BG177" si="1125">+BC13</f>
        <v>2099.5079999999998</v>
      </c>
      <c r="BD174" s="67">
        <f t="shared" si="1125"/>
        <v>2094.317</v>
      </c>
      <c r="BE174" s="67">
        <f t="shared" si="1125"/>
        <v>2100.7950000000001</v>
      </c>
      <c r="BF174" s="67">
        <f t="shared" si="1125"/>
        <v>1894.585</v>
      </c>
      <c r="BG174" s="93">
        <f t="shared" si="1125"/>
        <v>1894.585</v>
      </c>
      <c r="BH174" s="126"/>
      <c r="BI174" s="82">
        <f t="shared" ref="BI174:BM177" si="1126">+BI13</f>
        <v>1707.133</v>
      </c>
      <c r="BJ174" s="67">
        <f t="shared" si="1126"/>
        <v>1750.114</v>
      </c>
      <c r="BK174" s="67">
        <f t="shared" si="1126"/>
        <v>1836.2550000000001</v>
      </c>
      <c r="BL174" s="67">
        <f t="shared" si="1126"/>
        <v>1916.8309999999999</v>
      </c>
      <c r="BM174" s="93">
        <f t="shared" si="1126"/>
        <v>1916.8309999999999</v>
      </c>
      <c r="BN174" s="126"/>
      <c r="BO174" s="82">
        <f t="shared" ref="BO174:BS177" si="1127">+BO13</f>
        <v>1981.4110000000001</v>
      </c>
      <c r="BP174" s="67">
        <f t="shared" si="1127"/>
        <v>2025.9780000000001</v>
      </c>
      <c r="BQ174" s="67">
        <f t="shared" si="1127"/>
        <v>2032.6610000000001</v>
      </c>
      <c r="BR174" s="67">
        <f t="shared" si="1127"/>
        <v>2218.9749999999999</v>
      </c>
      <c r="BS174" s="93">
        <f t="shared" si="1127"/>
        <v>2218.9749999999999</v>
      </c>
      <c r="BT174" s="126"/>
      <c r="BU174" s="82">
        <f t="shared" ref="BU174:BY177" si="1128">+BU13</f>
        <v>2210.2240000000002</v>
      </c>
      <c r="BV174" s="67">
        <f t="shared" si="1128"/>
        <v>3099.4180000000001</v>
      </c>
      <c r="BW174" s="67">
        <f t="shared" si="1128"/>
        <v>3007.192</v>
      </c>
      <c r="BX174" s="67">
        <f t="shared" si="1128"/>
        <v>3049.895</v>
      </c>
      <c r="BY174" s="93">
        <f t="shared" si="1128"/>
        <v>3049.895</v>
      </c>
      <c r="BZ174" s="126"/>
      <c r="CA174" s="82">
        <f t="shared" ref="CA174:CE177" si="1129">+CA13</f>
        <v>2996.4569999999999</v>
      </c>
      <c r="CB174" s="67">
        <f t="shared" si="1129"/>
        <v>3094.25</v>
      </c>
      <c r="CC174" s="67">
        <f t="shared" si="1129"/>
        <v>2984.7280000000001</v>
      </c>
      <c r="CD174" s="67">
        <f t="shared" si="1129"/>
        <v>3267.3</v>
      </c>
      <c r="CE174" s="93">
        <f t="shared" si="1129"/>
        <v>3267.3</v>
      </c>
      <c r="CF174" s="126"/>
      <c r="CG174" s="82">
        <f t="shared" ref="CG174:CK177" si="1130">+CG13</f>
        <v>3118.3</v>
      </c>
      <c r="CH174" s="67">
        <f t="shared" si="1130"/>
        <v>3281.4</v>
      </c>
      <c r="CI174" s="67">
        <f t="shared" si="1130"/>
        <v>3372.7</v>
      </c>
      <c r="CJ174" s="67">
        <f t="shared" si="1130"/>
        <v>3451.6</v>
      </c>
      <c r="CK174" s="93">
        <f t="shared" si="1130"/>
        <v>3451.6</v>
      </c>
      <c r="CL174" s="126"/>
      <c r="CM174" s="82">
        <f t="shared" ref="CM174:CQ177" si="1131">+CM13</f>
        <v>3467.6</v>
      </c>
      <c r="CN174" s="67">
        <f t="shared" si="1131"/>
        <v>3631.8</v>
      </c>
      <c r="CO174" s="67">
        <f t="shared" si="1131"/>
        <v>3498.1</v>
      </c>
      <c r="CP174" s="67">
        <f t="shared" si="1131"/>
        <v>3633.8</v>
      </c>
      <c r="CQ174" s="93">
        <f t="shared" si="1131"/>
        <v>3633.8</v>
      </c>
      <c r="CR174" s="126"/>
      <c r="CS174" s="82">
        <f t="shared" ref="CS174:CW177" si="1132">+CS13</f>
        <v>3446.9</v>
      </c>
      <c r="CT174" s="67">
        <f t="shared" si="1132"/>
        <v>3565.2</v>
      </c>
      <c r="CU174" s="67">
        <f t="shared" si="1132"/>
        <v>3906.1</v>
      </c>
      <c r="CV174" s="67">
        <f t="shared" si="1132"/>
        <v>3964.1</v>
      </c>
      <c r="CW174" s="93">
        <f t="shared" si="1132"/>
        <v>3964.1</v>
      </c>
      <c r="CX174" s="126"/>
      <c r="CY174" s="82">
        <f t="shared" ref="CY174:DC177" si="1133">+CY13</f>
        <v>3871.2</v>
      </c>
      <c r="CZ174" s="67">
        <f t="shared" si="1133"/>
        <v>3994.8</v>
      </c>
      <c r="DA174" s="67">
        <f t="shared" si="1133"/>
        <v>3081.8</v>
      </c>
      <c r="DB174" s="67">
        <f t="shared" si="1133"/>
        <v>3186.1</v>
      </c>
      <c r="DC174" s="93">
        <f t="shared" si="1133"/>
        <v>3186.1</v>
      </c>
      <c r="DD174" s="126"/>
      <c r="DE174" s="82">
        <f t="shared" ref="DE174:DI177" si="1134">+DE13</f>
        <v>3034.9</v>
      </c>
      <c r="DF174" s="67">
        <f t="shared" si="1134"/>
        <v>3214.8</v>
      </c>
      <c r="DG174" s="67">
        <f t="shared" si="1134"/>
        <v>3254.6</v>
      </c>
      <c r="DH174" s="67">
        <f t="shared" si="1134"/>
        <v>3521.8</v>
      </c>
      <c r="DI174" s="93">
        <f t="shared" si="1134"/>
        <v>3521.8</v>
      </c>
      <c r="DJ174" s="126"/>
      <c r="DK174" s="82">
        <f t="shared" ref="DK174:DO177" si="1135">+DK13</f>
        <v>3192.8719999999998</v>
      </c>
      <c r="DL174" s="67">
        <f t="shared" si="1135"/>
        <v>3352.5309000000002</v>
      </c>
      <c r="DM174" s="67">
        <f t="shared" si="1135"/>
        <v>3298.3828400000002</v>
      </c>
      <c r="DN174" s="67">
        <f t="shared" si="1135"/>
        <v>3698.04502</v>
      </c>
      <c r="DO174" s="93">
        <f t="shared" si="1135"/>
        <v>3698.04502</v>
      </c>
      <c r="DP174" s="126"/>
      <c r="DQ174" s="82">
        <f t="shared" ref="DQ174:DU177" si="1136">+DQ13</f>
        <v>3292.1630875000005</v>
      </c>
      <c r="DR174" s="67">
        <f t="shared" si="1136"/>
        <v>3462.8580964000002</v>
      </c>
      <c r="DS174" s="67">
        <f t="shared" si="1136"/>
        <v>3377.5574886000009</v>
      </c>
      <c r="DT174" s="67">
        <f t="shared" si="1136"/>
        <v>3786.0937104500008</v>
      </c>
      <c r="DU174" s="93">
        <f t="shared" si="1136"/>
        <v>3786.0937104500008</v>
      </c>
      <c r="DV174" s="126"/>
      <c r="DW174" s="82">
        <f t="shared" ref="DW174:EA177" si="1137">+DW13</f>
        <v>3381.7893854250001</v>
      </c>
      <c r="DX174" s="67">
        <f t="shared" si="1137"/>
        <v>3557.1386795010003</v>
      </c>
      <c r="DY174" s="67">
        <f t="shared" si="1137"/>
        <v>3469.5498863190005</v>
      </c>
      <c r="DZ174" s="67">
        <f t="shared" si="1137"/>
        <v>3888.9821211945014</v>
      </c>
      <c r="EA174" s="93">
        <f t="shared" si="1137"/>
        <v>3888.9821211945014</v>
      </c>
      <c r="EB174" s="126"/>
      <c r="EC174" s="82">
        <f t="shared" ref="EC174:EG174" si="1138">+EC13</f>
        <v>3473.1948271515625</v>
      </c>
      <c r="ED174" s="67">
        <f t="shared" si="1138"/>
        <v>3653.2936122414881</v>
      </c>
      <c r="EE174" s="67">
        <f t="shared" si="1138"/>
        <v>3563.3711255000626</v>
      </c>
      <c r="EF174" s="67">
        <f t="shared" si="1138"/>
        <v>3993.9085872017317</v>
      </c>
      <c r="EG174" s="93">
        <f t="shared" si="1138"/>
        <v>3993.9085872017317</v>
      </c>
      <c r="EH174" s="7"/>
      <c r="EI174" s="482"/>
      <c r="EJ174" s="7"/>
    </row>
    <row r="175" spans="1:140" ht="11.25" customHeight="1" x14ac:dyDescent="0.2">
      <c r="A175" s="51" t="s">
        <v>103</v>
      </c>
      <c r="B175" s="2"/>
      <c r="C175" s="2"/>
      <c r="D175" s="2"/>
      <c r="E175" s="93">
        <f>+E14</f>
        <v>265.12200000000001</v>
      </c>
      <c r="F175" s="126"/>
      <c r="G175" s="93">
        <f>+G14</f>
        <v>337.48099999999999</v>
      </c>
      <c r="H175" s="126"/>
      <c r="I175" s="93">
        <f>+I14</f>
        <v>324.673</v>
      </c>
      <c r="J175" s="126"/>
      <c r="K175" s="93">
        <f>+K14</f>
        <v>460.61</v>
      </c>
      <c r="L175" s="126"/>
      <c r="M175" s="82">
        <f t="shared" si="1118"/>
        <v>460.86700000000002</v>
      </c>
      <c r="N175" s="67">
        <f t="shared" si="1118"/>
        <v>455.33300000000003</v>
      </c>
      <c r="O175" s="67">
        <f t="shared" si="1118"/>
        <v>462.77600000000001</v>
      </c>
      <c r="P175" s="67">
        <f t="shared" si="1118"/>
        <v>408.23599999999999</v>
      </c>
      <c r="Q175" s="93">
        <f t="shared" si="1118"/>
        <v>408.23599999999999</v>
      </c>
      <c r="R175" s="126"/>
      <c r="S175" s="82">
        <f t="shared" si="1119"/>
        <v>487.07600000000002</v>
      </c>
      <c r="T175" s="67">
        <f t="shared" si="1119"/>
        <v>476.90899999999999</v>
      </c>
      <c r="U175" s="67">
        <f t="shared" si="1119"/>
        <v>486.44</v>
      </c>
      <c r="V175" s="67">
        <f t="shared" si="1119"/>
        <v>485.58699999999999</v>
      </c>
      <c r="W175" s="93">
        <f t="shared" si="1119"/>
        <v>485.58699999999999</v>
      </c>
      <c r="X175" s="126"/>
      <c r="Y175" s="82">
        <f t="shared" si="1120"/>
        <v>527.81799999999998</v>
      </c>
      <c r="Z175" s="67">
        <f t="shared" si="1120"/>
        <v>527.05200000000002</v>
      </c>
      <c r="AA175" s="67">
        <f t="shared" si="1120"/>
        <v>539.78800000000001</v>
      </c>
      <c r="AB175" s="67">
        <f t="shared" si="1120"/>
        <v>536.22699999999998</v>
      </c>
      <c r="AC175" s="93">
        <f t="shared" si="1120"/>
        <v>536.22699999999998</v>
      </c>
      <c r="AD175" s="126"/>
      <c r="AE175" s="82">
        <f t="shared" si="1121"/>
        <v>624.40599999999995</v>
      </c>
      <c r="AF175" s="67">
        <f t="shared" si="1121"/>
        <v>783.75300000000004</v>
      </c>
      <c r="AG175" s="67">
        <f t="shared" si="1121"/>
        <v>786.72400000000005</v>
      </c>
      <c r="AH175" s="67">
        <f t="shared" si="1121"/>
        <v>703.99599999999998</v>
      </c>
      <c r="AI175" s="93">
        <f t="shared" si="1121"/>
        <v>703.99599999999998</v>
      </c>
      <c r="AJ175" s="126"/>
      <c r="AK175" s="82">
        <f t="shared" si="1122"/>
        <v>747.16800000000001</v>
      </c>
      <c r="AL175" s="67">
        <f t="shared" si="1122"/>
        <v>752.70600000000002</v>
      </c>
      <c r="AM175" s="67">
        <f t="shared" si="1122"/>
        <v>878.32799999999997</v>
      </c>
      <c r="AN175" s="67">
        <f t="shared" si="1122"/>
        <v>825.26300000000003</v>
      </c>
      <c r="AO175" s="93">
        <f t="shared" si="1122"/>
        <v>825.26300000000003</v>
      </c>
      <c r="AP175" s="126"/>
      <c r="AQ175" s="82">
        <f t="shared" si="1123"/>
        <v>886.58100000000002</v>
      </c>
      <c r="AR175" s="67">
        <f t="shared" si="1123"/>
        <v>1009.847</v>
      </c>
      <c r="AS175" s="67">
        <f t="shared" si="1123"/>
        <v>1020.982</v>
      </c>
      <c r="AT175" s="67">
        <f t="shared" si="1123"/>
        <v>1005.36</v>
      </c>
      <c r="AU175" s="93">
        <f t="shared" si="1123"/>
        <v>1005.36</v>
      </c>
      <c r="AV175" s="126"/>
      <c r="AW175" s="82">
        <f t="shared" si="1124"/>
        <v>1050.106</v>
      </c>
      <c r="AX175" s="67">
        <f t="shared" si="1124"/>
        <v>1048.8579999999999</v>
      </c>
      <c r="AY175" s="67">
        <f t="shared" si="1124"/>
        <v>1080.8320000000001</v>
      </c>
      <c r="AZ175" s="67">
        <f t="shared" si="1124"/>
        <v>1193.615</v>
      </c>
      <c r="BA175" s="93">
        <f t="shared" si="1124"/>
        <v>1193.615</v>
      </c>
      <c r="BB175" s="126"/>
      <c r="BC175" s="82">
        <f t="shared" si="1125"/>
        <v>1292.297</v>
      </c>
      <c r="BD175" s="67">
        <f t="shared" si="1125"/>
        <v>1297.4559999999999</v>
      </c>
      <c r="BE175" s="67">
        <f t="shared" si="1125"/>
        <v>1274.8510000000001</v>
      </c>
      <c r="BF175" s="67">
        <f t="shared" si="1125"/>
        <v>1142.309</v>
      </c>
      <c r="BG175" s="93">
        <f t="shared" si="1125"/>
        <v>1142.309</v>
      </c>
      <c r="BH175" s="126"/>
      <c r="BI175" s="82">
        <f t="shared" si="1126"/>
        <v>1133.8</v>
      </c>
      <c r="BJ175" s="67">
        <f t="shared" si="1126"/>
        <v>1067.075</v>
      </c>
      <c r="BK175" s="67">
        <f t="shared" si="1126"/>
        <v>1071.43</v>
      </c>
      <c r="BL175" s="67">
        <f t="shared" si="1126"/>
        <v>993.01599999999996</v>
      </c>
      <c r="BM175" s="93">
        <f t="shared" si="1126"/>
        <v>993.01599999999996</v>
      </c>
      <c r="BN175" s="126"/>
      <c r="BO175" s="82">
        <f t="shared" si="1127"/>
        <v>1187.893</v>
      </c>
      <c r="BP175" s="67">
        <f t="shared" si="1127"/>
        <v>1238.693</v>
      </c>
      <c r="BQ175" s="67">
        <f t="shared" si="1127"/>
        <v>1244.895</v>
      </c>
      <c r="BR175" s="67">
        <f t="shared" si="1127"/>
        <v>1225.1510000000001</v>
      </c>
      <c r="BS175" s="93">
        <f t="shared" si="1127"/>
        <v>1225.1510000000001</v>
      </c>
      <c r="BT175" s="126"/>
      <c r="BU175" s="82">
        <f t="shared" si="1128"/>
        <v>1284.932</v>
      </c>
      <c r="BV175" s="67">
        <f t="shared" si="1128"/>
        <v>2065.049</v>
      </c>
      <c r="BW175" s="67">
        <f t="shared" si="1128"/>
        <v>1970.896</v>
      </c>
      <c r="BX175" s="67">
        <f t="shared" si="1128"/>
        <v>1781.3520000000001</v>
      </c>
      <c r="BY175" s="93">
        <f t="shared" si="1128"/>
        <v>1781.3520000000001</v>
      </c>
      <c r="BZ175" s="126"/>
      <c r="CA175" s="82">
        <f t="shared" si="1129"/>
        <v>1889.079</v>
      </c>
      <c r="CB175" s="67">
        <f t="shared" si="1129"/>
        <v>1855.8109999999999</v>
      </c>
      <c r="CC175" s="67">
        <f t="shared" si="1129"/>
        <v>1882.37</v>
      </c>
      <c r="CD175" s="67">
        <f t="shared" si="1129"/>
        <v>1813.4</v>
      </c>
      <c r="CE175" s="93">
        <f t="shared" si="1129"/>
        <v>1813.4</v>
      </c>
      <c r="CF175" s="126"/>
      <c r="CG175" s="82">
        <f t="shared" si="1130"/>
        <v>1866.5</v>
      </c>
      <c r="CH175" s="67">
        <f t="shared" si="1130"/>
        <v>1911</v>
      </c>
      <c r="CI175" s="67">
        <f t="shared" si="1130"/>
        <v>1965.7</v>
      </c>
      <c r="CJ175" s="67">
        <f t="shared" si="1130"/>
        <v>1783.5</v>
      </c>
      <c r="CK175" s="93">
        <f t="shared" si="1130"/>
        <v>1783.5</v>
      </c>
      <c r="CL175" s="126"/>
      <c r="CM175" s="82">
        <f t="shared" si="1131"/>
        <v>1871.3</v>
      </c>
      <c r="CN175" s="67">
        <f t="shared" si="1131"/>
        <v>1894.2</v>
      </c>
      <c r="CO175" s="67">
        <f t="shared" si="1131"/>
        <v>1874</v>
      </c>
      <c r="CP175" s="67">
        <f t="shared" si="1131"/>
        <v>1831.5</v>
      </c>
      <c r="CQ175" s="93">
        <f t="shared" si="1131"/>
        <v>1831.5</v>
      </c>
      <c r="CR175" s="126"/>
      <c r="CS175" s="82">
        <f t="shared" si="1132"/>
        <v>1897.2</v>
      </c>
      <c r="CT175" s="67">
        <f t="shared" si="1132"/>
        <v>1912.2</v>
      </c>
      <c r="CU175" s="67">
        <f t="shared" si="1132"/>
        <v>2340.6</v>
      </c>
      <c r="CV175" s="67">
        <f t="shared" si="1132"/>
        <v>2095.4</v>
      </c>
      <c r="CW175" s="93">
        <f t="shared" si="1132"/>
        <v>2095.4</v>
      </c>
      <c r="CX175" s="126"/>
      <c r="CY175" s="82">
        <f t="shared" si="1133"/>
        <v>2237.6999999999998</v>
      </c>
      <c r="CZ175" s="67">
        <f t="shared" si="1133"/>
        <v>2240.1999999999998</v>
      </c>
      <c r="DA175" s="67">
        <f t="shared" si="1133"/>
        <v>1712.2</v>
      </c>
      <c r="DB175" s="67">
        <f t="shared" si="1133"/>
        <v>1709.4</v>
      </c>
      <c r="DC175" s="93">
        <f t="shared" si="1133"/>
        <v>1709.4</v>
      </c>
      <c r="DD175" s="126"/>
      <c r="DE175" s="82">
        <f t="shared" si="1134"/>
        <v>1764.9</v>
      </c>
      <c r="DF175" s="67">
        <f t="shared" si="1134"/>
        <v>1791.7</v>
      </c>
      <c r="DG175" s="67">
        <f t="shared" si="1134"/>
        <v>1892.3</v>
      </c>
      <c r="DH175" s="67">
        <f t="shared" si="1134"/>
        <v>1840.8</v>
      </c>
      <c r="DI175" s="93">
        <f t="shared" si="1134"/>
        <v>1840.8</v>
      </c>
      <c r="DJ175" s="126"/>
      <c r="DK175" s="82">
        <f t="shared" si="1135"/>
        <v>1852.9615684514267</v>
      </c>
      <c r="DL175" s="67">
        <f t="shared" si="1135"/>
        <v>1864.2709693891172</v>
      </c>
      <c r="DM175" s="67">
        <f t="shared" si="1135"/>
        <v>1935.5502834121148</v>
      </c>
      <c r="DN175" s="67">
        <f t="shared" si="1135"/>
        <v>1824.3811131851082</v>
      </c>
      <c r="DO175" s="93">
        <f t="shared" si="1135"/>
        <v>1824.3811131851082</v>
      </c>
      <c r="DP175" s="126"/>
      <c r="DQ175" s="82">
        <f t="shared" si="1136"/>
        <v>1821.9047791058451</v>
      </c>
      <c r="DR175" s="67">
        <f t="shared" si="1136"/>
        <v>1837.4859333305237</v>
      </c>
      <c r="DS175" s="67">
        <f t="shared" si="1136"/>
        <v>1902.7369538938394</v>
      </c>
      <c r="DT175" s="67">
        <f t="shared" si="1136"/>
        <v>1784.7874345805039</v>
      </c>
      <c r="DU175" s="93">
        <f t="shared" si="1136"/>
        <v>1784.7874345805039</v>
      </c>
      <c r="DV175" s="126"/>
      <c r="DW175" s="82">
        <f t="shared" si="1137"/>
        <v>1743.188071776616</v>
      </c>
      <c r="DX175" s="67">
        <f t="shared" si="1137"/>
        <v>1753.3190975516816</v>
      </c>
      <c r="DY175" s="67">
        <f t="shared" si="1137"/>
        <v>1824.4931218870106</v>
      </c>
      <c r="DZ175" s="67">
        <f t="shared" si="1137"/>
        <v>1694.1605698235742</v>
      </c>
      <c r="EA175" s="93">
        <f t="shared" si="1137"/>
        <v>1694.1605698235742</v>
      </c>
      <c r="EB175" s="126"/>
      <c r="EC175" s="82">
        <f t="shared" ref="EC175:EG175" si="1139">+EC14</f>
        <v>1664.0922222713691</v>
      </c>
      <c r="ED175" s="67">
        <f t="shared" si="1139"/>
        <v>1667.5358767342875</v>
      </c>
      <c r="EE175" s="67">
        <f t="shared" si="1139"/>
        <v>1745.4894173105915</v>
      </c>
      <c r="EF175" s="67">
        <f t="shared" si="1139"/>
        <v>1604.0065380488386</v>
      </c>
      <c r="EG175" s="93">
        <f t="shared" si="1139"/>
        <v>1604.0065380488386</v>
      </c>
      <c r="EH175" s="7"/>
      <c r="EI175" s="482"/>
      <c r="EJ175" s="7"/>
    </row>
    <row r="176" spans="1:140" ht="11.25" customHeight="1" x14ac:dyDescent="0.2">
      <c r="A176" s="51" t="s">
        <v>27</v>
      </c>
      <c r="B176" s="2"/>
      <c r="C176" s="2"/>
      <c r="D176" s="2"/>
      <c r="E176" s="93">
        <f>+E15</f>
        <v>0</v>
      </c>
      <c r="F176" s="126"/>
      <c r="G176" s="93">
        <f>+G15</f>
        <v>0</v>
      </c>
      <c r="H176" s="126"/>
      <c r="I176" s="93">
        <f>+I15</f>
        <v>0</v>
      </c>
      <c r="J176" s="126"/>
      <c r="K176" s="93">
        <f>+K15</f>
        <v>0</v>
      </c>
      <c r="L176" s="126"/>
      <c r="M176" s="82">
        <f t="shared" si="1118"/>
        <v>0</v>
      </c>
      <c r="N176" s="67">
        <f t="shared" si="1118"/>
        <v>0</v>
      </c>
      <c r="O176" s="67">
        <f t="shared" si="1118"/>
        <v>0</v>
      </c>
      <c r="P176" s="67">
        <f t="shared" si="1118"/>
        <v>0</v>
      </c>
      <c r="Q176" s="93">
        <f t="shared" si="1118"/>
        <v>0</v>
      </c>
      <c r="R176" s="126"/>
      <c r="S176" s="82">
        <f t="shared" si="1119"/>
        <v>0</v>
      </c>
      <c r="T176" s="67">
        <f t="shared" si="1119"/>
        <v>0</v>
      </c>
      <c r="U176" s="67">
        <f t="shared" si="1119"/>
        <v>0</v>
      </c>
      <c r="V176" s="67">
        <f t="shared" si="1119"/>
        <v>0</v>
      </c>
      <c r="W176" s="93">
        <f t="shared" si="1119"/>
        <v>0</v>
      </c>
      <c r="X176" s="126"/>
      <c r="Y176" s="82">
        <f t="shared" si="1120"/>
        <v>0</v>
      </c>
      <c r="Z176" s="67">
        <f t="shared" si="1120"/>
        <v>0</v>
      </c>
      <c r="AA176" s="67">
        <f t="shared" si="1120"/>
        <v>0</v>
      </c>
      <c r="AB176" s="67">
        <f t="shared" si="1120"/>
        <v>0</v>
      </c>
      <c r="AC176" s="93">
        <f t="shared" si="1120"/>
        <v>0</v>
      </c>
      <c r="AD176" s="126"/>
      <c r="AE176" s="82">
        <f t="shared" si="1121"/>
        <v>0</v>
      </c>
      <c r="AF176" s="67">
        <f t="shared" si="1121"/>
        <v>0</v>
      </c>
      <c r="AG176" s="67">
        <f t="shared" si="1121"/>
        <v>0</v>
      </c>
      <c r="AH176" s="67">
        <f t="shared" si="1121"/>
        <v>0</v>
      </c>
      <c r="AI176" s="93">
        <f t="shared" si="1121"/>
        <v>0</v>
      </c>
      <c r="AJ176" s="126"/>
      <c r="AK176" s="82">
        <f t="shared" si="1122"/>
        <v>0</v>
      </c>
      <c r="AL176" s="67">
        <f t="shared" si="1122"/>
        <v>0</v>
      </c>
      <c r="AM176" s="67">
        <f t="shared" si="1122"/>
        <v>0</v>
      </c>
      <c r="AN176" s="67">
        <f t="shared" si="1122"/>
        <v>0</v>
      </c>
      <c r="AO176" s="93">
        <f t="shared" si="1122"/>
        <v>0</v>
      </c>
      <c r="AP176" s="126"/>
      <c r="AQ176" s="82">
        <f t="shared" si="1123"/>
        <v>0</v>
      </c>
      <c r="AR176" s="67">
        <f t="shared" si="1123"/>
        <v>0</v>
      </c>
      <c r="AS176" s="67">
        <f t="shared" si="1123"/>
        <v>0</v>
      </c>
      <c r="AT176" s="67">
        <f t="shared" si="1123"/>
        <v>0</v>
      </c>
      <c r="AU176" s="93">
        <f t="shared" si="1123"/>
        <v>0</v>
      </c>
      <c r="AV176" s="126"/>
      <c r="AW176" s="82">
        <f t="shared" si="1124"/>
        <v>0</v>
      </c>
      <c r="AX176" s="67">
        <f t="shared" si="1124"/>
        <v>0</v>
      </c>
      <c r="AY176" s="67">
        <f t="shared" si="1124"/>
        <v>0</v>
      </c>
      <c r="AZ176" s="67">
        <f t="shared" si="1124"/>
        <v>0</v>
      </c>
      <c r="BA176" s="93">
        <f t="shared" si="1124"/>
        <v>0</v>
      </c>
      <c r="BB176" s="126"/>
      <c r="BC176" s="82">
        <f t="shared" si="1125"/>
        <v>0</v>
      </c>
      <c r="BD176" s="67">
        <f t="shared" si="1125"/>
        <v>0</v>
      </c>
      <c r="BE176" s="67">
        <f t="shared" si="1125"/>
        <v>0</v>
      </c>
      <c r="BF176" s="67">
        <f t="shared" si="1125"/>
        <v>0</v>
      </c>
      <c r="BG176" s="93">
        <f t="shared" si="1125"/>
        <v>0</v>
      </c>
      <c r="BH176" s="126"/>
      <c r="BI176" s="82">
        <f t="shared" si="1126"/>
        <v>0</v>
      </c>
      <c r="BJ176" s="67">
        <f t="shared" si="1126"/>
        <v>0</v>
      </c>
      <c r="BK176" s="67">
        <f t="shared" si="1126"/>
        <v>0</v>
      </c>
      <c r="BL176" s="67">
        <f t="shared" si="1126"/>
        <v>0</v>
      </c>
      <c r="BM176" s="93">
        <f t="shared" si="1126"/>
        <v>0</v>
      </c>
      <c r="BN176" s="126"/>
      <c r="BO176" s="82">
        <f t="shared" si="1127"/>
        <v>0</v>
      </c>
      <c r="BP176" s="67">
        <f t="shared" si="1127"/>
        <v>0</v>
      </c>
      <c r="BQ176" s="67">
        <f t="shared" si="1127"/>
        <v>0</v>
      </c>
      <c r="BR176" s="67">
        <f t="shared" si="1127"/>
        <v>0</v>
      </c>
      <c r="BS176" s="93">
        <f t="shared" si="1127"/>
        <v>0</v>
      </c>
      <c r="BT176" s="126"/>
      <c r="BU176" s="82">
        <f t="shared" si="1128"/>
        <v>0</v>
      </c>
      <c r="BV176" s="67">
        <f t="shared" si="1128"/>
        <v>0</v>
      </c>
      <c r="BW176" s="67">
        <f t="shared" si="1128"/>
        <v>0</v>
      </c>
      <c r="BX176" s="67">
        <f t="shared" si="1128"/>
        <v>0</v>
      </c>
      <c r="BY176" s="93">
        <f t="shared" si="1128"/>
        <v>0</v>
      </c>
      <c r="BZ176" s="126"/>
      <c r="CA176" s="82">
        <f t="shared" si="1129"/>
        <v>0</v>
      </c>
      <c r="CB176" s="67">
        <f t="shared" si="1129"/>
        <v>0</v>
      </c>
      <c r="CC176" s="67">
        <f t="shared" si="1129"/>
        <v>0</v>
      </c>
      <c r="CD176" s="67">
        <f t="shared" si="1129"/>
        <v>0</v>
      </c>
      <c r="CE176" s="93">
        <f t="shared" si="1129"/>
        <v>0</v>
      </c>
      <c r="CF176" s="126"/>
      <c r="CG176" s="82">
        <f t="shared" si="1130"/>
        <v>0</v>
      </c>
      <c r="CH176" s="67">
        <f t="shared" si="1130"/>
        <v>0</v>
      </c>
      <c r="CI176" s="67">
        <f t="shared" si="1130"/>
        <v>0</v>
      </c>
      <c r="CJ176" s="67">
        <f t="shared" si="1130"/>
        <v>0</v>
      </c>
      <c r="CK176" s="93">
        <f t="shared" si="1130"/>
        <v>0</v>
      </c>
      <c r="CL176" s="126"/>
      <c r="CM176" s="82">
        <f t="shared" si="1131"/>
        <v>0</v>
      </c>
      <c r="CN176" s="67">
        <f t="shared" si="1131"/>
        <v>0</v>
      </c>
      <c r="CO176" s="67">
        <f t="shared" si="1131"/>
        <v>0</v>
      </c>
      <c r="CP176" s="67">
        <f t="shared" si="1131"/>
        <v>0</v>
      </c>
      <c r="CQ176" s="93">
        <f t="shared" si="1131"/>
        <v>0</v>
      </c>
      <c r="CR176" s="126"/>
      <c r="CS176" s="82">
        <f t="shared" si="1132"/>
        <v>0</v>
      </c>
      <c r="CT176" s="67">
        <f t="shared" si="1132"/>
        <v>0</v>
      </c>
      <c r="CU176" s="67">
        <f t="shared" si="1132"/>
        <v>0</v>
      </c>
      <c r="CV176" s="67">
        <f t="shared" si="1132"/>
        <v>0</v>
      </c>
      <c r="CW176" s="93">
        <f t="shared" si="1132"/>
        <v>0</v>
      </c>
      <c r="CX176" s="126"/>
      <c r="CY176" s="82">
        <f t="shared" si="1133"/>
        <v>0</v>
      </c>
      <c r="CZ176" s="67">
        <f t="shared" si="1133"/>
        <v>0</v>
      </c>
      <c r="DA176" s="67">
        <f t="shared" si="1133"/>
        <v>0</v>
      </c>
      <c r="DB176" s="67">
        <f t="shared" si="1133"/>
        <v>0</v>
      </c>
      <c r="DC176" s="93">
        <f t="shared" si="1133"/>
        <v>0</v>
      </c>
      <c r="DD176" s="126"/>
      <c r="DE176" s="82">
        <f t="shared" si="1134"/>
        <v>0</v>
      </c>
      <c r="DF176" s="67">
        <f t="shared" si="1134"/>
        <v>0</v>
      </c>
      <c r="DG176" s="67">
        <f t="shared" si="1134"/>
        <v>0</v>
      </c>
      <c r="DH176" s="67">
        <f t="shared" si="1134"/>
        <v>0</v>
      </c>
      <c r="DI176" s="93">
        <f t="shared" si="1134"/>
        <v>0</v>
      </c>
      <c r="DJ176" s="126"/>
      <c r="DK176" s="82">
        <f t="shared" si="1135"/>
        <v>0</v>
      </c>
      <c r="DL176" s="67">
        <f t="shared" si="1135"/>
        <v>0</v>
      </c>
      <c r="DM176" s="67">
        <f t="shared" si="1135"/>
        <v>0</v>
      </c>
      <c r="DN176" s="67">
        <f t="shared" si="1135"/>
        <v>0</v>
      </c>
      <c r="DO176" s="93">
        <f t="shared" si="1135"/>
        <v>0</v>
      </c>
      <c r="DP176" s="126"/>
      <c r="DQ176" s="82">
        <f t="shared" si="1136"/>
        <v>0</v>
      </c>
      <c r="DR176" s="67">
        <f t="shared" si="1136"/>
        <v>0</v>
      </c>
      <c r="DS176" s="67">
        <f t="shared" si="1136"/>
        <v>0</v>
      </c>
      <c r="DT176" s="67">
        <f t="shared" si="1136"/>
        <v>0</v>
      </c>
      <c r="DU176" s="93">
        <f t="shared" si="1136"/>
        <v>0</v>
      </c>
      <c r="DV176" s="126"/>
      <c r="DW176" s="82">
        <f t="shared" si="1137"/>
        <v>0</v>
      </c>
      <c r="DX176" s="67">
        <f t="shared" si="1137"/>
        <v>0</v>
      </c>
      <c r="DY176" s="67">
        <f t="shared" si="1137"/>
        <v>0</v>
      </c>
      <c r="DZ176" s="67">
        <f t="shared" si="1137"/>
        <v>0</v>
      </c>
      <c r="EA176" s="93">
        <f t="shared" si="1137"/>
        <v>0</v>
      </c>
      <c r="EB176" s="126"/>
      <c r="EC176" s="82">
        <f t="shared" ref="EC176:EG176" si="1140">+EC15</f>
        <v>0</v>
      </c>
      <c r="ED176" s="67">
        <f t="shared" si="1140"/>
        <v>0</v>
      </c>
      <c r="EE176" s="67">
        <f t="shared" si="1140"/>
        <v>0</v>
      </c>
      <c r="EF176" s="67">
        <f t="shared" si="1140"/>
        <v>0</v>
      </c>
      <c r="EG176" s="93">
        <f t="shared" si="1140"/>
        <v>0</v>
      </c>
      <c r="EH176" s="7"/>
      <c r="EI176" s="482"/>
      <c r="EJ176" s="7"/>
    </row>
    <row r="177" spans="1:140" ht="11.25" customHeight="1" x14ac:dyDescent="0.2">
      <c r="A177" s="51" t="s">
        <v>13</v>
      </c>
      <c r="B177" s="2"/>
      <c r="C177" s="2"/>
      <c r="D177" s="2"/>
      <c r="E177" s="93">
        <f>+E16</f>
        <v>92.251999999999995</v>
      </c>
      <c r="F177" s="126"/>
      <c r="G177" s="93">
        <f>+G16</f>
        <v>60.874000000000002</v>
      </c>
      <c r="H177" s="126"/>
      <c r="I177" s="93">
        <f>+I16</f>
        <v>72.424999999999997</v>
      </c>
      <c r="J177" s="126"/>
      <c r="K177" s="93">
        <f>+K16</f>
        <v>132.55799999999999</v>
      </c>
      <c r="L177" s="126"/>
      <c r="M177" s="82">
        <f t="shared" si="1118"/>
        <v>93.081000000000003</v>
      </c>
      <c r="N177" s="67">
        <f t="shared" si="1118"/>
        <v>123.17400000000001</v>
      </c>
      <c r="O177" s="67">
        <f t="shared" si="1118"/>
        <v>127.97799999999999</v>
      </c>
      <c r="P177" s="67">
        <f t="shared" si="1118"/>
        <v>174.50200000000001</v>
      </c>
      <c r="Q177" s="93">
        <f t="shared" si="1118"/>
        <v>174.50200000000001</v>
      </c>
      <c r="R177" s="126"/>
      <c r="S177" s="82">
        <f t="shared" si="1119"/>
        <v>154.131</v>
      </c>
      <c r="T177" s="67">
        <f t="shared" si="1119"/>
        <v>202.59399999999999</v>
      </c>
      <c r="U177" s="67">
        <f t="shared" si="1119"/>
        <v>199.964</v>
      </c>
      <c r="V177" s="67">
        <f t="shared" si="1119"/>
        <v>332.18799999999999</v>
      </c>
      <c r="W177" s="93">
        <f t="shared" si="1119"/>
        <v>332.18799999999999</v>
      </c>
      <c r="X177" s="126"/>
      <c r="Y177" s="82">
        <f t="shared" si="1120"/>
        <v>308.07</v>
      </c>
      <c r="Z177" s="67">
        <f t="shared" si="1120"/>
        <v>289.95400000000001</v>
      </c>
      <c r="AA177" s="67">
        <f t="shared" si="1120"/>
        <v>299.30599999999998</v>
      </c>
      <c r="AB177" s="67">
        <f t="shared" si="1120"/>
        <v>307.67099999999999</v>
      </c>
      <c r="AC177" s="93">
        <f t="shared" si="1120"/>
        <v>307.67099999999999</v>
      </c>
      <c r="AD177" s="126"/>
      <c r="AE177" s="82">
        <f t="shared" si="1121"/>
        <v>297.61200000000002</v>
      </c>
      <c r="AF177" s="67">
        <f t="shared" si="1121"/>
        <v>280.57400000000001</v>
      </c>
      <c r="AG177" s="67">
        <f t="shared" si="1121"/>
        <v>260.798</v>
      </c>
      <c r="AH177" s="67">
        <f t="shared" si="1121"/>
        <v>374.51400000000001</v>
      </c>
      <c r="AI177" s="93">
        <f t="shared" si="1121"/>
        <v>374.51400000000001</v>
      </c>
      <c r="AJ177" s="126"/>
      <c r="AK177" s="82">
        <f t="shared" si="1122"/>
        <v>332.04399999999998</v>
      </c>
      <c r="AL177" s="67">
        <f t="shared" si="1122"/>
        <v>302.20699999999999</v>
      </c>
      <c r="AM177" s="67">
        <f t="shared" si="1122"/>
        <v>281.67</v>
      </c>
      <c r="AN177" s="67">
        <f t="shared" si="1122"/>
        <v>396.34699999999998</v>
      </c>
      <c r="AO177" s="93">
        <f t="shared" si="1122"/>
        <v>396.34699999999998</v>
      </c>
      <c r="AP177" s="126"/>
      <c r="AQ177" s="82">
        <f t="shared" si="1123"/>
        <v>465.16199999999998</v>
      </c>
      <c r="AR177" s="67">
        <f t="shared" si="1123"/>
        <v>388.32</v>
      </c>
      <c r="AS177" s="67">
        <f t="shared" si="1123"/>
        <v>347.77800000000002</v>
      </c>
      <c r="AT177" s="67">
        <f t="shared" si="1123"/>
        <v>396.762</v>
      </c>
      <c r="AU177" s="93">
        <f t="shared" si="1123"/>
        <v>396.762</v>
      </c>
      <c r="AV177" s="126"/>
      <c r="AW177" s="82">
        <f t="shared" si="1124"/>
        <v>375.53</v>
      </c>
      <c r="AX177" s="67">
        <f t="shared" si="1124"/>
        <v>323.82299999999998</v>
      </c>
      <c r="AY177" s="67">
        <f t="shared" si="1124"/>
        <v>269.23099999999999</v>
      </c>
      <c r="AZ177" s="67">
        <f t="shared" si="1124"/>
        <v>632.66</v>
      </c>
      <c r="BA177" s="93">
        <f t="shared" si="1124"/>
        <v>632.66</v>
      </c>
      <c r="BB177" s="126"/>
      <c r="BC177" s="82">
        <f t="shared" si="1125"/>
        <v>529.649</v>
      </c>
      <c r="BD177" s="67">
        <f t="shared" si="1125"/>
        <v>515.85400000000004</v>
      </c>
      <c r="BE177" s="67">
        <f t="shared" si="1125"/>
        <v>458.90100000000001</v>
      </c>
      <c r="BF177" s="67">
        <f t="shared" si="1125"/>
        <v>757.37099999999998</v>
      </c>
      <c r="BG177" s="93">
        <f t="shared" si="1125"/>
        <v>757.37099999999998</v>
      </c>
      <c r="BH177" s="126"/>
      <c r="BI177" s="82">
        <f t="shared" si="1126"/>
        <v>680.40300000000002</v>
      </c>
      <c r="BJ177" s="67">
        <f t="shared" si="1126"/>
        <v>713.072</v>
      </c>
      <c r="BK177" s="67">
        <f t="shared" si="1126"/>
        <v>654.86800000000005</v>
      </c>
      <c r="BL177" s="67">
        <f t="shared" si="1126"/>
        <v>588.86099999999999</v>
      </c>
      <c r="BM177" s="93">
        <f t="shared" si="1126"/>
        <v>588.86099999999999</v>
      </c>
      <c r="BN177" s="126"/>
      <c r="BO177" s="82">
        <f t="shared" si="1127"/>
        <v>565.40499999999997</v>
      </c>
      <c r="BP177" s="67">
        <f t="shared" si="1127"/>
        <v>547.32399999999996</v>
      </c>
      <c r="BQ177" s="67">
        <f t="shared" si="1127"/>
        <v>548.02599999999995</v>
      </c>
      <c r="BR177" s="67">
        <f t="shared" si="1127"/>
        <v>652.40700000000004</v>
      </c>
      <c r="BS177" s="93">
        <f t="shared" si="1127"/>
        <v>652.40700000000004</v>
      </c>
      <c r="BT177" s="126"/>
      <c r="BU177" s="82">
        <f t="shared" si="1128"/>
        <v>1043.1769999999999</v>
      </c>
      <c r="BV177" s="67">
        <f t="shared" si="1128"/>
        <v>838.75</v>
      </c>
      <c r="BW177" s="67">
        <f t="shared" si="1128"/>
        <v>852.08199999999999</v>
      </c>
      <c r="BX177" s="67">
        <f t="shared" si="1128"/>
        <v>904.10900000000004</v>
      </c>
      <c r="BY177" s="93">
        <f t="shared" si="1128"/>
        <v>904.10900000000004</v>
      </c>
      <c r="BZ177" s="126"/>
      <c r="CA177" s="82">
        <f t="shared" si="1129"/>
        <v>614.404</v>
      </c>
      <c r="CB177" s="67">
        <f t="shared" si="1129"/>
        <v>542.19399999999996</v>
      </c>
      <c r="CC177" s="67">
        <f t="shared" si="1129"/>
        <v>499.56700000000001</v>
      </c>
      <c r="CD177" s="67">
        <f t="shared" si="1129"/>
        <v>828.4</v>
      </c>
      <c r="CE177" s="93">
        <f t="shared" si="1129"/>
        <v>828.4</v>
      </c>
      <c r="CF177" s="126"/>
      <c r="CG177" s="82">
        <f t="shared" si="1130"/>
        <v>774.5</v>
      </c>
      <c r="CH177" s="67">
        <f t="shared" si="1130"/>
        <v>713.7</v>
      </c>
      <c r="CI177" s="67">
        <f t="shared" si="1130"/>
        <v>689.7</v>
      </c>
      <c r="CJ177" s="67">
        <f t="shared" si="1130"/>
        <v>763.4</v>
      </c>
      <c r="CK177" s="93">
        <f t="shared" si="1130"/>
        <v>763.4</v>
      </c>
      <c r="CL177" s="126"/>
      <c r="CM177" s="82">
        <f t="shared" si="1131"/>
        <v>718.9</v>
      </c>
      <c r="CN177" s="67">
        <f t="shared" si="1131"/>
        <v>660.2</v>
      </c>
      <c r="CO177" s="67">
        <f t="shared" si="1131"/>
        <v>592.1</v>
      </c>
      <c r="CP177" s="67">
        <f t="shared" si="1131"/>
        <v>960.4</v>
      </c>
      <c r="CQ177" s="93">
        <f t="shared" si="1131"/>
        <v>960.4</v>
      </c>
      <c r="CR177" s="126"/>
      <c r="CS177" s="82">
        <f t="shared" si="1132"/>
        <v>919.3</v>
      </c>
      <c r="CT177" s="67">
        <f t="shared" si="1132"/>
        <v>835.1</v>
      </c>
      <c r="CU177" s="67">
        <f t="shared" si="1132"/>
        <v>851.6</v>
      </c>
      <c r="CV177" s="67">
        <f t="shared" si="1132"/>
        <v>986.4</v>
      </c>
      <c r="CW177" s="93">
        <f t="shared" si="1132"/>
        <v>986.4</v>
      </c>
      <c r="CX177" s="126"/>
      <c r="CY177" s="82">
        <f t="shared" si="1133"/>
        <v>974</v>
      </c>
      <c r="CZ177" s="67">
        <f t="shared" si="1133"/>
        <v>898.4</v>
      </c>
      <c r="DA177" s="67">
        <f t="shared" si="1133"/>
        <v>727.8</v>
      </c>
      <c r="DB177" s="67">
        <f t="shared" si="1133"/>
        <v>805.9</v>
      </c>
      <c r="DC177" s="93">
        <f t="shared" si="1133"/>
        <v>805.9</v>
      </c>
      <c r="DD177" s="126"/>
      <c r="DE177" s="82">
        <f t="shared" si="1134"/>
        <v>715.2</v>
      </c>
      <c r="DF177" s="67">
        <f t="shared" si="1134"/>
        <v>523.70000000000005</v>
      </c>
      <c r="DG177" s="67">
        <f t="shared" si="1134"/>
        <v>464.7</v>
      </c>
      <c r="DH177" s="67">
        <f t="shared" si="1134"/>
        <v>857.1</v>
      </c>
      <c r="DI177" s="93">
        <f t="shared" si="1134"/>
        <v>857.1</v>
      </c>
      <c r="DJ177" s="126"/>
      <c r="DK177" s="82">
        <f t="shared" si="1135"/>
        <v>788.82719999999995</v>
      </c>
      <c r="DL177" s="67">
        <f t="shared" si="1135"/>
        <v>828.2723400000001</v>
      </c>
      <c r="DM177" s="67">
        <f t="shared" si="1135"/>
        <v>814.89458400000012</v>
      </c>
      <c r="DN177" s="67">
        <f t="shared" si="1135"/>
        <v>913.63465199999996</v>
      </c>
      <c r="DO177" s="93">
        <f t="shared" si="1135"/>
        <v>913.63465199999996</v>
      </c>
      <c r="DP177" s="126"/>
      <c r="DQ177" s="82">
        <f t="shared" si="1136"/>
        <v>884.461725</v>
      </c>
      <c r="DR177" s="67">
        <f t="shared" si="1136"/>
        <v>930.32008559999997</v>
      </c>
      <c r="DS177" s="67">
        <f t="shared" si="1136"/>
        <v>907.40350440000009</v>
      </c>
      <c r="DT177" s="67">
        <f t="shared" si="1136"/>
        <v>1017.1595043000001</v>
      </c>
      <c r="DU177" s="93">
        <f t="shared" si="1136"/>
        <v>1017.1595043000001</v>
      </c>
      <c r="DV177" s="126"/>
      <c r="DW177" s="82">
        <f t="shared" si="1137"/>
        <v>922.30619602499985</v>
      </c>
      <c r="DX177" s="67">
        <f t="shared" si="1137"/>
        <v>970.12873077300003</v>
      </c>
      <c r="DY177" s="67">
        <f t="shared" si="1137"/>
        <v>946.24087808700006</v>
      </c>
      <c r="DZ177" s="67">
        <f t="shared" si="1137"/>
        <v>1060.6314875985001</v>
      </c>
      <c r="EA177" s="93">
        <f t="shared" si="1137"/>
        <v>1060.6314875985001</v>
      </c>
      <c r="EB177" s="126"/>
      <c r="EC177" s="82">
        <f t="shared" ref="EC177:EG177" si="1141">+EC16</f>
        <v>961.80779828812501</v>
      </c>
      <c r="ED177" s="67">
        <f t="shared" si="1141"/>
        <v>1011.681308005335</v>
      </c>
      <c r="EE177" s="67">
        <f t="shared" si="1141"/>
        <v>986.77969629232496</v>
      </c>
      <c r="EF177" s="67">
        <f t="shared" si="1141"/>
        <v>1106.0054549174026</v>
      </c>
      <c r="EG177" s="93">
        <f t="shared" si="1141"/>
        <v>1106.0054549174026</v>
      </c>
      <c r="EH177" s="7"/>
      <c r="EI177" s="482"/>
      <c r="EJ177" s="7"/>
    </row>
    <row r="178" spans="1:140" ht="11.25" customHeight="1" x14ac:dyDescent="0.2">
      <c r="A178" s="51" t="s">
        <v>9</v>
      </c>
      <c r="B178" s="2"/>
      <c r="C178" s="2"/>
      <c r="D178" s="2"/>
      <c r="E178" s="93">
        <f>+E19</f>
        <v>403.488</v>
      </c>
      <c r="F178" s="126"/>
      <c r="G178" s="93">
        <f>+G19</f>
        <v>510.19799999999998</v>
      </c>
      <c r="H178" s="126"/>
      <c r="I178" s="93">
        <f>+I19</f>
        <v>500.18900000000002</v>
      </c>
      <c r="J178" s="126"/>
      <c r="K178" s="93">
        <f>+K19</f>
        <v>575.53099999999995</v>
      </c>
      <c r="L178" s="126"/>
      <c r="M178" s="82">
        <f>+M19</f>
        <v>549.57100000000003</v>
      </c>
      <c r="N178" s="67">
        <f>+N19</f>
        <v>545.44799999999998</v>
      </c>
      <c r="O178" s="67">
        <f>+O19</f>
        <v>536.99099999999999</v>
      </c>
      <c r="P178" s="67">
        <f>+P19</f>
        <v>533.572</v>
      </c>
      <c r="Q178" s="93">
        <f>+Q19</f>
        <v>533.572</v>
      </c>
      <c r="R178" s="126"/>
      <c r="S178" s="82">
        <f>+S19</f>
        <v>600.70799999999997</v>
      </c>
      <c r="T178" s="67">
        <f>+T19</f>
        <v>572.55499999999995</v>
      </c>
      <c r="U178" s="67">
        <f>+U19</f>
        <v>558.38199999999995</v>
      </c>
      <c r="V178" s="67">
        <f>+V19</f>
        <v>597.37900000000002</v>
      </c>
      <c r="W178" s="93">
        <f>+W19</f>
        <v>597.37900000000002</v>
      </c>
      <c r="X178" s="126"/>
      <c r="Y178" s="82">
        <f>+Y19</f>
        <v>593.63199999999995</v>
      </c>
      <c r="Z178" s="67">
        <f>+Z19</f>
        <v>577.49800000000005</v>
      </c>
      <c r="AA178" s="67">
        <f>+AA19</f>
        <v>570.72400000000005</v>
      </c>
      <c r="AB178" s="67">
        <f>+AB19</f>
        <v>573.36500000000001</v>
      </c>
      <c r="AC178" s="93">
        <f>+AC19</f>
        <v>573.36500000000001</v>
      </c>
      <c r="AD178" s="126"/>
      <c r="AE178" s="82">
        <f>+AE19</f>
        <v>638.12400000000002</v>
      </c>
      <c r="AF178" s="67">
        <f>+AF19</f>
        <v>727.15899999999999</v>
      </c>
      <c r="AG178" s="67">
        <f>+AG19</f>
        <v>715.30200000000002</v>
      </c>
      <c r="AH178" s="67">
        <f>+AH19</f>
        <v>752.96600000000001</v>
      </c>
      <c r="AI178" s="93">
        <f>+AI19</f>
        <v>752.96600000000001</v>
      </c>
      <c r="AJ178" s="126"/>
      <c r="AK178" s="82">
        <f>+AK19</f>
        <v>730.95299999999997</v>
      </c>
      <c r="AL178" s="67">
        <f>+AL19</f>
        <v>706.34400000000005</v>
      </c>
      <c r="AM178" s="67">
        <f>+AM19</f>
        <v>737.92200000000003</v>
      </c>
      <c r="AN178" s="67">
        <f>+AN19</f>
        <v>748.17200000000003</v>
      </c>
      <c r="AO178" s="93">
        <f>+AO19</f>
        <v>748.17200000000003</v>
      </c>
      <c r="AP178" s="126"/>
      <c r="AQ178" s="82">
        <f>+AQ19</f>
        <v>753.14</v>
      </c>
      <c r="AR178" s="67">
        <f>+AR19</f>
        <v>855.82799999999997</v>
      </c>
      <c r="AS178" s="67">
        <f>+AS19</f>
        <v>846.447</v>
      </c>
      <c r="AT178" s="67">
        <f>+AT19</f>
        <v>874.36800000000005</v>
      </c>
      <c r="AU178" s="93">
        <f>+AU19</f>
        <v>874.36800000000005</v>
      </c>
      <c r="AV178" s="126"/>
      <c r="AW178" s="82">
        <f>+AW19</f>
        <v>888.70799999999997</v>
      </c>
      <c r="AX178" s="67">
        <f>+AX19</f>
        <v>887.70899999999995</v>
      </c>
      <c r="AY178" s="67">
        <f>+AY19</f>
        <v>902.41099999999994</v>
      </c>
      <c r="AZ178" s="67">
        <f>+AZ19</f>
        <v>1108.634</v>
      </c>
      <c r="BA178" s="93">
        <f>+BA19</f>
        <v>1108.634</v>
      </c>
      <c r="BB178" s="126"/>
      <c r="BC178" s="82">
        <f>+BC19</f>
        <v>1127.7349999999999</v>
      </c>
      <c r="BD178" s="67">
        <f>+BD19</f>
        <v>1131.8869999999999</v>
      </c>
      <c r="BE178" s="67">
        <f>+BE19</f>
        <v>1106.3130000000001</v>
      </c>
      <c r="BF178" s="67">
        <f>+BF19</f>
        <v>1108.653</v>
      </c>
      <c r="BG178" s="93">
        <f>+BG19</f>
        <v>1108.653</v>
      </c>
      <c r="BH178" s="126"/>
      <c r="BI178" s="82">
        <f>+BI19</f>
        <v>1077.692</v>
      </c>
      <c r="BJ178" s="67">
        <f>+BJ19</f>
        <v>1096.721</v>
      </c>
      <c r="BK178" s="67">
        <f>+BK19</f>
        <v>1097.424</v>
      </c>
      <c r="BL178" s="67">
        <f>+BL19</f>
        <v>1143.3309999999999</v>
      </c>
      <c r="BM178" s="93">
        <f>+BM19</f>
        <v>1143.3309999999999</v>
      </c>
      <c r="BN178" s="126"/>
      <c r="BO178" s="82">
        <f>+BO19</f>
        <v>1179.0940000000001</v>
      </c>
      <c r="BP178" s="67">
        <f>+BP19</f>
        <v>1163.335</v>
      </c>
      <c r="BQ178" s="67">
        <f>+BQ19</f>
        <v>1153.431</v>
      </c>
      <c r="BR178" s="67">
        <f>+BR19</f>
        <v>1192.3030000000001</v>
      </c>
      <c r="BS178" s="93">
        <f>+BS19</f>
        <v>1192.3030000000001</v>
      </c>
      <c r="BT178" s="126"/>
      <c r="BU178" s="82">
        <f>+BU19</f>
        <v>1177.703</v>
      </c>
      <c r="BV178" s="67">
        <f>+BV19</f>
        <v>2226.1190000000001</v>
      </c>
      <c r="BW178" s="67">
        <f>+BW19</f>
        <v>2151.0520000000001</v>
      </c>
      <c r="BX178" s="67">
        <f>+BX19</f>
        <v>2100.9899999999998</v>
      </c>
      <c r="BY178" s="93">
        <f>+BY19</f>
        <v>2100.9899999999998</v>
      </c>
      <c r="BZ178" s="126"/>
      <c r="CA178" s="82">
        <f>+CA19</f>
        <v>2104.8110000000001</v>
      </c>
      <c r="CB178" s="67">
        <f>+CB19</f>
        <v>2065.451</v>
      </c>
      <c r="CC178" s="67">
        <f>+CC19</f>
        <v>2062.9520000000002</v>
      </c>
      <c r="CD178" s="67">
        <f>+CD19</f>
        <v>2140.9</v>
      </c>
      <c r="CE178" s="93">
        <f>+CE19</f>
        <v>2140.9</v>
      </c>
      <c r="CF178" s="126"/>
      <c r="CG178" s="82">
        <f>+CG19</f>
        <v>2109.9</v>
      </c>
      <c r="CH178" s="67">
        <f>+CH19</f>
        <v>2148.9</v>
      </c>
      <c r="CI178" s="67">
        <f>+CI19</f>
        <v>2179.1999999999998</v>
      </c>
      <c r="CJ178" s="67">
        <f>+CJ19</f>
        <v>2211.3000000000002</v>
      </c>
      <c r="CK178" s="93">
        <f>+CK19</f>
        <v>2211.3000000000002</v>
      </c>
      <c r="CL178" s="126"/>
      <c r="CM178" s="82">
        <f>+CM19</f>
        <v>2182.6</v>
      </c>
      <c r="CN178" s="67">
        <f>+CN19</f>
        <v>2232.1</v>
      </c>
      <c r="CO178" s="67">
        <f>+CO19</f>
        <v>2161.6</v>
      </c>
      <c r="CP178" s="67">
        <f>+CP19</f>
        <v>2203</v>
      </c>
      <c r="CQ178" s="93">
        <f>+CQ19</f>
        <v>2203</v>
      </c>
      <c r="CR178" s="126"/>
      <c r="CS178" s="82">
        <f>+CS19</f>
        <v>2135.9</v>
      </c>
      <c r="CT178" s="67">
        <f>+CT19</f>
        <v>2161.3000000000002</v>
      </c>
      <c r="CU178" s="67">
        <f>+CU19</f>
        <v>2791.6</v>
      </c>
      <c r="CV178" s="67">
        <f>+CV19</f>
        <v>2302.6999999999998</v>
      </c>
      <c r="CW178" s="93">
        <f>+CW19</f>
        <v>2302.6999999999998</v>
      </c>
      <c r="CX178" s="126"/>
      <c r="CY178" s="82">
        <f>+CY19</f>
        <v>2872.5</v>
      </c>
      <c r="CZ178" s="67">
        <f>+CZ19</f>
        <v>2784.8</v>
      </c>
      <c r="DA178" s="67">
        <f>+DA19</f>
        <v>2255.1</v>
      </c>
      <c r="DB178" s="67">
        <f>+DB19</f>
        <v>2354</v>
      </c>
      <c r="DC178" s="93">
        <f>+DC19</f>
        <v>2354</v>
      </c>
      <c r="DD178" s="126"/>
      <c r="DE178" s="82">
        <f>+DE19</f>
        <v>2408.6999999999998</v>
      </c>
      <c r="DF178" s="67">
        <f>+DF19</f>
        <v>2422.8000000000002</v>
      </c>
      <c r="DG178" s="67">
        <f>+DG19</f>
        <v>2424.9</v>
      </c>
      <c r="DH178" s="67">
        <f>+DH19</f>
        <v>2454.6</v>
      </c>
      <c r="DI178" s="93">
        <f>+DI19</f>
        <v>2454.6</v>
      </c>
      <c r="DJ178" s="126"/>
      <c r="DK178" s="82">
        <f>+DK19</f>
        <v>2455.0737639999998</v>
      </c>
      <c r="DL178" s="67">
        <f>+DL19</f>
        <v>2462.6016283700001</v>
      </c>
      <c r="DM178" s="67">
        <f>+DM19</f>
        <v>2467.2950148187247</v>
      </c>
      <c r="DN178" s="67">
        <f>+DN19</f>
        <v>2489.4447247066478</v>
      </c>
      <c r="DO178" s="93">
        <f>+DO19</f>
        <v>2489.4447247066478</v>
      </c>
      <c r="DP178" s="126"/>
      <c r="DQ178" s="82">
        <f>+DQ19</f>
        <v>2494.4981287360151</v>
      </c>
      <c r="DR178" s="67">
        <f>+DR19</f>
        <v>2506.9447851208943</v>
      </c>
      <c r="DS178" s="67">
        <f>+DS19</f>
        <v>2514.8359582692428</v>
      </c>
      <c r="DT178" s="67">
        <f>+DT19</f>
        <v>2540.6636165003615</v>
      </c>
      <c r="DU178" s="93">
        <f>+DU19</f>
        <v>2540.6636165003615</v>
      </c>
      <c r="DV178" s="126"/>
      <c r="DW178" s="82">
        <f>+DW19</f>
        <v>2549.1129856188909</v>
      </c>
      <c r="DX178" s="67">
        <f>+DX19</f>
        <v>2565.0894473908807</v>
      </c>
      <c r="DY178" s="67">
        <f>+DY19</f>
        <v>2576.1447201831493</v>
      </c>
      <c r="DZ178" s="67">
        <f>+DZ19</f>
        <v>2605.7310969169002</v>
      </c>
      <c r="EA178" s="93">
        <f>+EA19</f>
        <v>2605.7310969169002</v>
      </c>
      <c r="EB178" s="126"/>
      <c r="EC178" s="82">
        <f t="shared" ref="EC178:EG178" si="1142">+EC19</f>
        <v>2617.0577988240111</v>
      </c>
      <c r="ED178" s="67">
        <f t="shared" si="1142"/>
        <v>2636.0897989996351</v>
      </c>
      <c r="EE178" s="67">
        <f t="shared" si="1142"/>
        <v>2649.8550557803592</v>
      </c>
      <c r="EF178" s="67">
        <f t="shared" si="1142"/>
        <v>2682.8057485191489</v>
      </c>
      <c r="EG178" s="93">
        <f t="shared" si="1142"/>
        <v>2682.8057485191489</v>
      </c>
      <c r="EH178" s="7"/>
      <c r="EI178" s="482"/>
      <c r="EJ178" s="7"/>
    </row>
    <row r="179" spans="1:140" ht="11.25" customHeight="1" x14ac:dyDescent="0.2">
      <c r="A179" s="51" t="s">
        <v>27</v>
      </c>
      <c r="B179" s="2"/>
      <c r="C179" s="2"/>
      <c r="D179" s="2"/>
      <c r="E179" s="93">
        <f>+E21</f>
        <v>0</v>
      </c>
      <c r="F179" s="126"/>
      <c r="G179" s="93">
        <f>+G21</f>
        <v>0</v>
      </c>
      <c r="H179" s="126"/>
      <c r="I179" s="93">
        <f>+I21</f>
        <v>0</v>
      </c>
      <c r="J179" s="126"/>
      <c r="K179" s="93">
        <f>+K21</f>
        <v>0</v>
      </c>
      <c r="L179" s="126"/>
      <c r="M179" s="82">
        <f t="shared" ref="M179:Q180" si="1143">+M21</f>
        <v>0</v>
      </c>
      <c r="N179" s="67">
        <f t="shared" si="1143"/>
        <v>0</v>
      </c>
      <c r="O179" s="67">
        <f t="shared" si="1143"/>
        <v>0</v>
      </c>
      <c r="P179" s="67">
        <f t="shared" si="1143"/>
        <v>0</v>
      </c>
      <c r="Q179" s="93">
        <f t="shared" si="1143"/>
        <v>0</v>
      </c>
      <c r="R179" s="126"/>
      <c r="S179" s="82">
        <f t="shared" ref="S179:W180" si="1144">+S21</f>
        <v>0</v>
      </c>
      <c r="T179" s="67">
        <f t="shared" si="1144"/>
        <v>0</v>
      </c>
      <c r="U179" s="67">
        <f t="shared" si="1144"/>
        <v>0</v>
      </c>
      <c r="V179" s="67">
        <f t="shared" si="1144"/>
        <v>0</v>
      </c>
      <c r="W179" s="93">
        <f t="shared" si="1144"/>
        <v>0</v>
      </c>
      <c r="X179" s="126"/>
      <c r="Y179" s="82">
        <f t="shared" ref="Y179:AC180" si="1145">+Y21</f>
        <v>0</v>
      </c>
      <c r="Z179" s="67">
        <f t="shared" si="1145"/>
        <v>0</v>
      </c>
      <c r="AA179" s="67">
        <f t="shared" si="1145"/>
        <v>0</v>
      </c>
      <c r="AB179" s="67">
        <f t="shared" si="1145"/>
        <v>0</v>
      </c>
      <c r="AC179" s="93">
        <f t="shared" si="1145"/>
        <v>0</v>
      </c>
      <c r="AD179" s="126"/>
      <c r="AE179" s="82">
        <f t="shared" ref="AE179:AI180" si="1146">+AE21</f>
        <v>0</v>
      </c>
      <c r="AF179" s="67">
        <f t="shared" si="1146"/>
        <v>0</v>
      </c>
      <c r="AG179" s="67">
        <f t="shared" si="1146"/>
        <v>0</v>
      </c>
      <c r="AH179" s="67">
        <f t="shared" si="1146"/>
        <v>0</v>
      </c>
      <c r="AI179" s="93">
        <f t="shared" si="1146"/>
        <v>0</v>
      </c>
      <c r="AJ179" s="126"/>
      <c r="AK179" s="82">
        <f t="shared" ref="AK179:AO180" si="1147">+AK21</f>
        <v>0</v>
      </c>
      <c r="AL179" s="67">
        <f t="shared" si="1147"/>
        <v>0</v>
      </c>
      <c r="AM179" s="67">
        <f t="shared" si="1147"/>
        <v>0</v>
      </c>
      <c r="AN179" s="67">
        <f t="shared" si="1147"/>
        <v>0</v>
      </c>
      <c r="AO179" s="93">
        <f t="shared" si="1147"/>
        <v>0</v>
      </c>
      <c r="AP179" s="126"/>
      <c r="AQ179" s="82">
        <f t="shared" ref="AQ179:AU180" si="1148">+AQ21</f>
        <v>0</v>
      </c>
      <c r="AR179" s="67">
        <f t="shared" si="1148"/>
        <v>0</v>
      </c>
      <c r="AS179" s="67">
        <f t="shared" si="1148"/>
        <v>0</v>
      </c>
      <c r="AT179" s="67">
        <f t="shared" si="1148"/>
        <v>0</v>
      </c>
      <c r="AU179" s="93">
        <f t="shared" si="1148"/>
        <v>0</v>
      </c>
      <c r="AV179" s="126"/>
      <c r="AW179" s="82">
        <f t="shared" ref="AW179:BA180" si="1149">+AW21</f>
        <v>0</v>
      </c>
      <c r="AX179" s="67">
        <f t="shared" si="1149"/>
        <v>0</v>
      </c>
      <c r="AY179" s="67">
        <f t="shared" si="1149"/>
        <v>0</v>
      </c>
      <c r="AZ179" s="67">
        <f t="shared" si="1149"/>
        <v>0</v>
      </c>
      <c r="BA179" s="93">
        <f t="shared" si="1149"/>
        <v>0</v>
      </c>
      <c r="BB179" s="126"/>
      <c r="BC179" s="82">
        <f t="shared" ref="BC179:BG180" si="1150">+BC21</f>
        <v>0</v>
      </c>
      <c r="BD179" s="67">
        <f t="shared" si="1150"/>
        <v>0</v>
      </c>
      <c r="BE179" s="67">
        <f t="shared" si="1150"/>
        <v>0</v>
      </c>
      <c r="BF179" s="67">
        <f t="shared" si="1150"/>
        <v>0</v>
      </c>
      <c r="BG179" s="93">
        <f t="shared" si="1150"/>
        <v>0</v>
      </c>
      <c r="BH179" s="126"/>
      <c r="BI179" s="82">
        <f t="shared" ref="BI179:BM180" si="1151">+BI21</f>
        <v>0</v>
      </c>
      <c r="BJ179" s="67">
        <f t="shared" si="1151"/>
        <v>0</v>
      </c>
      <c r="BK179" s="67">
        <f t="shared" si="1151"/>
        <v>0</v>
      </c>
      <c r="BL179" s="67">
        <f t="shared" si="1151"/>
        <v>0</v>
      </c>
      <c r="BM179" s="93">
        <f t="shared" si="1151"/>
        <v>0</v>
      </c>
      <c r="BN179" s="126"/>
      <c r="BO179" s="82">
        <f t="shared" ref="BO179:BS180" si="1152">+BO21</f>
        <v>0</v>
      </c>
      <c r="BP179" s="67">
        <f t="shared" si="1152"/>
        <v>0</v>
      </c>
      <c r="BQ179" s="67">
        <f t="shared" si="1152"/>
        <v>0</v>
      </c>
      <c r="BR179" s="67">
        <f t="shared" si="1152"/>
        <v>0</v>
      </c>
      <c r="BS179" s="93">
        <f t="shared" si="1152"/>
        <v>0</v>
      </c>
      <c r="BT179" s="126"/>
      <c r="BU179" s="82">
        <f t="shared" ref="BU179:BY180" si="1153">+BU21</f>
        <v>0</v>
      </c>
      <c r="BV179" s="67">
        <f t="shared" si="1153"/>
        <v>0</v>
      </c>
      <c r="BW179" s="67">
        <f t="shared" si="1153"/>
        <v>0</v>
      </c>
      <c r="BX179" s="67">
        <f t="shared" si="1153"/>
        <v>0</v>
      </c>
      <c r="BY179" s="93">
        <f t="shared" si="1153"/>
        <v>0</v>
      </c>
      <c r="BZ179" s="126"/>
      <c r="CA179" s="82">
        <f t="shared" ref="CA179:CE180" si="1154">+CA21</f>
        <v>0</v>
      </c>
      <c r="CB179" s="67">
        <f t="shared" si="1154"/>
        <v>0</v>
      </c>
      <c r="CC179" s="67">
        <f t="shared" si="1154"/>
        <v>0</v>
      </c>
      <c r="CD179" s="67">
        <f t="shared" si="1154"/>
        <v>0</v>
      </c>
      <c r="CE179" s="93">
        <f t="shared" si="1154"/>
        <v>0</v>
      </c>
      <c r="CF179" s="126"/>
      <c r="CG179" s="82">
        <f t="shared" ref="CG179:CK180" si="1155">+CG21</f>
        <v>0</v>
      </c>
      <c r="CH179" s="67">
        <f t="shared" si="1155"/>
        <v>0</v>
      </c>
      <c r="CI179" s="67">
        <f t="shared" si="1155"/>
        <v>0</v>
      </c>
      <c r="CJ179" s="67">
        <f t="shared" si="1155"/>
        <v>0</v>
      </c>
      <c r="CK179" s="93">
        <f t="shared" si="1155"/>
        <v>0</v>
      </c>
      <c r="CL179" s="126"/>
      <c r="CM179" s="82">
        <f t="shared" ref="CM179:CQ180" si="1156">+CM21</f>
        <v>0</v>
      </c>
      <c r="CN179" s="67">
        <f t="shared" si="1156"/>
        <v>0</v>
      </c>
      <c r="CO179" s="67">
        <f t="shared" si="1156"/>
        <v>0</v>
      </c>
      <c r="CP179" s="67">
        <f t="shared" si="1156"/>
        <v>0</v>
      </c>
      <c r="CQ179" s="93">
        <f t="shared" si="1156"/>
        <v>0</v>
      </c>
      <c r="CR179" s="126"/>
      <c r="CS179" s="82">
        <f t="shared" ref="CS179:CW180" si="1157">+CS21</f>
        <v>0</v>
      </c>
      <c r="CT179" s="67">
        <f t="shared" si="1157"/>
        <v>0</v>
      </c>
      <c r="CU179" s="67">
        <f t="shared" si="1157"/>
        <v>0</v>
      </c>
      <c r="CV179" s="67">
        <f t="shared" si="1157"/>
        <v>0</v>
      </c>
      <c r="CW179" s="93">
        <f t="shared" si="1157"/>
        <v>0</v>
      </c>
      <c r="CX179" s="126"/>
      <c r="CY179" s="82">
        <f t="shared" ref="CY179:DC180" si="1158">+CY21</f>
        <v>0</v>
      </c>
      <c r="CZ179" s="67">
        <f t="shared" si="1158"/>
        <v>0</v>
      </c>
      <c r="DA179" s="67">
        <f t="shared" si="1158"/>
        <v>0</v>
      </c>
      <c r="DB179" s="67">
        <f t="shared" si="1158"/>
        <v>1637.3</v>
      </c>
      <c r="DC179" s="93">
        <f t="shared" si="1158"/>
        <v>1637.3</v>
      </c>
      <c r="DD179" s="126"/>
      <c r="DE179" s="82">
        <f t="shared" ref="DE179:DI180" si="1159">+DE21</f>
        <v>1804</v>
      </c>
      <c r="DF179" s="67">
        <f t="shared" si="1159"/>
        <v>1804</v>
      </c>
      <c r="DG179" s="67">
        <f t="shared" si="1159"/>
        <v>1804</v>
      </c>
      <c r="DH179" s="67">
        <f t="shared" si="1159"/>
        <v>1150.4000000000001</v>
      </c>
      <c r="DI179" s="93">
        <f t="shared" si="1159"/>
        <v>1150.4000000000001</v>
      </c>
      <c r="DJ179" s="126"/>
      <c r="DK179" s="82">
        <f t="shared" ref="DK179:DO180" si="1160">+DK21</f>
        <v>1220.8039999999999</v>
      </c>
      <c r="DL179" s="67">
        <f t="shared" si="1160"/>
        <v>1262.1292800000001</v>
      </c>
      <c r="DM179" s="67">
        <f t="shared" si="1160"/>
        <v>1222.341876</v>
      </c>
      <c r="DN179" s="67">
        <f t="shared" si="1160"/>
        <v>1348.698772</v>
      </c>
      <c r="DO179" s="93">
        <f t="shared" si="1160"/>
        <v>1348.698772</v>
      </c>
      <c r="DP179" s="126"/>
      <c r="DQ179" s="82">
        <f t="shared" ref="DQ179:DU180" si="1161">+DQ21</f>
        <v>1297.2105300000003</v>
      </c>
      <c r="DR179" s="67">
        <f t="shared" si="1161"/>
        <v>1364.46945888</v>
      </c>
      <c r="DS179" s="67">
        <f t="shared" si="1161"/>
        <v>1330.8584731200003</v>
      </c>
      <c r="DT179" s="67">
        <f t="shared" si="1161"/>
        <v>1491.8339396400002</v>
      </c>
      <c r="DU179" s="93">
        <f t="shared" si="1161"/>
        <v>1491.8339396400002</v>
      </c>
      <c r="DV179" s="126"/>
      <c r="DW179" s="82">
        <f t="shared" ref="DW179:EA180" si="1162">+DW21</f>
        <v>1393.7071406600001</v>
      </c>
      <c r="DX179" s="67">
        <f t="shared" si="1162"/>
        <v>1465.9723042792002</v>
      </c>
      <c r="DY179" s="67">
        <f t="shared" si="1162"/>
        <v>1429.8751046648003</v>
      </c>
      <c r="DZ179" s="67">
        <f t="shared" si="1162"/>
        <v>1602.7320257044005</v>
      </c>
      <c r="EA179" s="93">
        <f t="shared" si="1162"/>
        <v>1602.7320257044005</v>
      </c>
      <c r="EB179" s="126"/>
      <c r="EC179" s="82">
        <f t="shared" ref="EC179:EG179" si="1163">+EC21</f>
        <v>1496.1454640037502</v>
      </c>
      <c r="ED179" s="67">
        <f t="shared" si="1163"/>
        <v>1573.7264791194102</v>
      </c>
      <c r="EE179" s="67">
        <f t="shared" si="1163"/>
        <v>1534.9906386769501</v>
      </c>
      <c r="EF179" s="67">
        <f t="shared" si="1163"/>
        <v>1720.4529298715154</v>
      </c>
      <c r="EG179" s="93">
        <f t="shared" si="1163"/>
        <v>1720.4529298715154</v>
      </c>
      <c r="EH179" s="7"/>
      <c r="EI179" s="482"/>
      <c r="EJ179" s="7"/>
    </row>
    <row r="180" spans="1:140" ht="11.25" customHeight="1" x14ac:dyDescent="0.2">
      <c r="A180" s="51" t="s">
        <v>28</v>
      </c>
      <c r="B180" s="2"/>
      <c r="C180" s="2"/>
      <c r="D180" s="2"/>
      <c r="E180" s="93">
        <f>+E22</f>
        <v>84.981999999999999</v>
      </c>
      <c r="F180" s="126"/>
      <c r="G180" s="93">
        <f>+G22</f>
        <v>111.203</v>
      </c>
      <c r="H180" s="126"/>
      <c r="I180" s="93">
        <f>+I22</f>
        <v>52.475999999999999</v>
      </c>
      <c r="J180" s="126"/>
      <c r="K180" s="93">
        <f>+K22</f>
        <v>117.94199999999999</v>
      </c>
      <c r="L180" s="126"/>
      <c r="M180" s="82">
        <f t="shared" si="1143"/>
        <v>112.506</v>
      </c>
      <c r="N180" s="67">
        <f t="shared" si="1143"/>
        <v>116.48099999999999</v>
      </c>
      <c r="O180" s="67">
        <f t="shared" si="1143"/>
        <v>133.041</v>
      </c>
      <c r="P180" s="67">
        <f t="shared" si="1143"/>
        <v>119.639</v>
      </c>
      <c r="Q180" s="93">
        <f t="shared" si="1143"/>
        <v>119.639</v>
      </c>
      <c r="R180" s="126"/>
      <c r="S180" s="82">
        <f t="shared" si="1144"/>
        <v>73.546999999999997</v>
      </c>
      <c r="T180" s="67">
        <f t="shared" si="1144"/>
        <v>71.290999999999997</v>
      </c>
      <c r="U180" s="67">
        <f t="shared" si="1144"/>
        <v>66.164000000000001</v>
      </c>
      <c r="V180" s="67">
        <f t="shared" si="1144"/>
        <v>36.795999999999999</v>
      </c>
      <c r="W180" s="93">
        <f t="shared" si="1144"/>
        <v>36.795999999999999</v>
      </c>
      <c r="X180" s="126"/>
      <c r="Y180" s="82">
        <f t="shared" si="1145"/>
        <v>35.835000000000001</v>
      </c>
      <c r="Z180" s="67">
        <f t="shared" si="1145"/>
        <v>38.573</v>
      </c>
      <c r="AA180" s="67">
        <f t="shared" si="1145"/>
        <v>31.048999999999999</v>
      </c>
      <c r="AB180" s="67">
        <f t="shared" si="1145"/>
        <v>32.561999999999998</v>
      </c>
      <c r="AC180" s="93">
        <f t="shared" si="1145"/>
        <v>32.561999999999998</v>
      </c>
      <c r="AD180" s="126"/>
      <c r="AE180" s="82">
        <f t="shared" si="1146"/>
        <v>73.962000000000003</v>
      </c>
      <c r="AF180" s="67">
        <f t="shared" si="1146"/>
        <v>81.021000000000001</v>
      </c>
      <c r="AG180" s="67">
        <f t="shared" si="1146"/>
        <v>77.298000000000002</v>
      </c>
      <c r="AH180" s="67">
        <f t="shared" si="1146"/>
        <v>91.704999999999998</v>
      </c>
      <c r="AI180" s="93">
        <f t="shared" si="1146"/>
        <v>91.704999999999998</v>
      </c>
      <c r="AJ180" s="126"/>
      <c r="AK180" s="82">
        <f t="shared" si="1147"/>
        <v>111.336</v>
      </c>
      <c r="AL180" s="67">
        <f t="shared" si="1147"/>
        <v>124.86799999999999</v>
      </c>
      <c r="AM180" s="67">
        <f t="shared" si="1147"/>
        <v>157.62</v>
      </c>
      <c r="AN180" s="67">
        <f t="shared" si="1147"/>
        <v>160.78</v>
      </c>
      <c r="AO180" s="93">
        <f t="shared" si="1147"/>
        <v>160.78</v>
      </c>
      <c r="AP180" s="126"/>
      <c r="AQ180" s="82">
        <f t="shared" si="1148"/>
        <v>156.50200000000001</v>
      </c>
      <c r="AR180" s="67">
        <f t="shared" si="1148"/>
        <v>176.14500000000001</v>
      </c>
      <c r="AS180" s="67">
        <f t="shared" si="1148"/>
        <v>206.245</v>
      </c>
      <c r="AT180" s="67">
        <f t="shared" si="1148"/>
        <v>300.43400000000003</v>
      </c>
      <c r="AU180" s="93">
        <f t="shared" si="1148"/>
        <v>300.43400000000003</v>
      </c>
      <c r="AV180" s="126"/>
      <c r="AW180" s="82">
        <f t="shared" si="1149"/>
        <v>295.346</v>
      </c>
      <c r="AX180" s="67">
        <f t="shared" si="1149"/>
        <v>339.81</v>
      </c>
      <c r="AY180" s="67">
        <f t="shared" si="1149"/>
        <v>305.63</v>
      </c>
      <c r="AZ180" s="67">
        <f t="shared" si="1149"/>
        <v>356.17599999999999</v>
      </c>
      <c r="BA180" s="93">
        <f t="shared" si="1149"/>
        <v>356.17599999999999</v>
      </c>
      <c r="BB180" s="126"/>
      <c r="BC180" s="82">
        <f t="shared" si="1150"/>
        <v>504.13299999999998</v>
      </c>
      <c r="BD180" s="67">
        <f t="shared" si="1150"/>
        <v>509.60599999999999</v>
      </c>
      <c r="BE180" s="67">
        <f t="shared" si="1150"/>
        <v>501.92099999999999</v>
      </c>
      <c r="BF180" s="67">
        <f t="shared" si="1150"/>
        <v>432.25700000000001</v>
      </c>
      <c r="BG180" s="93">
        <f t="shared" si="1150"/>
        <v>432.25700000000001</v>
      </c>
      <c r="BH180" s="126"/>
      <c r="BI180" s="82">
        <f t="shared" si="1151"/>
        <v>500.178</v>
      </c>
      <c r="BJ180" s="67">
        <f t="shared" si="1151"/>
        <v>543.72799999999995</v>
      </c>
      <c r="BK180" s="67">
        <f t="shared" si="1151"/>
        <v>678.33799999999997</v>
      </c>
      <c r="BL180" s="67">
        <f t="shared" si="1151"/>
        <v>758.03499999999997</v>
      </c>
      <c r="BM180" s="93">
        <f t="shared" si="1151"/>
        <v>758.03499999999997</v>
      </c>
      <c r="BN180" s="126"/>
      <c r="BO180" s="82">
        <f t="shared" si="1152"/>
        <v>853.99199999999996</v>
      </c>
      <c r="BP180" s="67">
        <f t="shared" si="1152"/>
        <v>737.06899999999996</v>
      </c>
      <c r="BQ180" s="67">
        <f t="shared" si="1152"/>
        <v>837.51300000000003</v>
      </c>
      <c r="BR180" s="67">
        <f t="shared" si="1152"/>
        <v>701.12699999999995</v>
      </c>
      <c r="BS180" s="93">
        <f t="shared" si="1152"/>
        <v>701.12699999999995</v>
      </c>
      <c r="BT180" s="126"/>
      <c r="BU180" s="82">
        <f t="shared" si="1153"/>
        <v>727.65800000000002</v>
      </c>
      <c r="BV180" s="67">
        <f t="shared" si="1153"/>
        <v>1247.548</v>
      </c>
      <c r="BW180" s="67">
        <f t="shared" si="1153"/>
        <v>1150.9690000000001</v>
      </c>
      <c r="BX180" s="67">
        <f t="shared" si="1153"/>
        <v>739.68600000000004</v>
      </c>
      <c r="BY180" s="93">
        <f t="shared" si="1153"/>
        <v>739.68600000000004</v>
      </c>
      <c r="BZ180" s="126"/>
      <c r="CA180" s="82">
        <f t="shared" si="1154"/>
        <v>787.90200000000004</v>
      </c>
      <c r="CB180" s="67">
        <f t="shared" si="1154"/>
        <v>837.94299999999998</v>
      </c>
      <c r="CC180" s="67">
        <f t="shared" si="1154"/>
        <v>893.16200000000003</v>
      </c>
      <c r="CD180" s="67">
        <f t="shared" si="1154"/>
        <v>858</v>
      </c>
      <c r="CE180" s="93">
        <f t="shared" si="1154"/>
        <v>858</v>
      </c>
      <c r="CF180" s="126"/>
      <c r="CG180" s="82">
        <f t="shared" si="1155"/>
        <v>941.6</v>
      </c>
      <c r="CH180" s="67">
        <f t="shared" si="1155"/>
        <v>998.4</v>
      </c>
      <c r="CI180" s="67">
        <f t="shared" si="1155"/>
        <v>1149.4000000000001</v>
      </c>
      <c r="CJ180" s="67">
        <f t="shared" si="1155"/>
        <v>1061.3</v>
      </c>
      <c r="CK180" s="93">
        <f t="shared" si="1155"/>
        <v>1061.3</v>
      </c>
      <c r="CL180" s="126"/>
      <c r="CM180" s="82">
        <f t="shared" si="1156"/>
        <v>1094.8</v>
      </c>
      <c r="CN180" s="67">
        <f t="shared" si="1156"/>
        <v>1145.2</v>
      </c>
      <c r="CO180" s="67">
        <f t="shared" si="1156"/>
        <v>1192.2</v>
      </c>
      <c r="CP180" s="67">
        <f t="shared" si="1156"/>
        <v>1024</v>
      </c>
      <c r="CQ180" s="93">
        <f t="shared" si="1156"/>
        <v>1024</v>
      </c>
      <c r="CR180" s="126"/>
      <c r="CS180" s="82">
        <f t="shared" si="1157"/>
        <v>1092.0999999999999</v>
      </c>
      <c r="CT180" s="67">
        <f t="shared" si="1157"/>
        <v>1138.5999999999999</v>
      </c>
      <c r="CU180" s="67">
        <f t="shared" si="1157"/>
        <v>1165.3</v>
      </c>
      <c r="CV180" s="67">
        <f t="shared" si="1157"/>
        <v>845.3</v>
      </c>
      <c r="CW180" s="93">
        <f t="shared" si="1157"/>
        <v>845.3</v>
      </c>
      <c r="CX180" s="126"/>
      <c r="CY180" s="82">
        <f t="shared" si="1158"/>
        <v>1016.7</v>
      </c>
      <c r="CZ180" s="67">
        <f t="shared" si="1158"/>
        <v>1026.0999999999999</v>
      </c>
      <c r="DA180" s="67">
        <f t="shared" si="1158"/>
        <v>660.4</v>
      </c>
      <c r="DB180" s="67">
        <f t="shared" si="1158"/>
        <v>631.29999999999995</v>
      </c>
      <c r="DC180" s="93">
        <f t="shared" si="1158"/>
        <v>631.29999999999995</v>
      </c>
      <c r="DD180" s="126"/>
      <c r="DE180" s="82">
        <f t="shared" si="1159"/>
        <v>685.7</v>
      </c>
      <c r="DF180" s="67">
        <f t="shared" si="1159"/>
        <v>693.9</v>
      </c>
      <c r="DG180" s="67">
        <f t="shared" si="1159"/>
        <v>689.1</v>
      </c>
      <c r="DH180" s="67">
        <f t="shared" si="1159"/>
        <v>538.29999999999995</v>
      </c>
      <c r="DI180" s="93">
        <f t="shared" si="1159"/>
        <v>538.29999999999995</v>
      </c>
      <c r="DJ180" s="126"/>
      <c r="DK180" s="82">
        <f t="shared" si="1160"/>
        <v>538.29999999999995</v>
      </c>
      <c r="DL180" s="67">
        <f t="shared" si="1160"/>
        <v>538.29999999999995</v>
      </c>
      <c r="DM180" s="67">
        <f t="shared" si="1160"/>
        <v>538.29999999999995</v>
      </c>
      <c r="DN180" s="67">
        <f t="shared" si="1160"/>
        <v>538.29999999999995</v>
      </c>
      <c r="DO180" s="93">
        <f t="shared" si="1160"/>
        <v>538.29999999999995</v>
      </c>
      <c r="DP180" s="126"/>
      <c r="DQ180" s="82">
        <f t="shared" si="1161"/>
        <v>538.29999999999995</v>
      </c>
      <c r="DR180" s="67">
        <f t="shared" si="1161"/>
        <v>538.29999999999995</v>
      </c>
      <c r="DS180" s="67">
        <f t="shared" si="1161"/>
        <v>538.29999999999995</v>
      </c>
      <c r="DT180" s="67">
        <f t="shared" si="1161"/>
        <v>538.29999999999995</v>
      </c>
      <c r="DU180" s="93">
        <f t="shared" si="1161"/>
        <v>538.29999999999995</v>
      </c>
      <c r="DV180" s="126"/>
      <c r="DW180" s="82">
        <f t="shared" si="1162"/>
        <v>538.29999999999995</v>
      </c>
      <c r="DX180" s="67">
        <f t="shared" si="1162"/>
        <v>538.29999999999995</v>
      </c>
      <c r="DY180" s="67">
        <f t="shared" si="1162"/>
        <v>538.29999999999995</v>
      </c>
      <c r="DZ180" s="67">
        <f t="shared" si="1162"/>
        <v>538.29999999999995</v>
      </c>
      <c r="EA180" s="93">
        <f t="shared" si="1162"/>
        <v>538.29999999999995</v>
      </c>
      <c r="EB180" s="126"/>
      <c r="EC180" s="82">
        <f t="shared" ref="EC180:EG180" si="1164">+EC22</f>
        <v>538.29999999999995</v>
      </c>
      <c r="ED180" s="67">
        <f t="shared" si="1164"/>
        <v>538.29999999999995</v>
      </c>
      <c r="EE180" s="67">
        <f t="shared" si="1164"/>
        <v>538.29999999999995</v>
      </c>
      <c r="EF180" s="67">
        <f t="shared" si="1164"/>
        <v>538.29999999999995</v>
      </c>
      <c r="EG180" s="93">
        <f t="shared" si="1164"/>
        <v>538.29999999999995</v>
      </c>
      <c r="EH180" s="7"/>
      <c r="EI180" s="482"/>
      <c r="EJ180" s="7"/>
    </row>
    <row r="181" spans="1:140" ht="11.25" customHeight="1" x14ac:dyDescent="0.2">
      <c r="A181" s="51" t="s">
        <v>29</v>
      </c>
      <c r="B181" s="2"/>
      <c r="C181" s="2"/>
      <c r="D181" s="2"/>
      <c r="E181" s="93">
        <f>+E24</f>
        <v>863.35199999999998</v>
      </c>
      <c r="F181" s="126"/>
      <c r="G181" s="93">
        <f>+G24</f>
        <v>1287.7619999999999</v>
      </c>
      <c r="H181" s="126"/>
      <c r="I181" s="93">
        <f>+I24</f>
        <v>1292.289</v>
      </c>
      <c r="J181" s="126"/>
      <c r="K181" s="93">
        <f>+K24</f>
        <v>1863.9</v>
      </c>
      <c r="L181" s="126"/>
      <c r="M181" s="82">
        <f>+M24</f>
        <v>1976.3489999999999</v>
      </c>
      <c r="N181" s="67">
        <f>+N24</f>
        <v>2068.8539999999998</v>
      </c>
      <c r="O181" s="67">
        <f>+O24</f>
        <v>2174.9490000000001</v>
      </c>
      <c r="P181" s="67">
        <f>+P24</f>
        <v>2292.6570000000002</v>
      </c>
      <c r="Q181" s="93">
        <f>+Q24</f>
        <v>2292.6570000000002</v>
      </c>
      <c r="R181" s="126"/>
      <c r="S181" s="82">
        <f>+S24</f>
        <v>2825.3890000000001</v>
      </c>
      <c r="T181" s="67">
        <f>+T24</f>
        <v>2869.9720000000002</v>
      </c>
      <c r="U181" s="67">
        <f>+U24</f>
        <v>3023.6669999999999</v>
      </c>
      <c r="V181" s="67">
        <f>+V24</f>
        <v>3007.7040000000002</v>
      </c>
      <c r="W181" s="93">
        <f>+W24</f>
        <v>3007.7040000000002</v>
      </c>
      <c r="X181" s="126"/>
      <c r="Y181" s="82">
        <f>+Y24</f>
        <v>3145.3850000000002</v>
      </c>
      <c r="Z181" s="67">
        <f>+Z24</f>
        <v>3179.5509999999999</v>
      </c>
      <c r="AA181" s="67">
        <f>+AA24</f>
        <v>3208.0420000000004</v>
      </c>
      <c r="AB181" s="67">
        <f>+AB24</f>
        <v>3341.9719999999998</v>
      </c>
      <c r="AC181" s="93">
        <f>+AC24</f>
        <v>3341.9719999999998</v>
      </c>
      <c r="AD181" s="126"/>
      <c r="AE181" s="82">
        <f>+AE24</f>
        <v>371.61799999999999</v>
      </c>
      <c r="AF181" s="67">
        <f>+AF24</f>
        <v>556.82600000000002</v>
      </c>
      <c r="AG181" s="67">
        <f>+AG24</f>
        <v>654.42499999999995</v>
      </c>
      <c r="AH181" s="67">
        <f>+AH24</f>
        <v>660</v>
      </c>
      <c r="AI181" s="93">
        <f>+AI24</f>
        <v>660</v>
      </c>
      <c r="AJ181" s="126"/>
      <c r="AK181" s="82">
        <f>+AK24</f>
        <v>765.40499999999997</v>
      </c>
      <c r="AL181" s="67">
        <f>+AL24</f>
        <v>742.49300000000005</v>
      </c>
      <c r="AM181" s="67">
        <f>+AM24</f>
        <v>852.89800000000002</v>
      </c>
      <c r="AN181" s="67">
        <f>+AN24</f>
        <v>834.14700000000005</v>
      </c>
      <c r="AO181" s="93">
        <f>+AO24</f>
        <v>834.14700000000005</v>
      </c>
      <c r="AP181" s="126"/>
      <c r="AQ181" s="82">
        <f>+AQ24</f>
        <v>882.09900000000005</v>
      </c>
      <c r="AR181" s="67">
        <f>+AR24</f>
        <v>1274.703</v>
      </c>
      <c r="AS181" s="67">
        <f>+AS24</f>
        <v>1584.373</v>
      </c>
      <c r="AT181" s="67">
        <f>+AT24</f>
        <v>1698.3240000000001</v>
      </c>
      <c r="AU181" s="93">
        <f>+AU24</f>
        <v>1698.3240000000001</v>
      </c>
      <c r="AV181" s="126"/>
      <c r="AW181" s="82">
        <f>+AW24</f>
        <v>1742.1410000000001</v>
      </c>
      <c r="AX181" s="67">
        <f>+AX24</f>
        <v>1760.348</v>
      </c>
      <c r="AY181" s="67">
        <f>+AY24</f>
        <v>1844.2470000000001</v>
      </c>
      <c r="AZ181" s="67">
        <f>+AZ24</f>
        <v>2564.973</v>
      </c>
      <c r="BA181" s="93">
        <f>+BA24</f>
        <v>2564.973</v>
      </c>
      <c r="BB181" s="126"/>
      <c r="BC181" s="82">
        <f>+BC24</f>
        <v>2585.0120000000002</v>
      </c>
      <c r="BD181" s="67">
        <f>+BD24</f>
        <v>2697.9229999999998</v>
      </c>
      <c r="BE181" s="67">
        <f>+BE24</f>
        <v>2624.6619999999998</v>
      </c>
      <c r="BF181" s="67">
        <f>+BF24</f>
        <v>2519.422</v>
      </c>
      <c r="BG181" s="93">
        <f>+BG24</f>
        <v>2519.422</v>
      </c>
      <c r="BH181" s="126"/>
      <c r="BI181" s="82">
        <f>+BI24</f>
        <v>2474.913</v>
      </c>
      <c r="BJ181" s="67">
        <f>+BJ24</f>
        <v>2535.5970000000002</v>
      </c>
      <c r="BK181" s="67">
        <f>+BK24</f>
        <v>2553.913</v>
      </c>
      <c r="BL181" s="67">
        <f>+BL24</f>
        <v>2655.5030000000002</v>
      </c>
      <c r="BM181" s="93">
        <f>+BM24</f>
        <v>2655.5030000000002</v>
      </c>
      <c r="BN181" s="126"/>
      <c r="BO181" s="82">
        <f>+BO24</f>
        <v>2954.643</v>
      </c>
      <c r="BP181" s="67">
        <f>+BP24</f>
        <v>2903.0810000000001</v>
      </c>
      <c r="BQ181" s="67">
        <f>+BQ24</f>
        <v>3070.99</v>
      </c>
      <c r="BR181" s="67">
        <f>+BR24</f>
        <v>3324.502</v>
      </c>
      <c r="BS181" s="93">
        <f>+BS24</f>
        <v>3324.502</v>
      </c>
      <c r="BT181" s="126"/>
      <c r="BU181" s="82">
        <f>+BU24</f>
        <v>3539.4659999999999</v>
      </c>
      <c r="BV181" s="67">
        <f>+BV24</f>
        <v>6210.7690000000002</v>
      </c>
      <c r="BW181" s="67">
        <f>+BW24</f>
        <v>6037.607</v>
      </c>
      <c r="BX181" s="67">
        <f>+BX24</f>
        <v>5840.2089999999998</v>
      </c>
      <c r="BY181" s="93">
        <f>+BY24</f>
        <v>5840.2089999999998</v>
      </c>
      <c r="BZ181" s="126"/>
      <c r="CA181" s="82">
        <f>+CA24</f>
        <v>5861.848</v>
      </c>
      <c r="CB181" s="67">
        <f>+CB24</f>
        <v>6176.8819999999996</v>
      </c>
      <c r="CC181" s="67">
        <f>+CC24</f>
        <v>6104.0730000000003</v>
      </c>
      <c r="CD181" s="67">
        <f>+CD24</f>
        <v>6344</v>
      </c>
      <c r="CE181" s="93">
        <f>+CE24</f>
        <v>6344</v>
      </c>
      <c r="CF181" s="126"/>
      <c r="CG181" s="82">
        <f>+CG24</f>
        <v>6148.4</v>
      </c>
      <c r="CH181" s="67">
        <f>+CH24</f>
        <v>6195.5</v>
      </c>
      <c r="CI181" s="67">
        <f>+CI24</f>
        <v>6344.5</v>
      </c>
      <c r="CJ181" s="67">
        <f>+CJ24</f>
        <v>6247.7</v>
      </c>
      <c r="CK181" s="93">
        <f>+CK24</f>
        <v>6247.7</v>
      </c>
      <c r="CL181" s="126"/>
      <c r="CM181" s="82">
        <f>+CM24</f>
        <v>6212.6</v>
      </c>
      <c r="CN181" s="67">
        <f>+CN24</f>
        <v>6369.1</v>
      </c>
      <c r="CO181" s="67">
        <f>+CO24</f>
        <v>6213.9</v>
      </c>
      <c r="CP181" s="67">
        <f>+CP24</f>
        <v>7369.2</v>
      </c>
      <c r="CQ181" s="93">
        <f>+CQ24</f>
        <v>7369.2</v>
      </c>
      <c r="CR181" s="126"/>
      <c r="CS181" s="82">
        <f>+CS24</f>
        <v>7358.4</v>
      </c>
      <c r="CT181" s="67">
        <f>+CT24</f>
        <v>7097.3</v>
      </c>
      <c r="CU181" s="67">
        <f>+CU24</f>
        <v>11690.5</v>
      </c>
      <c r="CV181" s="67">
        <f>+CV24</f>
        <v>10545.3</v>
      </c>
      <c r="CW181" s="93">
        <f>+CW24</f>
        <v>10545.3</v>
      </c>
      <c r="CX181" s="126"/>
      <c r="CY181" s="82">
        <f>+CY24</f>
        <v>11263.8</v>
      </c>
      <c r="CZ181" s="67">
        <f>+CZ24</f>
        <v>11083.5</v>
      </c>
      <c r="DA181" s="67">
        <f>+DA24</f>
        <v>10307.9</v>
      </c>
      <c r="DB181" s="67">
        <f>+DB24</f>
        <v>10180.700000000001</v>
      </c>
      <c r="DC181" s="93">
        <f>+DC24</f>
        <v>10180.700000000001</v>
      </c>
      <c r="DD181" s="126"/>
      <c r="DE181" s="82">
        <f>+DE24</f>
        <v>10012.799999999999</v>
      </c>
      <c r="DF181" s="67">
        <f>+DF24</f>
        <v>9945.9</v>
      </c>
      <c r="DG181" s="67">
        <f>+DG24</f>
        <v>9889.2999999999993</v>
      </c>
      <c r="DH181" s="67">
        <f>+DH24</f>
        <v>10516.7</v>
      </c>
      <c r="DI181" s="93">
        <f>+DI24</f>
        <v>10516.7</v>
      </c>
      <c r="DJ181" s="126"/>
      <c r="DK181" s="82">
        <f>+DK24</f>
        <v>10343.17445</v>
      </c>
      <c r="DL181" s="67">
        <f>+DL24</f>
        <v>10168.633381156251</v>
      </c>
      <c r="DM181" s="67">
        <f>+DM24</f>
        <v>9997.0376928492387</v>
      </c>
      <c r="DN181" s="67">
        <f>+DN24</f>
        <v>9828.3376817824083</v>
      </c>
      <c r="DO181" s="93">
        <f>+DO24</f>
        <v>9828.3376817824083</v>
      </c>
      <c r="DP181" s="126"/>
      <c r="DQ181" s="82">
        <f>+DQ24</f>
        <v>9653.8846879307712</v>
      </c>
      <c r="DR181" s="67">
        <f>+DR24</f>
        <v>9482.5282347199991</v>
      </c>
      <c r="DS181" s="67">
        <f>+DS24</f>
        <v>9314.2133585537194</v>
      </c>
      <c r="DT181" s="67">
        <f>+DT24</f>
        <v>9148.8860714393904</v>
      </c>
      <c r="DU181" s="93">
        <f>+DU24</f>
        <v>9148.8860714393904</v>
      </c>
      <c r="DV181" s="126"/>
      <c r="DW181" s="82">
        <f>+DW24</f>
        <v>8975.0572360820424</v>
      </c>
      <c r="DX181" s="67">
        <f>+DX24</f>
        <v>8804.531148596483</v>
      </c>
      <c r="DY181" s="67">
        <f>+DY24</f>
        <v>8637.2450567731503</v>
      </c>
      <c r="DZ181" s="67">
        <f>+DZ24</f>
        <v>8473.1374006944607</v>
      </c>
      <c r="EA181" s="93">
        <f>+EA24</f>
        <v>8473.1374006944607</v>
      </c>
      <c r="EB181" s="126"/>
      <c r="EC181" s="82">
        <f t="shared" ref="EC181:EG181" si="1165">+EC24</f>
        <v>8301.5563683303972</v>
      </c>
      <c r="ED181" s="67">
        <f t="shared" si="1165"/>
        <v>8133.4498518717064</v>
      </c>
      <c r="EE181" s="67">
        <f t="shared" si="1165"/>
        <v>7968.7474923713044</v>
      </c>
      <c r="EF181" s="67">
        <f t="shared" si="1165"/>
        <v>7807.3803556507855</v>
      </c>
      <c r="EG181" s="93">
        <f t="shared" si="1165"/>
        <v>7807.3803556507855</v>
      </c>
      <c r="EH181" s="7"/>
      <c r="EI181" s="482"/>
      <c r="EJ181" s="7"/>
    </row>
    <row r="182" spans="1:140" ht="11.25" customHeight="1" x14ac:dyDescent="0.2">
      <c r="A182" s="50" t="s">
        <v>283</v>
      </c>
      <c r="B182" s="3"/>
      <c r="C182" s="3"/>
      <c r="D182" s="3"/>
      <c r="E182" s="163">
        <f t="shared" ref="E182:K182" si="1166">+SUM(E174:E181)</f>
        <v>2113.0540000000001</v>
      </c>
      <c r="F182" s="166"/>
      <c r="G182" s="163">
        <f t="shared" si="1166"/>
        <v>2793.0609999999997</v>
      </c>
      <c r="H182" s="166"/>
      <c r="I182" s="163">
        <f t="shared" si="1166"/>
        <v>2786.79</v>
      </c>
      <c r="J182" s="166"/>
      <c r="K182" s="163">
        <f t="shared" si="1166"/>
        <v>3854.7550000000001</v>
      </c>
      <c r="L182" s="166"/>
      <c r="M182" s="165">
        <f>+SUM(M174:M181)</f>
        <v>3840.1480000000001</v>
      </c>
      <c r="N182" s="164">
        <f t="shared" ref="N182" si="1167">+SUM(N174:N181)</f>
        <v>3944.585</v>
      </c>
      <c r="O182" s="164">
        <f t="shared" ref="O182" si="1168">+SUM(O174:O181)</f>
        <v>4068.5460000000003</v>
      </c>
      <c r="P182" s="164">
        <f t="shared" ref="P182" si="1169">+SUM(P174:P181)</f>
        <v>4113.924</v>
      </c>
      <c r="Q182" s="163">
        <f t="shared" ref="Q182" si="1170">+SUM(Q174:Q181)</f>
        <v>4113.924</v>
      </c>
      <c r="R182" s="166"/>
      <c r="S182" s="165">
        <f>+SUM(S174:S181)</f>
        <v>4862.0599999999995</v>
      </c>
      <c r="T182" s="164">
        <f t="shared" ref="T182" si="1171">+SUM(T174:T181)</f>
        <v>4939.7260000000006</v>
      </c>
      <c r="U182" s="164">
        <f t="shared" ref="U182" si="1172">+SUM(U174:U181)</f>
        <v>5091.6229999999996</v>
      </c>
      <c r="V182" s="164">
        <f t="shared" ref="V182" si="1173">+SUM(V174:V181)</f>
        <v>5218.6819999999998</v>
      </c>
      <c r="W182" s="163">
        <f t="shared" ref="W182" si="1174">+SUM(W174:W181)</f>
        <v>5218.6819999999998</v>
      </c>
      <c r="X182" s="166"/>
      <c r="Y182" s="165">
        <f>+SUM(Y174:Y181)</f>
        <v>5381.0789999999997</v>
      </c>
      <c r="Z182" s="164">
        <f t="shared" ref="Z182" si="1175">+SUM(Z174:Z181)</f>
        <v>5396.69</v>
      </c>
      <c r="AA182" s="164">
        <f t="shared" ref="AA182" si="1176">+SUM(AA174:AA181)</f>
        <v>5485.4950000000008</v>
      </c>
      <c r="AB182" s="164">
        <f t="shared" ref="AB182" si="1177">+SUM(AB174:AB181)</f>
        <v>5659.8940000000002</v>
      </c>
      <c r="AC182" s="163">
        <f t="shared" ref="AC182" si="1178">+SUM(AC174:AC181)</f>
        <v>5659.8940000000002</v>
      </c>
      <c r="AD182" s="166"/>
      <c r="AE182" s="165">
        <f>+SUM(AE174:AE181)</f>
        <v>2957.3829999999998</v>
      </c>
      <c r="AF182" s="164">
        <f t="shared" ref="AF182" si="1179">+SUM(AF174:AF181)</f>
        <v>3523.3620000000005</v>
      </c>
      <c r="AG182" s="164">
        <f t="shared" ref="AG182" si="1180">+SUM(AG174:AG181)</f>
        <v>3604.8280000000004</v>
      </c>
      <c r="AH182" s="164">
        <f t="shared" ref="AH182" si="1181">+SUM(AH174:AH181)</f>
        <v>3814.2460000000001</v>
      </c>
      <c r="AI182" s="163">
        <f t="shared" ref="AI182" si="1182">+SUM(AI174:AI181)</f>
        <v>3814.2460000000001</v>
      </c>
      <c r="AJ182" s="166"/>
      <c r="AK182" s="165">
        <f>+SUM(AK174:AK181)</f>
        <v>3851.5779999999995</v>
      </c>
      <c r="AL182" s="164">
        <f t="shared" ref="AL182" si="1183">+SUM(AL174:AL181)</f>
        <v>3805.2</v>
      </c>
      <c r="AM182" s="164">
        <f t="shared" ref="AM182" si="1184">+SUM(AM174:AM181)</f>
        <v>4272.7579999999998</v>
      </c>
      <c r="AN182" s="164">
        <f t="shared" ref="AN182" si="1185">+SUM(AN174:AN181)</f>
        <v>4372.567</v>
      </c>
      <c r="AO182" s="163">
        <f t="shared" ref="AO182" si="1186">+SUM(AO174:AO181)</f>
        <v>4372.567</v>
      </c>
      <c r="AP182" s="166"/>
      <c r="AQ182" s="165">
        <f>+SUM(AQ174:AQ181)</f>
        <v>4532.0429999999997</v>
      </c>
      <c r="AR182" s="164">
        <f t="shared" ref="AR182" si="1187">+SUM(AR174:AR181)</f>
        <v>5266.1639999999998</v>
      </c>
      <c r="AS182" s="164">
        <f t="shared" ref="AS182" si="1188">+SUM(AS174:AS181)</f>
        <v>5601.4040000000005</v>
      </c>
      <c r="AT182" s="164">
        <f t="shared" ref="AT182" si="1189">+SUM(AT174:AT181)</f>
        <v>5950.2180000000008</v>
      </c>
      <c r="AU182" s="163">
        <f t="shared" ref="AU182" si="1190">+SUM(AU174:AU181)</f>
        <v>5950.2180000000008</v>
      </c>
      <c r="AV182" s="166"/>
      <c r="AW182" s="165">
        <f>+SUM(AW174:AW181)</f>
        <v>6034.7049999999999</v>
      </c>
      <c r="AX182" s="164">
        <f t="shared" ref="AX182" si="1191">+SUM(AX174:AX181)</f>
        <v>6092.7339999999995</v>
      </c>
      <c r="AY182" s="164">
        <f t="shared" ref="AY182" si="1192">+SUM(AY174:AY181)</f>
        <v>6229.06</v>
      </c>
      <c r="AZ182" s="164">
        <f t="shared" ref="AZ182" si="1193">+SUM(AZ174:AZ181)</f>
        <v>7840.442</v>
      </c>
      <c r="BA182" s="163">
        <f t="shared" ref="BA182" si="1194">+SUM(BA174:BA181)</f>
        <v>7840.442</v>
      </c>
      <c r="BB182" s="166"/>
      <c r="BC182" s="165">
        <f>+SUM(BC174:BC181)</f>
        <v>8138.3339999999989</v>
      </c>
      <c r="BD182" s="164">
        <f t="shared" ref="BD182" si="1195">+SUM(BD174:BD181)</f>
        <v>8247.0429999999997</v>
      </c>
      <c r="BE182" s="164">
        <f t="shared" ref="BE182" si="1196">+SUM(BE174:BE181)</f>
        <v>8067.4430000000011</v>
      </c>
      <c r="BF182" s="164">
        <f t="shared" ref="BF182" si="1197">+SUM(BF174:BF181)</f>
        <v>7854.5969999999998</v>
      </c>
      <c r="BG182" s="163">
        <f t="shared" ref="BG182" si="1198">+SUM(BG174:BG181)</f>
        <v>7854.5969999999998</v>
      </c>
      <c r="BH182" s="166"/>
      <c r="BI182" s="165">
        <f>+SUM(BI174:BI181)</f>
        <v>7574.1190000000006</v>
      </c>
      <c r="BJ182" s="164">
        <f t="shared" ref="BJ182" si="1199">+SUM(BJ174:BJ181)</f>
        <v>7706.3070000000007</v>
      </c>
      <c r="BK182" s="164">
        <f t="shared" ref="BK182" si="1200">+SUM(BK174:BK181)</f>
        <v>7892.228000000001</v>
      </c>
      <c r="BL182" s="164">
        <f t="shared" ref="BL182" si="1201">+SUM(BL174:BL181)</f>
        <v>8055.5769999999993</v>
      </c>
      <c r="BM182" s="163">
        <f t="shared" ref="BM182" si="1202">+SUM(BM174:BM181)</f>
        <v>8055.5769999999993</v>
      </c>
      <c r="BN182" s="166"/>
      <c r="BO182" s="165">
        <f>+SUM(BO174:BO181)</f>
        <v>8722.4380000000001</v>
      </c>
      <c r="BP182" s="164">
        <f t="shared" ref="BP182" si="1203">+SUM(BP174:BP181)</f>
        <v>8615.48</v>
      </c>
      <c r="BQ182" s="164">
        <f t="shared" ref="BQ182" si="1204">+SUM(BQ174:BQ181)</f>
        <v>8887.5159999999996</v>
      </c>
      <c r="BR182" s="164">
        <f t="shared" ref="BR182" si="1205">+SUM(BR174:BR181)</f>
        <v>9314.4650000000001</v>
      </c>
      <c r="BS182" s="163">
        <f t="shared" ref="BS182" si="1206">+SUM(BS174:BS181)</f>
        <v>9314.4650000000001</v>
      </c>
      <c r="BT182" s="166"/>
      <c r="BU182" s="165">
        <f>+SUM(BU174:BU181)</f>
        <v>9983.16</v>
      </c>
      <c r="BV182" s="164">
        <f t="shared" ref="BV182" si="1207">+SUM(BV174:BV181)</f>
        <v>15687.653000000002</v>
      </c>
      <c r="BW182" s="164">
        <f t="shared" ref="BW182" si="1208">+SUM(BW174:BW181)</f>
        <v>15169.797999999999</v>
      </c>
      <c r="BX182" s="164">
        <f t="shared" ref="BX182" si="1209">+SUM(BX174:BX181)</f>
        <v>14416.241000000002</v>
      </c>
      <c r="BY182" s="163">
        <f t="shared" ref="BY182" si="1210">+SUM(BY174:BY181)</f>
        <v>14416.241000000002</v>
      </c>
      <c r="BZ182" s="166"/>
      <c r="CA182" s="165">
        <f>+SUM(CA174:CA181)</f>
        <v>14254.501</v>
      </c>
      <c r="CB182" s="164">
        <f t="shared" ref="CB182" si="1211">+SUM(CB174:CB181)</f>
        <v>14572.530999999999</v>
      </c>
      <c r="CC182" s="164">
        <f t="shared" ref="CC182" si="1212">+SUM(CC174:CC181)</f>
        <v>14426.852000000001</v>
      </c>
      <c r="CD182" s="164">
        <f t="shared" ref="CD182" si="1213">+SUM(CD174:CD181)</f>
        <v>15252</v>
      </c>
      <c r="CE182" s="163">
        <f t="shared" ref="CE182" si="1214">+SUM(CE174:CE181)</f>
        <v>15252</v>
      </c>
      <c r="CF182" s="166"/>
      <c r="CG182" s="165">
        <f>+SUM(CG174:CG181)</f>
        <v>14959.2</v>
      </c>
      <c r="CH182" s="164">
        <f t="shared" ref="CH182" si="1215">+SUM(CH174:CH181)</f>
        <v>15248.9</v>
      </c>
      <c r="CI182" s="164">
        <f t="shared" ref="CI182" si="1216">+SUM(CI174:CI181)</f>
        <v>15701.199999999999</v>
      </c>
      <c r="CJ182" s="164">
        <f t="shared" ref="CJ182" si="1217">+SUM(CJ174:CJ181)</f>
        <v>15518.8</v>
      </c>
      <c r="CK182" s="163">
        <f t="shared" ref="CK182" si="1218">+SUM(CK174:CK181)</f>
        <v>15518.8</v>
      </c>
      <c r="CL182" s="166"/>
      <c r="CM182" s="165">
        <f>+SUM(CM174:CM181)</f>
        <v>15547.8</v>
      </c>
      <c r="CN182" s="164">
        <f t="shared" ref="CN182" si="1219">+SUM(CN174:CN181)</f>
        <v>15932.6</v>
      </c>
      <c r="CO182" s="164">
        <f t="shared" ref="CO182" si="1220">+SUM(CO174:CO181)</f>
        <v>15531.900000000001</v>
      </c>
      <c r="CP182" s="164">
        <f t="shared" ref="CP182" si="1221">+SUM(CP174:CP181)</f>
        <v>17021.900000000001</v>
      </c>
      <c r="CQ182" s="163">
        <f t="shared" ref="CQ182" si="1222">+SUM(CQ174:CQ181)</f>
        <v>17021.900000000001</v>
      </c>
      <c r="CR182" s="166"/>
      <c r="CS182" s="165">
        <f>+SUM(CS174:CS181)</f>
        <v>16849.800000000003</v>
      </c>
      <c r="CT182" s="164">
        <f t="shared" ref="CT182" si="1223">+SUM(CT174:CT181)</f>
        <v>16709.7</v>
      </c>
      <c r="CU182" s="164">
        <f t="shared" ref="CU182" si="1224">+SUM(CU174:CU181)</f>
        <v>22745.699999999997</v>
      </c>
      <c r="CV182" s="164">
        <f t="shared" ref="CV182" si="1225">+SUM(CV174:CV181)</f>
        <v>20739.199999999997</v>
      </c>
      <c r="CW182" s="163">
        <f t="shared" ref="CW182" si="1226">+SUM(CW174:CW181)</f>
        <v>20739.199999999997</v>
      </c>
      <c r="CX182" s="166"/>
      <c r="CY182" s="165">
        <f>+SUM(CY174:CY181)</f>
        <v>22235.9</v>
      </c>
      <c r="CZ182" s="164">
        <f t="shared" ref="CZ182:DC182" si="1227">+SUM(CZ174:CZ181)</f>
        <v>22027.800000000003</v>
      </c>
      <c r="DA182" s="164">
        <f t="shared" si="1227"/>
        <v>18745.199999999997</v>
      </c>
      <c r="DB182" s="164">
        <f t="shared" si="1227"/>
        <v>20504.699999999997</v>
      </c>
      <c r="DC182" s="163">
        <f t="shared" si="1227"/>
        <v>20504.699999999997</v>
      </c>
      <c r="DD182" s="166"/>
      <c r="DE182" s="165">
        <f>+SUM(DE174:DE181)</f>
        <v>20426.2</v>
      </c>
      <c r="DF182" s="164">
        <f t="shared" ref="DF182" si="1228">+SUM(DF174:DF181)</f>
        <v>20396.8</v>
      </c>
      <c r="DG182" s="164">
        <f t="shared" ref="DG182" si="1229">+SUM(DG174:DG181)</f>
        <v>20418.900000000001</v>
      </c>
      <c r="DH182" s="164">
        <f t="shared" ref="DH182" si="1230">+SUM(DH174:DH181)</f>
        <v>20879.7</v>
      </c>
      <c r="DI182" s="163">
        <f t="shared" ref="DI182" si="1231">+SUM(DI174:DI181)</f>
        <v>20879.7</v>
      </c>
      <c r="DJ182" s="166"/>
      <c r="DK182" s="165">
        <f>+SUM(DK174:DK181)</f>
        <v>20392.012982451426</v>
      </c>
      <c r="DL182" s="164">
        <f t="shared" ref="DL182" si="1232">+SUM(DL174:DL181)</f>
        <v>20476.738498915369</v>
      </c>
      <c r="DM182" s="164">
        <f t="shared" ref="DM182" si="1233">+SUM(DM174:DM181)</f>
        <v>20273.802291080079</v>
      </c>
      <c r="DN182" s="164">
        <f t="shared" ref="DN182" si="1234">+SUM(DN174:DN181)</f>
        <v>20640.841963674164</v>
      </c>
      <c r="DO182" s="163">
        <f t="shared" ref="DO182" si="1235">+SUM(DO174:DO181)</f>
        <v>20640.841963674164</v>
      </c>
      <c r="DP182" s="166"/>
      <c r="DQ182" s="165">
        <f>+SUM(DQ174:DQ181)</f>
        <v>19982.422938272633</v>
      </c>
      <c r="DR182" s="164">
        <f t="shared" ref="DR182" si="1236">+SUM(DR174:DR181)</f>
        <v>20122.906594051416</v>
      </c>
      <c r="DS182" s="164">
        <f t="shared" ref="DS182" si="1237">+SUM(DS174:DS181)</f>
        <v>19885.905736836801</v>
      </c>
      <c r="DT182" s="164">
        <f t="shared" ref="DT182" si="1238">+SUM(DT174:DT181)</f>
        <v>20307.724276910256</v>
      </c>
      <c r="DU182" s="163">
        <f t="shared" ref="DU182" si="1239">+SUM(DU174:DU181)</f>
        <v>20307.724276910256</v>
      </c>
      <c r="DV182" s="166"/>
      <c r="DW182" s="165">
        <f>+SUM(DW174:DW181)</f>
        <v>19503.461015587549</v>
      </c>
      <c r="DX182" s="164">
        <f t="shared" ref="DX182:EA182" si="1240">+SUM(DX174:DX181)</f>
        <v>19654.479408092244</v>
      </c>
      <c r="DY182" s="164">
        <f t="shared" si="1240"/>
        <v>19421.848767914111</v>
      </c>
      <c r="DZ182" s="164">
        <f t="shared" si="1240"/>
        <v>19863.674701932337</v>
      </c>
      <c r="EA182" s="163">
        <f t="shared" si="1240"/>
        <v>19863.674701932337</v>
      </c>
      <c r="EB182" s="166"/>
      <c r="EC182" s="165">
        <f t="shared" ref="EC182:EG182" si="1241">+SUM(EC174:EC181)</f>
        <v>19052.154478869215</v>
      </c>
      <c r="ED182" s="164">
        <f t="shared" si="1241"/>
        <v>19214.076926971862</v>
      </c>
      <c r="EE182" s="164">
        <f t="shared" si="1241"/>
        <v>18987.533425931593</v>
      </c>
      <c r="EF182" s="164">
        <f t="shared" si="1241"/>
        <v>19452.859614209421</v>
      </c>
      <c r="EG182" s="163">
        <f t="shared" si="1241"/>
        <v>19452.859614209421</v>
      </c>
      <c r="EH182" s="7"/>
      <c r="EI182" s="482"/>
      <c r="EJ182" s="7"/>
    </row>
    <row r="183" spans="1:140" ht="11.25" customHeight="1" x14ac:dyDescent="0.2">
      <c r="A183" s="51"/>
      <c r="B183" s="2"/>
      <c r="C183" s="2"/>
      <c r="D183" s="2"/>
      <c r="E183" s="93"/>
      <c r="F183" s="126"/>
      <c r="G183" s="93"/>
      <c r="H183" s="126"/>
      <c r="I183" s="93"/>
      <c r="J183" s="126"/>
      <c r="K183" s="93"/>
      <c r="L183" s="126"/>
      <c r="M183" s="82"/>
      <c r="N183" s="67"/>
      <c r="O183" s="67"/>
      <c r="P183" s="67"/>
      <c r="Q183" s="93"/>
      <c r="R183" s="126"/>
      <c r="S183" s="82"/>
      <c r="T183" s="67"/>
      <c r="U183" s="67"/>
      <c r="V183" s="67"/>
      <c r="W183" s="93"/>
      <c r="X183" s="126"/>
      <c r="Y183" s="82"/>
      <c r="Z183" s="67"/>
      <c r="AA183" s="67"/>
      <c r="AB183" s="67"/>
      <c r="AC183" s="93"/>
      <c r="AD183" s="126"/>
      <c r="AE183" s="82"/>
      <c r="AF183" s="67"/>
      <c r="AG183" s="67"/>
      <c r="AH183" s="67"/>
      <c r="AI183" s="93"/>
      <c r="AJ183" s="126"/>
      <c r="AK183" s="82"/>
      <c r="AL183" s="67"/>
      <c r="AM183" s="67"/>
      <c r="AN183" s="67"/>
      <c r="AO183" s="93"/>
      <c r="AP183" s="126"/>
      <c r="AQ183" s="82"/>
      <c r="AR183" s="67"/>
      <c r="AS183" s="67"/>
      <c r="AT183" s="67"/>
      <c r="AU183" s="93"/>
      <c r="AV183" s="126"/>
      <c r="AW183" s="82"/>
      <c r="AX183" s="67"/>
      <c r="AY183" s="67"/>
      <c r="AZ183" s="67"/>
      <c r="BA183" s="93"/>
      <c r="BB183" s="126"/>
      <c r="BC183" s="82"/>
      <c r="BD183" s="67"/>
      <c r="BE183" s="67"/>
      <c r="BF183" s="67"/>
      <c r="BG183" s="93"/>
      <c r="BH183" s="126"/>
      <c r="BI183" s="82"/>
      <c r="BJ183" s="67"/>
      <c r="BK183" s="67"/>
      <c r="BL183" s="67"/>
      <c r="BM183" s="93"/>
      <c r="BN183" s="126"/>
      <c r="BO183" s="82"/>
      <c r="BP183" s="67"/>
      <c r="BQ183" s="67"/>
      <c r="BR183" s="67"/>
      <c r="BS183" s="93"/>
      <c r="BT183" s="126"/>
      <c r="BU183" s="82"/>
      <c r="BV183" s="67"/>
      <c r="BW183" s="67"/>
      <c r="BX183" s="67"/>
      <c r="BY183" s="93"/>
      <c r="BZ183" s="126"/>
      <c r="CA183" s="82"/>
      <c r="CB183" s="67"/>
      <c r="CC183" s="67"/>
      <c r="CD183" s="67"/>
      <c r="CE183" s="93"/>
      <c r="CF183" s="126"/>
      <c r="CG183" s="82"/>
      <c r="CH183" s="67"/>
      <c r="CI183" s="67"/>
      <c r="CJ183" s="67"/>
      <c r="CK183" s="93"/>
      <c r="CL183" s="126"/>
      <c r="CM183" s="82"/>
      <c r="CN183" s="67"/>
      <c r="CO183" s="67"/>
      <c r="CP183" s="67"/>
      <c r="CQ183" s="93"/>
      <c r="CR183" s="126"/>
      <c r="CS183" s="82"/>
      <c r="CT183" s="67"/>
      <c r="CU183" s="67"/>
      <c r="CV183" s="67"/>
      <c r="CW183" s="93"/>
      <c r="CX183" s="126"/>
      <c r="CY183" s="82"/>
      <c r="CZ183" s="67"/>
      <c r="DA183" s="67"/>
      <c r="DB183" s="67"/>
      <c r="DC183" s="93"/>
      <c r="DD183" s="126"/>
      <c r="DE183" s="82"/>
      <c r="DF183" s="67"/>
      <c r="DG183" s="67"/>
      <c r="DH183" s="67"/>
      <c r="DI183" s="93"/>
      <c r="DJ183" s="126"/>
      <c r="DK183" s="82"/>
      <c r="DL183" s="67"/>
      <c r="DM183" s="67"/>
      <c r="DN183" s="67"/>
      <c r="DO183" s="93"/>
      <c r="DP183" s="126"/>
      <c r="DQ183" s="82"/>
      <c r="DR183" s="67"/>
      <c r="DS183" s="67"/>
      <c r="DT183" s="67"/>
      <c r="DU183" s="93"/>
      <c r="DV183" s="126"/>
      <c r="DW183" s="82"/>
      <c r="DX183" s="67"/>
      <c r="DY183" s="67"/>
      <c r="DZ183" s="67"/>
      <c r="EA183" s="93"/>
      <c r="EB183" s="126"/>
      <c r="EC183" s="82"/>
      <c r="ED183" s="67"/>
      <c r="EE183" s="67"/>
      <c r="EF183" s="67"/>
      <c r="EG183" s="93"/>
      <c r="EH183" s="7"/>
      <c r="EI183" s="482"/>
      <c r="EJ183" s="7"/>
    </row>
    <row r="184" spans="1:140" ht="11.25" customHeight="1" x14ac:dyDescent="0.2">
      <c r="A184" s="51" t="s">
        <v>44</v>
      </c>
      <c r="B184" s="2"/>
      <c r="C184" s="2"/>
      <c r="D184" s="2"/>
      <c r="E184" s="93">
        <f>+E32</f>
        <v>152.066</v>
      </c>
      <c r="F184" s="126"/>
      <c r="G184" s="93">
        <f>+G32</f>
        <v>161.78200000000001</v>
      </c>
      <c r="H184" s="126"/>
      <c r="I184" s="93">
        <f>+I32</f>
        <v>213.209</v>
      </c>
      <c r="J184" s="126"/>
      <c r="K184" s="93">
        <f>+K32</f>
        <v>262.09500000000003</v>
      </c>
      <c r="L184" s="126"/>
      <c r="M184" s="82">
        <f t="shared" ref="M184:Q186" si="1242">+M32</f>
        <v>253.86799999999999</v>
      </c>
      <c r="N184" s="67">
        <f t="shared" si="1242"/>
        <v>270.73500000000001</v>
      </c>
      <c r="O184" s="67">
        <f t="shared" si="1242"/>
        <v>252.41</v>
      </c>
      <c r="P184" s="67">
        <f t="shared" si="1242"/>
        <v>235.501</v>
      </c>
      <c r="Q184" s="93">
        <f t="shared" si="1242"/>
        <v>235.501</v>
      </c>
      <c r="R184" s="126"/>
      <c r="S184" s="82">
        <f t="shared" ref="S184:W186" si="1243">+S32</f>
        <v>303.25200000000001</v>
      </c>
      <c r="T184" s="67">
        <f t="shared" si="1243"/>
        <v>328.11700000000002</v>
      </c>
      <c r="U184" s="67">
        <f t="shared" si="1243"/>
        <v>358.69400000000002</v>
      </c>
      <c r="V184" s="67">
        <f t="shared" si="1243"/>
        <v>366.58699999999999</v>
      </c>
      <c r="W184" s="93">
        <f t="shared" si="1243"/>
        <v>366.58699999999999</v>
      </c>
      <c r="X184" s="126"/>
      <c r="Y184" s="82">
        <f t="shared" ref="Y184:AC186" si="1244">+Y32</f>
        <v>395.17700000000002</v>
      </c>
      <c r="Z184" s="67">
        <f t="shared" si="1244"/>
        <v>415.08800000000002</v>
      </c>
      <c r="AA184" s="67">
        <f t="shared" si="1244"/>
        <v>439.49400000000003</v>
      </c>
      <c r="AB184" s="67">
        <f t="shared" si="1244"/>
        <v>472.99400000000003</v>
      </c>
      <c r="AC184" s="93">
        <f t="shared" si="1244"/>
        <v>472.99400000000003</v>
      </c>
      <c r="AD184" s="126"/>
      <c r="AE184" s="82">
        <f t="shared" ref="AE184:AI186" si="1245">+AE32</f>
        <v>559.66700000000003</v>
      </c>
      <c r="AF184" s="67">
        <f t="shared" si="1245"/>
        <v>586.99199999999996</v>
      </c>
      <c r="AG184" s="67">
        <f t="shared" si="1245"/>
        <v>578.61300000000006</v>
      </c>
      <c r="AH184" s="67">
        <f t="shared" si="1245"/>
        <v>612.06600000000003</v>
      </c>
      <c r="AI184" s="93">
        <f t="shared" si="1245"/>
        <v>612.06600000000003</v>
      </c>
      <c r="AJ184" s="126"/>
      <c r="AK184" s="82">
        <f t="shared" ref="AK184:AO186" si="1246">+AK32</f>
        <v>647.05100000000004</v>
      </c>
      <c r="AL184" s="67">
        <f t="shared" si="1246"/>
        <v>654.37599999999998</v>
      </c>
      <c r="AM184" s="67">
        <f t="shared" si="1246"/>
        <v>719.82500000000005</v>
      </c>
      <c r="AN184" s="67">
        <f t="shared" si="1246"/>
        <v>782.85400000000004</v>
      </c>
      <c r="AO184" s="93">
        <f t="shared" si="1246"/>
        <v>782.85400000000004</v>
      </c>
      <c r="AP184" s="126"/>
      <c r="AQ184" s="82">
        <f t="shared" ref="AQ184:AU186" si="1247">+AQ32</f>
        <v>807.25400000000002</v>
      </c>
      <c r="AR184" s="67">
        <f t="shared" si="1247"/>
        <v>820.96</v>
      </c>
      <c r="AS184" s="67">
        <f t="shared" si="1247"/>
        <v>844.46900000000005</v>
      </c>
      <c r="AT184" s="67">
        <f t="shared" si="1247"/>
        <v>952.33699999999999</v>
      </c>
      <c r="AU184" s="93">
        <f t="shared" si="1247"/>
        <v>952.33699999999999</v>
      </c>
      <c r="AV184" s="126"/>
      <c r="AW184" s="82">
        <f t="shared" ref="AW184:BA186" si="1248">+AW32</f>
        <v>949.34400000000005</v>
      </c>
      <c r="AX184" s="67">
        <f t="shared" si="1248"/>
        <v>987.80399999999997</v>
      </c>
      <c r="AY184" s="67">
        <f t="shared" si="1248"/>
        <v>1016.023</v>
      </c>
      <c r="AZ184" s="67">
        <f t="shared" si="1248"/>
        <v>1125.5999999999999</v>
      </c>
      <c r="BA184" s="93">
        <f t="shared" si="1248"/>
        <v>1125.5999999999999</v>
      </c>
      <c r="BB184" s="126"/>
      <c r="BC184" s="82">
        <f t="shared" ref="BC184:BG186" si="1249">+BC32</f>
        <v>1144.6489999999999</v>
      </c>
      <c r="BD184" s="67">
        <f t="shared" si="1249"/>
        <v>1193.576</v>
      </c>
      <c r="BE184" s="67">
        <f t="shared" si="1249"/>
        <v>1148.4880000000001</v>
      </c>
      <c r="BF184" s="67">
        <f t="shared" si="1249"/>
        <v>1108.961</v>
      </c>
      <c r="BG184" s="93">
        <f t="shared" si="1249"/>
        <v>1108.961</v>
      </c>
      <c r="BH184" s="126"/>
      <c r="BI184" s="82">
        <f t="shared" ref="BI184:BM186" si="1250">+BI32</f>
        <v>930.81899999999996</v>
      </c>
      <c r="BJ184" s="67">
        <f t="shared" si="1250"/>
        <v>906.54200000000003</v>
      </c>
      <c r="BK184" s="67">
        <f t="shared" si="1250"/>
        <v>973.15499999999997</v>
      </c>
      <c r="BL184" s="67">
        <f t="shared" si="1250"/>
        <v>1051.4870000000001</v>
      </c>
      <c r="BM184" s="93">
        <f t="shared" si="1250"/>
        <v>1051.4870000000001</v>
      </c>
      <c r="BN184" s="126"/>
      <c r="BO184" s="82">
        <f t="shared" ref="BO184:BS186" si="1251">+BO32</f>
        <v>1161.7909999999999</v>
      </c>
      <c r="BP184" s="67">
        <f t="shared" si="1251"/>
        <v>1223.8900000000001</v>
      </c>
      <c r="BQ184" s="67">
        <f t="shared" si="1251"/>
        <v>1178.865</v>
      </c>
      <c r="BR184" s="67">
        <f t="shared" si="1251"/>
        <v>1215.818</v>
      </c>
      <c r="BS184" s="93">
        <f t="shared" si="1251"/>
        <v>1215.818</v>
      </c>
      <c r="BT184" s="126"/>
      <c r="BU184" s="82">
        <f t="shared" ref="BU184:BY186" si="1252">+BU32</f>
        <v>1239.1369999999999</v>
      </c>
      <c r="BV184" s="67">
        <f t="shared" si="1252"/>
        <v>1515.1130000000001</v>
      </c>
      <c r="BW184" s="67">
        <f t="shared" si="1252"/>
        <v>1467.3489999999999</v>
      </c>
      <c r="BX184" s="67">
        <f t="shared" si="1252"/>
        <v>1422.4380000000001</v>
      </c>
      <c r="BY184" s="93">
        <f t="shared" si="1252"/>
        <v>1422.4380000000001</v>
      </c>
      <c r="BZ184" s="126"/>
      <c r="CA184" s="82">
        <f t="shared" ref="CA184:CE186" si="1253">+CA32</f>
        <v>1465.982</v>
      </c>
      <c r="CB184" s="67">
        <f t="shared" si="1253"/>
        <v>1511.0609999999999</v>
      </c>
      <c r="CC184" s="67">
        <f t="shared" si="1253"/>
        <v>1492.6320000000001</v>
      </c>
      <c r="CD184" s="67">
        <f t="shared" si="1253"/>
        <v>1546.3</v>
      </c>
      <c r="CE184" s="93">
        <f t="shared" si="1253"/>
        <v>1546.3</v>
      </c>
      <c r="CF184" s="126"/>
      <c r="CG184" s="82">
        <f t="shared" ref="CG184:CK186" si="1254">+CG32</f>
        <v>1534.5</v>
      </c>
      <c r="CH184" s="67">
        <f t="shared" si="1254"/>
        <v>1621.4</v>
      </c>
      <c r="CI184" s="67">
        <f t="shared" si="1254"/>
        <v>1683.6</v>
      </c>
      <c r="CJ184" s="67">
        <f t="shared" si="1254"/>
        <v>1778.2</v>
      </c>
      <c r="CK184" s="93">
        <f t="shared" si="1254"/>
        <v>1778.2</v>
      </c>
      <c r="CL184" s="126"/>
      <c r="CM184" s="82">
        <f t="shared" ref="CM184:CQ186" si="1255">+CM32</f>
        <v>1685.4</v>
      </c>
      <c r="CN184" s="67">
        <f t="shared" si="1255"/>
        <v>1734.8</v>
      </c>
      <c r="CO184" s="67">
        <f t="shared" si="1255"/>
        <v>1684</v>
      </c>
      <c r="CP184" s="67">
        <f t="shared" si="1255"/>
        <v>1875</v>
      </c>
      <c r="CQ184" s="93">
        <f t="shared" si="1255"/>
        <v>1875</v>
      </c>
      <c r="CR184" s="126"/>
      <c r="CS184" s="82">
        <f t="shared" ref="CS184:CW186" si="1256">+CS32</f>
        <v>1732.3</v>
      </c>
      <c r="CT184" s="67">
        <f t="shared" si="1256"/>
        <v>1744.1</v>
      </c>
      <c r="CU184" s="67">
        <f t="shared" si="1256"/>
        <v>1819.4</v>
      </c>
      <c r="CV184" s="67">
        <f t="shared" si="1256"/>
        <v>1391.9</v>
      </c>
      <c r="CW184" s="93">
        <f t="shared" si="1256"/>
        <v>1391.9</v>
      </c>
      <c r="CX184" s="126"/>
      <c r="CY184" s="82">
        <f t="shared" ref="CY184:DC186" si="1257">+CY32</f>
        <v>1918.8</v>
      </c>
      <c r="CZ184" s="67">
        <f t="shared" si="1257"/>
        <v>1993.2</v>
      </c>
      <c r="DA184" s="67">
        <f t="shared" si="1257"/>
        <v>1354.5</v>
      </c>
      <c r="DB184" s="67">
        <f t="shared" si="1257"/>
        <v>1485</v>
      </c>
      <c r="DC184" s="93">
        <f t="shared" si="1257"/>
        <v>1485</v>
      </c>
      <c r="DD184" s="126"/>
      <c r="DE184" s="82">
        <f t="shared" ref="DE184:DI186" si="1258">+DE32</f>
        <v>1402.2</v>
      </c>
      <c r="DF184" s="67">
        <f t="shared" si="1258"/>
        <v>1427</v>
      </c>
      <c r="DG184" s="67">
        <f t="shared" si="1258"/>
        <v>1501.8</v>
      </c>
      <c r="DH184" s="67">
        <f t="shared" si="1258"/>
        <v>1509.9</v>
      </c>
      <c r="DI184" s="93">
        <f t="shared" si="1258"/>
        <v>1509.9</v>
      </c>
      <c r="DJ184" s="126"/>
      <c r="DK184" s="82">
        <f t="shared" ref="DK184:DO186" si="1259">+DK32</f>
        <v>1395.2240000000002</v>
      </c>
      <c r="DL184" s="67">
        <f t="shared" si="1259"/>
        <v>1486.4948495242891</v>
      </c>
      <c r="DM184" s="67">
        <f t="shared" si="1259"/>
        <v>1445.9702442305729</v>
      </c>
      <c r="DN184" s="67">
        <f t="shared" si="1259"/>
        <v>1591.768707730912</v>
      </c>
      <c r="DO184" s="93">
        <f t="shared" si="1259"/>
        <v>1591.768707730912</v>
      </c>
      <c r="DP184" s="126"/>
      <c r="DQ184" s="82">
        <f t="shared" ref="DQ184:DU186" si="1260">+DQ32</f>
        <v>1435.4171591546628</v>
      </c>
      <c r="DR184" s="67">
        <f t="shared" si="1260"/>
        <v>1537.2394818676039</v>
      </c>
      <c r="DS184" s="67">
        <f t="shared" si="1260"/>
        <v>1486.7933601324712</v>
      </c>
      <c r="DT184" s="67">
        <f t="shared" si="1260"/>
        <v>1641.4690912611984</v>
      </c>
      <c r="DU184" s="93">
        <f t="shared" si="1260"/>
        <v>1641.4690912611984</v>
      </c>
      <c r="DV184" s="126"/>
      <c r="DW184" s="82">
        <f t="shared" ref="DW184:EA184" si="1261">+DW32</f>
        <v>1476.0074276969631</v>
      </c>
      <c r="DX184" s="67">
        <f t="shared" si="1261"/>
        <v>1583.7329059362423</v>
      </c>
      <c r="DY184" s="67">
        <f t="shared" si="1261"/>
        <v>1531.2270747327182</v>
      </c>
      <c r="DZ184" s="67">
        <f t="shared" si="1261"/>
        <v>1695.7278844669227</v>
      </c>
      <c r="EA184" s="93">
        <f t="shared" si="1261"/>
        <v>1695.7278844669227</v>
      </c>
      <c r="EB184" s="126"/>
      <c r="EC184" s="82">
        <f t="shared" ref="EC184:EG184" si="1262">+EC32</f>
        <v>1522.8055727919027</v>
      </c>
      <c r="ED184" s="67">
        <f t="shared" si="1262"/>
        <v>1636.6928076964275</v>
      </c>
      <c r="EE184" s="67">
        <f t="shared" si="1262"/>
        <v>1582.0792127481379</v>
      </c>
      <c r="EF184" s="67">
        <f t="shared" si="1262"/>
        <v>1761.0181534041126</v>
      </c>
      <c r="EG184" s="93">
        <f t="shared" si="1262"/>
        <v>1761.0181534041126</v>
      </c>
      <c r="EH184" s="7"/>
      <c r="EI184" s="482"/>
      <c r="EJ184" s="7"/>
    </row>
    <row r="185" spans="1:140" ht="11.25" customHeight="1" x14ac:dyDescent="0.2">
      <c r="A185" s="51" t="s">
        <v>125</v>
      </c>
      <c r="B185" s="2"/>
      <c r="C185" s="2"/>
      <c r="D185" s="2"/>
      <c r="E185" s="93">
        <f>+E33</f>
        <v>392.32100000000003</v>
      </c>
      <c r="F185" s="126"/>
      <c r="G185" s="93">
        <f>+G33</f>
        <v>479.74299999999999</v>
      </c>
      <c r="H185" s="126"/>
      <c r="I185" s="93">
        <f>+I33</f>
        <v>461.98</v>
      </c>
      <c r="J185" s="126"/>
      <c r="K185" s="93">
        <f>+K33</f>
        <v>674.81200000000001</v>
      </c>
      <c r="L185" s="126"/>
      <c r="M185" s="82">
        <f t="shared" si="1242"/>
        <v>670.17600000000004</v>
      </c>
      <c r="N185" s="67">
        <f t="shared" si="1242"/>
        <v>629.68399999999997</v>
      </c>
      <c r="O185" s="67">
        <f t="shared" si="1242"/>
        <v>645.43600000000004</v>
      </c>
      <c r="P185" s="67">
        <f t="shared" si="1242"/>
        <v>709.43700000000001</v>
      </c>
      <c r="Q185" s="93">
        <f t="shared" si="1242"/>
        <v>709.43700000000001</v>
      </c>
      <c r="R185" s="126"/>
      <c r="S185" s="82">
        <f t="shared" si="1243"/>
        <v>857.73</v>
      </c>
      <c r="T185" s="67">
        <f t="shared" si="1243"/>
        <v>881.35699999999997</v>
      </c>
      <c r="U185" s="67">
        <f t="shared" si="1243"/>
        <v>904.10199999999998</v>
      </c>
      <c r="V185" s="67">
        <f t="shared" si="1243"/>
        <v>786.18299999999999</v>
      </c>
      <c r="W185" s="93">
        <f t="shared" si="1243"/>
        <v>786.18299999999999</v>
      </c>
      <c r="X185" s="126"/>
      <c r="Y185" s="82">
        <f t="shared" si="1244"/>
        <v>821.16899999999998</v>
      </c>
      <c r="Z185" s="67">
        <f t="shared" si="1244"/>
        <v>820.98099999999999</v>
      </c>
      <c r="AA185" s="67">
        <f t="shared" si="1244"/>
        <v>827.88699999999994</v>
      </c>
      <c r="AB185" s="67">
        <f t="shared" si="1244"/>
        <v>892.62400000000002</v>
      </c>
      <c r="AC185" s="93">
        <f t="shared" si="1244"/>
        <v>892.62400000000002</v>
      </c>
      <c r="AD185" s="126"/>
      <c r="AE185" s="82">
        <f t="shared" si="1245"/>
        <v>980.16700000000003</v>
      </c>
      <c r="AF185" s="67">
        <f t="shared" si="1245"/>
        <v>1098.3689999999999</v>
      </c>
      <c r="AG185" s="67">
        <f t="shared" si="1245"/>
        <v>1110.0930000000001</v>
      </c>
      <c r="AH185" s="67">
        <f t="shared" si="1245"/>
        <v>1165.4570000000001</v>
      </c>
      <c r="AI185" s="93">
        <f t="shared" si="1245"/>
        <v>1165.4570000000001</v>
      </c>
      <c r="AJ185" s="126"/>
      <c r="AK185" s="82">
        <f t="shared" si="1246"/>
        <v>1163.4849999999999</v>
      </c>
      <c r="AL185" s="67">
        <f t="shared" si="1246"/>
        <v>1206.106</v>
      </c>
      <c r="AM185" s="67">
        <f t="shared" si="1246"/>
        <v>1360.933</v>
      </c>
      <c r="AN185" s="67">
        <f t="shared" si="1246"/>
        <v>1301.7809999999999</v>
      </c>
      <c r="AO185" s="93">
        <f t="shared" si="1246"/>
        <v>1301.7809999999999</v>
      </c>
      <c r="AP185" s="126"/>
      <c r="AQ185" s="82">
        <f t="shared" si="1247"/>
        <v>1341.365</v>
      </c>
      <c r="AR185" s="67">
        <f t="shared" si="1247"/>
        <v>1435.7919999999999</v>
      </c>
      <c r="AS185" s="67">
        <f t="shared" si="1247"/>
        <v>1506.396</v>
      </c>
      <c r="AT185" s="67">
        <f t="shared" si="1247"/>
        <v>1496.364</v>
      </c>
      <c r="AU185" s="93">
        <f t="shared" si="1247"/>
        <v>1496.364</v>
      </c>
      <c r="AV185" s="126"/>
      <c r="AW185" s="82">
        <f t="shared" si="1248"/>
        <v>1118.6410000000001</v>
      </c>
      <c r="AX185" s="67">
        <f t="shared" si="1248"/>
        <v>1015.615</v>
      </c>
      <c r="AY185" s="67">
        <f t="shared" si="1248"/>
        <v>1056.0350000000001</v>
      </c>
      <c r="AZ185" s="67">
        <f t="shared" si="1248"/>
        <v>1358.7729999999999</v>
      </c>
      <c r="BA185" s="93">
        <f t="shared" si="1248"/>
        <v>1358.7729999999999</v>
      </c>
      <c r="BB185" s="126"/>
      <c r="BC185" s="82">
        <f t="shared" si="1249"/>
        <v>1535.673</v>
      </c>
      <c r="BD185" s="67">
        <f t="shared" si="1249"/>
        <v>1587.298</v>
      </c>
      <c r="BE185" s="67">
        <f t="shared" si="1249"/>
        <v>1546.75</v>
      </c>
      <c r="BF185" s="67">
        <f t="shared" si="1249"/>
        <v>1534.575</v>
      </c>
      <c r="BG185" s="93">
        <f t="shared" si="1249"/>
        <v>1534.575</v>
      </c>
      <c r="BH185" s="126"/>
      <c r="BI185" s="82">
        <f t="shared" si="1250"/>
        <v>1466.7560000000001</v>
      </c>
      <c r="BJ185" s="67">
        <f t="shared" si="1250"/>
        <v>1560.1859999999999</v>
      </c>
      <c r="BK185" s="67">
        <f t="shared" si="1250"/>
        <v>1654.482</v>
      </c>
      <c r="BL185" s="67">
        <f t="shared" si="1250"/>
        <v>1665.287</v>
      </c>
      <c r="BM185" s="93">
        <f t="shared" si="1250"/>
        <v>1665.287</v>
      </c>
      <c r="BN185" s="126"/>
      <c r="BO185" s="82">
        <f t="shared" si="1251"/>
        <v>1632.4639999999999</v>
      </c>
      <c r="BP185" s="67">
        <f t="shared" si="1251"/>
        <v>1698.047</v>
      </c>
      <c r="BQ185" s="67">
        <f t="shared" si="1251"/>
        <v>1861.079</v>
      </c>
      <c r="BR185" s="67">
        <f t="shared" si="1251"/>
        <v>2048.1750000000002</v>
      </c>
      <c r="BS185" s="93">
        <f t="shared" si="1251"/>
        <v>2048.1750000000002</v>
      </c>
      <c r="BT185" s="126"/>
      <c r="BU185" s="82">
        <f t="shared" si="1252"/>
        <v>2025.796</v>
      </c>
      <c r="BV185" s="67">
        <f t="shared" si="1252"/>
        <v>2718.2510000000002</v>
      </c>
      <c r="BW185" s="67">
        <f t="shared" si="1252"/>
        <v>2574.0619999999999</v>
      </c>
      <c r="BX185" s="67">
        <f t="shared" si="1252"/>
        <v>2651.1979999999999</v>
      </c>
      <c r="BY185" s="93">
        <f t="shared" si="1252"/>
        <v>2651.1979999999999</v>
      </c>
      <c r="BZ185" s="126"/>
      <c r="CA185" s="82">
        <f t="shared" si="1253"/>
        <v>2383.4760000000001</v>
      </c>
      <c r="CB185" s="67">
        <f t="shared" si="1253"/>
        <v>2463.2330000000002</v>
      </c>
      <c r="CC185" s="67">
        <f t="shared" si="1253"/>
        <v>2386.9940000000001</v>
      </c>
      <c r="CD185" s="67">
        <f t="shared" si="1253"/>
        <v>2604.3000000000002</v>
      </c>
      <c r="CE185" s="93">
        <f t="shared" si="1253"/>
        <v>2604.3000000000002</v>
      </c>
      <c r="CF185" s="126"/>
      <c r="CG185" s="82">
        <f t="shared" si="1254"/>
        <v>2325</v>
      </c>
      <c r="CH185" s="67">
        <f t="shared" si="1254"/>
        <v>2457.1999999999998</v>
      </c>
      <c r="CI185" s="67">
        <f t="shared" si="1254"/>
        <v>2539.3000000000002</v>
      </c>
      <c r="CJ185" s="67">
        <f t="shared" si="1254"/>
        <v>2716.9</v>
      </c>
      <c r="CK185" s="93">
        <f t="shared" si="1254"/>
        <v>2716.9</v>
      </c>
      <c r="CL185" s="126"/>
      <c r="CM185" s="82">
        <f t="shared" si="1255"/>
        <v>2554.9</v>
      </c>
      <c r="CN185" s="67">
        <f t="shared" si="1255"/>
        <v>2622.9</v>
      </c>
      <c r="CO185" s="67">
        <f t="shared" si="1255"/>
        <v>2715.7</v>
      </c>
      <c r="CP185" s="67">
        <f t="shared" si="1255"/>
        <v>3449.5</v>
      </c>
      <c r="CQ185" s="93">
        <f t="shared" si="1255"/>
        <v>3449.5</v>
      </c>
      <c r="CR185" s="126"/>
      <c r="CS185" s="82">
        <f t="shared" si="1256"/>
        <v>3096.7</v>
      </c>
      <c r="CT185" s="67">
        <f t="shared" si="1256"/>
        <v>3201.4</v>
      </c>
      <c r="CU185" s="67">
        <f t="shared" si="1256"/>
        <v>3274.5</v>
      </c>
      <c r="CV185" s="67">
        <f t="shared" si="1256"/>
        <v>2609.4</v>
      </c>
      <c r="CW185" s="93">
        <f t="shared" si="1256"/>
        <v>2609.4</v>
      </c>
      <c r="CX185" s="126"/>
      <c r="CY185" s="82">
        <f t="shared" si="1257"/>
        <v>3205.5</v>
      </c>
      <c r="CZ185" s="67">
        <f t="shared" si="1257"/>
        <v>3388.2</v>
      </c>
      <c r="DA185" s="67">
        <f t="shared" si="1257"/>
        <v>2599.8000000000002</v>
      </c>
      <c r="DB185" s="67">
        <f t="shared" si="1257"/>
        <v>2794.2</v>
      </c>
      <c r="DC185" s="93">
        <f t="shared" si="1257"/>
        <v>2794.2</v>
      </c>
      <c r="DD185" s="126"/>
      <c r="DE185" s="82">
        <f t="shared" si="1258"/>
        <v>2379.9</v>
      </c>
      <c r="DF185" s="67">
        <f t="shared" si="1258"/>
        <v>2606.1</v>
      </c>
      <c r="DG185" s="67">
        <f t="shared" si="1258"/>
        <v>2703.5</v>
      </c>
      <c r="DH185" s="67">
        <f t="shared" si="1258"/>
        <v>3087.7</v>
      </c>
      <c r="DI185" s="93">
        <f t="shared" si="1258"/>
        <v>3087.7</v>
      </c>
      <c r="DJ185" s="126"/>
      <c r="DK185" s="82">
        <f t="shared" si="1259"/>
        <v>2749.4120000000003</v>
      </c>
      <c r="DL185" s="67">
        <f t="shared" si="1259"/>
        <v>2929.2692622978634</v>
      </c>
      <c r="DM185" s="67">
        <f t="shared" si="1259"/>
        <v>2849.4119518661291</v>
      </c>
      <c r="DN185" s="67">
        <f t="shared" si="1259"/>
        <v>3136.7206887638558</v>
      </c>
      <c r="DO185" s="93">
        <f t="shared" si="1259"/>
        <v>3136.7206887638558</v>
      </c>
      <c r="DP185" s="126"/>
      <c r="DQ185" s="82">
        <f t="shared" si="1260"/>
        <v>2828.6161665694826</v>
      </c>
      <c r="DR185" s="67">
        <f t="shared" si="1260"/>
        <v>3029.266037797925</v>
      </c>
      <c r="DS185" s="67">
        <f t="shared" si="1260"/>
        <v>2929.8575037904579</v>
      </c>
      <c r="DT185" s="67">
        <f t="shared" si="1260"/>
        <v>3234.6596798382438</v>
      </c>
      <c r="DU185" s="93">
        <f t="shared" si="1260"/>
        <v>3234.6596798382438</v>
      </c>
      <c r="DV185" s="126"/>
      <c r="DW185" s="82">
        <f t="shared" ref="DW185:EA185" si="1263">+DW33</f>
        <v>2908.6028722263686</v>
      </c>
      <c r="DX185" s="67">
        <f t="shared" si="1263"/>
        <v>3120.8854322861248</v>
      </c>
      <c r="DY185" s="67">
        <f t="shared" si="1263"/>
        <v>3017.4180590321212</v>
      </c>
      <c r="DZ185" s="67">
        <f t="shared" si="1263"/>
        <v>3341.5814193907004</v>
      </c>
      <c r="EA185" s="93">
        <f t="shared" si="1263"/>
        <v>3341.5814193907004</v>
      </c>
      <c r="EB185" s="126"/>
      <c r="EC185" s="82">
        <f t="shared" ref="EC185:EG185" si="1264">+EC33</f>
        <v>3000.8227463840435</v>
      </c>
      <c r="ED185" s="67">
        <f t="shared" si="1264"/>
        <v>3225.2475916370777</v>
      </c>
      <c r="EE185" s="67">
        <f t="shared" si="1264"/>
        <v>3117.6266839448599</v>
      </c>
      <c r="EF185" s="67">
        <f t="shared" si="1264"/>
        <v>3470.2416552375162</v>
      </c>
      <c r="EG185" s="93">
        <f t="shared" si="1264"/>
        <v>3470.2416552375162</v>
      </c>
      <c r="EH185" s="7"/>
      <c r="EI185" s="482"/>
      <c r="EJ185" s="7"/>
    </row>
    <row r="186" spans="1:140" ht="11.25" customHeight="1" x14ac:dyDescent="0.2">
      <c r="A186" s="51" t="s">
        <v>80</v>
      </c>
      <c r="B186" s="2"/>
      <c r="C186" s="2"/>
      <c r="D186" s="2"/>
      <c r="E186" s="93">
        <f>+E34</f>
        <v>0</v>
      </c>
      <c r="F186" s="126"/>
      <c r="G186" s="93">
        <f>+G34</f>
        <v>0</v>
      </c>
      <c r="H186" s="126"/>
      <c r="I186" s="93">
        <f>+I34</f>
        <v>0</v>
      </c>
      <c r="J186" s="126"/>
      <c r="K186" s="93">
        <f>+K34</f>
        <v>0</v>
      </c>
      <c r="L186" s="126"/>
      <c r="M186" s="82">
        <f t="shared" si="1242"/>
        <v>0</v>
      </c>
      <c r="N186" s="67">
        <f t="shared" si="1242"/>
        <v>0</v>
      </c>
      <c r="O186" s="67">
        <f t="shared" si="1242"/>
        <v>0</v>
      </c>
      <c r="P186" s="67">
        <f t="shared" si="1242"/>
        <v>0</v>
      </c>
      <c r="Q186" s="93">
        <f t="shared" si="1242"/>
        <v>0</v>
      </c>
      <c r="R186" s="126"/>
      <c r="S186" s="82">
        <f t="shared" si="1243"/>
        <v>0</v>
      </c>
      <c r="T186" s="67">
        <f t="shared" si="1243"/>
        <v>0</v>
      </c>
      <c r="U186" s="67">
        <f t="shared" si="1243"/>
        <v>0</v>
      </c>
      <c r="V186" s="67">
        <f t="shared" si="1243"/>
        <v>0</v>
      </c>
      <c r="W186" s="93">
        <f t="shared" si="1243"/>
        <v>0</v>
      </c>
      <c r="X186" s="126"/>
      <c r="Y186" s="82">
        <f t="shared" si="1244"/>
        <v>0</v>
      </c>
      <c r="Z186" s="67">
        <f t="shared" si="1244"/>
        <v>0</v>
      </c>
      <c r="AA186" s="67">
        <f t="shared" si="1244"/>
        <v>0</v>
      </c>
      <c r="AB186" s="67">
        <f t="shared" si="1244"/>
        <v>0</v>
      </c>
      <c r="AC186" s="93">
        <f t="shared" si="1244"/>
        <v>0</v>
      </c>
      <c r="AD186" s="126"/>
      <c r="AE186" s="82">
        <f t="shared" si="1245"/>
        <v>0</v>
      </c>
      <c r="AF186" s="67">
        <f t="shared" si="1245"/>
        <v>0</v>
      </c>
      <c r="AG186" s="67">
        <f t="shared" si="1245"/>
        <v>0</v>
      </c>
      <c r="AH186" s="67">
        <f t="shared" si="1245"/>
        <v>0</v>
      </c>
      <c r="AI186" s="93">
        <f t="shared" si="1245"/>
        <v>0</v>
      </c>
      <c r="AJ186" s="126"/>
      <c r="AK186" s="82">
        <f t="shared" si="1246"/>
        <v>0</v>
      </c>
      <c r="AL186" s="67">
        <f t="shared" si="1246"/>
        <v>0</v>
      </c>
      <c r="AM186" s="67">
        <f t="shared" si="1246"/>
        <v>0</v>
      </c>
      <c r="AN186" s="67">
        <f t="shared" si="1246"/>
        <v>0</v>
      </c>
      <c r="AO186" s="93">
        <f t="shared" si="1246"/>
        <v>0</v>
      </c>
      <c r="AP186" s="126"/>
      <c r="AQ186" s="82">
        <f t="shared" si="1247"/>
        <v>0</v>
      </c>
      <c r="AR186" s="67">
        <f t="shared" si="1247"/>
        <v>0</v>
      </c>
      <c r="AS186" s="67">
        <f t="shared" si="1247"/>
        <v>0</v>
      </c>
      <c r="AT186" s="67">
        <f t="shared" si="1247"/>
        <v>0</v>
      </c>
      <c r="AU186" s="93">
        <f t="shared" si="1247"/>
        <v>0</v>
      </c>
      <c r="AV186" s="126"/>
      <c r="AW186" s="82">
        <f t="shared" si="1248"/>
        <v>0</v>
      </c>
      <c r="AX186" s="67">
        <f t="shared" si="1248"/>
        <v>0</v>
      </c>
      <c r="AY186" s="67">
        <f t="shared" si="1248"/>
        <v>0</v>
      </c>
      <c r="AZ186" s="67">
        <f t="shared" si="1248"/>
        <v>0</v>
      </c>
      <c r="BA186" s="93">
        <f t="shared" si="1248"/>
        <v>0</v>
      </c>
      <c r="BB186" s="126"/>
      <c r="BC186" s="82">
        <f t="shared" si="1249"/>
        <v>0</v>
      </c>
      <c r="BD186" s="67">
        <f t="shared" si="1249"/>
        <v>0</v>
      </c>
      <c r="BE186" s="67">
        <f t="shared" si="1249"/>
        <v>0</v>
      </c>
      <c r="BF186" s="67">
        <f t="shared" si="1249"/>
        <v>0</v>
      </c>
      <c r="BG186" s="93">
        <f t="shared" si="1249"/>
        <v>0</v>
      </c>
      <c r="BH186" s="126"/>
      <c r="BI186" s="82">
        <f t="shared" si="1250"/>
        <v>0</v>
      </c>
      <c r="BJ186" s="67">
        <f t="shared" si="1250"/>
        <v>0</v>
      </c>
      <c r="BK186" s="67">
        <f t="shared" si="1250"/>
        <v>0</v>
      </c>
      <c r="BL186" s="67">
        <f t="shared" si="1250"/>
        <v>0</v>
      </c>
      <c r="BM186" s="93">
        <f t="shared" si="1250"/>
        <v>0</v>
      </c>
      <c r="BN186" s="126"/>
      <c r="BO186" s="82">
        <f t="shared" si="1251"/>
        <v>0</v>
      </c>
      <c r="BP186" s="67">
        <f t="shared" si="1251"/>
        <v>0</v>
      </c>
      <c r="BQ186" s="67">
        <f t="shared" si="1251"/>
        <v>0</v>
      </c>
      <c r="BR186" s="67">
        <f t="shared" si="1251"/>
        <v>0</v>
      </c>
      <c r="BS186" s="93">
        <f t="shared" si="1251"/>
        <v>0</v>
      </c>
      <c r="BT186" s="126"/>
      <c r="BU186" s="82">
        <f t="shared" si="1252"/>
        <v>0</v>
      </c>
      <c r="BV186" s="67">
        <f t="shared" si="1252"/>
        <v>0</v>
      </c>
      <c r="BW186" s="67">
        <f t="shared" si="1252"/>
        <v>0</v>
      </c>
      <c r="BX186" s="67">
        <f t="shared" si="1252"/>
        <v>0</v>
      </c>
      <c r="BY186" s="93">
        <f t="shared" si="1252"/>
        <v>0</v>
      </c>
      <c r="BZ186" s="126"/>
      <c r="CA186" s="82">
        <f t="shared" si="1253"/>
        <v>0</v>
      </c>
      <c r="CB186" s="67">
        <f t="shared" si="1253"/>
        <v>0</v>
      </c>
      <c r="CC186" s="67">
        <f t="shared" si="1253"/>
        <v>0</v>
      </c>
      <c r="CD186" s="67">
        <f t="shared" si="1253"/>
        <v>0</v>
      </c>
      <c r="CE186" s="93">
        <f t="shared" si="1253"/>
        <v>0</v>
      </c>
      <c r="CF186" s="126"/>
      <c r="CG186" s="82">
        <f t="shared" si="1254"/>
        <v>0</v>
      </c>
      <c r="CH186" s="67">
        <f t="shared" si="1254"/>
        <v>0</v>
      </c>
      <c r="CI186" s="67">
        <f t="shared" si="1254"/>
        <v>0</v>
      </c>
      <c r="CJ186" s="67">
        <f t="shared" si="1254"/>
        <v>0</v>
      </c>
      <c r="CK186" s="93">
        <f t="shared" si="1254"/>
        <v>0</v>
      </c>
      <c r="CL186" s="126"/>
      <c r="CM186" s="82">
        <f t="shared" si="1255"/>
        <v>0</v>
      </c>
      <c r="CN186" s="67">
        <f t="shared" si="1255"/>
        <v>0</v>
      </c>
      <c r="CO186" s="67">
        <f t="shared" si="1255"/>
        <v>0</v>
      </c>
      <c r="CP186" s="67">
        <f t="shared" si="1255"/>
        <v>0</v>
      </c>
      <c r="CQ186" s="93">
        <f t="shared" si="1255"/>
        <v>0</v>
      </c>
      <c r="CR186" s="126"/>
      <c r="CS186" s="82">
        <f t="shared" si="1256"/>
        <v>0</v>
      </c>
      <c r="CT186" s="67">
        <f t="shared" si="1256"/>
        <v>0</v>
      </c>
      <c r="CU186" s="67">
        <f t="shared" si="1256"/>
        <v>42.4</v>
      </c>
      <c r="CV186" s="67">
        <f t="shared" si="1256"/>
        <v>0</v>
      </c>
      <c r="CW186" s="93">
        <f t="shared" si="1256"/>
        <v>0</v>
      </c>
      <c r="CX186" s="126"/>
      <c r="CY186" s="82">
        <f t="shared" si="1257"/>
        <v>0</v>
      </c>
      <c r="CZ186" s="67">
        <f t="shared" si="1257"/>
        <v>0</v>
      </c>
      <c r="DA186" s="67">
        <f t="shared" si="1257"/>
        <v>0</v>
      </c>
      <c r="DB186" s="67">
        <f t="shared" si="1257"/>
        <v>0</v>
      </c>
      <c r="DC186" s="93">
        <f t="shared" si="1257"/>
        <v>0</v>
      </c>
      <c r="DD186" s="126"/>
      <c r="DE186" s="82">
        <f t="shared" si="1258"/>
        <v>0</v>
      </c>
      <c r="DF186" s="67">
        <f t="shared" si="1258"/>
        <v>0</v>
      </c>
      <c r="DG186" s="67">
        <f t="shared" si="1258"/>
        <v>0</v>
      </c>
      <c r="DH186" s="67">
        <f t="shared" si="1258"/>
        <v>0</v>
      </c>
      <c r="DI186" s="93">
        <f t="shared" si="1258"/>
        <v>0</v>
      </c>
      <c r="DJ186" s="126"/>
      <c r="DK186" s="82">
        <f t="shared" si="1259"/>
        <v>0</v>
      </c>
      <c r="DL186" s="67">
        <f t="shared" si="1259"/>
        <v>0</v>
      </c>
      <c r="DM186" s="67">
        <f t="shared" si="1259"/>
        <v>0</v>
      </c>
      <c r="DN186" s="67">
        <f t="shared" si="1259"/>
        <v>0</v>
      </c>
      <c r="DO186" s="93">
        <f t="shared" si="1259"/>
        <v>0</v>
      </c>
      <c r="DP186" s="126"/>
      <c r="DQ186" s="82">
        <f t="shared" si="1260"/>
        <v>0</v>
      </c>
      <c r="DR186" s="67">
        <f t="shared" si="1260"/>
        <v>0</v>
      </c>
      <c r="DS186" s="67">
        <f t="shared" si="1260"/>
        <v>0</v>
      </c>
      <c r="DT186" s="67">
        <f t="shared" si="1260"/>
        <v>0</v>
      </c>
      <c r="DU186" s="93">
        <f t="shared" si="1260"/>
        <v>0</v>
      </c>
      <c r="DV186" s="126"/>
      <c r="DW186" s="82">
        <f t="shared" ref="DW186:EA186" si="1265">+DW34</f>
        <v>0</v>
      </c>
      <c r="DX186" s="67">
        <f t="shared" si="1265"/>
        <v>0</v>
      </c>
      <c r="DY186" s="67">
        <f t="shared" si="1265"/>
        <v>0</v>
      </c>
      <c r="DZ186" s="67">
        <f t="shared" si="1265"/>
        <v>0</v>
      </c>
      <c r="EA186" s="93">
        <f t="shared" si="1265"/>
        <v>0</v>
      </c>
      <c r="EB186" s="126"/>
      <c r="EC186" s="82">
        <f t="shared" ref="EC186:EG186" si="1266">+EC34</f>
        <v>0</v>
      </c>
      <c r="ED186" s="67">
        <f t="shared" si="1266"/>
        <v>0</v>
      </c>
      <c r="EE186" s="67">
        <f t="shared" si="1266"/>
        <v>0</v>
      </c>
      <c r="EF186" s="67">
        <f t="shared" si="1266"/>
        <v>0</v>
      </c>
      <c r="EG186" s="93">
        <f t="shared" si="1266"/>
        <v>0</v>
      </c>
      <c r="EH186" s="7"/>
      <c r="EI186" s="482"/>
      <c r="EJ186" s="7"/>
    </row>
    <row r="187" spans="1:140" ht="11.25" customHeight="1" x14ac:dyDescent="0.2">
      <c r="A187" s="51" t="s">
        <v>27</v>
      </c>
      <c r="B187" s="2"/>
      <c r="C187" s="2"/>
      <c r="D187" s="2"/>
      <c r="E187" s="93">
        <f>+E40</f>
        <v>0</v>
      </c>
      <c r="F187" s="126"/>
      <c r="G187" s="93">
        <f>+G40</f>
        <v>0</v>
      </c>
      <c r="H187" s="126"/>
      <c r="I187" s="93">
        <f>+I40</f>
        <v>0</v>
      </c>
      <c r="J187" s="126"/>
      <c r="K187" s="93">
        <f>+K40</f>
        <v>0</v>
      </c>
      <c r="L187" s="126"/>
      <c r="M187" s="82">
        <f t="shared" ref="M187:Q188" si="1267">+M40</f>
        <v>0</v>
      </c>
      <c r="N187" s="67">
        <f t="shared" si="1267"/>
        <v>0</v>
      </c>
      <c r="O187" s="67">
        <f t="shared" si="1267"/>
        <v>0</v>
      </c>
      <c r="P187" s="67">
        <f t="shared" si="1267"/>
        <v>0</v>
      </c>
      <c r="Q187" s="93">
        <f t="shared" si="1267"/>
        <v>0</v>
      </c>
      <c r="R187" s="126"/>
      <c r="S187" s="82">
        <f t="shared" ref="S187:W188" si="1268">+S40</f>
        <v>0</v>
      </c>
      <c r="T187" s="67">
        <f t="shared" si="1268"/>
        <v>0</v>
      </c>
      <c r="U187" s="67">
        <f t="shared" si="1268"/>
        <v>0</v>
      </c>
      <c r="V187" s="67">
        <f t="shared" si="1268"/>
        <v>0</v>
      </c>
      <c r="W187" s="93">
        <f t="shared" si="1268"/>
        <v>0</v>
      </c>
      <c r="X187" s="126"/>
      <c r="Y187" s="82">
        <f t="shared" ref="Y187:AC188" si="1269">+Y40</f>
        <v>0</v>
      </c>
      <c r="Z187" s="67">
        <f t="shared" si="1269"/>
        <v>0</v>
      </c>
      <c r="AA187" s="67">
        <f t="shared" si="1269"/>
        <v>0</v>
      </c>
      <c r="AB187" s="67">
        <f t="shared" si="1269"/>
        <v>0</v>
      </c>
      <c r="AC187" s="93">
        <f t="shared" si="1269"/>
        <v>0</v>
      </c>
      <c r="AD187" s="126"/>
      <c r="AE187" s="82">
        <f t="shared" ref="AE187:AI188" si="1270">+AE40</f>
        <v>0</v>
      </c>
      <c r="AF187" s="67">
        <f t="shared" si="1270"/>
        <v>0</v>
      </c>
      <c r="AG187" s="67">
        <f t="shared" si="1270"/>
        <v>0</v>
      </c>
      <c r="AH187" s="67">
        <f t="shared" si="1270"/>
        <v>0</v>
      </c>
      <c r="AI187" s="93">
        <f t="shared" si="1270"/>
        <v>0</v>
      </c>
      <c r="AJ187" s="126"/>
      <c r="AK187" s="82">
        <f t="shared" ref="AK187:AO188" si="1271">+AK40</f>
        <v>0</v>
      </c>
      <c r="AL187" s="67">
        <f t="shared" si="1271"/>
        <v>0</v>
      </c>
      <c r="AM187" s="67">
        <f t="shared" si="1271"/>
        <v>0</v>
      </c>
      <c r="AN187" s="67">
        <f t="shared" si="1271"/>
        <v>0</v>
      </c>
      <c r="AO187" s="93">
        <f t="shared" si="1271"/>
        <v>0</v>
      </c>
      <c r="AP187" s="126"/>
      <c r="AQ187" s="82">
        <f t="shared" ref="AQ187:AU188" si="1272">+AQ40</f>
        <v>0</v>
      </c>
      <c r="AR187" s="67">
        <f t="shared" si="1272"/>
        <v>0</v>
      </c>
      <c r="AS187" s="67">
        <f t="shared" si="1272"/>
        <v>0</v>
      </c>
      <c r="AT187" s="67">
        <f t="shared" si="1272"/>
        <v>0</v>
      </c>
      <c r="AU187" s="93">
        <f t="shared" si="1272"/>
        <v>0</v>
      </c>
      <c r="AV187" s="126"/>
      <c r="AW187" s="82">
        <f t="shared" ref="AW187:BA188" si="1273">+AW40</f>
        <v>0</v>
      </c>
      <c r="AX187" s="67">
        <f t="shared" si="1273"/>
        <v>0</v>
      </c>
      <c r="AY187" s="67">
        <f t="shared" si="1273"/>
        <v>0</v>
      </c>
      <c r="AZ187" s="67">
        <f t="shared" si="1273"/>
        <v>0</v>
      </c>
      <c r="BA187" s="93">
        <f t="shared" si="1273"/>
        <v>0</v>
      </c>
      <c r="BB187" s="126"/>
      <c r="BC187" s="82">
        <f t="shared" ref="BC187:BG188" si="1274">+BC40</f>
        <v>0</v>
      </c>
      <c r="BD187" s="67">
        <f t="shared" si="1274"/>
        <v>0</v>
      </c>
      <c r="BE187" s="67">
        <f t="shared" si="1274"/>
        <v>0</v>
      </c>
      <c r="BF187" s="67">
        <f t="shared" si="1274"/>
        <v>0</v>
      </c>
      <c r="BG187" s="93">
        <f t="shared" si="1274"/>
        <v>0</v>
      </c>
      <c r="BH187" s="126"/>
      <c r="BI187" s="82">
        <f t="shared" ref="BI187:BM188" si="1275">+BI40</f>
        <v>0</v>
      </c>
      <c r="BJ187" s="67">
        <f t="shared" si="1275"/>
        <v>0</v>
      </c>
      <c r="BK187" s="67">
        <f t="shared" si="1275"/>
        <v>0</v>
      </c>
      <c r="BL187" s="67">
        <f t="shared" si="1275"/>
        <v>0</v>
      </c>
      <c r="BM187" s="93">
        <f t="shared" si="1275"/>
        <v>0</v>
      </c>
      <c r="BN187" s="126"/>
      <c r="BO187" s="82">
        <f t="shared" ref="BO187:BS188" si="1276">+BO40</f>
        <v>0</v>
      </c>
      <c r="BP187" s="67">
        <f t="shared" si="1276"/>
        <v>0</v>
      </c>
      <c r="BQ187" s="67">
        <f t="shared" si="1276"/>
        <v>0</v>
      </c>
      <c r="BR187" s="67">
        <f t="shared" si="1276"/>
        <v>0</v>
      </c>
      <c r="BS187" s="93">
        <f t="shared" si="1276"/>
        <v>0</v>
      </c>
      <c r="BT187" s="126"/>
      <c r="BU187" s="82">
        <f t="shared" ref="BU187:BY188" si="1277">+BU40</f>
        <v>0</v>
      </c>
      <c r="BV187" s="67">
        <f t="shared" si="1277"/>
        <v>0</v>
      </c>
      <c r="BW187" s="67">
        <f t="shared" si="1277"/>
        <v>0</v>
      </c>
      <c r="BX187" s="67">
        <f t="shared" si="1277"/>
        <v>0</v>
      </c>
      <c r="BY187" s="93">
        <f t="shared" si="1277"/>
        <v>0</v>
      </c>
      <c r="BZ187" s="126"/>
      <c r="CA187" s="82">
        <f t="shared" ref="CA187:CE188" si="1278">+CA40</f>
        <v>0</v>
      </c>
      <c r="CB187" s="67">
        <f t="shared" si="1278"/>
        <v>0</v>
      </c>
      <c r="CC187" s="67">
        <f t="shared" si="1278"/>
        <v>0</v>
      </c>
      <c r="CD187" s="67">
        <f t="shared" si="1278"/>
        <v>0</v>
      </c>
      <c r="CE187" s="93">
        <f t="shared" si="1278"/>
        <v>0</v>
      </c>
      <c r="CF187" s="126"/>
      <c r="CG187" s="82">
        <f t="shared" ref="CG187:CK188" si="1279">+CG40</f>
        <v>0</v>
      </c>
      <c r="CH187" s="67">
        <f t="shared" si="1279"/>
        <v>0</v>
      </c>
      <c r="CI187" s="67">
        <f t="shared" si="1279"/>
        <v>0</v>
      </c>
      <c r="CJ187" s="67">
        <f t="shared" si="1279"/>
        <v>0</v>
      </c>
      <c r="CK187" s="93">
        <f t="shared" si="1279"/>
        <v>0</v>
      </c>
      <c r="CL187" s="126"/>
      <c r="CM187" s="82">
        <f t="shared" ref="CM187:CQ188" si="1280">+CM40</f>
        <v>0</v>
      </c>
      <c r="CN187" s="67">
        <f t="shared" si="1280"/>
        <v>0</v>
      </c>
      <c r="CO187" s="67">
        <f t="shared" si="1280"/>
        <v>0</v>
      </c>
      <c r="CP187" s="67">
        <f t="shared" si="1280"/>
        <v>0</v>
      </c>
      <c r="CQ187" s="93">
        <f t="shared" si="1280"/>
        <v>0</v>
      </c>
      <c r="CR187" s="126"/>
      <c r="CS187" s="82">
        <f t="shared" ref="CS187:CW188" si="1281">+CS40</f>
        <v>0</v>
      </c>
      <c r="CT187" s="67">
        <f t="shared" si="1281"/>
        <v>0</v>
      </c>
      <c r="CU187" s="67">
        <f t="shared" si="1281"/>
        <v>0</v>
      </c>
      <c r="CV187" s="67">
        <f t="shared" si="1281"/>
        <v>0</v>
      </c>
      <c r="CW187" s="93">
        <f t="shared" si="1281"/>
        <v>0</v>
      </c>
      <c r="CX187" s="126"/>
      <c r="CY187" s="82">
        <f t="shared" ref="CY187:DC188" si="1282">+CY40</f>
        <v>0</v>
      </c>
      <c r="CZ187" s="67">
        <f t="shared" si="1282"/>
        <v>0</v>
      </c>
      <c r="DA187" s="67">
        <f t="shared" si="1282"/>
        <v>0</v>
      </c>
      <c r="DB187" s="67">
        <f t="shared" si="1282"/>
        <v>4489.1000000000004</v>
      </c>
      <c r="DC187" s="93">
        <f t="shared" si="1282"/>
        <v>4489.1000000000004</v>
      </c>
      <c r="DD187" s="126"/>
      <c r="DE187" s="82">
        <f t="shared" ref="DE187:DI188" si="1283">+DE40</f>
        <v>4510.1000000000004</v>
      </c>
      <c r="DF187" s="67">
        <f t="shared" si="1283"/>
        <v>4510.1000000000004</v>
      </c>
      <c r="DG187" s="67">
        <f t="shared" si="1283"/>
        <v>4510.1000000000004</v>
      </c>
      <c r="DH187" s="67">
        <f t="shared" si="1283"/>
        <v>3483.7</v>
      </c>
      <c r="DI187" s="93">
        <f t="shared" si="1283"/>
        <v>3483.7</v>
      </c>
      <c r="DJ187" s="126"/>
      <c r="DK187" s="82">
        <f t="shared" ref="DK187:DO188" si="1284">+DK40</f>
        <v>3756.3199999999997</v>
      </c>
      <c r="DL187" s="67">
        <f t="shared" si="1284"/>
        <v>3944.1540000000005</v>
      </c>
      <c r="DM187" s="67">
        <f t="shared" si="1284"/>
        <v>3880.4504000000002</v>
      </c>
      <c r="DN187" s="67">
        <f t="shared" si="1284"/>
        <v>3915.5770799999996</v>
      </c>
      <c r="DO187" s="93">
        <f t="shared" si="1284"/>
        <v>3915.5770799999996</v>
      </c>
      <c r="DP187" s="126"/>
      <c r="DQ187" s="82">
        <f t="shared" ref="DQ187:DU188" si="1285">+DQ40</f>
        <v>3950.5957050000006</v>
      </c>
      <c r="DR187" s="67">
        <f t="shared" si="1285"/>
        <v>4155.4297156800003</v>
      </c>
      <c r="DS187" s="67">
        <f t="shared" si="1285"/>
        <v>4053.0689863200009</v>
      </c>
      <c r="DT187" s="67">
        <f t="shared" si="1285"/>
        <v>4091.2415617400002</v>
      </c>
      <c r="DU187" s="93">
        <f t="shared" si="1285"/>
        <v>4091.2415617400002</v>
      </c>
      <c r="DV187" s="126"/>
      <c r="DW187" s="82">
        <f t="shared" ref="DW187:EA187" si="1286">+DW40</f>
        <v>4140.1300354900004</v>
      </c>
      <c r="DX187" s="67">
        <f t="shared" si="1286"/>
        <v>4354.8000803588002</v>
      </c>
      <c r="DY187" s="67">
        <f t="shared" si="1286"/>
        <v>4247.5701638572009</v>
      </c>
      <c r="DZ187" s="67">
        <f t="shared" si="1286"/>
        <v>4289.6651276206012</v>
      </c>
      <c r="EA187" s="93">
        <f t="shared" si="1286"/>
        <v>4289.6651276206012</v>
      </c>
      <c r="EB187" s="126"/>
      <c r="EC187" s="82">
        <f t="shared" ref="EC187:EG187" si="1287">+EC40</f>
        <v>4338.8218456108752</v>
      </c>
      <c r="ED187" s="67">
        <f t="shared" si="1287"/>
        <v>4563.8067894462893</v>
      </c>
      <c r="EE187" s="67">
        <f t="shared" si="1287"/>
        <v>4451.472852163155</v>
      </c>
      <c r="EF187" s="67">
        <f t="shared" si="1287"/>
        <v>4497.7555166641041</v>
      </c>
      <c r="EG187" s="93">
        <f t="shared" si="1287"/>
        <v>4497.7555166641041</v>
      </c>
      <c r="EH187" s="7"/>
      <c r="EI187" s="482"/>
      <c r="EJ187" s="7"/>
    </row>
    <row r="188" spans="1:140" ht="11.25" customHeight="1" x14ac:dyDescent="0.2">
      <c r="A188" s="51" t="s">
        <v>5</v>
      </c>
      <c r="B188" s="2"/>
      <c r="C188" s="2"/>
      <c r="D188" s="2"/>
      <c r="E188" s="93">
        <f>+E41</f>
        <v>301.25</v>
      </c>
      <c r="F188" s="126"/>
      <c r="G188" s="93">
        <f>+G41</f>
        <v>294.90699999999998</v>
      </c>
      <c r="H188" s="126"/>
      <c r="I188" s="93">
        <f>+I41</f>
        <v>288.49400000000003</v>
      </c>
      <c r="J188" s="126"/>
      <c r="K188" s="93">
        <f>+K41</f>
        <v>357.24900000000002</v>
      </c>
      <c r="L188" s="126"/>
      <c r="M188" s="82">
        <f t="shared" si="1267"/>
        <v>367.14499999999998</v>
      </c>
      <c r="N188" s="67">
        <f t="shared" si="1267"/>
        <v>425.78300000000002</v>
      </c>
      <c r="O188" s="67">
        <f t="shared" si="1267"/>
        <v>417.65600000000001</v>
      </c>
      <c r="P188" s="67">
        <f t="shared" si="1267"/>
        <v>455.27</v>
      </c>
      <c r="Q188" s="93">
        <f t="shared" si="1267"/>
        <v>455.27</v>
      </c>
      <c r="R188" s="126"/>
      <c r="S188" s="82">
        <f t="shared" si="1268"/>
        <v>469.83800000000002</v>
      </c>
      <c r="T188" s="67">
        <f t="shared" si="1268"/>
        <v>476.05599999999998</v>
      </c>
      <c r="U188" s="67">
        <f t="shared" si="1268"/>
        <v>494.54</v>
      </c>
      <c r="V188" s="67">
        <f t="shared" si="1268"/>
        <v>556.81200000000001</v>
      </c>
      <c r="W188" s="93">
        <f t="shared" si="1268"/>
        <v>556.81200000000001</v>
      </c>
      <c r="X188" s="126"/>
      <c r="Y188" s="82">
        <f t="shared" si="1269"/>
        <v>586.85599999999999</v>
      </c>
      <c r="Z188" s="67">
        <f t="shared" si="1269"/>
        <v>627.95600000000002</v>
      </c>
      <c r="AA188" s="67">
        <f t="shared" si="1269"/>
        <v>606.37</v>
      </c>
      <c r="AB188" s="67">
        <f t="shared" si="1269"/>
        <v>578.84</v>
      </c>
      <c r="AC188" s="93">
        <f t="shared" si="1269"/>
        <v>578.84</v>
      </c>
      <c r="AD188" s="126"/>
      <c r="AE188" s="82">
        <f t="shared" si="1270"/>
        <v>621.39499999999998</v>
      </c>
      <c r="AF188" s="67">
        <f t="shared" si="1270"/>
        <v>713.81799999999998</v>
      </c>
      <c r="AG188" s="67">
        <f t="shared" si="1270"/>
        <v>740.94399999999996</v>
      </c>
      <c r="AH188" s="67">
        <f t="shared" si="1270"/>
        <v>746.39</v>
      </c>
      <c r="AI188" s="93">
        <f t="shared" si="1270"/>
        <v>746.39</v>
      </c>
      <c r="AJ188" s="126"/>
      <c r="AK188" s="82">
        <f t="shared" si="1271"/>
        <v>749.30700000000002</v>
      </c>
      <c r="AL188" s="67">
        <f t="shared" si="1271"/>
        <v>701.11900000000003</v>
      </c>
      <c r="AM188" s="67">
        <f t="shared" si="1271"/>
        <v>893.71199999999999</v>
      </c>
      <c r="AN188" s="67">
        <f t="shared" si="1271"/>
        <v>956.40200000000004</v>
      </c>
      <c r="AO188" s="93">
        <f t="shared" si="1271"/>
        <v>956.40200000000004</v>
      </c>
      <c r="AP188" s="126"/>
      <c r="AQ188" s="82">
        <f t="shared" si="1272"/>
        <v>960.68899999999996</v>
      </c>
      <c r="AR188" s="67">
        <f t="shared" si="1272"/>
        <v>1132.9280000000001</v>
      </c>
      <c r="AS188" s="67">
        <f t="shared" si="1272"/>
        <v>1244.951</v>
      </c>
      <c r="AT188" s="67">
        <f t="shared" si="1272"/>
        <v>1337.0740000000001</v>
      </c>
      <c r="AU188" s="93">
        <f t="shared" si="1272"/>
        <v>1337.0740000000001</v>
      </c>
      <c r="AV188" s="126"/>
      <c r="AW188" s="82">
        <f t="shared" si="1273"/>
        <v>1648.146</v>
      </c>
      <c r="AX188" s="67">
        <f t="shared" si="1273"/>
        <v>1650.64</v>
      </c>
      <c r="AY188" s="67">
        <f t="shared" si="1273"/>
        <v>1702.423</v>
      </c>
      <c r="AZ188" s="67">
        <f t="shared" si="1273"/>
        <v>2024.2560000000001</v>
      </c>
      <c r="BA188" s="93">
        <f t="shared" si="1273"/>
        <v>2024.2560000000001</v>
      </c>
      <c r="BB188" s="126"/>
      <c r="BC188" s="82">
        <f t="shared" si="1274"/>
        <v>2092.8389999999999</v>
      </c>
      <c r="BD188" s="67">
        <f t="shared" si="1274"/>
        <v>2086.7559999999999</v>
      </c>
      <c r="BE188" s="67">
        <f t="shared" si="1274"/>
        <v>2045.491</v>
      </c>
      <c r="BF188" s="67">
        <f t="shared" si="1274"/>
        <v>2386.605</v>
      </c>
      <c r="BG188" s="93">
        <f t="shared" si="1274"/>
        <v>2386.605</v>
      </c>
      <c r="BH188" s="126"/>
      <c r="BI188" s="82">
        <f t="shared" si="1275"/>
        <v>2354.6129999999998</v>
      </c>
      <c r="BJ188" s="67">
        <f t="shared" si="1275"/>
        <v>2348.3510000000001</v>
      </c>
      <c r="BK188" s="67">
        <f t="shared" si="1275"/>
        <v>2373.5300000000002</v>
      </c>
      <c r="BL188" s="67">
        <f t="shared" si="1275"/>
        <v>2315.261</v>
      </c>
      <c r="BM188" s="93">
        <f t="shared" si="1275"/>
        <v>2315.261</v>
      </c>
      <c r="BN188" s="126"/>
      <c r="BO188" s="82">
        <f t="shared" si="1276"/>
        <v>2347.364</v>
      </c>
      <c r="BP188" s="67">
        <f t="shared" si="1276"/>
        <v>2274.08</v>
      </c>
      <c r="BQ188" s="67">
        <f t="shared" si="1276"/>
        <v>2424.2159999999999</v>
      </c>
      <c r="BR188" s="67">
        <f t="shared" si="1276"/>
        <v>2355.703</v>
      </c>
      <c r="BS188" s="93">
        <f t="shared" si="1276"/>
        <v>2355.703</v>
      </c>
      <c r="BT188" s="126"/>
      <c r="BU188" s="82">
        <f t="shared" si="1277"/>
        <v>2319.2979999999998</v>
      </c>
      <c r="BV188" s="67">
        <f t="shared" si="1277"/>
        <v>4151.63</v>
      </c>
      <c r="BW188" s="67">
        <f t="shared" si="1277"/>
        <v>4119.1719999999996</v>
      </c>
      <c r="BX188" s="67">
        <f t="shared" si="1277"/>
        <v>3598.8510000000001</v>
      </c>
      <c r="BY188" s="93">
        <f t="shared" si="1277"/>
        <v>3598.8510000000001</v>
      </c>
      <c r="BZ188" s="126"/>
      <c r="CA188" s="82">
        <f t="shared" si="1278"/>
        <v>3754.4749999999999</v>
      </c>
      <c r="CB188" s="67">
        <f t="shared" si="1278"/>
        <v>3925.538</v>
      </c>
      <c r="CC188" s="67">
        <f t="shared" si="1278"/>
        <v>4038.8069999999998</v>
      </c>
      <c r="CD188" s="67">
        <f t="shared" si="1278"/>
        <v>4363.3999999999996</v>
      </c>
      <c r="CE188" s="93">
        <f t="shared" si="1278"/>
        <v>4363.3999999999996</v>
      </c>
      <c r="CF188" s="126"/>
      <c r="CG188" s="82">
        <f t="shared" si="1279"/>
        <v>4404.3</v>
      </c>
      <c r="CH188" s="67">
        <f t="shared" si="1279"/>
        <v>4511</v>
      </c>
      <c r="CI188" s="67">
        <f t="shared" si="1279"/>
        <v>4625.5</v>
      </c>
      <c r="CJ188" s="67">
        <f t="shared" si="1279"/>
        <v>4226.7</v>
      </c>
      <c r="CK188" s="93">
        <f t="shared" si="1279"/>
        <v>4226.7</v>
      </c>
      <c r="CL188" s="126"/>
      <c r="CM188" s="82">
        <f t="shared" si="1280"/>
        <v>4286.5</v>
      </c>
      <c r="CN188" s="67">
        <f t="shared" si="1280"/>
        <v>4436.5</v>
      </c>
      <c r="CO188" s="67">
        <f t="shared" si="1280"/>
        <v>4290</v>
      </c>
      <c r="CP188" s="67">
        <f t="shared" si="1280"/>
        <v>4744</v>
      </c>
      <c r="CQ188" s="93">
        <f t="shared" si="1280"/>
        <v>4744</v>
      </c>
      <c r="CR188" s="126"/>
      <c r="CS188" s="82">
        <f t="shared" si="1281"/>
        <v>4675.1000000000004</v>
      </c>
      <c r="CT188" s="67">
        <f t="shared" si="1281"/>
        <v>4706.5</v>
      </c>
      <c r="CU188" s="67">
        <f t="shared" si="1281"/>
        <v>6375.8</v>
      </c>
      <c r="CV188" s="67">
        <f t="shared" si="1281"/>
        <v>5750</v>
      </c>
      <c r="CW188" s="93">
        <f t="shared" si="1281"/>
        <v>5750</v>
      </c>
      <c r="CX188" s="126"/>
      <c r="CY188" s="82">
        <f t="shared" si="1282"/>
        <v>6292.5</v>
      </c>
      <c r="CZ188" s="67">
        <f t="shared" si="1282"/>
        <v>6349.8</v>
      </c>
      <c r="DA188" s="67">
        <f t="shared" si="1282"/>
        <v>5766.6</v>
      </c>
      <c r="DB188" s="67">
        <f t="shared" si="1282"/>
        <v>1181.1999999999998</v>
      </c>
      <c r="DC188" s="93">
        <f t="shared" si="1282"/>
        <v>1181.1999999999998</v>
      </c>
      <c r="DD188" s="126"/>
      <c r="DE188" s="82">
        <f t="shared" si="1283"/>
        <v>1211.5</v>
      </c>
      <c r="DF188" s="67">
        <f t="shared" si="1283"/>
        <v>916.39999999999964</v>
      </c>
      <c r="DG188" s="67">
        <f t="shared" si="1283"/>
        <v>846.29999999999927</v>
      </c>
      <c r="DH188" s="67">
        <f t="shared" si="1283"/>
        <v>1677.4000000000005</v>
      </c>
      <c r="DI188" s="93">
        <f t="shared" si="1283"/>
        <v>1677.4000000000005</v>
      </c>
      <c r="DJ188" s="126"/>
      <c r="DK188" s="82">
        <f t="shared" si="1284"/>
        <v>1677.4000000000005</v>
      </c>
      <c r="DL188" s="67">
        <f t="shared" si="1284"/>
        <v>1677.4000000000005</v>
      </c>
      <c r="DM188" s="67">
        <f t="shared" si="1284"/>
        <v>1677.4000000000005</v>
      </c>
      <c r="DN188" s="67">
        <f t="shared" si="1284"/>
        <v>1677.4000000000005</v>
      </c>
      <c r="DO188" s="93">
        <f t="shared" si="1284"/>
        <v>1677.4000000000005</v>
      </c>
      <c r="DP188" s="126"/>
      <c r="DQ188" s="82">
        <f t="shared" si="1285"/>
        <v>1677.4000000000005</v>
      </c>
      <c r="DR188" s="67">
        <f t="shared" si="1285"/>
        <v>1677.4000000000005</v>
      </c>
      <c r="DS188" s="67">
        <f t="shared" si="1285"/>
        <v>1677.4000000000005</v>
      </c>
      <c r="DT188" s="67">
        <f t="shared" si="1285"/>
        <v>1677.4000000000005</v>
      </c>
      <c r="DU188" s="93">
        <f t="shared" si="1285"/>
        <v>1677.4000000000005</v>
      </c>
      <c r="DV188" s="126"/>
      <c r="DW188" s="82">
        <f t="shared" ref="DW188:EA188" si="1288">+DW41</f>
        <v>1677.4000000000005</v>
      </c>
      <c r="DX188" s="67">
        <f t="shared" si="1288"/>
        <v>1677.4000000000005</v>
      </c>
      <c r="DY188" s="67">
        <f t="shared" si="1288"/>
        <v>1677.4000000000005</v>
      </c>
      <c r="DZ188" s="67">
        <f t="shared" si="1288"/>
        <v>1677.4000000000005</v>
      </c>
      <c r="EA188" s="93">
        <f t="shared" si="1288"/>
        <v>1677.4000000000005</v>
      </c>
      <c r="EB188" s="126"/>
      <c r="EC188" s="82">
        <f t="shared" ref="EC188:EG188" si="1289">+EC41</f>
        <v>1677.4000000000005</v>
      </c>
      <c r="ED188" s="67">
        <f t="shared" si="1289"/>
        <v>1677.4000000000005</v>
      </c>
      <c r="EE188" s="67">
        <f t="shared" si="1289"/>
        <v>1677.4000000000005</v>
      </c>
      <c r="EF188" s="67">
        <f t="shared" si="1289"/>
        <v>1677.4000000000005</v>
      </c>
      <c r="EG188" s="93">
        <f t="shared" si="1289"/>
        <v>1677.4000000000005</v>
      </c>
      <c r="EH188" s="7"/>
      <c r="EI188" s="482"/>
      <c r="EJ188" s="7"/>
    </row>
    <row r="189" spans="1:140" ht="11.25" customHeight="1" x14ac:dyDescent="0.2">
      <c r="A189" s="50" t="s">
        <v>284</v>
      </c>
      <c r="B189" s="3"/>
      <c r="C189" s="3"/>
      <c r="D189" s="3"/>
      <c r="E189" s="163">
        <f>+SUM(E184:E188)</f>
        <v>845.63700000000006</v>
      </c>
      <c r="F189" s="166"/>
      <c r="G189" s="163">
        <f>+SUM(G184:G188)</f>
        <v>936.43200000000002</v>
      </c>
      <c r="H189" s="166"/>
      <c r="I189" s="163">
        <f>+SUM(I184:I188)</f>
        <v>963.68300000000011</v>
      </c>
      <c r="J189" s="166"/>
      <c r="K189" s="163">
        <f>+SUM(K184:K188)</f>
        <v>1294.1559999999999</v>
      </c>
      <c r="L189" s="166"/>
      <c r="M189" s="165">
        <f>+SUM(M184:M188)</f>
        <v>1291.1890000000001</v>
      </c>
      <c r="N189" s="164">
        <f>+SUM(N184:N188)</f>
        <v>1326.202</v>
      </c>
      <c r="O189" s="164">
        <f>+SUM(O184:O188)</f>
        <v>1315.502</v>
      </c>
      <c r="P189" s="164">
        <f>+SUM(P184:P188)</f>
        <v>1400.2080000000001</v>
      </c>
      <c r="Q189" s="163">
        <f>+SUM(Q184:Q188)</f>
        <v>1400.2080000000001</v>
      </c>
      <c r="R189" s="166"/>
      <c r="S189" s="165">
        <f>+SUM(S184:S188)</f>
        <v>1630.82</v>
      </c>
      <c r="T189" s="164">
        <f>+SUM(T184:T188)</f>
        <v>1685.53</v>
      </c>
      <c r="U189" s="164">
        <f>+SUM(U184:U188)</f>
        <v>1757.336</v>
      </c>
      <c r="V189" s="164">
        <f>+SUM(V184:V188)</f>
        <v>1709.5819999999999</v>
      </c>
      <c r="W189" s="163">
        <f>+SUM(W184:W188)</f>
        <v>1709.5819999999999</v>
      </c>
      <c r="X189" s="166"/>
      <c r="Y189" s="165">
        <f>+SUM(Y184:Y188)</f>
        <v>1803.202</v>
      </c>
      <c r="Z189" s="164">
        <f>+SUM(Z184:Z188)</f>
        <v>1864.0250000000001</v>
      </c>
      <c r="AA189" s="164">
        <f>+SUM(AA184:AA188)</f>
        <v>1873.7509999999997</v>
      </c>
      <c r="AB189" s="164">
        <f>+SUM(AB184:AB188)</f>
        <v>1944.4580000000001</v>
      </c>
      <c r="AC189" s="163">
        <f>+SUM(AC184:AC188)</f>
        <v>1944.4580000000001</v>
      </c>
      <c r="AD189" s="166"/>
      <c r="AE189" s="165">
        <f>+SUM(AE184:AE188)</f>
        <v>2161.2290000000003</v>
      </c>
      <c r="AF189" s="164">
        <f>+SUM(AF184:AF188)</f>
        <v>2399.1790000000001</v>
      </c>
      <c r="AG189" s="164">
        <f>+SUM(AG184:AG188)</f>
        <v>2429.65</v>
      </c>
      <c r="AH189" s="164">
        <f>+SUM(AH184:AH188)</f>
        <v>2523.913</v>
      </c>
      <c r="AI189" s="163">
        <f>+SUM(AI184:AI188)</f>
        <v>2523.913</v>
      </c>
      <c r="AJ189" s="166"/>
      <c r="AK189" s="165">
        <f>+SUM(AK184:AK188)</f>
        <v>2559.8429999999998</v>
      </c>
      <c r="AL189" s="164">
        <f>+SUM(AL184:AL188)</f>
        <v>2561.6010000000001</v>
      </c>
      <c r="AM189" s="164">
        <f>+SUM(AM184:AM188)</f>
        <v>2974.47</v>
      </c>
      <c r="AN189" s="164">
        <f>+SUM(AN184:AN188)</f>
        <v>3041.0370000000003</v>
      </c>
      <c r="AO189" s="163">
        <f>+SUM(AO184:AO188)</f>
        <v>3041.0370000000003</v>
      </c>
      <c r="AP189" s="166"/>
      <c r="AQ189" s="165">
        <f>+SUM(AQ184:AQ188)</f>
        <v>3109.308</v>
      </c>
      <c r="AR189" s="164">
        <f>+SUM(AR184:AR188)</f>
        <v>3389.6800000000003</v>
      </c>
      <c r="AS189" s="164">
        <f>+SUM(AS184:AS188)</f>
        <v>3595.8159999999998</v>
      </c>
      <c r="AT189" s="164">
        <f>+SUM(AT184:AT188)</f>
        <v>3785.7750000000001</v>
      </c>
      <c r="AU189" s="163">
        <f>+SUM(AU184:AU188)</f>
        <v>3785.7750000000001</v>
      </c>
      <c r="AV189" s="166"/>
      <c r="AW189" s="165">
        <f>+SUM(AW184:AW188)</f>
        <v>3716.1310000000003</v>
      </c>
      <c r="AX189" s="164">
        <f>+SUM(AX184:AX188)</f>
        <v>3654.0590000000002</v>
      </c>
      <c r="AY189" s="164">
        <f>+SUM(AY184:AY188)</f>
        <v>3774.4809999999998</v>
      </c>
      <c r="AZ189" s="164">
        <f>+SUM(AZ184:AZ188)</f>
        <v>4508.6289999999999</v>
      </c>
      <c r="BA189" s="163">
        <f>+SUM(BA184:BA188)</f>
        <v>4508.6289999999999</v>
      </c>
      <c r="BB189" s="166"/>
      <c r="BC189" s="165">
        <f>+SUM(BC184:BC188)</f>
        <v>4773.1610000000001</v>
      </c>
      <c r="BD189" s="164">
        <f>+SUM(BD184:BD188)</f>
        <v>4867.6299999999992</v>
      </c>
      <c r="BE189" s="164">
        <f>+SUM(BE184:BE188)</f>
        <v>4740.7290000000003</v>
      </c>
      <c r="BF189" s="164">
        <f>+SUM(BF184:BF188)</f>
        <v>5030.1409999999996</v>
      </c>
      <c r="BG189" s="163">
        <f>+SUM(BG184:BG188)</f>
        <v>5030.1409999999996</v>
      </c>
      <c r="BH189" s="166"/>
      <c r="BI189" s="165">
        <f>+SUM(BI184:BI188)</f>
        <v>4752.1880000000001</v>
      </c>
      <c r="BJ189" s="164">
        <f>+SUM(BJ184:BJ188)</f>
        <v>4815.0789999999997</v>
      </c>
      <c r="BK189" s="164">
        <f>+SUM(BK184:BK188)</f>
        <v>5001.1669999999995</v>
      </c>
      <c r="BL189" s="164">
        <f>+SUM(BL184:BL188)</f>
        <v>5032.0349999999999</v>
      </c>
      <c r="BM189" s="163">
        <f>+SUM(BM184:BM188)</f>
        <v>5032.0349999999999</v>
      </c>
      <c r="BN189" s="166"/>
      <c r="BO189" s="165">
        <f>+SUM(BO184:BO188)</f>
        <v>5141.6190000000006</v>
      </c>
      <c r="BP189" s="164">
        <f>+SUM(BP184:BP188)</f>
        <v>5196.0169999999998</v>
      </c>
      <c r="BQ189" s="164">
        <f>+SUM(BQ184:BQ188)</f>
        <v>5464.16</v>
      </c>
      <c r="BR189" s="164">
        <f>+SUM(BR184:BR188)</f>
        <v>5619.6959999999999</v>
      </c>
      <c r="BS189" s="163">
        <f>+SUM(BS184:BS188)</f>
        <v>5619.6959999999999</v>
      </c>
      <c r="BT189" s="166"/>
      <c r="BU189" s="165">
        <f>+SUM(BU184:BU188)</f>
        <v>5584.2309999999998</v>
      </c>
      <c r="BV189" s="164">
        <f>+SUM(BV184:BV188)</f>
        <v>8384.9940000000006</v>
      </c>
      <c r="BW189" s="164">
        <f>+SUM(BW184:BW188)</f>
        <v>8160.5829999999996</v>
      </c>
      <c r="BX189" s="164">
        <f>+SUM(BX184:BX188)</f>
        <v>7672.4870000000001</v>
      </c>
      <c r="BY189" s="163">
        <f>+SUM(BY184:BY188)</f>
        <v>7672.4870000000001</v>
      </c>
      <c r="BZ189" s="166"/>
      <c r="CA189" s="165">
        <f>+SUM(CA184:CA188)</f>
        <v>7603.933</v>
      </c>
      <c r="CB189" s="164">
        <f>+SUM(CB184:CB188)</f>
        <v>7899.8320000000003</v>
      </c>
      <c r="CC189" s="164">
        <f>+SUM(CC184:CC188)</f>
        <v>7918.433</v>
      </c>
      <c r="CD189" s="164">
        <f>+SUM(CD184:CD188)</f>
        <v>8514</v>
      </c>
      <c r="CE189" s="163">
        <f>+SUM(CE184:CE188)</f>
        <v>8514</v>
      </c>
      <c r="CF189" s="166"/>
      <c r="CG189" s="165">
        <f>+SUM(CG184:CG188)</f>
        <v>8263.7999999999993</v>
      </c>
      <c r="CH189" s="164">
        <f>+SUM(CH184:CH188)</f>
        <v>8589.6</v>
      </c>
      <c r="CI189" s="164">
        <f>+SUM(CI184:CI188)</f>
        <v>8848.4</v>
      </c>
      <c r="CJ189" s="164">
        <f>+SUM(CJ184:CJ188)</f>
        <v>8721.7999999999993</v>
      </c>
      <c r="CK189" s="163">
        <f>+SUM(CK184:CK188)</f>
        <v>8721.7999999999993</v>
      </c>
      <c r="CL189" s="166"/>
      <c r="CM189" s="165">
        <f>+SUM(CM184:CM188)</f>
        <v>8526.7999999999993</v>
      </c>
      <c r="CN189" s="164">
        <f>+SUM(CN184:CN188)</f>
        <v>8794.2000000000007</v>
      </c>
      <c r="CO189" s="164">
        <f>+SUM(CO184:CO188)</f>
        <v>8689.7000000000007</v>
      </c>
      <c r="CP189" s="164">
        <f>+SUM(CP184:CP188)</f>
        <v>10068.5</v>
      </c>
      <c r="CQ189" s="163">
        <f>+SUM(CQ184:CQ188)</f>
        <v>10068.5</v>
      </c>
      <c r="CR189" s="166"/>
      <c r="CS189" s="165">
        <f>+SUM(CS184:CS188)</f>
        <v>9504.1</v>
      </c>
      <c r="CT189" s="164">
        <f>+SUM(CT184:CT188)</f>
        <v>9652</v>
      </c>
      <c r="CU189" s="164">
        <f>+SUM(CU184:CU188)</f>
        <v>11512.099999999999</v>
      </c>
      <c r="CV189" s="164">
        <f>+SUM(CV184:CV188)</f>
        <v>9751.2999999999993</v>
      </c>
      <c r="CW189" s="163">
        <f>+SUM(CW184:CW188)</f>
        <v>9751.2999999999993</v>
      </c>
      <c r="CX189" s="166"/>
      <c r="CY189" s="165">
        <f>+SUM(CY184:CY188)</f>
        <v>11416.8</v>
      </c>
      <c r="CZ189" s="164">
        <f>+SUM(CZ184:CZ188)</f>
        <v>11731.2</v>
      </c>
      <c r="DA189" s="164">
        <f>+SUM(DA184:DA188)</f>
        <v>9720.9000000000015</v>
      </c>
      <c r="DB189" s="164">
        <f>+SUM(DB184:DB188)</f>
        <v>9949.5</v>
      </c>
      <c r="DC189" s="163">
        <f>+SUM(DC184:DC188)</f>
        <v>9949.5</v>
      </c>
      <c r="DD189" s="166"/>
      <c r="DE189" s="165">
        <f>+SUM(DE184:DE188)</f>
        <v>9503.7000000000007</v>
      </c>
      <c r="DF189" s="164">
        <f>+SUM(DF184:DF188)</f>
        <v>9459.6</v>
      </c>
      <c r="DG189" s="164">
        <f>+SUM(DG184:DG188)</f>
        <v>9561.7000000000007</v>
      </c>
      <c r="DH189" s="164">
        <f>+SUM(DH184:DH188)</f>
        <v>9758.7000000000007</v>
      </c>
      <c r="DI189" s="163">
        <f>+SUM(DI184:DI188)</f>
        <v>9758.7000000000007</v>
      </c>
      <c r="DJ189" s="166"/>
      <c r="DK189" s="165">
        <f>+SUM(DK184:DK188)</f>
        <v>9578.3559999999998</v>
      </c>
      <c r="DL189" s="164">
        <f>+SUM(DL184:DL188)</f>
        <v>10037.318111822155</v>
      </c>
      <c r="DM189" s="164">
        <f>+SUM(DM184:DM188)</f>
        <v>9853.2325960967028</v>
      </c>
      <c r="DN189" s="164">
        <f>+SUM(DN184:DN188)</f>
        <v>10321.466476494767</v>
      </c>
      <c r="DO189" s="163">
        <f>+SUM(DO184:DO188)</f>
        <v>10321.466476494767</v>
      </c>
      <c r="DP189" s="166"/>
      <c r="DQ189" s="165">
        <f>+SUM(DQ184:DQ188)</f>
        <v>9892.0290307241485</v>
      </c>
      <c r="DR189" s="164">
        <f>+SUM(DR184:DR188)</f>
        <v>10399.33523534553</v>
      </c>
      <c r="DS189" s="164">
        <f>+SUM(DS184:DS188)</f>
        <v>10147.119850242929</v>
      </c>
      <c r="DT189" s="164">
        <f>+SUM(DT184:DT188)</f>
        <v>10644.770332839442</v>
      </c>
      <c r="DU189" s="163">
        <f>+SUM(DU184:DU188)</f>
        <v>10644.770332839442</v>
      </c>
      <c r="DV189" s="166"/>
      <c r="DW189" s="165">
        <f>+SUM(DW184:DW188)</f>
        <v>10202.140335413333</v>
      </c>
      <c r="DX189" s="164">
        <f>+SUM(DX184:DX188)</f>
        <v>10736.81841858117</v>
      </c>
      <c r="DY189" s="164">
        <f>+SUM(DY184:DY188)</f>
        <v>10473.61529762204</v>
      </c>
      <c r="DZ189" s="164">
        <f>+SUM(DZ184:DZ188)</f>
        <v>11004.374431478223</v>
      </c>
      <c r="EA189" s="163">
        <f>+SUM(EA184:EA188)</f>
        <v>11004.374431478223</v>
      </c>
      <c r="EB189" s="166"/>
      <c r="EC189" s="165">
        <f t="shared" ref="EC189:EG189" si="1290">+SUM(EC184:EC188)</f>
        <v>10539.850164786822</v>
      </c>
      <c r="ED189" s="164">
        <f t="shared" si="1290"/>
        <v>11103.147188779796</v>
      </c>
      <c r="EE189" s="164">
        <f t="shared" si="1290"/>
        <v>10828.578748856155</v>
      </c>
      <c r="EF189" s="164">
        <f t="shared" si="1290"/>
        <v>11406.415325305734</v>
      </c>
      <c r="EG189" s="163">
        <f t="shared" si="1290"/>
        <v>11406.415325305734</v>
      </c>
      <c r="EH189" s="7"/>
      <c r="EI189" s="482"/>
      <c r="EJ189" s="7"/>
    </row>
    <row r="190" spans="1:140" ht="11.25" customHeight="1" x14ac:dyDescent="0.2">
      <c r="A190" s="51"/>
      <c r="B190" s="2"/>
      <c r="C190" s="2"/>
      <c r="D190" s="2"/>
      <c r="E190" s="93"/>
      <c r="F190" s="126"/>
      <c r="G190" s="93"/>
      <c r="H190" s="126"/>
      <c r="I190" s="93"/>
      <c r="J190" s="126"/>
      <c r="K190" s="93"/>
      <c r="L190" s="126"/>
      <c r="M190" s="82"/>
      <c r="N190" s="67"/>
      <c r="O190" s="67"/>
      <c r="P190" s="67"/>
      <c r="Q190" s="93"/>
      <c r="R190" s="126"/>
      <c r="S190" s="82"/>
      <c r="T190" s="67"/>
      <c r="U190" s="67"/>
      <c r="V190" s="67"/>
      <c r="W190" s="93"/>
      <c r="X190" s="126"/>
      <c r="Y190" s="82"/>
      <c r="Z190" s="67"/>
      <c r="AA190" s="67"/>
      <c r="AB190" s="67"/>
      <c r="AC190" s="93"/>
      <c r="AD190" s="126"/>
      <c r="AE190" s="82"/>
      <c r="AF190" s="67"/>
      <c r="AG190" s="67"/>
      <c r="AH190" s="67"/>
      <c r="AI190" s="93"/>
      <c r="AJ190" s="126"/>
      <c r="AK190" s="82"/>
      <c r="AL190" s="67"/>
      <c r="AM190" s="67"/>
      <c r="AN190" s="67"/>
      <c r="AO190" s="93"/>
      <c r="AP190" s="126"/>
      <c r="AQ190" s="82"/>
      <c r="AR190" s="67"/>
      <c r="AS190" s="67"/>
      <c r="AT190" s="67"/>
      <c r="AU190" s="93"/>
      <c r="AV190" s="126"/>
      <c r="AW190" s="82"/>
      <c r="AX190" s="67"/>
      <c r="AY190" s="67"/>
      <c r="AZ190" s="67"/>
      <c r="BA190" s="93"/>
      <c r="BB190" s="126"/>
      <c r="BC190" s="82"/>
      <c r="BD190" s="67"/>
      <c r="BE190" s="67"/>
      <c r="BF190" s="67"/>
      <c r="BG190" s="93"/>
      <c r="BH190" s="126"/>
      <c r="BI190" s="82"/>
      <c r="BJ190" s="67"/>
      <c r="BK190" s="67"/>
      <c r="BL190" s="67"/>
      <c r="BM190" s="93"/>
      <c r="BN190" s="126"/>
      <c r="BO190" s="82"/>
      <c r="BP190" s="67"/>
      <c r="BQ190" s="67"/>
      <c r="BR190" s="67"/>
      <c r="BS190" s="93"/>
      <c r="BT190" s="126"/>
      <c r="BU190" s="82"/>
      <c r="BV190" s="67"/>
      <c r="BW190" s="67"/>
      <c r="BX190" s="67"/>
      <c r="BY190" s="93"/>
      <c r="BZ190" s="126"/>
      <c r="CA190" s="82"/>
      <c r="CB190" s="67"/>
      <c r="CC190" s="67"/>
      <c r="CD190" s="67"/>
      <c r="CE190" s="93"/>
      <c r="CF190" s="126"/>
      <c r="CG190" s="82"/>
      <c r="CH190" s="67"/>
      <c r="CI190" s="67"/>
      <c r="CJ190" s="67"/>
      <c r="CK190" s="93"/>
      <c r="CL190" s="126"/>
      <c r="CM190" s="82"/>
      <c r="CN190" s="67"/>
      <c r="CO190" s="67"/>
      <c r="CP190" s="67"/>
      <c r="CQ190" s="93"/>
      <c r="CR190" s="126"/>
      <c r="CS190" s="82"/>
      <c r="CT190" s="67"/>
      <c r="CU190" s="67"/>
      <c r="CV190" s="67"/>
      <c r="CW190" s="93"/>
      <c r="CX190" s="126"/>
      <c r="CY190" s="82"/>
      <c r="CZ190" s="67"/>
      <c r="DA190" s="67"/>
      <c r="DB190" s="67"/>
      <c r="DC190" s="93"/>
      <c r="DD190" s="126"/>
      <c r="DE190" s="82"/>
      <c r="DF190" s="67"/>
      <c r="DG190" s="67"/>
      <c r="DH190" s="67"/>
      <c r="DI190" s="93"/>
      <c r="DJ190" s="126"/>
      <c r="DK190" s="82"/>
      <c r="DL190" s="67"/>
      <c r="DM190" s="67"/>
      <c r="DN190" s="67"/>
      <c r="DO190" s="93"/>
      <c r="DP190" s="126"/>
      <c r="DQ190" s="82"/>
      <c r="DR190" s="67"/>
      <c r="DS190" s="67"/>
      <c r="DT190" s="67"/>
      <c r="DU190" s="93"/>
      <c r="DV190" s="126"/>
      <c r="DW190" s="82"/>
      <c r="DX190" s="67"/>
      <c r="DY190" s="67"/>
      <c r="DZ190" s="67"/>
      <c r="EA190" s="93"/>
      <c r="EB190" s="126"/>
      <c r="EC190" s="82"/>
      <c r="ED190" s="67"/>
      <c r="EE190" s="67"/>
      <c r="EF190" s="67"/>
      <c r="EG190" s="93"/>
      <c r="EH190" s="7"/>
      <c r="EI190" s="482"/>
      <c r="EJ190" s="7"/>
    </row>
    <row r="191" spans="1:140" ht="11.25" customHeight="1" x14ac:dyDescent="0.2">
      <c r="A191" s="50" t="s">
        <v>285</v>
      </c>
      <c r="B191" s="3"/>
      <c r="C191" s="3"/>
      <c r="D191" s="3"/>
      <c r="E191" s="163">
        <f>+E182-E189</f>
        <v>1267.4169999999999</v>
      </c>
      <c r="F191" s="166"/>
      <c r="G191" s="163">
        <f>+G182-G189</f>
        <v>1856.6289999999997</v>
      </c>
      <c r="H191" s="166"/>
      <c r="I191" s="163">
        <f>+I182-I189</f>
        <v>1823.107</v>
      </c>
      <c r="J191" s="166"/>
      <c r="K191" s="163">
        <f>+K182-K189</f>
        <v>2560.5990000000002</v>
      </c>
      <c r="L191" s="166"/>
      <c r="M191" s="165">
        <f>+M182-M189</f>
        <v>2548.9589999999998</v>
      </c>
      <c r="N191" s="164">
        <f>+N182-N189</f>
        <v>2618.3829999999998</v>
      </c>
      <c r="O191" s="164">
        <f>+O182-O189</f>
        <v>2753.0440000000003</v>
      </c>
      <c r="P191" s="164">
        <f>+P182-P189</f>
        <v>2713.7159999999999</v>
      </c>
      <c r="Q191" s="163">
        <f>+Q182-Q189</f>
        <v>2713.7159999999999</v>
      </c>
      <c r="R191" s="166"/>
      <c r="S191" s="165">
        <f>+S182-S189</f>
        <v>3231.24</v>
      </c>
      <c r="T191" s="164">
        <f>+T182-T189</f>
        <v>3254.1960000000008</v>
      </c>
      <c r="U191" s="164">
        <f>+U182-U189</f>
        <v>3334.2869999999994</v>
      </c>
      <c r="V191" s="164">
        <f>+V182-V189</f>
        <v>3509.1</v>
      </c>
      <c r="W191" s="163">
        <f>+W182-W189</f>
        <v>3509.1</v>
      </c>
      <c r="X191" s="166"/>
      <c r="Y191" s="165">
        <f>+Y182-Y189</f>
        <v>3577.8769999999995</v>
      </c>
      <c r="Z191" s="164">
        <f>+Z182-Z189</f>
        <v>3532.6649999999995</v>
      </c>
      <c r="AA191" s="164">
        <f>+AA182-AA189</f>
        <v>3611.7440000000011</v>
      </c>
      <c r="AB191" s="164">
        <f>+AB182-AB189</f>
        <v>3715.4360000000001</v>
      </c>
      <c r="AC191" s="163">
        <f>+AC182-AC189</f>
        <v>3715.4360000000001</v>
      </c>
      <c r="AD191" s="166"/>
      <c r="AE191" s="165">
        <f>+AE182-AE189</f>
        <v>796.15399999999954</v>
      </c>
      <c r="AF191" s="164">
        <f>+AF182-AF189</f>
        <v>1124.1830000000004</v>
      </c>
      <c r="AG191" s="164">
        <f>+AG182-AG189</f>
        <v>1175.1780000000003</v>
      </c>
      <c r="AH191" s="164">
        <f>+AH182-AH189</f>
        <v>1290.3330000000001</v>
      </c>
      <c r="AI191" s="163">
        <f>+AI182-AI189</f>
        <v>1290.3330000000001</v>
      </c>
      <c r="AJ191" s="166"/>
      <c r="AK191" s="165">
        <f>+AK182-AK189</f>
        <v>1291.7349999999997</v>
      </c>
      <c r="AL191" s="164">
        <f>+AL182-AL189</f>
        <v>1243.5989999999997</v>
      </c>
      <c r="AM191" s="164">
        <f>+AM182-AM189</f>
        <v>1298.288</v>
      </c>
      <c r="AN191" s="164">
        <f>+AN182-AN189</f>
        <v>1331.5299999999997</v>
      </c>
      <c r="AO191" s="163">
        <f>+AO182-AO189</f>
        <v>1331.5299999999997</v>
      </c>
      <c r="AP191" s="166"/>
      <c r="AQ191" s="165">
        <f>+AQ182-AQ189</f>
        <v>1422.7349999999997</v>
      </c>
      <c r="AR191" s="164">
        <f>+AR182-AR189</f>
        <v>1876.4839999999995</v>
      </c>
      <c r="AS191" s="164">
        <f>+AS182-AS189</f>
        <v>2005.5880000000006</v>
      </c>
      <c r="AT191" s="164">
        <f>+AT182-AT189</f>
        <v>2164.4430000000007</v>
      </c>
      <c r="AU191" s="163">
        <f>+AU182-AU189</f>
        <v>2164.4430000000007</v>
      </c>
      <c r="AV191" s="166"/>
      <c r="AW191" s="165">
        <f>+AW182-AW189</f>
        <v>2318.5739999999996</v>
      </c>
      <c r="AX191" s="164">
        <f>+AX182-AX189</f>
        <v>2438.6749999999993</v>
      </c>
      <c r="AY191" s="164">
        <f>+AY182-AY189</f>
        <v>2454.5790000000006</v>
      </c>
      <c r="AZ191" s="164">
        <f>+AZ182-AZ189</f>
        <v>3331.8130000000001</v>
      </c>
      <c r="BA191" s="163">
        <f>+BA182-BA189</f>
        <v>3331.8130000000001</v>
      </c>
      <c r="BB191" s="166"/>
      <c r="BC191" s="165">
        <f>+BC182-BC189</f>
        <v>3365.1729999999989</v>
      </c>
      <c r="BD191" s="164">
        <f>+BD182-BD189</f>
        <v>3379.4130000000005</v>
      </c>
      <c r="BE191" s="164">
        <f>+BE182-BE189</f>
        <v>3326.7140000000009</v>
      </c>
      <c r="BF191" s="164">
        <f>+BF182-BF189</f>
        <v>2824.4560000000001</v>
      </c>
      <c r="BG191" s="163">
        <f>+BG182-BG189</f>
        <v>2824.4560000000001</v>
      </c>
      <c r="BH191" s="166"/>
      <c r="BI191" s="165">
        <f>+BI182-BI189</f>
        <v>2821.9310000000005</v>
      </c>
      <c r="BJ191" s="164">
        <f>+BJ182-BJ189</f>
        <v>2891.228000000001</v>
      </c>
      <c r="BK191" s="164">
        <f>+BK182-BK189</f>
        <v>2891.0610000000015</v>
      </c>
      <c r="BL191" s="164">
        <f>+BL182-BL189</f>
        <v>3023.5419999999995</v>
      </c>
      <c r="BM191" s="163">
        <f>+BM182-BM189</f>
        <v>3023.5419999999995</v>
      </c>
      <c r="BN191" s="166"/>
      <c r="BO191" s="165">
        <f>+BO182-BO189</f>
        <v>3580.8189999999995</v>
      </c>
      <c r="BP191" s="164">
        <f>+BP182-BP189</f>
        <v>3419.4629999999997</v>
      </c>
      <c r="BQ191" s="164">
        <f>+BQ182-BQ189</f>
        <v>3423.3559999999998</v>
      </c>
      <c r="BR191" s="164">
        <f>+BR182-BR189</f>
        <v>3694.7690000000002</v>
      </c>
      <c r="BS191" s="163">
        <f>+BS182-BS189</f>
        <v>3694.7690000000002</v>
      </c>
      <c r="BT191" s="166"/>
      <c r="BU191" s="165">
        <f>+BU182-BU189</f>
        <v>4398.9290000000001</v>
      </c>
      <c r="BV191" s="164">
        <f>+BV182-BV189</f>
        <v>7302.6590000000015</v>
      </c>
      <c r="BW191" s="164">
        <f>+BW182-BW189</f>
        <v>7009.2149999999992</v>
      </c>
      <c r="BX191" s="164">
        <f>+BX182-BX189</f>
        <v>6743.7540000000017</v>
      </c>
      <c r="BY191" s="163">
        <f>+BY182-BY189</f>
        <v>6743.7540000000017</v>
      </c>
      <c r="BZ191" s="166"/>
      <c r="CA191" s="165">
        <f>+CA182-CA189</f>
        <v>6650.5680000000002</v>
      </c>
      <c r="CB191" s="164">
        <f>+CB182-CB189</f>
        <v>6672.6989999999987</v>
      </c>
      <c r="CC191" s="164">
        <f>+CC182-CC189</f>
        <v>6508.4190000000008</v>
      </c>
      <c r="CD191" s="164">
        <f>+CD182-CD189</f>
        <v>6738</v>
      </c>
      <c r="CE191" s="163">
        <f>+CE182-CE189</f>
        <v>6738</v>
      </c>
      <c r="CF191" s="166"/>
      <c r="CG191" s="165">
        <f>+CG182-CG189</f>
        <v>6695.4000000000015</v>
      </c>
      <c r="CH191" s="164">
        <f>+CH182-CH189</f>
        <v>6659.2999999999993</v>
      </c>
      <c r="CI191" s="164">
        <f>+CI182-CI189</f>
        <v>6852.7999999999993</v>
      </c>
      <c r="CJ191" s="164">
        <f>+CJ182-CJ189</f>
        <v>6797</v>
      </c>
      <c r="CK191" s="163">
        <f>+CK182-CK189</f>
        <v>6797</v>
      </c>
      <c r="CL191" s="166"/>
      <c r="CM191" s="165">
        <f>+CM182-CM189</f>
        <v>7021</v>
      </c>
      <c r="CN191" s="164">
        <f>+CN182-CN189</f>
        <v>7138.4</v>
      </c>
      <c r="CO191" s="164">
        <f>+CO182-CO189</f>
        <v>6842.2000000000007</v>
      </c>
      <c r="CP191" s="164">
        <f>+CP182-CP189</f>
        <v>6953.4000000000015</v>
      </c>
      <c r="CQ191" s="163">
        <f>+CQ182-CQ189</f>
        <v>6953.4000000000015</v>
      </c>
      <c r="CR191" s="166"/>
      <c r="CS191" s="165">
        <f>+CS182-CS189</f>
        <v>7345.7000000000025</v>
      </c>
      <c r="CT191" s="164">
        <f>+CT182-CT189</f>
        <v>7057.7000000000007</v>
      </c>
      <c r="CU191" s="164">
        <f>+CU182-CU189</f>
        <v>11233.599999999999</v>
      </c>
      <c r="CV191" s="164">
        <f>+CV182-CV189</f>
        <v>10987.899999999998</v>
      </c>
      <c r="CW191" s="163">
        <f>+CW182-CW189</f>
        <v>10987.899999999998</v>
      </c>
      <c r="CX191" s="166"/>
      <c r="CY191" s="165">
        <f>+CY182-CY189</f>
        <v>10819.100000000002</v>
      </c>
      <c r="CZ191" s="164">
        <f>+CZ182-CZ189</f>
        <v>10296.600000000002</v>
      </c>
      <c r="DA191" s="164">
        <f>+DA182-DA189</f>
        <v>9024.2999999999956</v>
      </c>
      <c r="DB191" s="164">
        <f>+DB182-DB189</f>
        <v>10555.199999999997</v>
      </c>
      <c r="DC191" s="163">
        <f>+DC182-DC189</f>
        <v>10555.199999999997</v>
      </c>
      <c r="DD191" s="166"/>
      <c r="DE191" s="165">
        <f>+DE182-DE189</f>
        <v>10922.5</v>
      </c>
      <c r="DF191" s="164">
        <f>+DF182-DF189</f>
        <v>10937.199999999999</v>
      </c>
      <c r="DG191" s="164">
        <f>+DG182-DG189</f>
        <v>10857.2</v>
      </c>
      <c r="DH191" s="164">
        <f>+DH182-DH189</f>
        <v>11121</v>
      </c>
      <c r="DI191" s="163">
        <f>+DI182-DI189</f>
        <v>11121</v>
      </c>
      <c r="DJ191" s="166"/>
      <c r="DK191" s="165">
        <f>+DK182-DK189</f>
        <v>10813.656982451426</v>
      </c>
      <c r="DL191" s="164">
        <f>+DL182-DL189</f>
        <v>10439.420387093214</v>
      </c>
      <c r="DM191" s="164">
        <f>+DM182-DM189</f>
        <v>10420.569694983376</v>
      </c>
      <c r="DN191" s="164">
        <f>+DN182-DN189</f>
        <v>10319.375487179397</v>
      </c>
      <c r="DO191" s="163">
        <f>+DO182-DO189</f>
        <v>10319.375487179397</v>
      </c>
      <c r="DP191" s="166"/>
      <c r="DQ191" s="165">
        <f>+DQ182-DQ189</f>
        <v>10090.393907548485</v>
      </c>
      <c r="DR191" s="164">
        <f>+DR182-DR189</f>
        <v>9723.5713587058854</v>
      </c>
      <c r="DS191" s="164">
        <f>+DS182-DS189</f>
        <v>9738.7858865938724</v>
      </c>
      <c r="DT191" s="164">
        <f>+DT182-DT189</f>
        <v>9662.953944070814</v>
      </c>
      <c r="DU191" s="163">
        <f>+DU182-DU189</f>
        <v>9662.953944070814</v>
      </c>
      <c r="DV191" s="166"/>
      <c r="DW191" s="165">
        <f>+DW182-DW189</f>
        <v>9301.3206801742162</v>
      </c>
      <c r="DX191" s="164">
        <f>+DX182-DX189</f>
        <v>8917.6609895110741</v>
      </c>
      <c r="DY191" s="164">
        <f>+DY182-DY189</f>
        <v>8948.2334702920707</v>
      </c>
      <c r="DZ191" s="164">
        <f>+DZ182-DZ189</f>
        <v>8859.3002704541141</v>
      </c>
      <c r="EA191" s="163">
        <f>+EA182-EA189</f>
        <v>8859.3002704541141</v>
      </c>
      <c r="EB191" s="166"/>
      <c r="EC191" s="165">
        <f t="shared" ref="EC191:EG191" si="1291">+EC182-EC189</f>
        <v>8512.3043140823938</v>
      </c>
      <c r="ED191" s="164">
        <f t="shared" si="1291"/>
        <v>8110.929738192066</v>
      </c>
      <c r="EE191" s="164">
        <f t="shared" si="1291"/>
        <v>8158.9546770754387</v>
      </c>
      <c r="EF191" s="164">
        <f t="shared" si="1291"/>
        <v>8046.4442889036873</v>
      </c>
      <c r="EG191" s="163">
        <f t="shared" si="1291"/>
        <v>8046.4442889036873</v>
      </c>
      <c r="EH191" s="7"/>
      <c r="EI191" s="482"/>
      <c r="EJ191" s="7"/>
    </row>
    <row r="192" spans="1:140" ht="11.25" customHeight="1" x14ac:dyDescent="0.2">
      <c r="A192" s="105" t="s">
        <v>286</v>
      </c>
      <c r="B192" s="2"/>
      <c r="C192" s="2"/>
      <c r="D192" s="2"/>
      <c r="E192" s="115">
        <f>E167/((AVERAGE(A191,E191)))</f>
        <v>1.9662037040689846</v>
      </c>
      <c r="F192" s="126"/>
      <c r="G192" s="115">
        <f>G167/((AVERAGE(E191,G191)))</f>
        <v>1.9507395217612036</v>
      </c>
      <c r="H192" s="126"/>
      <c r="I192" s="115">
        <f>I167/((AVERAGE(G191,I191)))</f>
        <v>1.7377333591322854</v>
      </c>
      <c r="J192" s="126"/>
      <c r="K192" s="115">
        <f>K167/((AVERAGE(I191,K191)))</f>
        <v>1.723553997462421</v>
      </c>
      <c r="L192" s="126"/>
      <c r="M192" s="117">
        <f>+M167*4/K191</f>
        <v>1.5703872414228077</v>
      </c>
      <c r="N192" s="118">
        <f>+N167*4/M191</f>
        <v>1.5012261868472581</v>
      </c>
      <c r="O192" s="118">
        <f>+O167*4/N191</f>
        <v>1.3773202774384039</v>
      </c>
      <c r="P192" s="118">
        <f>+P167*4/O191</f>
        <v>1.3351504734395816</v>
      </c>
      <c r="Q192" s="115">
        <f>Q167/((AVERAGE(M191:P191,J191)))</f>
        <v>1.4227600976556365</v>
      </c>
      <c r="R192" s="126"/>
      <c r="S192" s="117">
        <f>+S167*4/P191</f>
        <v>1.4801946850738987</v>
      </c>
      <c r="T192" s="118">
        <f>+T167*4/S191</f>
        <v>1.4190539854668798</v>
      </c>
      <c r="U192" s="118">
        <f>+U167*4/T191</f>
        <v>1.4156750238768652</v>
      </c>
      <c r="V192" s="118">
        <f>+V167*4/U191</f>
        <v>1.5295359997504718</v>
      </c>
      <c r="W192" s="115">
        <f>W167/((AVERAGE(S191:V191,P191)))</f>
        <v>1.426592137316917</v>
      </c>
      <c r="X192" s="126"/>
      <c r="Y192" s="117">
        <f>+Y167*4/V191</f>
        <v>1.3635576073637115</v>
      </c>
      <c r="Z192" s="118">
        <f>+Z167*4/Y191</f>
        <v>1.4527408292683066</v>
      </c>
      <c r="AA192" s="118">
        <f>+AA167*4/Z191</f>
        <v>1.4826778083967771</v>
      </c>
      <c r="AB192" s="118">
        <f>+AB167*4/AA191</f>
        <v>1.6488189639132782</v>
      </c>
      <c r="AC192" s="115">
        <f>AC167/((AVERAGE(Y191:AB191,V191)))</f>
        <v>1.4748783935116758</v>
      </c>
      <c r="AD192" s="126"/>
      <c r="AE192" s="117">
        <f>+AE167*4/AB191</f>
        <v>1.6613834823153999</v>
      </c>
      <c r="AF192" s="118">
        <f>+AF167*4/AE191</f>
        <v>8.1453839332591471</v>
      </c>
      <c r="AG192" s="118">
        <f>+AG167*4/AF191</f>
        <v>6.2099675942439951</v>
      </c>
      <c r="AH192" s="118">
        <f>+AH167*4/AG191</f>
        <v>6.7381554113504478</v>
      </c>
      <c r="AI192" s="115">
        <f>AI167/((AVERAGE(AE191:AH191,AB191)))</f>
        <v>4.2520136314194144</v>
      </c>
      <c r="AJ192" s="126"/>
      <c r="AK192" s="117">
        <f>+AK167*4/AH191</f>
        <v>5.660393092325779</v>
      </c>
      <c r="AL192" s="118">
        <f>+AL167*4/AK191</f>
        <v>5.9722063735983015</v>
      </c>
      <c r="AM192" s="118">
        <f>+AM167*4/AL191</f>
        <v>6.3247879742585846</v>
      </c>
      <c r="AN192" s="118">
        <f>+AN167*4/AM191</f>
        <v>6.9745849919278315</v>
      </c>
      <c r="AO192" s="115">
        <f>AO167/((AVERAGE(AK191:AN191,AH191)))</f>
        <v>6.1844338574096298</v>
      </c>
      <c r="AP192" s="126"/>
      <c r="AQ192" s="117">
        <f>+AQ167*4/AN191</f>
        <v>6.3499432983109667</v>
      </c>
      <c r="AR192" s="118">
        <f>+AR167*4/AQ191</f>
        <v>6.5180992946683691</v>
      </c>
      <c r="AS192" s="118">
        <f>+AS167*4/AR191</f>
        <v>5.1340592299214931</v>
      </c>
      <c r="AT192" s="118">
        <f>+AT167*4/AS191</f>
        <v>5.2361581740616696</v>
      </c>
      <c r="AU192" s="115">
        <f>AU167/((AVERAGE(AQ191:AT191,AN191)))</f>
        <v>5.3779642258981601</v>
      </c>
      <c r="AV192" s="126"/>
      <c r="AW192" s="117">
        <f>+AW167*4/AT191</f>
        <v>4.6602382229515849</v>
      </c>
      <c r="AX192" s="118">
        <f>+AX167*4/AW191</f>
        <v>4.5405236149460846</v>
      </c>
      <c r="AY192" s="118">
        <f>+AY167*4/AX191</f>
        <v>4.4797293612309979</v>
      </c>
      <c r="AZ192" s="118">
        <f>+AZ167*4/AY191</f>
        <v>5.1188851530140189</v>
      </c>
      <c r="BA192" s="115">
        <f>BA167/((AVERAGE(AW191:AZ191,AT191)))</f>
        <v>4.3381512114650791</v>
      </c>
      <c r="BB192" s="126"/>
      <c r="BC192" s="117">
        <f>+BC167*4/AZ191</f>
        <v>3.6363073197685463</v>
      </c>
      <c r="BD192" s="118">
        <f>+BD167*4/BC191</f>
        <v>3.9033892165425095</v>
      </c>
      <c r="BE192" s="118">
        <f>+BE167*4/BD191</f>
        <v>3.7973233813091203</v>
      </c>
      <c r="BF192" s="118">
        <f>+BF167*4/BE191</f>
        <v>3.8193917481334427</v>
      </c>
      <c r="BG192" s="115">
        <f>BG167/((AVERAGE(BC191:BF191,AZ191)))</f>
        <v>3.9123099707664171</v>
      </c>
      <c r="BH192" s="126"/>
      <c r="BI192" s="117">
        <f>+BI167*4/BF191</f>
        <v>3.721353775735929</v>
      </c>
      <c r="BJ192" s="118">
        <f>+BJ167*4/BI191</f>
        <v>3.7897453906562557</v>
      </c>
      <c r="BK192" s="118">
        <f>+BK167*4/BJ191</f>
        <v>3.8055801894558288</v>
      </c>
      <c r="BL192" s="118">
        <f>+BL167*4/BK191</f>
        <v>4.3346024175899407</v>
      </c>
      <c r="BM192" s="115">
        <f>BM167/((AVERAGE(BI191:BL191,BF191)))</f>
        <v>3.8696136468464557</v>
      </c>
      <c r="BN192" s="126"/>
      <c r="BO192" s="117">
        <f>+BO167*4/BL191</f>
        <v>3.97917409448918</v>
      </c>
      <c r="BP192" s="118">
        <f>+BP167*4/BO191</f>
        <v>3.5940381236806451</v>
      </c>
      <c r="BQ192" s="118">
        <f>+BQ167*4/BP191</f>
        <v>3.6178780118398715</v>
      </c>
      <c r="BR192" s="118">
        <f>+BR167*4/BQ191</f>
        <v>4.0986680906105004</v>
      </c>
      <c r="BS192" s="115">
        <f>BS167/((AVERAGE(BO191:BR191,BL191)))</f>
        <v>3.7410565158022582</v>
      </c>
      <c r="BT192" s="126"/>
      <c r="BU192" s="117">
        <f>+BU167*4/BR191</f>
        <v>3.5495588492812402</v>
      </c>
      <c r="BV192" s="118">
        <f>+BV167*4/BU191</f>
        <v>3.3141703355521313</v>
      </c>
      <c r="BW192" s="118">
        <f>+BW167*4/BV191</f>
        <v>2.4380708451537991</v>
      </c>
      <c r="BX192" s="118">
        <f>+BX167*4/BW191</f>
        <v>2.6917136940441977</v>
      </c>
      <c r="BY192" s="115">
        <f>BY167/((AVERAGE(BU191:BX191,BR191)))</f>
        <v>2.7601324298201608</v>
      </c>
      <c r="BZ192" s="126"/>
      <c r="CA192" s="117">
        <f>+CA167*4/BX191</f>
        <v>2.560117109847126</v>
      </c>
      <c r="CB192" s="118">
        <f>+CB167*4/CA191</f>
        <v>2.7387134452275355</v>
      </c>
      <c r="CC192" s="118">
        <f>+CC167*4/CB191</f>
        <v>2.6469049480577507</v>
      </c>
      <c r="CD192" s="118">
        <f>+CD167*4/CC191</f>
        <v>3.0577011099008833</v>
      </c>
      <c r="CE192" s="115">
        <f>CE167/((AVERAGE(CA191:CD191,BX191)))</f>
        <v>2.7406956471622261</v>
      </c>
      <c r="CF192" s="126"/>
      <c r="CG192" s="117">
        <f>+CG167*4/CD191</f>
        <v>2.6385871178391214</v>
      </c>
      <c r="CH192" s="118">
        <f>+CH167*4/CG191</f>
        <v>2.8303014009618539</v>
      </c>
      <c r="CI192" s="118">
        <f>+CI167*4/CH191</f>
        <v>2.8045590377366998</v>
      </c>
      <c r="CJ192" s="118">
        <f>+CJ167*4/CI191</f>
        <v>3.0741886528134486</v>
      </c>
      <c r="CK192" s="115">
        <f>CK167/((AVERAGE(CG191:CJ191,CD191)))</f>
        <v>2.8329258353708231</v>
      </c>
      <c r="CL192" s="126"/>
      <c r="CM192" s="117">
        <f>+CM167*4/CJ191</f>
        <v>2.6124466676474913</v>
      </c>
      <c r="CN192" s="118">
        <f>+CN167*4/CM191</f>
        <v>2.7252528129896025</v>
      </c>
      <c r="CO192" s="118">
        <f>+CO167*4/CN191</f>
        <v>2.6376218760506558</v>
      </c>
      <c r="CP192" s="118">
        <f>+CP167*4/CO191</f>
        <v>3.0541054046943961</v>
      </c>
      <c r="CQ192" s="115">
        <f>CQ167/((AVERAGE(CM191:CP191,CJ191)))</f>
        <v>2.7558126151012892</v>
      </c>
      <c r="CR192" s="126"/>
      <c r="CS192" s="117">
        <f>+CS167*4/CP191</f>
        <v>2.7006644231598926</v>
      </c>
      <c r="CT192" s="118">
        <f>+CT167*4/CS191</f>
        <v>2.7008998461685056</v>
      </c>
      <c r="CU192" s="118">
        <f>+CU167*4/CT191</f>
        <v>2.84704648823271</v>
      </c>
      <c r="CV192" s="118">
        <f>+CV167*4/CU191</f>
        <v>2.0954280017091591</v>
      </c>
      <c r="CW192" s="115">
        <f>CW167/((AVERAGE(CS191:CV191,CP191)))</f>
        <v>2.3593049751826021</v>
      </c>
      <c r="CX192" s="126"/>
      <c r="CY192" s="117">
        <f>+CY167*4/CV191</f>
        <v>1.9611390711600947</v>
      </c>
      <c r="CZ192" s="118">
        <f>+CZ167*4/CY191</f>
        <v>2.1388100673808355</v>
      </c>
      <c r="DA192" s="118">
        <f>+DA167*4/CZ191</f>
        <v>1.6052289105141502</v>
      </c>
      <c r="DB192" s="118">
        <f>+DB167*4/DA191</f>
        <v>2.0319803198031989</v>
      </c>
      <c r="DC192" s="115">
        <f>DC167/((AVERAGE(CY191:DB191,CV191)))</f>
        <v>1.9240912406570043</v>
      </c>
      <c r="DD192" s="126"/>
      <c r="DE192" s="117">
        <f>+DE167*4/DB191</f>
        <v>1.5937926330150072</v>
      </c>
      <c r="DF192" s="118">
        <f>+DF167*4/DE191</f>
        <v>1.6516731517509728</v>
      </c>
      <c r="DG192" s="118">
        <f>+DG167*4/DF191</f>
        <v>1.6560728522839485</v>
      </c>
      <c r="DH192" s="118">
        <f>+DH167*4/DG191</f>
        <v>1.873669085952179</v>
      </c>
      <c r="DI192" s="115">
        <f>DI167/((AVERAGE(DE191:DH191,DB191)))</f>
        <v>1.6849287869233416</v>
      </c>
      <c r="DJ192" s="126"/>
      <c r="DK192" s="117">
        <f>+DK167*4/DH191</f>
        <v>1.6888409315709019</v>
      </c>
      <c r="DL192" s="118">
        <f>+DL167*4/DK191</f>
        <v>1.8236911002451046</v>
      </c>
      <c r="DM192" s="118">
        <f>+DM167*4/DL191</f>
        <v>1.8585564409292292</v>
      </c>
      <c r="DN192" s="118">
        <f>+DN167*4/DM191</f>
        <v>2.0875255995334236</v>
      </c>
      <c r="DO192" s="115">
        <f>DO167/((AVERAGE(DK191:DN191,DH191)))</f>
        <v>1.8746892104258279</v>
      </c>
      <c r="DP192" s="126"/>
      <c r="DQ192" s="117">
        <f>+DQ167*4/DN191</f>
        <v>1.904640937275579</v>
      </c>
      <c r="DR192" s="118">
        <f>+DR167*4/DQ191</f>
        <v>2.0488575440582384</v>
      </c>
      <c r="DS192" s="118">
        <f>+DS167*4/DR191</f>
        <v>2.0737773783030797</v>
      </c>
      <c r="DT192" s="118">
        <f>+DT167*4/DS191</f>
        <v>2.3209817736228682</v>
      </c>
      <c r="DU192" s="115">
        <f>DU167/((AVERAGE(DQ191:DT191,DN191)))</f>
        <v>2.0969116876402976</v>
      </c>
      <c r="DV192" s="126"/>
      <c r="DW192" s="117">
        <f>+DW167*4/DT191</f>
        <v>2.1210587739141769</v>
      </c>
      <c r="DX192" s="118">
        <f>+DX167*4/DW191</f>
        <v>2.3177801282942334</v>
      </c>
      <c r="DY192" s="118">
        <f>+DY167*4/DX191</f>
        <v>2.3579697740621195</v>
      </c>
      <c r="DZ192" s="118">
        <f>+DZ167*4/DY191</f>
        <v>2.6339934794449094</v>
      </c>
      <c r="EA192" s="115">
        <f>EA167/((AVERAGE(DW191:DZ191,DT191)))</f>
        <v>2.3706576808207478</v>
      </c>
      <c r="EB192" s="126"/>
      <c r="EC192" s="117">
        <f t="shared" ref="EC192" si="1292">+EC167*4/DZ191</f>
        <v>2.4125501987900706</v>
      </c>
      <c r="ED192" s="118">
        <f t="shared" ref="ED192:EF192" si="1293">+ED167*4/EC191</f>
        <v>2.6410952915969013</v>
      </c>
      <c r="EE192" s="118">
        <f t="shared" si="1293"/>
        <v>2.7035664718102796</v>
      </c>
      <c r="EF192" s="118">
        <f t="shared" si="1293"/>
        <v>3.0123833224888563</v>
      </c>
      <c r="EG192" s="115">
        <f t="shared" ref="EG192" si="1294">EG167/((AVERAGE(EC191:EF191,DZ191)))</f>
        <v>2.7094665961533284</v>
      </c>
      <c r="EH192" s="7"/>
      <c r="EI192" s="482"/>
      <c r="EJ192" s="7"/>
    </row>
    <row r="193" spans="1:140" ht="11.25" customHeight="1" x14ac:dyDescent="0.2">
      <c r="A193" s="2"/>
      <c r="B193" s="2"/>
      <c r="C193" s="2"/>
      <c r="D193" s="2"/>
      <c r="E193" s="67"/>
      <c r="F193" s="126"/>
      <c r="G193" s="67"/>
      <c r="H193" s="126"/>
      <c r="I193" s="67"/>
      <c r="J193" s="126"/>
      <c r="K193" s="67"/>
      <c r="L193" s="126"/>
      <c r="M193" s="67"/>
      <c r="N193" s="67"/>
      <c r="O193" s="67"/>
      <c r="P193" s="67"/>
      <c r="Q193" s="67"/>
      <c r="R193" s="126"/>
      <c r="S193" s="67"/>
      <c r="T193" s="67"/>
      <c r="U193" s="67"/>
      <c r="V193" s="67"/>
      <c r="W193" s="67"/>
      <c r="X193" s="126"/>
      <c r="Y193" s="67"/>
      <c r="Z193" s="67"/>
      <c r="AA193" s="67"/>
      <c r="AB193" s="67"/>
      <c r="AC193" s="67"/>
      <c r="AD193" s="126"/>
      <c r="AE193" s="67"/>
      <c r="AF193" s="67"/>
      <c r="AG193" s="67"/>
      <c r="AH193" s="67"/>
      <c r="AI193" s="67"/>
      <c r="AJ193" s="126"/>
      <c r="AK193" s="67"/>
      <c r="AL193" s="67"/>
      <c r="AM193" s="67"/>
      <c r="AN193" s="67"/>
      <c r="AO193" s="67"/>
      <c r="AP193" s="126"/>
      <c r="AQ193" s="1088"/>
      <c r="AR193" s="67"/>
      <c r="AS193" s="67"/>
      <c r="AT193" s="67"/>
      <c r="AU193" s="67"/>
      <c r="AV193" s="126"/>
      <c r="AW193" s="1088"/>
      <c r="AX193" s="67"/>
      <c r="AY193" s="67"/>
      <c r="AZ193" s="67"/>
      <c r="BA193" s="67"/>
      <c r="BB193" s="126"/>
      <c r="BC193" s="1088"/>
      <c r="BD193" s="67"/>
      <c r="BE193" s="67"/>
      <c r="BF193" s="67"/>
      <c r="BG193" s="67"/>
      <c r="BH193" s="126"/>
      <c r="BI193" s="1088"/>
      <c r="BJ193" s="67"/>
      <c r="BK193" s="67"/>
      <c r="BL193" s="67"/>
      <c r="BM193" s="67"/>
      <c r="BN193" s="126"/>
      <c r="BO193" s="1088"/>
      <c r="BP193" s="67"/>
      <c r="BQ193" s="67"/>
      <c r="BR193" s="67"/>
      <c r="BS193" s="67"/>
      <c r="BT193" s="126"/>
      <c r="BU193" s="1088"/>
      <c r="BV193" s="67"/>
      <c r="BW193" s="67"/>
      <c r="BX193" s="67"/>
      <c r="BY193" s="67"/>
      <c r="BZ193" s="126"/>
      <c r="CA193" s="1088"/>
      <c r="CB193" s="67"/>
      <c r="CC193" s="67"/>
      <c r="CD193" s="67"/>
      <c r="CE193" s="67"/>
      <c r="CF193" s="126"/>
      <c r="CG193" s="1088"/>
      <c r="CH193" s="67"/>
      <c r="CI193" s="67"/>
      <c r="CJ193" s="67"/>
      <c r="CK193" s="67"/>
      <c r="CL193" s="126"/>
      <c r="CM193" s="1088"/>
      <c r="CN193" s="67"/>
      <c r="CO193" s="67"/>
      <c r="CP193" s="67"/>
      <c r="CQ193" s="67"/>
      <c r="CR193" s="126"/>
      <c r="CS193" s="1088"/>
      <c r="CT193" s="67"/>
      <c r="CU193" s="67"/>
      <c r="CV193" s="67"/>
      <c r="CW193" s="67"/>
      <c r="CX193" s="126"/>
      <c r="CY193" s="1088"/>
      <c r="CZ193" s="67"/>
      <c r="DA193" s="67"/>
      <c r="DB193" s="67"/>
      <c r="DC193" s="67"/>
      <c r="DD193" s="126"/>
      <c r="DE193" s="1088"/>
      <c r="DF193" s="67"/>
      <c r="DG193" s="67"/>
      <c r="DH193" s="67"/>
      <c r="DI193" s="67"/>
      <c r="DJ193" s="126"/>
      <c r="DK193" s="1088"/>
      <c r="DL193" s="67"/>
      <c r="DM193" s="67"/>
      <c r="DN193" s="67"/>
      <c r="DO193" s="67"/>
      <c r="DP193" s="126"/>
      <c r="DQ193" s="1088"/>
      <c r="DR193" s="67"/>
      <c r="DS193" s="67"/>
      <c r="DT193" s="67"/>
      <c r="DU193" s="67"/>
      <c r="DV193" s="126"/>
      <c r="DW193" s="1088"/>
      <c r="DX193" s="67"/>
      <c r="DY193" s="67"/>
      <c r="DZ193" s="67"/>
      <c r="EA193" s="67"/>
      <c r="EB193" s="126"/>
      <c r="EC193" s="1088"/>
      <c r="ED193" s="67"/>
      <c r="EE193" s="67"/>
      <c r="EF193" s="67"/>
      <c r="EG193" s="67"/>
      <c r="EH193" s="126"/>
      <c r="EI193" s="1088"/>
      <c r="EJ193" s="7"/>
    </row>
    <row r="194" spans="1:140" ht="11.25" customHeight="1" x14ac:dyDescent="0.2">
      <c r="A194" s="106" t="s">
        <v>255</v>
      </c>
      <c r="B194" s="170"/>
      <c r="C194" s="170"/>
      <c r="D194" s="170"/>
      <c r="E194" s="171"/>
      <c r="F194" s="171"/>
      <c r="G194" s="171"/>
      <c r="H194" s="171"/>
      <c r="I194" s="171"/>
      <c r="J194" s="171"/>
      <c r="K194" s="171"/>
      <c r="L194" s="171"/>
      <c r="M194" s="172"/>
      <c r="N194" s="172"/>
      <c r="O194" s="172"/>
      <c r="P194" s="172"/>
      <c r="Q194" s="171"/>
      <c r="R194" s="171"/>
      <c r="S194" s="172"/>
      <c r="T194" s="172"/>
      <c r="U194" s="172"/>
      <c r="V194" s="172"/>
      <c r="W194" s="171"/>
      <c r="X194" s="171"/>
      <c r="Y194" s="172"/>
      <c r="Z194" s="172"/>
      <c r="AA194" s="172"/>
      <c r="AB194" s="172"/>
      <c r="AC194" s="171"/>
      <c r="AD194" s="171"/>
      <c r="AE194" s="172"/>
      <c r="AF194" s="172"/>
      <c r="AG194" s="172"/>
      <c r="AH194" s="172"/>
      <c r="AI194" s="171"/>
      <c r="AJ194" s="171"/>
      <c r="AK194" s="172"/>
      <c r="AL194" s="172"/>
      <c r="AM194" s="172"/>
      <c r="AN194" s="172"/>
      <c r="AO194" s="171"/>
      <c r="AP194" s="171"/>
      <c r="AQ194" s="172"/>
      <c r="AR194" s="172"/>
      <c r="AS194" s="172"/>
      <c r="AT194" s="172"/>
      <c r="AU194" s="171"/>
      <c r="AV194" s="171"/>
      <c r="AW194" s="172"/>
      <c r="AX194" s="172"/>
      <c r="AY194" s="172"/>
      <c r="AZ194" s="172"/>
      <c r="BA194" s="171"/>
      <c r="BB194" s="171"/>
      <c r="BC194" s="172"/>
      <c r="BD194" s="172"/>
      <c r="BE194" s="172"/>
      <c r="BF194" s="172"/>
      <c r="BG194" s="171"/>
      <c r="BH194" s="171"/>
      <c r="BI194" s="172"/>
      <c r="BJ194" s="172"/>
      <c r="BK194" s="172"/>
      <c r="BL194" s="172"/>
      <c r="BM194" s="171"/>
      <c r="BN194" s="171"/>
      <c r="BO194" s="172"/>
      <c r="BP194" s="172"/>
      <c r="BQ194" s="172"/>
      <c r="BR194" s="172"/>
      <c r="BS194" s="171"/>
      <c r="BT194" s="171"/>
      <c r="BU194" s="172"/>
      <c r="BV194" s="172"/>
      <c r="BW194" s="172"/>
      <c r="BX194" s="172"/>
      <c r="BY194" s="171"/>
      <c r="BZ194" s="171"/>
      <c r="CA194" s="172"/>
      <c r="CB194" s="172"/>
      <c r="CC194" s="172"/>
      <c r="CD194" s="172"/>
      <c r="CE194" s="171"/>
      <c r="CF194" s="171"/>
      <c r="CG194" s="172"/>
      <c r="CH194" s="172"/>
      <c r="CI194" s="172"/>
      <c r="CJ194" s="172"/>
      <c r="CK194" s="171"/>
      <c r="CL194" s="171"/>
      <c r="CM194" s="172"/>
      <c r="CN194" s="172"/>
      <c r="CO194" s="172"/>
      <c r="CP194" s="172"/>
      <c r="CQ194" s="171"/>
      <c r="CR194" s="171"/>
      <c r="CS194" s="172"/>
      <c r="CT194" s="172"/>
      <c r="CU194" s="172"/>
      <c r="CV194" s="172"/>
      <c r="CW194" s="171"/>
      <c r="CX194" s="171"/>
      <c r="CY194" s="172"/>
      <c r="CZ194" s="172"/>
      <c r="DA194" s="172"/>
      <c r="DB194" s="172"/>
      <c r="DC194" s="171"/>
      <c r="DD194" s="171"/>
      <c r="DE194" s="172"/>
      <c r="DF194" s="172"/>
      <c r="DG194" s="172"/>
      <c r="DH194" s="172"/>
      <c r="DI194" s="171"/>
      <c r="DJ194" s="171"/>
      <c r="DK194" s="172"/>
      <c r="DL194" s="172"/>
      <c r="DM194" s="172"/>
      <c r="DN194" s="172"/>
      <c r="DO194" s="171"/>
      <c r="DP194" s="171"/>
      <c r="DQ194" s="172"/>
      <c r="DR194" s="172"/>
      <c r="DS194" s="172"/>
      <c r="DT194" s="172"/>
      <c r="DU194" s="171"/>
      <c r="DV194" s="171"/>
      <c r="DW194" s="172"/>
      <c r="DX194" s="172"/>
      <c r="DY194" s="172"/>
      <c r="DZ194" s="172"/>
      <c r="EA194" s="171"/>
      <c r="EB194" s="171"/>
      <c r="EC194" s="172"/>
      <c r="ED194" s="172"/>
      <c r="EE194" s="172"/>
      <c r="EF194" s="172"/>
      <c r="EG194" s="171"/>
      <c r="EH194" s="9"/>
      <c r="EI194" s="486"/>
      <c r="EJ194" s="24"/>
    </row>
    <row r="195" spans="1:140" ht="11.25" customHeight="1" x14ac:dyDescent="0.2">
      <c r="A195" s="51" t="s">
        <v>1</v>
      </c>
      <c r="B195" s="2"/>
      <c r="C195" s="2"/>
      <c r="D195" s="2"/>
      <c r="E195" s="180">
        <f>E28/E55</f>
        <v>1.9169931330148109</v>
      </c>
      <c r="F195" s="181"/>
      <c r="G195" s="180">
        <f>G28/G55</f>
        <v>2.0280435012293081</v>
      </c>
      <c r="H195" s="181"/>
      <c r="I195" s="180">
        <f>I28/I55</f>
        <v>1.783212211939226</v>
      </c>
      <c r="J195" s="181"/>
      <c r="K195" s="180">
        <f>K28/K55</f>
        <v>2.0756888751825766</v>
      </c>
      <c r="L195" s="181"/>
      <c r="M195" s="182">
        <f>M28/M55</f>
        <v>2.2147166858946306</v>
      </c>
      <c r="N195" s="183">
        <f>N28/N55</f>
        <v>2.1796059730109585</v>
      </c>
      <c r="O195" s="183">
        <f>O28/O55</f>
        <v>2.1398724158213089</v>
      </c>
      <c r="P195" s="183">
        <f>P28/P55</f>
        <v>2.1630231007463925</v>
      </c>
      <c r="Q195" s="180">
        <f>Q28/Q55</f>
        <v>2.1630231007463925</v>
      </c>
      <c r="R195" s="181"/>
      <c r="S195" s="182">
        <f>S28/S55</f>
        <v>2.0757617954468963</v>
      </c>
      <c r="T195" s="183">
        <f>T28/T55</f>
        <v>2.0618093425719288</v>
      </c>
      <c r="U195" s="183">
        <f>U28/U55</f>
        <v>2.0439316239316234</v>
      </c>
      <c r="V195" s="183">
        <f>V28/V55</f>
        <v>2.0033050914756423</v>
      </c>
      <c r="W195" s="180">
        <f>W28/W55</f>
        <v>2.0033050914756423</v>
      </c>
      <c r="X195" s="181"/>
      <c r="Y195" s="182">
        <f>Y28/Y55</f>
        <v>2.0172039177797112</v>
      </c>
      <c r="Z195" s="183">
        <f>Z28/Z55</f>
        <v>1.9741559268040345</v>
      </c>
      <c r="AA195" s="183">
        <f>AA28/AA55</f>
        <v>1.9045981635552538</v>
      </c>
      <c r="AB195" s="183">
        <f>AB28/AB55</f>
        <v>1.8893884869892277</v>
      </c>
      <c r="AC195" s="180">
        <f>AC28/AC55</f>
        <v>1.8893884869892277</v>
      </c>
      <c r="AD195" s="181"/>
      <c r="AE195" s="182">
        <f>AE28/AE55</f>
        <v>1.9261439138879299</v>
      </c>
      <c r="AF195" s="183">
        <f>AF28/AF55</f>
        <v>1.9288055608762462</v>
      </c>
      <c r="AG195" s="183">
        <f>AG28/AG55</f>
        <v>1.8932081338558107</v>
      </c>
      <c r="AH195" s="183">
        <f>AH28/AH55</f>
        <v>1.8386315335124799</v>
      </c>
      <c r="AI195" s="180">
        <f>AI28/AI55</f>
        <v>1.8386315335124799</v>
      </c>
      <c r="AJ195" s="181"/>
      <c r="AK195" s="182">
        <f>AK28/AK55</f>
        <v>1.8195469523909205</v>
      </c>
      <c r="AL195" s="183">
        <f>AL28/AL55</f>
        <v>1.8049415371542112</v>
      </c>
      <c r="AM195" s="183">
        <f>AM28/AM55</f>
        <v>1.8067295963195324</v>
      </c>
      <c r="AN195" s="183">
        <f>AN28/AN55</f>
        <v>1.8036373478205245</v>
      </c>
      <c r="AO195" s="180">
        <f>AO28/AO55</f>
        <v>1.8036373478205245</v>
      </c>
      <c r="AP195" s="181"/>
      <c r="AQ195" s="182">
        <f>AQ28/AQ55</f>
        <v>1.7405288211686254</v>
      </c>
      <c r="AR195" s="183">
        <f>AR28/AR55</f>
        <v>2.0329748740596929</v>
      </c>
      <c r="AS195" s="183">
        <f>AS28/AS55</f>
        <v>1.9544451447370406</v>
      </c>
      <c r="AT195" s="183">
        <f>AT28/AT55</f>
        <v>1.936013430333531</v>
      </c>
      <c r="AU195" s="180">
        <f>AU28/AU55</f>
        <v>1.936013430333531</v>
      </c>
      <c r="AV195" s="181"/>
      <c r="AW195" s="182">
        <f>AW28/AW55</f>
        <v>1.8573428887643557</v>
      </c>
      <c r="AX195" s="183">
        <f>AX28/AX55</f>
        <v>1.7925538630864386</v>
      </c>
      <c r="AY195" s="183">
        <f>AY28/AY55</f>
        <v>1.7104728205687296</v>
      </c>
      <c r="AZ195" s="183">
        <f>AZ28/AZ55</f>
        <v>1.9063565687045385</v>
      </c>
      <c r="BA195" s="180">
        <f>BA28/BA55</f>
        <v>1.9063565687045385</v>
      </c>
      <c r="BB195" s="181"/>
      <c r="BC195" s="182">
        <f>BC28/BC55</f>
        <v>1.8646242478141375</v>
      </c>
      <c r="BD195" s="183">
        <f>BD28/BD55</f>
        <v>1.7861933769764808</v>
      </c>
      <c r="BE195" s="183">
        <f>BE28/BE55</f>
        <v>1.732229400475038</v>
      </c>
      <c r="BF195" s="183">
        <f>BF28/BF55</f>
        <v>1.7798768055908705</v>
      </c>
      <c r="BG195" s="180">
        <f>BG28/BG55</f>
        <v>1.7798768055908705</v>
      </c>
      <c r="BH195" s="181"/>
      <c r="BI195" s="182">
        <f>BI28/BI55</f>
        <v>1.7667891371310638</v>
      </c>
      <c r="BJ195" s="183">
        <f>BJ28/BJ55</f>
        <v>1.7281160425245794</v>
      </c>
      <c r="BK195" s="183">
        <f>BK28/BK55</f>
        <v>1.7092776799382086</v>
      </c>
      <c r="BL195" s="183">
        <f>BL28/BL55</f>
        <v>1.6848773397754258</v>
      </c>
      <c r="BM195" s="180">
        <f>BM28/BM55</f>
        <v>1.6848773397754258</v>
      </c>
      <c r="BN195" s="181"/>
      <c r="BO195" s="182">
        <f>BO28/BO55</f>
        <v>1.6772418333716073</v>
      </c>
      <c r="BP195" s="183">
        <f>BP28/BP55</f>
        <v>1.6651965788716379</v>
      </c>
      <c r="BQ195" s="183">
        <f>BQ28/BQ55</f>
        <v>1.6320941656778847</v>
      </c>
      <c r="BR195" s="183">
        <f>BR28/BR55</f>
        <v>1.6203860984712284</v>
      </c>
      <c r="BS195" s="180">
        <f>BS28/BS55</f>
        <v>1.6203860984712284</v>
      </c>
      <c r="BT195" s="181"/>
      <c r="BU195" s="182">
        <f>BU28/BU55</f>
        <v>1.5713622843407533</v>
      </c>
      <c r="BV195" s="183">
        <f>BV28/BV55</f>
        <v>1.9111182051895341</v>
      </c>
      <c r="BW195" s="183">
        <f>BW28/BW55</f>
        <v>1.8560230289636328</v>
      </c>
      <c r="BX195" s="183">
        <f>BX28/BX55</f>
        <v>1.7716552173429261</v>
      </c>
      <c r="BY195" s="180">
        <f>BY28/BY55</f>
        <v>1.7716552173429261</v>
      </c>
      <c r="BZ195" s="181"/>
      <c r="CA195" s="182">
        <f>CA28/CA55</f>
        <v>1.7068079685557753</v>
      </c>
      <c r="CB195" s="183">
        <f>CB28/CB55</f>
        <v>1.703132229434339</v>
      </c>
      <c r="CC195" s="183">
        <f>CC28/CC55</f>
        <v>1.6724174611933889</v>
      </c>
      <c r="CD195" s="183">
        <f>CD28/CD55</f>
        <v>1.7322325349038992</v>
      </c>
      <c r="CE195" s="180">
        <f>CE28/CE55</f>
        <v>1.7322325349038992</v>
      </c>
      <c r="CF195" s="181"/>
      <c r="CG195" s="182">
        <f>CG28/CG55</f>
        <v>1.6497705920908896</v>
      </c>
      <c r="CH195" s="183">
        <f>CH28/CH55</f>
        <v>1.6312986238735518</v>
      </c>
      <c r="CI195" s="183">
        <f>CI28/CI55</f>
        <v>1.5828131013959426</v>
      </c>
      <c r="CJ195" s="183">
        <f>CJ28/CJ55</f>
        <v>1.5488825255859875</v>
      </c>
      <c r="CK195" s="180">
        <f>CK28/CK55</f>
        <v>1.5488825255859875</v>
      </c>
      <c r="CL195" s="181"/>
      <c r="CM195" s="182">
        <f>CM28/CM55</f>
        <v>1.5261326469730028</v>
      </c>
      <c r="CN195" s="183">
        <f>CN28/CN55</f>
        <v>1.5030079467127593</v>
      </c>
      <c r="CO195" s="183">
        <f>CO28/CO55</f>
        <v>1.4968345499500857</v>
      </c>
      <c r="CP195" s="183">
        <f>CP28/CP55</f>
        <v>1.5823227721671136</v>
      </c>
      <c r="CQ195" s="180">
        <f>CQ28/CQ55</f>
        <v>1.5823227721671136</v>
      </c>
      <c r="CR195" s="181"/>
      <c r="CS195" s="182">
        <f>CS28/CS55</f>
        <v>1.5467732944556409</v>
      </c>
      <c r="CT195" s="183">
        <f>CT28/CT55</f>
        <v>1.5346455778135528</v>
      </c>
      <c r="CU195" s="183">
        <f>CU28/CU55</f>
        <v>2.1506747372656592</v>
      </c>
      <c r="CV195" s="183">
        <f>CV28/CV55</f>
        <v>2.0355250883272902</v>
      </c>
      <c r="CW195" s="180">
        <f>CW28/CW55</f>
        <v>2.0355250883272902</v>
      </c>
      <c r="CX195" s="181"/>
      <c r="CY195" s="182">
        <f>CY28/CY55</f>
        <v>1.9745436589715444</v>
      </c>
      <c r="CZ195" s="183">
        <f>CZ28/CZ55</f>
        <v>2.056438185513334</v>
      </c>
      <c r="DA195" s="183">
        <f>DA28/DA55</f>
        <v>1.780709394780869</v>
      </c>
      <c r="DB195" s="183">
        <f>DB28/DB55</f>
        <v>1.9691211504686386</v>
      </c>
      <c r="DC195" s="180">
        <f>DC28/DC55</f>
        <v>1.9691211504686386</v>
      </c>
      <c r="DD195" s="181"/>
      <c r="DE195" s="1182">
        <f>DE28/DE55</f>
        <v>1.9021895416593091</v>
      </c>
      <c r="DF195" s="183">
        <f>DF28/DF55</f>
        <v>1.8563155754371694</v>
      </c>
      <c r="DG195" s="183">
        <f>DG28/DG55</f>
        <v>1.8069192997942889</v>
      </c>
      <c r="DH195" s="183">
        <f>DH28/DH55</f>
        <v>1.7697945990242128</v>
      </c>
      <c r="DI195" s="180">
        <f>DI28/DI55</f>
        <v>1.7697945990242128</v>
      </c>
      <c r="DJ195" s="181"/>
      <c r="DK195" s="182">
        <f>DK28/DK55</f>
        <v>1.7454297646763</v>
      </c>
      <c r="DL195" s="183">
        <f>DL28/DL55</f>
        <v>1.7431384427052239</v>
      </c>
      <c r="DM195" s="183">
        <f>DM28/DM55</f>
        <v>1.7185265149810935</v>
      </c>
      <c r="DN195" s="183">
        <f>DN28/DN55</f>
        <v>1.7127077211570523</v>
      </c>
      <c r="DO195" s="180">
        <f>DO28/DO55</f>
        <v>1.7127077211570523</v>
      </c>
      <c r="DP195" s="181"/>
      <c r="DQ195" s="182">
        <f>DQ28/DQ55</f>
        <v>1.6814190663601998</v>
      </c>
      <c r="DR195" s="183">
        <f>DR28/DR55</f>
        <v>1.6801797456302037</v>
      </c>
      <c r="DS195" s="183">
        <f>DS28/DS55</f>
        <v>1.6553704103395575</v>
      </c>
      <c r="DT195" s="183">
        <f>DT28/DT55</f>
        <v>1.6508665275233649</v>
      </c>
      <c r="DU195" s="180">
        <f>DU28/DU55</f>
        <v>1.6508665275233649</v>
      </c>
      <c r="DV195" s="181"/>
      <c r="DW195" s="182">
        <f>DW28/DW55</f>
        <v>1.622312276839676</v>
      </c>
      <c r="DX195" s="183">
        <f>DX28/DX55</f>
        <v>1.6220818266976529</v>
      </c>
      <c r="DY195" s="183">
        <f>DY28/DY55</f>
        <v>1.5994698948980788</v>
      </c>
      <c r="DZ195" s="183">
        <f>DZ28/DZ55</f>
        <v>1.5941282340785525</v>
      </c>
      <c r="EA195" s="180">
        <f>EA28/EA55</f>
        <v>1.5941282340785525</v>
      </c>
      <c r="EB195" s="181"/>
      <c r="EC195" s="182">
        <f t="shared" ref="EC195:EG195" si="1295">EC28/EC55</f>
        <v>1.5654862995536181</v>
      </c>
      <c r="ED195" s="183">
        <f t="shared" si="1295"/>
        <v>1.5635788622684217</v>
      </c>
      <c r="EE195" s="183">
        <f t="shared" si="1295"/>
        <v>1.5406037638101135</v>
      </c>
      <c r="EF195" s="183">
        <f t="shared" si="1295"/>
        <v>1.5368842716260667</v>
      </c>
      <c r="EG195" s="180">
        <f t="shared" si="1295"/>
        <v>1.5368842716260667</v>
      </c>
      <c r="EH195" s="9"/>
      <c r="EI195" s="486"/>
      <c r="EJ195" s="24"/>
    </row>
    <row r="196" spans="1:140" ht="11.25" customHeight="1" x14ac:dyDescent="0.2">
      <c r="A196" s="51" t="s">
        <v>60</v>
      </c>
      <c r="B196" s="2"/>
      <c r="C196" s="2"/>
      <c r="D196" s="2"/>
      <c r="E196" s="184"/>
      <c r="F196" s="181"/>
      <c r="G196" s="184">
        <v>1.2128403214976156</v>
      </c>
      <c r="H196" s="181"/>
      <c r="I196" s="184">
        <v>1.0860183460061514</v>
      </c>
      <c r="J196" s="181"/>
      <c r="K196" s="184">
        <v>1.0673570898816882</v>
      </c>
      <c r="L196" s="181"/>
      <c r="M196" s="185">
        <v>0.94160055365512718</v>
      </c>
      <c r="N196" s="186">
        <v>0.83830640183506389</v>
      </c>
      <c r="O196" s="186">
        <v>0.77265943838540652</v>
      </c>
      <c r="P196" s="186">
        <v>0.77095693511453789</v>
      </c>
      <c r="Q196" s="184">
        <v>0.85458083573255883</v>
      </c>
      <c r="R196" s="181"/>
      <c r="S196" s="185">
        <v>0.78346595643941697</v>
      </c>
      <c r="T196" s="186">
        <v>0.82779823967782806</v>
      </c>
      <c r="U196" s="186">
        <v>0.79844764143512059</v>
      </c>
      <c r="V196" s="186">
        <v>0.85540675880283257</v>
      </c>
      <c r="W196" s="184">
        <v>0.84375832977867993</v>
      </c>
      <c r="X196" s="181"/>
      <c r="Y196" s="185">
        <v>0.77664592276959543</v>
      </c>
      <c r="Z196" s="186">
        <v>0.81484979202841423</v>
      </c>
      <c r="AA196" s="186">
        <v>0.80241978910491296</v>
      </c>
      <c r="AB196" s="186">
        <v>0.88352994657674577</v>
      </c>
      <c r="AC196" s="184">
        <v>0.81953651136932293</v>
      </c>
      <c r="AD196" s="181"/>
      <c r="AE196" s="185">
        <v>0.87092584452384625</v>
      </c>
      <c r="AF196" s="186">
        <v>0.86649328285253935</v>
      </c>
      <c r="AG196" s="186">
        <v>0.89469218899785208</v>
      </c>
      <c r="AH196" s="186">
        <v>0.9647118634713755</v>
      </c>
      <c r="AI196" s="184">
        <v>0.89565516460896921</v>
      </c>
      <c r="AJ196" s="181"/>
      <c r="AK196" s="185">
        <v>0.8534164651322298</v>
      </c>
      <c r="AL196" s="186">
        <v>0.89242632819784318</v>
      </c>
      <c r="AM196" s="186">
        <v>0.8892990321276586</v>
      </c>
      <c r="AN196" s="186">
        <v>0.99581308536194291</v>
      </c>
      <c r="AO196" s="184">
        <v>0.90442352557925743</v>
      </c>
      <c r="AP196" s="181"/>
      <c r="AQ196" s="185">
        <v>0.91321585068050193</v>
      </c>
      <c r="AR196" s="186">
        <v>0.87212795710650015</v>
      </c>
      <c r="AS196" s="186">
        <v>0.80501765857612773</v>
      </c>
      <c r="AT196" s="186">
        <v>0.84395022099940131</v>
      </c>
      <c r="AU196" s="184">
        <v>0.85948556470482484</v>
      </c>
      <c r="AV196" s="181"/>
      <c r="AW196" s="185">
        <v>0.77733327543238928</v>
      </c>
      <c r="AX196" s="186">
        <v>0.80255958167498342</v>
      </c>
      <c r="AY196" s="186">
        <v>0.81158255345532748</v>
      </c>
      <c r="AZ196" s="186">
        <v>0.80813416715336472</v>
      </c>
      <c r="BA196" s="184">
        <v>0.73056307444642832</v>
      </c>
      <c r="BB196" s="181"/>
      <c r="BC196" s="185">
        <v>0.68889746034687449</v>
      </c>
      <c r="BD196" s="186">
        <v>0.7328561358969391</v>
      </c>
      <c r="BE196" s="186">
        <v>0.72063061055117317</v>
      </c>
      <c r="BF196" s="186">
        <v>0.72442999565548083</v>
      </c>
      <c r="BG196" s="184">
        <v>0.73018802111977343</v>
      </c>
      <c r="BH196" s="181"/>
      <c r="BI196" s="185">
        <v>0.59837501458107867</v>
      </c>
      <c r="BJ196" s="186">
        <v>0.59420742769841495</v>
      </c>
      <c r="BK196" s="186">
        <v>0.58706172055375494</v>
      </c>
      <c r="BL196" s="186">
        <v>0.64666998320085367</v>
      </c>
      <c r="BM196" s="184">
        <v>0.60371703019734835</v>
      </c>
      <c r="BN196" s="181"/>
      <c r="BO196" s="185">
        <v>0.60954402092650273</v>
      </c>
      <c r="BP196" s="186">
        <v>0.64413052351896494</v>
      </c>
      <c r="BQ196" s="186">
        <v>0.59510122858925718</v>
      </c>
      <c r="BR196" s="186">
        <v>0.64194035154780527</v>
      </c>
      <c r="BS196" s="184">
        <v>0.61349044724610191</v>
      </c>
      <c r="BT196" s="181"/>
      <c r="BU196" s="185">
        <v>0.57963390842453388</v>
      </c>
      <c r="BV196" s="186">
        <v>0.53452853681465939</v>
      </c>
      <c r="BW196" s="186">
        <v>0.57311714774077049</v>
      </c>
      <c r="BX196" s="186">
        <v>0.6229969681450418</v>
      </c>
      <c r="BY196" s="184">
        <v>0.61691607636054013</v>
      </c>
      <c r="BZ196" s="181"/>
      <c r="CA196" s="185">
        <v>0.57196236182344051</v>
      </c>
      <c r="CB196" s="186">
        <v>0.59144484481326998</v>
      </c>
      <c r="CC196" s="186">
        <v>0.56287842296138579</v>
      </c>
      <c r="CD196" s="186">
        <v>0.6168264100193378</v>
      </c>
      <c r="CE196" s="184">
        <v>0.58070504730233508</v>
      </c>
      <c r="CF196" s="181"/>
      <c r="CG196" s="185">
        <v>0.54360857540784857</v>
      </c>
      <c r="CH196" s="186">
        <v>0.57793507913440878</v>
      </c>
      <c r="CI196" s="186">
        <v>0.5589209668682722</v>
      </c>
      <c r="CJ196" s="186">
        <v>0.61604774729725387</v>
      </c>
      <c r="CK196" s="184">
        <v>0.56551087657439658</v>
      </c>
      <c r="CL196" s="181"/>
      <c r="CM196" s="185">
        <v>0.50941263548055804</v>
      </c>
      <c r="CN196" s="186">
        <v>0.5413135638173725</v>
      </c>
      <c r="CO196" s="186">
        <v>0.52897679384165874</v>
      </c>
      <c r="CP196" s="186">
        <v>0.57624407811646872</v>
      </c>
      <c r="CQ196" s="184">
        <v>0.53455086870795476</v>
      </c>
      <c r="CR196" s="181"/>
      <c r="CS196" s="1077">
        <v>0.51403700864995083</v>
      </c>
      <c r="CT196" s="1078">
        <v>0.54312193826641719</v>
      </c>
      <c r="CU196" s="1078">
        <v>0.46354852142057118</v>
      </c>
      <c r="CV196" s="1078">
        <v>0.48073472813772278</v>
      </c>
      <c r="CW196" s="184">
        <v>0.48261844605164178</v>
      </c>
      <c r="CX196" s="181"/>
      <c r="CY196" s="1077">
        <v>0.44610890632019362</v>
      </c>
      <c r="CZ196" s="1078">
        <v>0.46331288736631454</v>
      </c>
      <c r="DA196" s="1078">
        <f>'Pro Forma IS'!DA11/(AVERAGE(BS!DA28,BS!CZ28))*4</f>
        <v>0.35621091106580521</v>
      </c>
      <c r="DB196" s="1078">
        <f>'Pro Forma IS'!DB11/(AVERAGE(BS!DB28,BS!DA28))*4</f>
        <v>0.42352712927633712</v>
      </c>
      <c r="DC196" s="184">
        <f>'Pro Forma IS'!DC11/(AVERAGE(BS!DC28,BS!CW28))</f>
        <v>0.36105327879808596</v>
      </c>
      <c r="DD196" s="181"/>
      <c r="DE196" s="1077">
        <v>0.37160869622842402</v>
      </c>
      <c r="DF196" s="1078">
        <f>'Pro Forma IS'!DF11/(AVERAGE(BS!DF28,BS!DE28))*4</f>
        <v>0.39696386586703553</v>
      </c>
      <c r="DG196" s="1078">
        <f>'Pro Forma IS'!DG11/(AVERAGE(BS!DG28,BS!DF28))*4</f>
        <v>0.39591641793654736</v>
      </c>
      <c r="DH196" s="1078">
        <f>'Pro Forma IS'!DH11/(AVERAGE(BS!DH28,BS!DG28))*4</f>
        <v>0.43984479983221603</v>
      </c>
      <c r="DI196" s="184">
        <f>'Pro Forma IS'!DI11/(AVERAGE(BS!DI28,BS!DC28))</f>
        <v>0.39871486852308857</v>
      </c>
      <c r="DJ196" s="181"/>
      <c r="DK196" s="185">
        <f>'Pro Forma IS'!DK11/(AVERAGE(BS!DK28,BS!DI28))*4</f>
        <v>0.40073202169198258</v>
      </c>
      <c r="DL196" s="186">
        <f>'Pro Forma IS'!DL11/(AVERAGE(BS!DL28,BS!DK28))*4</f>
        <v>0.41371323146841438</v>
      </c>
      <c r="DM196" s="186">
        <f>'Pro Forma IS'!DM11/(AVERAGE(BS!DM28,BS!DL28))*4</f>
        <v>0.40003406424931648</v>
      </c>
      <c r="DN196" s="186">
        <f>'Pro Forma IS'!DN11/(AVERAGE(BS!DN28,BS!DM28))*4</f>
        <v>0.44004704667694633</v>
      </c>
      <c r="DO196" s="184">
        <f>'Pro Forma IS'!DO11/(AVERAGE(BS!DO28,BS!DI28))</f>
        <v>0.41162224983808426</v>
      </c>
      <c r="DP196" s="181"/>
      <c r="DQ196" s="185">
        <f>'Pro Forma IS'!DQ11/(AVERAGE(BS!DQ28,BS!DO28))*4</f>
        <v>0.39110604965077361</v>
      </c>
      <c r="DR196" s="186">
        <f>'Pro Forma IS'!DR11/(AVERAGE(BS!DR28,BS!DQ28))*4</f>
        <v>0.40497154875741442</v>
      </c>
      <c r="DS196" s="186">
        <f>'Pro Forma IS'!DS11/(AVERAGE(BS!DS28,BS!DR28))*4</f>
        <v>0.38801981473968583</v>
      </c>
      <c r="DT196" s="186">
        <f>'Pro Forma IS'!DT11/(AVERAGE(BS!DT28,BS!DS28))*4</f>
        <v>0.42670750349135961</v>
      </c>
      <c r="DU196" s="184">
        <f>'Pro Forma IS'!DU11/(AVERAGE(BS!DU28,BS!DO28))</f>
        <v>0.40017787581401254</v>
      </c>
      <c r="DV196" s="181"/>
      <c r="DW196" s="185">
        <f>'Pro Forma IS'!DW11/(AVERAGE(BS!DW28,BS!DU28))*4</f>
        <v>0.38038269102693323</v>
      </c>
      <c r="DX196" s="186">
        <f>'Pro Forma IS'!DX11/(AVERAGE(BS!DX28,BS!DW28))*4</f>
        <v>0.3937285153901694</v>
      </c>
      <c r="DY196" s="186">
        <f>'Pro Forma IS'!DY11/(AVERAGE(BS!DY28,BS!DX28))*4</f>
        <v>0.37716638310950651</v>
      </c>
      <c r="DZ196" s="186">
        <f>'Pro Forma IS'!DZ11/(AVERAGE(BS!DZ28,BS!DY28))*4</f>
        <v>0.41412128802285436</v>
      </c>
      <c r="EA196" s="184">
        <f>'Pro Forma IS'!EA11/(AVERAGE(BS!EA28,BS!DU28))</f>
        <v>0.38858276209120796</v>
      </c>
      <c r="EB196" s="181"/>
      <c r="EC196" s="185">
        <f>'Pro Forma IS'!EC11/(AVERAGE(BS!EC28,BS!EA28))*4</f>
        <v>0.36813259363050099</v>
      </c>
      <c r="ED196" s="186">
        <f>'Pro Forma IS'!ED11/(AVERAGE(BS!ED28,BS!EC28))*4</f>
        <v>0.37989685077952234</v>
      </c>
      <c r="EE196" s="186">
        <f>'Pro Forma IS'!EE11/(AVERAGE(BS!EE28,BS!ED28))*4</f>
        <v>0.36276728589755924</v>
      </c>
      <c r="EF196" s="186">
        <f>'Pro Forma IS'!EF11/(AVERAGE(BS!EF28,BS!EE28))*4</f>
        <v>0.39746846699172955</v>
      </c>
      <c r="EG196" s="184">
        <f>'Pro Forma IS'!EG11/(AVERAGE(BS!EG28,BS!EA28))</f>
        <v>0.37468251762873467</v>
      </c>
      <c r="EH196" s="9"/>
      <c r="EI196" s="486"/>
      <c r="EJ196" s="24"/>
    </row>
    <row r="197" spans="1:140" ht="11.25" customHeight="1" x14ac:dyDescent="0.2">
      <c r="A197" s="51" t="s">
        <v>61</v>
      </c>
      <c r="B197" s="2"/>
      <c r="C197" s="2"/>
      <c r="D197" s="2"/>
      <c r="E197" s="152">
        <v>0.11550682182985553</v>
      </c>
      <c r="F197" s="121"/>
      <c r="G197" s="152">
        <v>0.10404909586163888</v>
      </c>
      <c r="H197" s="121"/>
      <c r="I197" s="152">
        <v>0.13427436506943574</v>
      </c>
      <c r="J197" s="121"/>
      <c r="K197" s="152">
        <v>0.13842108732198849</v>
      </c>
      <c r="L197" s="121"/>
      <c r="M197" s="149">
        <v>0.13143264135571775</v>
      </c>
      <c r="N197" s="22">
        <v>0.15760144087489455</v>
      </c>
      <c r="O197" s="22">
        <v>0.15576959764326945</v>
      </c>
      <c r="P197" s="22">
        <v>5.7598385952388149E-2</v>
      </c>
      <c r="Q197" s="152">
        <v>0.12591435590322023</v>
      </c>
      <c r="R197" s="121"/>
      <c r="S197" s="149">
        <v>0.12578382743796851</v>
      </c>
      <c r="T197" s="22">
        <v>0.13806456453050878</v>
      </c>
      <c r="U197" s="22">
        <v>0.15683138537892422</v>
      </c>
      <c r="V197" s="22">
        <v>0.15077436630279109</v>
      </c>
      <c r="W197" s="152">
        <v>0.14363265834023706</v>
      </c>
      <c r="X197" s="121"/>
      <c r="Y197" s="149">
        <v>0.12963973867573964</v>
      </c>
      <c r="Z197" s="22">
        <v>0.14482250706462513</v>
      </c>
      <c r="AA197" s="22">
        <v>0.15567592830888669</v>
      </c>
      <c r="AB197" s="22">
        <v>0.16786989060827059</v>
      </c>
      <c r="AC197" s="152">
        <v>0.15055792768852161</v>
      </c>
      <c r="AD197" s="121"/>
      <c r="AE197" s="149">
        <v>0.13740036068121192</v>
      </c>
      <c r="AF197" s="22">
        <v>0.1605765939139365</v>
      </c>
      <c r="AG197" s="22">
        <v>0.16090896329252816</v>
      </c>
      <c r="AH197" s="22">
        <v>0.15385124414474777</v>
      </c>
      <c r="AI197" s="152">
        <v>0.15353689184791486</v>
      </c>
      <c r="AJ197" s="121"/>
      <c r="AK197" s="149">
        <v>0.1422077737153522</v>
      </c>
      <c r="AL197" s="22">
        <v>0.1637900952335522</v>
      </c>
      <c r="AM197" s="22">
        <v>0.15944517195346777</v>
      </c>
      <c r="AN197" s="22">
        <v>0.15256067904874873</v>
      </c>
      <c r="AO197" s="152">
        <v>0.15460084681911818</v>
      </c>
      <c r="AP197" s="121"/>
      <c r="AQ197" s="149">
        <v>0.13520485763689297</v>
      </c>
      <c r="AR197" s="22">
        <v>0.1571488218938899</v>
      </c>
      <c r="AS197" s="22">
        <v>0.14992183915681775</v>
      </c>
      <c r="AT197" s="22">
        <v>0.15907402850772107</v>
      </c>
      <c r="AU197" s="152">
        <v>0.15094385666004934</v>
      </c>
      <c r="AV197" s="121"/>
      <c r="AW197" s="149">
        <v>0.13658021061147119</v>
      </c>
      <c r="AX197" s="22">
        <v>0.15954040545084611</v>
      </c>
      <c r="AY197" s="22">
        <v>0.16040160357299899</v>
      </c>
      <c r="AZ197" s="22">
        <v>0.13839143734975781</v>
      </c>
      <c r="BA197" s="152">
        <v>0.14847743289946466</v>
      </c>
      <c r="BB197" s="121"/>
      <c r="BC197" s="149">
        <v>0.12416330293039589</v>
      </c>
      <c r="BD197" s="22">
        <v>0.14556555553694631</v>
      </c>
      <c r="BE197" s="22">
        <v>0.15366714035149515</v>
      </c>
      <c r="BF197" s="22">
        <v>0.12662277357574653</v>
      </c>
      <c r="BG197" s="152">
        <v>0.13776830571415269</v>
      </c>
      <c r="BH197" s="121"/>
      <c r="BI197" s="149">
        <v>0.12055523842143315</v>
      </c>
      <c r="BJ197" s="22">
        <v>0.1173451526032316</v>
      </c>
      <c r="BK197" s="22">
        <v>0.15790744174210208</v>
      </c>
      <c r="BL197" s="22">
        <v>0.11489131475629595</v>
      </c>
      <c r="BM197" s="152">
        <v>0.12738745987894387</v>
      </c>
      <c r="BN197" s="121"/>
      <c r="BO197" s="149">
        <v>0.13066859498636901</v>
      </c>
      <c r="BP197" s="22">
        <v>0.15224498041897197</v>
      </c>
      <c r="BQ197" s="22">
        <v>0.26339983186756344</v>
      </c>
      <c r="BR197" s="22">
        <v>0.23029391641484701</v>
      </c>
      <c r="BS197" s="152">
        <v>0.195334871898829</v>
      </c>
      <c r="BT197" s="121"/>
      <c r="BU197" s="149">
        <v>0.16562418031536888</v>
      </c>
      <c r="BV197" s="22">
        <v>0.16178396027107861</v>
      </c>
      <c r="BW197" s="22">
        <v>0.12886949293433089</v>
      </c>
      <c r="BX197" s="22">
        <v>0.15735641444230083</v>
      </c>
      <c r="BY197" s="152">
        <v>0.15216391568062052</v>
      </c>
      <c r="BZ197" s="121"/>
      <c r="CA197" s="149">
        <v>0.16129929104304713</v>
      </c>
      <c r="CB197" s="22">
        <v>0.17000109805644015</v>
      </c>
      <c r="CC197" s="22">
        <v>0.16240516362812818</v>
      </c>
      <c r="CD197" s="22">
        <v>0.16550088438655722</v>
      </c>
      <c r="CE197" s="152">
        <v>0.1648813826641255</v>
      </c>
      <c r="CF197" s="121"/>
      <c r="CG197" s="149">
        <v>0.20752806713613961</v>
      </c>
      <c r="CH197" s="22">
        <v>0.17008970976253296</v>
      </c>
      <c r="CI197" s="22">
        <v>0.16679874065665759</v>
      </c>
      <c r="CJ197" s="22">
        <v>0.20107467674255236</v>
      </c>
      <c r="CK197" s="152">
        <v>0.18652578721623597</v>
      </c>
      <c r="CL197" s="121"/>
      <c r="CM197" s="149">
        <v>0.12114795458641188</v>
      </c>
      <c r="CN197" s="22">
        <v>0.14610640744224937</v>
      </c>
      <c r="CO197" s="22">
        <v>0.1866117142189459</v>
      </c>
      <c r="CP197" s="22">
        <v>0.24608552505646819</v>
      </c>
      <c r="CQ197" s="152">
        <v>0.17754516027983713</v>
      </c>
      <c r="CR197" s="121"/>
      <c r="CS197" s="463">
        <v>0.15508978209470259</v>
      </c>
      <c r="CT197" s="353">
        <v>0.18296370967741932</v>
      </c>
      <c r="CU197" s="353">
        <v>0.15421825854998603</v>
      </c>
      <c r="CV197" s="353">
        <v>0.15523042414355645</v>
      </c>
      <c r="CW197" s="152">
        <v>0.16164062462006806</v>
      </c>
      <c r="CX197" s="121"/>
      <c r="CY197" s="463">
        <v>0.19375556875556876</v>
      </c>
      <c r="CZ197" s="353">
        <v>0.1673465859982714</v>
      </c>
      <c r="DA197" s="353">
        <f>'Pro Forma IS'!DA27/'Pro Forma IS'!DA11</f>
        <v>0.1153650686091819</v>
      </c>
      <c r="DB197" s="353">
        <f>'Pro Forma IS'!DB27/'Pro Forma IS'!DB11</f>
        <v>0.15190977902842309</v>
      </c>
      <c r="DC197" s="152">
        <f>'Pro Forma IS'!DC27/'Pro Forma IS'!DC11</f>
        <v>0.15467587546794301</v>
      </c>
      <c r="DD197" s="121"/>
      <c r="DE197" s="463">
        <v>0.13677487724992263</v>
      </c>
      <c r="DF197" s="353">
        <f>'Pro Forma IS'!DF27/'Pro Forma IS'!DF11</f>
        <v>0.15981907274783266</v>
      </c>
      <c r="DG197" s="353">
        <f>'Pro Forma IS'!DG27/'Pro Forma IS'!DG11</f>
        <v>0.16116779294200784</v>
      </c>
      <c r="DH197" s="353">
        <f>'Pro Forma IS'!DH27/'Pro Forma IS'!DH11</f>
        <v>0.19250054073185596</v>
      </c>
      <c r="DI197" s="152">
        <f>'Pro Forma IS'!DI27/'Pro Forma IS'!DI11</f>
        <v>0.16447623256245328</v>
      </c>
      <c r="DJ197" s="121"/>
      <c r="DK197" s="149">
        <f>'Pro Forma IS'!DK27/'Pro Forma IS'!DK11</f>
        <v>0.15187204498019322</v>
      </c>
      <c r="DL197" s="22">
        <f>'Pro Forma IS'!DL27/'Pro Forma IS'!DL11</f>
        <v>0.16534737673409916</v>
      </c>
      <c r="DM197" s="22">
        <f>'Pro Forma IS'!DM27/'Pro Forma IS'!DM11</f>
        <v>0.16690150373942753</v>
      </c>
      <c r="DN197" s="22">
        <f>'Pro Forma IS'!DN27/'Pro Forma IS'!DN11</f>
        <v>0.19430406907617795</v>
      </c>
      <c r="DO197" s="152">
        <f>'Pro Forma IS'!DO27/'Pro Forma IS'!DO11</f>
        <v>0.17045630547019386</v>
      </c>
      <c r="DP197" s="121"/>
      <c r="DQ197" s="149">
        <f>'Pro Forma IS'!DQ27/'Pro Forma IS'!DQ11</f>
        <v>0.16523031560438264</v>
      </c>
      <c r="DR197" s="22">
        <f>'Pro Forma IS'!DR27/'Pro Forma IS'!DR11</f>
        <v>0.17821673673191402</v>
      </c>
      <c r="DS197" s="22">
        <f>'Pro Forma IS'!DS27/'Pro Forma IS'!DS11</f>
        <v>0.17877615762244356</v>
      </c>
      <c r="DT197" s="22">
        <f>'Pro Forma IS'!DT27/'Pro Forma IS'!DT11</f>
        <v>0.20455355857251437</v>
      </c>
      <c r="DU197" s="152">
        <f>'Pro Forma IS'!DU27/'Pro Forma IS'!DU11</f>
        <v>0.18244485086867082</v>
      </c>
      <c r="DV197" s="121"/>
      <c r="DW197" s="149">
        <f>'Pro Forma IS'!DW27/'Pro Forma IS'!DW11</f>
        <v>0.17774643275345506</v>
      </c>
      <c r="DX197" s="22">
        <f>'Pro Forma IS'!DX27/'Pro Forma IS'!DX11</f>
        <v>0.18997915749978883</v>
      </c>
      <c r="DY197" s="22">
        <f>'Pro Forma IS'!DY27/'Pro Forma IS'!DY11</f>
        <v>0.19075110405018497</v>
      </c>
      <c r="DZ197" s="22">
        <f>'Pro Forma IS'!DZ27/'Pro Forma IS'!DZ11</f>
        <v>0.24647575716129155</v>
      </c>
      <c r="EA197" s="152">
        <f>'Pro Forma IS'!EA27/'Pro Forma IS'!EA11</f>
        <v>0.20264043254017253</v>
      </c>
      <c r="EB197" s="121"/>
      <c r="EC197" s="149">
        <f>'Pro Forma IS'!EC27/'Pro Forma IS'!EC11</f>
        <v>0.22784131954954467</v>
      </c>
      <c r="ED197" s="22">
        <f>'Pro Forma IS'!ED27/'Pro Forma IS'!ED11</f>
        <v>0.24142258289664739</v>
      </c>
      <c r="EE197" s="22">
        <f>'Pro Forma IS'!EE27/'Pro Forma IS'!EE11</f>
        <v>0.24804581117843619</v>
      </c>
      <c r="EF197" s="22">
        <f>'Pro Forma IS'!EF27/'Pro Forma IS'!EF11</f>
        <v>0.26748425624599848</v>
      </c>
      <c r="EG197" s="152">
        <f>'Pro Forma IS'!EG27/'Pro Forma IS'!EG11</f>
        <v>0.24690609278092149</v>
      </c>
      <c r="EH197" s="9"/>
      <c r="EI197" s="486"/>
      <c r="EJ197" s="15"/>
    </row>
    <row r="198" spans="1:140" ht="11.25" customHeight="1" x14ac:dyDescent="0.2">
      <c r="A198" s="51" t="s">
        <v>62</v>
      </c>
      <c r="B198" s="2"/>
      <c r="C198" s="2"/>
      <c r="D198" s="2"/>
      <c r="E198" s="152">
        <v>0.61354279937326939</v>
      </c>
      <c r="F198" s="121"/>
      <c r="G198" s="152">
        <v>0.60629620751431945</v>
      </c>
      <c r="H198" s="121"/>
      <c r="I198" s="152">
        <v>0.6088115126414505</v>
      </c>
      <c r="J198" s="121"/>
      <c r="K198" s="152">
        <v>0.62000022947885336</v>
      </c>
      <c r="L198" s="121"/>
      <c r="M198" s="149">
        <v>0.62501986724893477</v>
      </c>
      <c r="N198" s="22">
        <v>0.625</v>
      </c>
      <c r="O198" s="22">
        <v>0.62510680717744238</v>
      </c>
      <c r="P198" s="22">
        <v>0.62466700674488451</v>
      </c>
      <c r="Q198" s="152">
        <v>0.625</v>
      </c>
      <c r="R198" s="121"/>
      <c r="S198" s="149">
        <v>0.65499988124737762</v>
      </c>
      <c r="T198" s="22">
        <v>0.65500072662020514</v>
      </c>
      <c r="U198" s="22">
        <v>0.66165446834896413</v>
      </c>
      <c r="V198" s="22">
        <v>0.66690075636984103</v>
      </c>
      <c r="W198" s="152">
        <v>0.66030816500365042</v>
      </c>
      <c r="X198" s="121"/>
      <c r="Y198" s="149">
        <v>0.66499867807605229</v>
      </c>
      <c r="Z198" s="22">
        <v>0.6649981135785149</v>
      </c>
      <c r="AA198" s="22">
        <v>0.67999999999999994</v>
      </c>
      <c r="AB198" s="22">
        <v>0.67999887964596795</v>
      </c>
      <c r="AC198" s="152">
        <v>0.67353880318932036</v>
      </c>
      <c r="AD198" s="121"/>
      <c r="AE198" s="149">
        <v>0.6850001179050631</v>
      </c>
      <c r="AF198" s="22">
        <v>0.69999692702451455</v>
      </c>
      <c r="AG198" s="22">
        <v>0.71499330560619878</v>
      </c>
      <c r="AH198" s="22">
        <v>0.71507277497053146</v>
      </c>
      <c r="AI198" s="152">
        <v>0.7053130642767329</v>
      </c>
      <c r="AJ198" s="121"/>
      <c r="AK198" s="149">
        <v>0.72499845954772313</v>
      </c>
      <c r="AL198" s="22">
        <v>0.72499920858526712</v>
      </c>
      <c r="AM198" s="22">
        <v>0.72982403541618179</v>
      </c>
      <c r="AN198" s="22">
        <v>0.72881630762103322</v>
      </c>
      <c r="AO198" s="152">
        <v>0.72729216925542062</v>
      </c>
      <c r="AP198" s="121"/>
      <c r="AQ198" s="149">
        <v>0.7475664289663182</v>
      </c>
      <c r="AR198" s="22">
        <v>0.85518662974053827</v>
      </c>
      <c r="AS198" s="22">
        <v>0.73106129841644352</v>
      </c>
      <c r="AT198" s="22">
        <v>0.76624636043215066</v>
      </c>
      <c r="AU198" s="152">
        <v>0.77629662601139526</v>
      </c>
      <c r="AV198" s="121"/>
      <c r="AW198" s="149">
        <v>0.73056341913099021</v>
      </c>
      <c r="AX198" s="22">
        <v>0.73270269497870888</v>
      </c>
      <c r="AY198" s="22">
        <v>0.763559706994825</v>
      </c>
      <c r="AZ198" s="22">
        <v>0.73663712986989105</v>
      </c>
      <c r="BA198" s="152">
        <v>0.74155457821757986</v>
      </c>
      <c r="BB198" s="121"/>
      <c r="BC198" s="149">
        <v>0.73523898158611978</v>
      </c>
      <c r="BD198" s="22">
        <v>0.76031647079004749</v>
      </c>
      <c r="BE198" s="22">
        <v>0.75455991172270542</v>
      </c>
      <c r="BF198" s="22">
        <v>0.76000079558846223</v>
      </c>
      <c r="BG198" s="152">
        <v>0.75323027919055985</v>
      </c>
      <c r="BH198" s="121"/>
      <c r="BI198" s="149">
        <v>0.75025490635545455</v>
      </c>
      <c r="BJ198" s="22">
        <v>0.94247037299113257</v>
      </c>
      <c r="BK198" s="22">
        <v>0.80894473657552801</v>
      </c>
      <c r="BL198" s="22">
        <v>0.74162575741158987</v>
      </c>
      <c r="BM198" s="152">
        <v>0.80829103547405412</v>
      </c>
      <c r="BN198" s="121"/>
      <c r="BO198" s="149">
        <v>0.74478213854080577</v>
      </c>
      <c r="BP198" s="22">
        <v>0.73922132645207683</v>
      </c>
      <c r="BQ198" s="22">
        <v>0.77797022744932454</v>
      </c>
      <c r="BR198" s="22">
        <v>0.87317055055240933</v>
      </c>
      <c r="BS198" s="152">
        <v>0.7958844477724657</v>
      </c>
      <c r="BT198" s="121"/>
      <c r="BU198" s="149">
        <v>0.74264131763873953</v>
      </c>
      <c r="BV198" s="22">
        <v>0.7604103423363533</v>
      </c>
      <c r="BW198" s="22">
        <v>0.90779465526288727</v>
      </c>
      <c r="BX198" s="22">
        <v>0.75939062493684351</v>
      </c>
      <c r="BY198" s="152">
        <v>0.7906881764345518</v>
      </c>
      <c r="BZ198" s="121"/>
      <c r="CA198" s="149">
        <v>0.7469118069520253</v>
      </c>
      <c r="CB198" s="22">
        <v>0.77535202170262241</v>
      </c>
      <c r="CC198" s="22">
        <v>0.76516524891925819</v>
      </c>
      <c r="CD198" s="22">
        <v>0.76560602380374043</v>
      </c>
      <c r="CE198" s="152">
        <v>0.7636840706788891</v>
      </c>
      <c r="CF198" s="121"/>
      <c r="CG198" s="149">
        <v>0.75010841283607965</v>
      </c>
      <c r="CH198" s="22">
        <v>0.76545048399106475</v>
      </c>
      <c r="CI198" s="22">
        <v>0.76656394453004628</v>
      </c>
      <c r="CJ198" s="22">
        <v>0.74532577903682729</v>
      </c>
      <c r="CK198" s="152">
        <v>0.75574873808188447</v>
      </c>
      <c r="CL198" s="121"/>
      <c r="CM198" s="149">
        <v>0.66232800297508343</v>
      </c>
      <c r="CN198" s="22">
        <v>0.71011589640864203</v>
      </c>
      <c r="CO198" s="22">
        <v>0.77561475409836078</v>
      </c>
      <c r="CP198" s="22">
        <v>0.78508089607965159</v>
      </c>
      <c r="CQ198" s="152">
        <v>0.74781662598876708</v>
      </c>
      <c r="CR198" s="121"/>
      <c r="CS198" s="463">
        <v>0.76637824474660088</v>
      </c>
      <c r="CT198" s="353">
        <v>0.78820936639118455</v>
      </c>
      <c r="CU198" s="353">
        <v>0.90447915322060146</v>
      </c>
      <c r="CV198" s="353">
        <v>0.68363437328954602</v>
      </c>
      <c r="CW198" s="152">
        <v>0.78178590769601042</v>
      </c>
      <c r="CX198" s="121"/>
      <c r="CY198" s="463">
        <v>0.72657597240850746</v>
      </c>
      <c r="CZ198" s="353">
        <v>0.6783390145646111</v>
      </c>
      <c r="DA198" s="353">
        <f>1-'Pro Forma IS'!DA59</f>
        <v>0.84455632473253639</v>
      </c>
      <c r="DB198" s="353">
        <f>1-'Pro Forma IS'!DB59</f>
        <v>1.0726593911545088</v>
      </c>
      <c r="DC198" s="152">
        <f>1-'Pro Forma IS'!DC59</f>
        <v>0.82464672768352942</v>
      </c>
      <c r="DD198" s="121"/>
      <c r="DE198" s="463">
        <f>1-'Pro Forma IS'!DE59</f>
        <v>0.82672590567327398</v>
      </c>
      <c r="DF198" s="353">
        <f>1-'Pro Forma IS'!DF59</f>
        <v>0.83004994450610436</v>
      </c>
      <c r="DG198" s="353">
        <f>1-'Pro Forma IS'!DG59</f>
        <v>0.78391340093176209</v>
      </c>
      <c r="DH198" s="353">
        <f>1-'Pro Forma IS'!DH59</f>
        <v>0.87497446373850862</v>
      </c>
      <c r="DI198" s="152">
        <f>1-'Pro Forma IS'!DI59</f>
        <v>0.83282473132546109</v>
      </c>
      <c r="DJ198" s="121"/>
      <c r="DK198" s="149">
        <f>1-'Pro Forma IS'!DK59</f>
        <v>0.79455896788669167</v>
      </c>
      <c r="DL198" s="22">
        <f>1-'Pro Forma IS'!DL59</f>
        <v>0.79400000000000004</v>
      </c>
      <c r="DM198" s="22">
        <f>1-'Pro Forma IS'!DM59</f>
        <v>0.79400000000000004</v>
      </c>
      <c r="DN198" s="22">
        <f>1-'Pro Forma IS'!DN59</f>
        <v>0.79400000000000004</v>
      </c>
      <c r="DO198" s="152">
        <f>1-'Pro Forma IS'!DO59</f>
        <v>0.79411742369817351</v>
      </c>
      <c r="DP198" s="121"/>
      <c r="DQ198" s="149">
        <f>1-'Pro Forma IS'!DQ59</f>
        <v>0.79400000000000004</v>
      </c>
      <c r="DR198" s="22">
        <f>1-'Pro Forma IS'!DR59</f>
        <v>0.79400000000000004</v>
      </c>
      <c r="DS198" s="22">
        <f>1-'Pro Forma IS'!DS59</f>
        <v>0.79400000000000004</v>
      </c>
      <c r="DT198" s="22">
        <f>1-'Pro Forma IS'!DT59</f>
        <v>0.79400000000000004</v>
      </c>
      <c r="DU198" s="152">
        <f>1-'Pro Forma IS'!DU59</f>
        <v>0.79400000000000004</v>
      </c>
      <c r="DV198" s="121"/>
      <c r="DW198" s="149">
        <f>1-'Pro Forma IS'!DW59</f>
        <v>0.79400000000000004</v>
      </c>
      <c r="DX198" s="22">
        <f>1-'Pro Forma IS'!DX59</f>
        <v>0.79400000000000004</v>
      </c>
      <c r="DY198" s="22">
        <f>1-'Pro Forma IS'!DY59</f>
        <v>0.79400000000000004</v>
      </c>
      <c r="DZ198" s="22">
        <f>1-'Pro Forma IS'!DZ59</f>
        <v>0.79400000000000004</v>
      </c>
      <c r="EA198" s="152">
        <f>1-'Pro Forma IS'!EA59</f>
        <v>0.79400000000000004</v>
      </c>
      <c r="EB198" s="121"/>
      <c r="EC198" s="149">
        <f>1-'Pro Forma IS'!EC59</f>
        <v>0.79400000000000004</v>
      </c>
      <c r="ED198" s="22">
        <f>1-'Pro Forma IS'!ED59</f>
        <v>0.79400000000000004</v>
      </c>
      <c r="EE198" s="22">
        <f>1-'Pro Forma IS'!EE59</f>
        <v>0.79400000000000004</v>
      </c>
      <c r="EF198" s="22">
        <f>1-'Pro Forma IS'!EF59</f>
        <v>0.79400000000000004</v>
      </c>
      <c r="EG198" s="152">
        <f>1-'Pro Forma IS'!EG59</f>
        <v>0.79400000000000004</v>
      </c>
      <c r="EH198" s="9"/>
      <c r="EI198" s="486"/>
      <c r="EJ198" s="18"/>
    </row>
    <row r="199" spans="1:140" ht="11.25" customHeight="1" x14ac:dyDescent="0.2">
      <c r="A199" s="51" t="s">
        <v>158</v>
      </c>
      <c r="B199" s="2"/>
      <c r="C199" s="2"/>
      <c r="D199" s="2"/>
      <c r="E199" s="152"/>
      <c r="F199" s="121"/>
      <c r="G199" s="152">
        <f t="shared" ref="G199:P199" si="1296">G195*G196*G197*G198</f>
        <v>0.15516867640110041</v>
      </c>
      <c r="H199" s="121"/>
      <c r="I199" s="152">
        <f t="shared" si="1296"/>
        <v>0.15831284562190232</v>
      </c>
      <c r="J199" s="121"/>
      <c r="K199" s="152">
        <f t="shared" si="1296"/>
        <v>0.19013676631879026</v>
      </c>
      <c r="L199" s="121"/>
      <c r="M199" s="149">
        <f t="shared" si="1296"/>
        <v>0.17130969467085902</v>
      </c>
      <c r="N199" s="22">
        <f t="shared" si="1296"/>
        <v>0.1799786430633174</v>
      </c>
      <c r="O199" s="22">
        <f t="shared" si="1296"/>
        <v>0.16099519738971391</v>
      </c>
      <c r="P199" s="22">
        <f t="shared" si="1296"/>
        <v>5.9999849220184497E-2</v>
      </c>
      <c r="Q199" s="152">
        <f t="shared" ref="Q199:BL199" si="1297">Q195*Q196*Q197*Q198</f>
        <v>0.14546870499741754</v>
      </c>
      <c r="R199" s="121"/>
      <c r="S199" s="149">
        <f>S195*S196*S197*S198</f>
        <v>0.13398731101101494</v>
      </c>
      <c r="T199" s="22">
        <f>T195*T196*T197*T198</f>
        <v>0.15434658002366894</v>
      </c>
      <c r="U199" s="22">
        <f>U195*U196*U197*U198</f>
        <v>0.16934681542002308</v>
      </c>
      <c r="V199" s="22">
        <f>V195*V196*V197*V198</f>
        <v>0.17230921108315578</v>
      </c>
      <c r="W199" s="152">
        <f t="shared" si="1297"/>
        <v>0.16031163154640238</v>
      </c>
      <c r="X199" s="121"/>
      <c r="Y199" s="149">
        <f>Y195*Y196*Y197*Y198</f>
        <v>0.13506157146602188</v>
      </c>
      <c r="Z199" s="22">
        <f>Z195*Z196*Z197*Z198</f>
        <v>0.15492285285968863</v>
      </c>
      <c r="AA199" s="22">
        <f>AA195*AA196*AA197*AA198</f>
        <v>0.16178392544153636</v>
      </c>
      <c r="AB199" s="22">
        <f>AB195*AB196*AB197*AB198</f>
        <v>0.19055640171644669</v>
      </c>
      <c r="AC199" s="152">
        <f t="shared" si="1297"/>
        <v>0.15702030645475587</v>
      </c>
      <c r="AD199" s="121"/>
      <c r="AE199" s="149">
        <f t="shared" si="1297"/>
        <v>0.15788774792934934</v>
      </c>
      <c r="AF199" s="22">
        <f t="shared" si="1297"/>
        <v>0.18785900809404005</v>
      </c>
      <c r="AG199" s="22">
        <f t="shared" si="1297"/>
        <v>0.19487414368169018</v>
      </c>
      <c r="AH199" s="22">
        <f t="shared" si="1297"/>
        <v>0.19513877732004808</v>
      </c>
      <c r="AI199" s="152">
        <f t="shared" si="1297"/>
        <v>0.17833238244067678</v>
      </c>
      <c r="AJ199" s="121"/>
      <c r="AK199" s="149">
        <f t="shared" si="1297"/>
        <v>0.16009755728603964</v>
      </c>
      <c r="AL199" s="22">
        <f t="shared" si="1297"/>
        <v>0.19127608831549489</v>
      </c>
      <c r="AM199" s="22">
        <f t="shared" si="1297"/>
        <v>0.18696939110154059</v>
      </c>
      <c r="AN199" s="22">
        <f t="shared" si="1297"/>
        <v>0.19970445036553799</v>
      </c>
      <c r="AO199" s="152">
        <f t="shared" si="1297"/>
        <v>0.18341795632953625</v>
      </c>
      <c r="AP199" s="121"/>
      <c r="AQ199" s="149">
        <f t="shared" si="1297"/>
        <v>0.16065592444192345</v>
      </c>
      <c r="AR199" s="22">
        <f t="shared" si="1297"/>
        <v>0.23827816758062906</v>
      </c>
      <c r="AS199" s="22">
        <f t="shared" si="1297"/>
        <v>0.1724438011325185</v>
      </c>
      <c r="AT199" s="22">
        <f t="shared" si="1297"/>
        <v>0.19915577359236553</v>
      </c>
      <c r="AU199" s="152">
        <f t="shared" si="1297"/>
        <v>0.19498001231261036</v>
      </c>
      <c r="AV199" s="121"/>
      <c r="AW199" s="149">
        <f t="shared" si="1297"/>
        <v>0.14406054280199879</v>
      </c>
      <c r="AX199" s="22">
        <f t="shared" si="1297"/>
        <v>0.16816978880713504</v>
      </c>
      <c r="AY199" s="22">
        <f t="shared" si="1297"/>
        <v>0.17002022572784256</v>
      </c>
      <c r="AZ199" s="22">
        <f t="shared" si="1297"/>
        <v>0.15705451622614797</v>
      </c>
      <c r="BA199" s="152">
        <f t="shared" si="1297"/>
        <v>0.15334351827181522</v>
      </c>
      <c r="BB199" s="121"/>
      <c r="BC199" s="149">
        <f t="shared" si="1297"/>
        <v>0.11726480697558686</v>
      </c>
      <c r="BD199" s="22">
        <f t="shared" si="1297"/>
        <v>0.1448772600737965</v>
      </c>
      <c r="BE199" s="22">
        <f t="shared" si="1297"/>
        <v>0.14474142667073692</v>
      </c>
      <c r="BF199" s="22">
        <f t="shared" si="1297"/>
        <v>0.12408298629112645</v>
      </c>
      <c r="BG199" s="152">
        <f t="shared" si="1297"/>
        <v>0.13486576959726398</v>
      </c>
      <c r="BH199" s="121"/>
      <c r="BI199" s="149">
        <f t="shared" si="1297"/>
        <v>9.5620960533121344E-2</v>
      </c>
      <c r="BJ199" s="22">
        <f t="shared" si="1297"/>
        <v>0.11356482579927929</v>
      </c>
      <c r="BK199" s="22">
        <f t="shared" si="1297"/>
        <v>0.12817928237907547</v>
      </c>
      <c r="BL199" s="22">
        <f t="shared" si="1297"/>
        <v>9.2837405781192414E-2</v>
      </c>
      <c r="BM199" s="152">
        <f t="shared" ref="BM199:DC199" si="1298">BM195*BM196*BM197*BM198</f>
        <v>0.10473604167243604</v>
      </c>
      <c r="BN199" s="121"/>
      <c r="BO199" s="149">
        <f t="shared" si="1298"/>
        <v>9.9494995267435479E-2</v>
      </c>
      <c r="BP199" s="22">
        <f t="shared" si="1298"/>
        <v>0.12071378291251322</v>
      </c>
      <c r="BQ199" s="22">
        <f t="shared" si="1298"/>
        <v>0.199028160747629</v>
      </c>
      <c r="BR199" s="22">
        <f t="shared" si="1298"/>
        <v>0.20916775239647156</v>
      </c>
      <c r="BS199" s="152">
        <f t="shared" si="1298"/>
        <v>0.15454541093746771</v>
      </c>
      <c r="BT199" s="121"/>
      <c r="BU199" s="149">
        <f t="shared" si="1298"/>
        <v>0.11202964470319256</v>
      </c>
      <c r="BV199" s="22">
        <f t="shared" si="1298"/>
        <v>0.12567298269122382</v>
      </c>
      <c r="BW199" s="22">
        <f t="shared" si="1298"/>
        <v>0.12444128998869788</v>
      </c>
      <c r="BX199" s="22">
        <f t="shared" si="1298"/>
        <v>0.13189089732531695</v>
      </c>
      <c r="BY199" s="152">
        <f t="shared" si="1298"/>
        <v>0.13149892893205953</v>
      </c>
      <c r="BZ199" s="121"/>
      <c r="CA199" s="149">
        <f t="shared" si="1298"/>
        <v>0.11761261219929557</v>
      </c>
      <c r="CB199" s="22">
        <f t="shared" si="1298"/>
        <v>0.1327740700639046</v>
      </c>
      <c r="CC199" s="22">
        <f t="shared" si="1298"/>
        <v>0.11698074027522913</v>
      </c>
      <c r="CD199" s="22">
        <f t="shared" si="1298"/>
        <v>0.13538632888710292</v>
      </c>
      <c r="CE199" s="152">
        <f t="shared" si="1298"/>
        <v>0.12666223432962817</v>
      </c>
      <c r="CF199" s="121"/>
      <c r="CG199" s="149">
        <f t="shared" si="1298"/>
        <v>0.13960813788258863</v>
      </c>
      <c r="CH199" s="22">
        <f>CH195*CH196*CH197*CH198</f>
        <v>0.12274609024085181</v>
      </c>
      <c r="CI199" s="22">
        <f t="shared" si="1298"/>
        <v>0.11311525885403638</v>
      </c>
      <c r="CJ199" s="22">
        <f t="shared" si="1298"/>
        <v>0.14300011140782834</v>
      </c>
      <c r="CK199" s="152">
        <f t="shared" si="1298"/>
        <v>0.12347406738489629</v>
      </c>
      <c r="CL199" s="121"/>
      <c r="CM199" s="149">
        <f t="shared" si="1298"/>
        <v>6.2380837222716902E-2</v>
      </c>
      <c r="CN199" s="22">
        <f>CN195*CN196*CN197*CN198</f>
        <v>8.4412873265299074E-2</v>
      </c>
      <c r="CO199" s="22">
        <f>CO195*CO196*CO197*CO198</f>
        <v>0.11460284080249411</v>
      </c>
      <c r="CP199" s="22">
        <f>CP195*CP196*CP197*CP198</f>
        <v>0.17615786254592944</v>
      </c>
      <c r="CQ199" s="152">
        <f t="shared" si="1298"/>
        <v>0.1123021505080853</v>
      </c>
      <c r="CR199" s="121"/>
      <c r="CS199" s="463">
        <f t="shared" ref="CS199:CW199" si="1299">CS195*CS196*CS197*CS198</f>
        <v>9.4503394099008889E-2</v>
      </c>
      <c r="CT199" s="353">
        <f t="shared" si="1299"/>
        <v>0.12020208097937522</v>
      </c>
      <c r="CU199" s="353">
        <f t="shared" si="1299"/>
        <v>0.13906066123092153</v>
      </c>
      <c r="CV199" s="353">
        <f t="shared" si="1299"/>
        <v>0.10384430671757874</v>
      </c>
      <c r="CW199" s="152">
        <f t="shared" si="1299"/>
        <v>0.12414199894661454</v>
      </c>
      <c r="CX199" s="121"/>
      <c r="CY199" s="463">
        <f t="shared" ref="CY199:CZ199" si="1300">CY195*CY196*CY197*CY198</f>
        <v>0.12400604596846378</v>
      </c>
      <c r="CZ199" s="353">
        <f t="shared" si="1300"/>
        <v>0.10815676605415048</v>
      </c>
      <c r="DA199" s="353">
        <f>DA195*DA196*DA197*DA198</f>
        <v>6.1802097588287981E-2</v>
      </c>
      <c r="DB199" s="353">
        <f>DB195*DB196*DB197*DB198</f>
        <v>0.13589430062546293</v>
      </c>
      <c r="DC199" s="152">
        <f t="shared" si="1298"/>
        <v>9.0684748531968229E-2</v>
      </c>
      <c r="DD199" s="121"/>
      <c r="DE199" s="149">
        <f t="shared" ref="DE199" si="1301">DE195*DE196*DE197*DE198</f>
        <v>7.9929581384855897E-2</v>
      </c>
      <c r="DF199" s="22">
        <f t="shared" ref="DF199:DI199" si="1302">DF195*DF196*DF197*DF198</f>
        <v>9.7754242900329635E-2</v>
      </c>
      <c r="DG199" s="22">
        <f t="shared" ref="DG199" si="1303">DG195*DG196*DG197*DG198</f>
        <v>9.0383387756669278E-2</v>
      </c>
      <c r="DH199" s="353">
        <f t="shared" si="1302"/>
        <v>0.13111417880660545</v>
      </c>
      <c r="DI199" s="152">
        <f t="shared" si="1302"/>
        <v>9.6658947015081889E-2</v>
      </c>
      <c r="DJ199" s="121"/>
      <c r="DK199" s="149">
        <f t="shared" ref="DK199:DU199" si="1304">DK195*DK196*DK197*DK198</f>
        <v>8.4403489033557377E-2</v>
      </c>
      <c r="DL199" s="22">
        <f t="shared" si="1304"/>
        <v>9.4678006100315973E-2</v>
      </c>
      <c r="DM199" s="22">
        <f t="shared" si="1304"/>
        <v>9.1103269628866335E-2</v>
      </c>
      <c r="DN199" s="22">
        <f t="shared" si="1304"/>
        <v>0.11627457592932064</v>
      </c>
      <c r="DO199" s="152">
        <f t="shared" si="1304"/>
        <v>9.5428894731647104E-2</v>
      </c>
      <c r="DP199" s="121"/>
      <c r="DQ199" s="149">
        <f t="shared" si="1304"/>
        <v>8.6274159359352634E-2</v>
      </c>
      <c r="DR199" s="22">
        <f t="shared" si="1304"/>
        <v>9.6282918853766122E-2</v>
      </c>
      <c r="DS199" s="22">
        <f t="shared" si="1304"/>
        <v>9.1175718254143043E-2</v>
      </c>
      <c r="DT199" s="22">
        <f t="shared" si="1304"/>
        <v>0.11441152739541308</v>
      </c>
      <c r="DU199" s="152">
        <f t="shared" si="1304"/>
        <v>9.5701148522847349E-2</v>
      </c>
      <c r="DV199" s="121"/>
      <c r="DW199" s="149">
        <f t="shared" ref="DW199:EA199" si="1305">DW195*DW196*DW197*DW198</f>
        <v>8.709166576232015E-2</v>
      </c>
      <c r="DX199" s="22">
        <f t="shared" si="1305"/>
        <v>9.6337658760637199E-2</v>
      </c>
      <c r="DY199" s="22">
        <f t="shared" si="1305"/>
        <v>9.136852416894696E-2</v>
      </c>
      <c r="DZ199" s="22">
        <f t="shared" si="1305"/>
        <v>0.12919494509975143</v>
      </c>
      <c r="EA199" s="152">
        <f t="shared" si="1305"/>
        <v>9.9667460100580307E-2</v>
      </c>
      <c r="EB199" s="121"/>
      <c r="EC199" s="149">
        <f t="shared" ref="EC199:EG199" si="1306">EC195*EC196*EC197*EC198</f>
        <v>0.1042573138827815</v>
      </c>
      <c r="ED199" s="22">
        <f t="shared" si="1306"/>
        <v>0.11386332937355705</v>
      </c>
      <c r="EE199" s="22">
        <f t="shared" si="1306"/>
        <v>0.11007063454013163</v>
      </c>
      <c r="EF199" s="22">
        <f t="shared" si="1306"/>
        <v>0.12973661828278144</v>
      </c>
      <c r="EG199" s="152">
        <f t="shared" si="1306"/>
        <v>0.11289037227269309</v>
      </c>
      <c r="EH199" s="9"/>
      <c r="EI199" s="486"/>
      <c r="EJ199" s="18"/>
    </row>
    <row r="200" spans="1:140" ht="11.25" customHeight="1" x14ac:dyDescent="0.2">
      <c r="A200" s="51"/>
      <c r="B200" s="2"/>
      <c r="C200" s="2"/>
      <c r="D200" s="2"/>
      <c r="E200" s="162"/>
      <c r="F200" s="124"/>
      <c r="G200" s="162"/>
      <c r="H200" s="124"/>
      <c r="I200" s="162"/>
      <c r="J200" s="124"/>
      <c r="K200" s="162"/>
      <c r="L200" s="124"/>
      <c r="M200" s="161"/>
      <c r="N200" s="25"/>
      <c r="O200" s="25"/>
      <c r="P200" s="25"/>
      <c r="Q200" s="162"/>
      <c r="R200" s="124"/>
      <c r="S200" s="161"/>
      <c r="T200" s="25"/>
      <c r="U200" s="25"/>
      <c r="V200" s="25"/>
      <c r="W200" s="162"/>
      <c r="X200" s="124"/>
      <c r="Y200" s="161"/>
      <c r="Z200" s="25"/>
      <c r="AA200" s="25"/>
      <c r="AB200" s="25"/>
      <c r="AC200" s="162"/>
      <c r="AD200" s="124"/>
      <c r="AE200" s="161"/>
      <c r="AF200" s="25"/>
      <c r="AG200" s="25"/>
      <c r="AH200" s="25"/>
      <c r="AI200" s="162"/>
      <c r="AJ200" s="124"/>
      <c r="AK200" s="161"/>
      <c r="AL200" s="25"/>
      <c r="AM200" s="25"/>
      <c r="AN200" s="25"/>
      <c r="AO200" s="162"/>
      <c r="AP200" s="124"/>
      <c r="AQ200" s="161"/>
      <c r="AR200" s="25"/>
      <c r="AS200" s="25"/>
      <c r="AT200" s="25"/>
      <c r="AU200" s="162"/>
      <c r="AV200" s="124"/>
      <c r="AW200" s="161"/>
      <c r="AX200" s="25"/>
      <c r="AY200" s="25"/>
      <c r="AZ200" s="25"/>
      <c r="BA200" s="162"/>
      <c r="BB200" s="124"/>
      <c r="BC200" s="161"/>
      <c r="BD200" s="25"/>
      <c r="BE200" s="25"/>
      <c r="BF200" s="25"/>
      <c r="BG200" s="162"/>
      <c r="BH200" s="124"/>
      <c r="BI200" s="161"/>
      <c r="BJ200" s="25"/>
      <c r="BK200" s="25"/>
      <c r="BL200" s="25"/>
      <c r="BM200" s="162"/>
      <c r="BN200" s="124"/>
      <c r="BO200" s="161"/>
      <c r="BP200" s="25"/>
      <c r="BQ200" s="25"/>
      <c r="BR200" s="25"/>
      <c r="BS200" s="162"/>
      <c r="BT200" s="124"/>
      <c r="BU200" s="161"/>
      <c r="BV200" s="25"/>
      <c r="BW200" s="25"/>
      <c r="BX200" s="25"/>
      <c r="BY200" s="162"/>
      <c r="BZ200" s="124"/>
      <c r="CA200" s="161"/>
      <c r="CB200" s="25"/>
      <c r="CC200" s="25"/>
      <c r="CD200" s="25"/>
      <c r="CE200" s="162"/>
      <c r="CF200" s="124"/>
      <c r="CG200" s="161"/>
      <c r="CH200" s="25"/>
      <c r="CI200" s="25"/>
      <c r="CJ200" s="25"/>
      <c r="CK200" s="162"/>
      <c r="CL200" s="124"/>
      <c r="CM200" s="161"/>
      <c r="CN200" s="25"/>
      <c r="CO200" s="25"/>
      <c r="CP200" s="25"/>
      <c r="CQ200" s="162"/>
      <c r="CR200" s="124"/>
      <c r="CS200" s="1083"/>
      <c r="CT200" s="1084"/>
      <c r="CU200" s="1084"/>
      <c r="CV200" s="1084"/>
      <c r="CW200" s="162"/>
      <c r="CX200" s="124"/>
      <c r="CY200" s="161"/>
      <c r="CZ200" s="25"/>
      <c r="DA200" s="25"/>
      <c r="DB200" s="25"/>
      <c r="DC200" s="162"/>
      <c r="DD200" s="124"/>
      <c r="DE200" s="161"/>
      <c r="DF200" s="25"/>
      <c r="DG200" s="25"/>
      <c r="DH200" s="25"/>
      <c r="DI200" s="162"/>
      <c r="DJ200" s="124"/>
      <c r="DK200" s="161"/>
      <c r="DL200" s="25"/>
      <c r="DM200" s="25"/>
      <c r="DN200" s="25"/>
      <c r="DO200" s="162"/>
      <c r="DP200" s="124"/>
      <c r="DQ200" s="161"/>
      <c r="DR200" s="25"/>
      <c r="DS200" s="25"/>
      <c r="DT200" s="25"/>
      <c r="DU200" s="162"/>
      <c r="DV200" s="124"/>
      <c r="DW200" s="161"/>
      <c r="DX200" s="25"/>
      <c r="DY200" s="25"/>
      <c r="DZ200" s="25"/>
      <c r="EA200" s="162"/>
      <c r="EB200" s="124"/>
      <c r="EC200" s="161"/>
      <c r="ED200" s="25"/>
      <c r="EE200" s="25"/>
      <c r="EF200" s="25"/>
      <c r="EG200" s="162"/>
      <c r="EH200" s="9"/>
      <c r="EI200" s="486"/>
      <c r="EJ200" s="18"/>
    </row>
    <row r="201" spans="1:140" ht="11.25" customHeight="1" x14ac:dyDescent="0.2">
      <c r="A201" s="51" t="s">
        <v>38</v>
      </c>
      <c r="B201" s="2"/>
      <c r="C201" s="2"/>
      <c r="D201" s="2"/>
      <c r="E201" s="187">
        <v>176.60399999999996</v>
      </c>
      <c r="F201" s="188"/>
      <c r="G201" s="187">
        <v>192.22499999999985</v>
      </c>
      <c r="H201" s="188"/>
      <c r="I201" s="187">
        <v>261.36399999999992</v>
      </c>
      <c r="J201" s="188"/>
      <c r="K201" s="187">
        <v>324.21299999999974</v>
      </c>
      <c r="L201" s="188"/>
      <c r="M201" s="189">
        <v>82.582000000000008</v>
      </c>
      <c r="N201" s="190">
        <v>94.23</v>
      </c>
      <c r="O201" s="190">
        <v>87.789999999999992</v>
      </c>
      <c r="P201" s="190">
        <v>166.06299999999996</v>
      </c>
      <c r="Q201" s="187">
        <v>430.66499999999996</v>
      </c>
      <c r="R201" s="188"/>
      <c r="S201" s="189">
        <v>82.735000000000028</v>
      </c>
      <c r="T201" s="190">
        <v>103.66499999999999</v>
      </c>
      <c r="U201" s="190">
        <v>115.51199999999997</v>
      </c>
      <c r="V201" s="190">
        <v>132.20099999999999</v>
      </c>
      <c r="W201" s="187">
        <v>434.11299999999994</v>
      </c>
      <c r="X201" s="188"/>
      <c r="Y201" s="189">
        <v>104.12599999999989</v>
      </c>
      <c r="Z201" s="190">
        <v>120.14399999999995</v>
      </c>
      <c r="AA201" s="190">
        <v>141.61799999999999</v>
      </c>
      <c r="AB201" s="190">
        <v>166.94599999999991</v>
      </c>
      <c r="AC201" s="187">
        <v>532.83400000000006</v>
      </c>
      <c r="AD201" s="188"/>
      <c r="AE201" s="189">
        <v>147.24400000000011</v>
      </c>
      <c r="AF201" s="190">
        <v>183.23299999999995</v>
      </c>
      <c r="AG201" s="190">
        <v>201.79300000000001</v>
      </c>
      <c r="AH201" s="190">
        <v>218.78899999999936</v>
      </c>
      <c r="AI201" s="187">
        <v>751.05899999999951</v>
      </c>
      <c r="AJ201" s="188"/>
      <c r="AK201" s="189">
        <v>195.25599999999991</v>
      </c>
      <c r="AL201" s="190">
        <v>240.0200000000001</v>
      </c>
      <c r="AM201" s="190">
        <v>225.82100000000017</v>
      </c>
      <c r="AN201" s="190">
        <v>239.70400000000018</v>
      </c>
      <c r="AO201" s="187">
        <v>900.80000000000018</v>
      </c>
      <c r="AP201" s="188"/>
      <c r="AQ201" s="189">
        <v>212.64999999999975</v>
      </c>
      <c r="AR201" s="190">
        <v>275.57100000000025</v>
      </c>
      <c r="AS201" s="190">
        <v>265.97599999999977</v>
      </c>
      <c r="AT201" s="190">
        <v>306.00899999999979</v>
      </c>
      <c r="AU201" s="187">
        <v>1060.2060000000001</v>
      </c>
      <c r="AV201" s="188"/>
      <c r="AW201" s="189">
        <v>254.61699999999996</v>
      </c>
      <c r="AX201" s="190">
        <v>318.65600000000012</v>
      </c>
      <c r="AY201" s="190">
        <v>343.50099999999975</v>
      </c>
      <c r="AZ201" s="190">
        <v>404.22500000000025</v>
      </c>
      <c r="BA201" s="187">
        <v>1320.9989999999998</v>
      </c>
      <c r="BB201" s="188"/>
      <c r="BC201" s="189">
        <v>297.50499999999988</v>
      </c>
      <c r="BD201" s="190">
        <v>369.44800000000038</v>
      </c>
      <c r="BE201" s="190">
        <v>393.99200000000002</v>
      </c>
      <c r="BF201" s="190">
        <v>310.68600000000032</v>
      </c>
      <c r="BG201" s="187">
        <v>1371.6310000000026</v>
      </c>
      <c r="BH201" s="188"/>
      <c r="BI201" s="189">
        <v>237.66799999999984</v>
      </c>
      <c r="BJ201" s="190">
        <v>265.685</v>
      </c>
      <c r="BK201" s="190">
        <v>299.37000000000023</v>
      </c>
      <c r="BL201" s="190">
        <v>376.94299999999953</v>
      </c>
      <c r="BM201" s="187">
        <v>1179.6659999999993</v>
      </c>
      <c r="BN201" s="188"/>
      <c r="BO201" s="189">
        <v>317.25400000000076</v>
      </c>
      <c r="BP201" s="190">
        <v>368.4260000000005</v>
      </c>
      <c r="BQ201" s="190">
        <v>392.75900000000024</v>
      </c>
      <c r="BR201" s="190">
        <v>686.95800000000031</v>
      </c>
      <c r="BS201" s="187">
        <v>1765.3970000000013</v>
      </c>
      <c r="BT201" s="188"/>
      <c r="BU201" s="189">
        <v>403.27799999999991</v>
      </c>
      <c r="BV201" s="190">
        <v>485.61800000000028</v>
      </c>
      <c r="BW201" s="190">
        <v>515.92061000000035</v>
      </c>
      <c r="BX201" s="190">
        <v>575.86339000000032</v>
      </c>
      <c r="BY201" s="187">
        <v>1980.6800000000005</v>
      </c>
      <c r="BZ201" s="188"/>
      <c r="CA201" s="189">
        <v>520</v>
      </c>
      <c r="CB201" s="190">
        <v>581.20000000000027</v>
      </c>
      <c r="CC201" s="190">
        <v>548.70000000000005</v>
      </c>
      <c r="CD201" s="190">
        <v>630.39999999999941</v>
      </c>
      <c r="CE201" s="187">
        <v>2280.299999999997</v>
      </c>
      <c r="CF201" s="188"/>
      <c r="CG201" s="189">
        <v>526.64799999999968</v>
      </c>
      <c r="CH201" s="190">
        <v>616.79999999999995</v>
      </c>
      <c r="CI201" s="190">
        <v>597</v>
      </c>
      <c r="CJ201" s="190">
        <v>683.30000000000041</v>
      </c>
      <c r="CK201" s="187">
        <v>2423.7479999999996</v>
      </c>
      <c r="CL201" s="188"/>
      <c r="CM201" s="189">
        <v>427.19999999999959</v>
      </c>
      <c r="CN201" s="190">
        <v>556.29999999999984</v>
      </c>
      <c r="CO201" s="190">
        <v>703.3000000000003</v>
      </c>
      <c r="CP201" s="190">
        <v>1164.8840000000012</v>
      </c>
      <c r="CQ201" s="187">
        <v>2851.6840000000007</v>
      </c>
      <c r="CR201" s="188"/>
      <c r="CS201" s="1079">
        <v>635.95600000000024</v>
      </c>
      <c r="CT201" s="1080">
        <v>769.51599999999974</v>
      </c>
      <c r="CU201" s="1080">
        <v>822.36499999999967</v>
      </c>
      <c r="CV201" s="1080">
        <v>732.1030000000012</v>
      </c>
      <c r="CW201" s="187">
        <v>2959.9399999999969</v>
      </c>
      <c r="CX201" s="188"/>
      <c r="CY201" s="1079">
        <v>713.12899999999991</v>
      </c>
      <c r="CZ201" s="1080">
        <v>875.76600000000008</v>
      </c>
      <c r="DA201" s="190">
        <f>+'Pro Forma IS'!DA34</f>
        <v>608.61800000000062</v>
      </c>
      <c r="DB201" s="190">
        <f>+'Pro Forma IS'!DB34</f>
        <v>734.32899999999995</v>
      </c>
      <c r="DC201" s="187">
        <f>+'Pro Forma IS'!DC34</f>
        <v>2520.5420000000008</v>
      </c>
      <c r="DD201" s="188"/>
      <c r="DE201" s="1079">
        <f>+'Pro Forma IS'!DE34</f>
        <v>599.01899999999966</v>
      </c>
      <c r="DF201" s="1080">
        <f>+'Pro Forma IS'!DF34</f>
        <v>699.65700000000015</v>
      </c>
      <c r="DG201" s="1080">
        <f>+'Pro Forma IS'!DG34</f>
        <v>702.5431899150451</v>
      </c>
      <c r="DH201" s="190">
        <f>+'Pro Forma IS'!DH34</f>
        <v>843.8872114402451</v>
      </c>
      <c r="DI201" s="187">
        <f>+'Pro Forma IS'!DI34</f>
        <v>2845.1064013552905</v>
      </c>
      <c r="DJ201" s="188"/>
      <c r="DK201" s="189">
        <f>+'Pro Forma IS'!DK34</f>
        <v>703.50251016687616</v>
      </c>
      <c r="DL201" s="190">
        <f>+'Pro Forma IS'!DL34</f>
        <v>785.84995961722689</v>
      </c>
      <c r="DM201" s="190">
        <f>+'Pro Forma IS'!DM34</f>
        <v>779.04258590993334</v>
      </c>
      <c r="DN201" s="190">
        <f>+'Pro Forma IS'!DN34</f>
        <v>972.95499237565093</v>
      </c>
      <c r="DO201" s="187">
        <f>+'Pro Forma IS'!DO34</f>
        <v>3241.3500480696871</v>
      </c>
      <c r="DP201" s="188"/>
      <c r="DQ201" s="189">
        <f>+'Pro Forma IS'!DQ34</f>
        <v>783.15496950501642</v>
      </c>
      <c r="DR201" s="190">
        <f>+'Pro Forma IS'!DR34</f>
        <v>867.4131136204569</v>
      </c>
      <c r="DS201" s="190">
        <f>+'Pro Forma IS'!DS34</f>
        <v>849.22177207735433</v>
      </c>
      <c r="DT201" s="190">
        <f>+'Pro Forma IS'!DT34</f>
        <v>1049.0615071626285</v>
      </c>
      <c r="DU201" s="187">
        <f>+'Pro Forma IS'!DU34</f>
        <v>3548.8513623654562</v>
      </c>
      <c r="DV201" s="188"/>
      <c r="DW201" s="189">
        <f>+'Pro Forma IS'!DW34</f>
        <v>861.1628129536399</v>
      </c>
      <c r="DX201" s="190">
        <f>+'Pro Forma IS'!DX34</f>
        <v>948.38418967044288</v>
      </c>
      <c r="DY201" s="190">
        <f>+'Pro Forma IS'!DY34</f>
        <v>929.01523913469509</v>
      </c>
      <c r="DZ201" s="190">
        <f>+'Pro Forma IS'!DZ34</f>
        <v>1283.4539205159699</v>
      </c>
      <c r="EA201" s="187">
        <f>+'Pro Forma IS'!EA34</f>
        <v>4022.0161622747473</v>
      </c>
      <c r="EB201" s="188"/>
      <c r="EC201" s="189">
        <f>+'Pro Forma IS'!EC34</f>
        <v>1102.8842784999376</v>
      </c>
      <c r="ED201" s="190">
        <f>+'Pro Forma IS'!ED34</f>
        <v>1210.8583255728888</v>
      </c>
      <c r="EE201" s="190">
        <f>+'Pro Forma IS'!EE34</f>
        <v>1210.4662109747919</v>
      </c>
      <c r="EF201" s="190">
        <f>+'Pro Forma IS'!EF34</f>
        <v>1433.1044117283325</v>
      </c>
      <c r="EG201" s="187">
        <f>+'Pro Forma IS'!EG34</f>
        <v>4957.3132267759502</v>
      </c>
      <c r="EH201" s="9"/>
      <c r="EI201" s="486"/>
      <c r="EJ201" s="9"/>
    </row>
    <row r="202" spans="1:140" ht="11.25" customHeight="1" x14ac:dyDescent="0.2">
      <c r="A202" s="51" t="s">
        <v>159</v>
      </c>
      <c r="B202" s="2"/>
      <c r="C202" s="2"/>
      <c r="D202" s="2"/>
      <c r="E202" s="187"/>
      <c r="F202" s="188"/>
      <c r="G202" s="187">
        <f>AVERAGE(E55,G55)</f>
        <v>1270.0035</v>
      </c>
      <c r="H202" s="188"/>
      <c r="I202" s="187">
        <f>AVERAGE(G55,I55)</f>
        <v>1554.771</v>
      </c>
      <c r="J202" s="188"/>
      <c r="K202" s="187">
        <f>AVERAGE(I55,K55)</f>
        <v>1825.5435</v>
      </c>
      <c r="L202" s="188"/>
      <c r="M202" s="189">
        <f>AVERAGE(K55,M55)</f>
        <v>1989.2150000000001</v>
      </c>
      <c r="N202" s="190">
        <f>AVERAGE(M55,N55)</f>
        <v>2077.8490000000002</v>
      </c>
      <c r="O202" s="190">
        <f>AVERAGE(N55,O55)</f>
        <v>2161.5045</v>
      </c>
      <c r="P202" s="190">
        <f>AVERAGE(O55,P55)</f>
        <v>2215.9970000000003</v>
      </c>
      <c r="Q202" s="187">
        <f>AVERAGE(K55,Q55)</f>
        <v>2085.4594999999999</v>
      </c>
      <c r="R202" s="188"/>
      <c r="S202" s="189">
        <f>AVERAGE(Q55,S55)</f>
        <v>2423.0925000000002</v>
      </c>
      <c r="T202" s="190">
        <f>AVERAGE(S55,T55)</f>
        <v>2677.6945000000001</v>
      </c>
      <c r="U202" s="190">
        <f>AVERAGE(T55,U55)</f>
        <v>2810.92</v>
      </c>
      <c r="V202" s="190">
        <f>AVERAGE(U55,V55)</f>
        <v>2946.8244999999997</v>
      </c>
      <c r="W202" s="187">
        <f>AVERAGE(Q55,W55)</f>
        <v>2619.0924999999997</v>
      </c>
      <c r="X202" s="188"/>
      <c r="Y202" s="189">
        <f>AVERAGE(W55,Y55)</f>
        <v>3064.5604999999996</v>
      </c>
      <c r="Z202" s="190">
        <f>AVERAGE(Y55,Z55)</f>
        <v>3197.1189999999997</v>
      </c>
      <c r="AA202" s="190">
        <f>AVERAGE(Z55,AA55)</f>
        <v>3367.4399999999996</v>
      </c>
      <c r="AB202" s="190">
        <f>AVERAGE(AA55,AB55)</f>
        <v>3553.4364999999998</v>
      </c>
      <c r="AC202" s="187">
        <f>AVERAGE(W55,AC55)</f>
        <v>3328.1539999999995</v>
      </c>
      <c r="AD202" s="188"/>
      <c r="AE202" s="189">
        <f>AVERAGE(AC55,AE55)</f>
        <v>3714.4714999999997</v>
      </c>
      <c r="AF202" s="190">
        <f>AVERAGE(AE55,AF55)</f>
        <v>3882.8175000000001</v>
      </c>
      <c r="AG202" s="190">
        <f>AVERAGE(AF55,AG55)</f>
        <v>4084.0414999999998</v>
      </c>
      <c r="AH202" s="190">
        <f>AVERAGE(AG55,AH55)</f>
        <v>4402.1819999999998</v>
      </c>
      <c r="AI202" s="187">
        <f>AVERAGE(AI55,AC55)</f>
        <v>4133.1954999999998</v>
      </c>
      <c r="AJ202" s="188"/>
      <c r="AK202" s="189">
        <f>AVERAGE(AI55,AK55)</f>
        <v>4679.3050000000003</v>
      </c>
      <c r="AL202" s="190">
        <f>AVERAGE(AK55,AL55)</f>
        <v>4770.134</v>
      </c>
      <c r="AM202" s="190">
        <f>AVERAGE(AL55,AM55)</f>
        <v>4897.7440000000006</v>
      </c>
      <c r="AN202" s="190">
        <f>AVERAGE(AM55,AN55)</f>
        <v>5037.2489999999998</v>
      </c>
      <c r="AO202" s="187">
        <f>AVERAGE(AO55,AI55)</f>
        <v>4850.0159999999996</v>
      </c>
      <c r="AP202" s="188"/>
      <c r="AQ202" s="189">
        <f>AVERAGE(AO55,AQ55)</f>
        <v>5227.3405000000002</v>
      </c>
      <c r="AR202" s="190">
        <f>AVERAGE(AQ55,AR55)</f>
        <v>5616.9264999999996</v>
      </c>
      <c r="AS202" s="190">
        <f>AVERAGE(AR55,AS55)</f>
        <v>6005.4595000000008</v>
      </c>
      <c r="AT202" s="190">
        <f>AVERAGE(AS55,AT55)</f>
        <v>6398.0285000000003</v>
      </c>
      <c r="AU202" s="187">
        <f>AVERAGE(AU55,AO55)</f>
        <v>5862.5049999999992</v>
      </c>
      <c r="AV202" s="188"/>
      <c r="AW202" s="189">
        <f>AVERAGE(AU55,AW55)</f>
        <v>6845.7014999999992</v>
      </c>
      <c r="AX202" s="190">
        <f>AVERAGE(AW55,AX55)</f>
        <v>7190.4004999999997</v>
      </c>
      <c r="AY202" s="190">
        <f>AVERAGE(AX55,AY55)</f>
        <v>7693.7044999999998</v>
      </c>
      <c r="AZ202" s="190">
        <f>AVERAGE(AY55,AZ55)</f>
        <v>8569.5195000000003</v>
      </c>
      <c r="BA202" s="187">
        <f>AVERAGE(BA55,AU55)</f>
        <v>7865.174</v>
      </c>
      <c r="BB202" s="188"/>
      <c r="BC202" s="189">
        <f>AVERAGE(BA55,BC55)</f>
        <v>9330.1414999999997</v>
      </c>
      <c r="BD202" s="190">
        <f>AVERAGE(BC55,BD55)</f>
        <v>9824.4379999999983</v>
      </c>
      <c r="BE202" s="190">
        <f>AVERAGE(BD55,BE55)</f>
        <v>10123.259</v>
      </c>
      <c r="BF202" s="190">
        <f>AVERAGE(BE55,BF55)</f>
        <v>9990.3994999999995</v>
      </c>
      <c r="BG202" s="187">
        <f>AVERAGE(BG55,BA55)</f>
        <v>9447.125</v>
      </c>
      <c r="BH202" s="188"/>
      <c r="BI202" s="189">
        <f>AVERAGE(BG55,BI55)</f>
        <v>9905.759</v>
      </c>
      <c r="BJ202" s="190">
        <f>AVERAGE(BI55,BJ55)</f>
        <v>10302.7415</v>
      </c>
      <c r="BK202" s="190">
        <f>AVERAGE(BJ55,BK55)</f>
        <v>10906.527999999998</v>
      </c>
      <c r="BL202" s="190">
        <f>AVERAGE(BK55,BL55)</f>
        <v>11420.352499999999</v>
      </c>
      <c r="BM202" s="187">
        <f>AVERAGE(BM55,BG55)</f>
        <v>10719.368999999999</v>
      </c>
      <c r="BN202" s="188"/>
      <c r="BO202" s="189">
        <f>AVERAGE(BM55,BO55)</f>
        <v>11741.677</v>
      </c>
      <c r="BP202" s="190">
        <f>AVERAGE(BO55,BP55)</f>
        <v>11955.594000000001</v>
      </c>
      <c r="BQ202" s="190">
        <f>AVERAGE(BP55,BQ55)</f>
        <v>12614.9715</v>
      </c>
      <c r="BR202" s="190">
        <f>AVERAGE(BQ55,BR55)</f>
        <v>13441.4715</v>
      </c>
      <c r="BS202" s="187">
        <f>AVERAGE(BS55,BM55)</f>
        <v>12670.593000000001</v>
      </c>
      <c r="BT202" s="188"/>
      <c r="BU202" s="189">
        <f>AVERAGE(BS55,BU55)</f>
        <v>14185.094499999999</v>
      </c>
      <c r="BV202" s="190">
        <f>AVERAGE(BU55,BV55)</f>
        <v>15574.3375</v>
      </c>
      <c r="BW202" s="190">
        <f>AVERAGE(BV55,BW55)</f>
        <v>16493.143499999998</v>
      </c>
      <c r="BX202" s="190">
        <f>AVERAGE(BW55,BX55)</f>
        <v>16700.787</v>
      </c>
      <c r="BY202" s="187">
        <f>AVERAGE(BY55,BS55)</f>
        <v>15307.896499999999</v>
      </c>
      <c r="BZ202" s="188"/>
      <c r="CA202" s="189">
        <f>AVERAGE(BY55,CA55)</f>
        <v>17364.044000000002</v>
      </c>
      <c r="CB202" s="190">
        <f>AVERAGE(CA55,CB55)</f>
        <v>18062.610500000003</v>
      </c>
      <c r="CC202" s="190">
        <f>AVERAGE(CB55,CC55)</f>
        <v>18594.001</v>
      </c>
      <c r="CD202" s="190">
        <f>AVERAGE(CC55,CD55)</f>
        <v>18951.292999999998</v>
      </c>
      <c r="CE202" s="187">
        <f>AVERAGE(CE55,BY55)</f>
        <v>17960.641499999998</v>
      </c>
      <c r="CF202" s="188"/>
      <c r="CG202" s="189">
        <f>AVERAGE(CE55,CG55)</f>
        <v>19348.8</v>
      </c>
      <c r="CH202" s="190">
        <f>AVERAGE(CG55,CH55)</f>
        <v>19988.599999999999</v>
      </c>
      <c r="CI202" s="190">
        <f>AVERAGE(CH55,CI55)</f>
        <v>20800.349999999999</v>
      </c>
      <c r="CJ202" s="190">
        <f>AVERAGE(CI55,CJ55)</f>
        <v>21844.949999999997</v>
      </c>
      <c r="CK202" s="187">
        <f>AVERAGE(CK55,CE55)</f>
        <v>20700.900000000001</v>
      </c>
      <c r="CL202" s="188"/>
      <c r="CM202" s="189">
        <f>AVERAGE(CK55,CM55)</f>
        <v>22673.5</v>
      </c>
      <c r="CN202" s="190">
        <f>AVERAGE(CM55,CN55)</f>
        <v>23341.1</v>
      </c>
      <c r="CO202" s="190">
        <f>AVERAGE(CN55,CO55)</f>
        <v>23730.6</v>
      </c>
      <c r="CP202" s="190">
        <f>AVERAGE(CO55,CP55)</f>
        <v>23559.4</v>
      </c>
      <c r="CQ202" s="187">
        <f>AVERAGE(CQ55,CK55)</f>
        <v>22881.699999999997</v>
      </c>
      <c r="CR202" s="188"/>
      <c r="CS202" s="1079">
        <f t="shared" ref="CS202" si="1307">AVERAGE(CQ55,CS55)</f>
        <v>23349.55</v>
      </c>
      <c r="CT202" s="1080">
        <f t="shared" ref="CT202:CV202" si="1308">AVERAGE(CS55,CT55)</f>
        <v>23711.1</v>
      </c>
      <c r="CU202" s="1080">
        <f t="shared" si="1308"/>
        <v>23606.95</v>
      </c>
      <c r="CV202" s="1080">
        <f t="shared" si="1308"/>
        <v>23401.5</v>
      </c>
      <c r="CW202" s="187">
        <f t="shared" ref="CW202" si="1309">AVERAGE(CW55,CQ55)</f>
        <v>23534.199999999997</v>
      </c>
      <c r="CX202" s="188"/>
      <c r="CY202" s="1079">
        <f t="shared" ref="CY202" si="1310">AVERAGE(CW55,CY55)</f>
        <v>24097.5</v>
      </c>
      <c r="CZ202" s="1080">
        <f t="shared" ref="CZ202" si="1311">AVERAGE(CY55,CZ55)</f>
        <v>24774.899999999998</v>
      </c>
      <c r="DA202" s="190">
        <f>AVERAGE(CZ55,DA55)</f>
        <v>24118.35</v>
      </c>
      <c r="DB202" s="190">
        <f>AVERAGE(DA55,DB55)</f>
        <v>23097.199999999997</v>
      </c>
      <c r="DC202" s="187">
        <f>AVERAGE(DC55,CW55)</f>
        <v>23346.55</v>
      </c>
      <c r="DD202" s="188"/>
      <c r="DE202" s="189">
        <f t="shared" ref="DE202" si="1312">AVERAGE(DC55,DE55)</f>
        <v>23394.300000000003</v>
      </c>
      <c r="DF202" s="190">
        <f>AVERAGE(DE55,DF55)</f>
        <v>24187.9</v>
      </c>
      <c r="DG202" s="190">
        <f>AVERAGE(DF55,DG55)</f>
        <v>24982.699999999997</v>
      </c>
      <c r="DH202" s="190">
        <f>AVERAGE(DG55,DH55)</f>
        <v>25866.799999999996</v>
      </c>
      <c r="DI202" s="187">
        <f>AVERAGE(DI55,DC55)</f>
        <v>24680.5</v>
      </c>
      <c r="DJ202" s="188"/>
      <c r="DK202" s="189">
        <f>AVERAGE(DI55,DK55)</f>
        <v>26668.000599999999</v>
      </c>
      <c r="DL202" s="190">
        <f>AVERAGE(DK55,DL55)</f>
        <v>27328.191457397581</v>
      </c>
      <c r="DM202" s="190">
        <f>AVERAGE(DL55,DM55)</f>
        <v>28024.524228105605</v>
      </c>
      <c r="DN202" s="190">
        <f>AVERAGE(DM55,DN55)</f>
        <v>28814.769334371013</v>
      </c>
      <c r="DO202" s="187">
        <f>AVERAGE(DO55,DI55)</f>
        <v>27808.635963662982</v>
      </c>
      <c r="DP202" s="188"/>
      <c r="DQ202" s="189">
        <f>AVERAGE(DO55,DQ55)</f>
        <v>29615.709699465173</v>
      </c>
      <c r="DR202" s="190">
        <f>AVERAGE(DQ55,DR55)</f>
        <v>30372.573705675153</v>
      </c>
      <c r="DS202" s="190">
        <f>AVERAGE(DR55,DS55)</f>
        <v>31162.836870288502</v>
      </c>
      <c r="DT202" s="190">
        <f>AVERAGE(DS55,DT55)</f>
        <v>32044.342405879746</v>
      </c>
      <c r="DU202" s="187">
        <f>AVERAGE(DU55,DO55)</f>
        <v>30897.441469127196</v>
      </c>
      <c r="DV202" s="188"/>
      <c r="DW202" s="189">
        <f>AVERAGE(DU55,DW55)</f>
        <v>32926.616177787095</v>
      </c>
      <c r="DX202" s="190">
        <f>AVERAGE(DW55,DX55)</f>
        <v>33753.341559939377</v>
      </c>
      <c r="DY202" s="190">
        <f>AVERAGE(DX55,DY55)</f>
        <v>34614.539290350658</v>
      </c>
      <c r="DZ202" s="190">
        <f>AVERAGE(DY55,DZ55)</f>
        <v>35644.004512119573</v>
      </c>
      <c r="EA202" s="187">
        <f>AVERAGE(EA55,DU55)</f>
        <v>34392.001614849607</v>
      </c>
      <c r="EB202" s="188"/>
      <c r="EC202" s="189">
        <f t="shared" ref="EC202" si="1313">AVERAGE(EA55,EC55)</f>
        <v>36755.449496213892</v>
      </c>
      <c r="ED202" s="190">
        <f t="shared" ref="ED202:EF202" si="1314">AVERAGE(EC55,ED55)</f>
        <v>37825.514698786588</v>
      </c>
      <c r="EE202" s="190">
        <f t="shared" si="1314"/>
        <v>38950.108438843919</v>
      </c>
      <c r="EF202" s="190">
        <f t="shared" si="1314"/>
        <v>40186.900765052153</v>
      </c>
      <c r="EG202" s="187">
        <f t="shared" ref="EG202" si="1315">AVERAGE(EG55,EA55)</f>
        <v>38555.049747551733</v>
      </c>
      <c r="EH202" s="9"/>
      <c r="EI202" s="486"/>
      <c r="EJ202" s="9"/>
    </row>
    <row r="203" spans="1:140" ht="11.25" customHeight="1" x14ac:dyDescent="0.2">
      <c r="A203" s="105" t="s">
        <v>169</v>
      </c>
      <c r="B203" s="2"/>
      <c r="C203" s="2"/>
      <c r="D203" s="2"/>
      <c r="E203" s="191"/>
      <c r="F203" s="121"/>
      <c r="G203" s="191">
        <f>G201/G202</f>
        <v>0.15135785058860063</v>
      </c>
      <c r="H203" s="121"/>
      <c r="I203" s="191">
        <f>I201/I202</f>
        <v>0.16810449899052654</v>
      </c>
      <c r="J203" s="121"/>
      <c r="K203" s="191">
        <f>K201/K202</f>
        <v>0.17759806873952866</v>
      </c>
      <c r="L203" s="121"/>
      <c r="M203" s="156">
        <f>M201/M202*4</f>
        <v>0.16605947572283539</v>
      </c>
      <c r="N203" s="157">
        <f>N201/N202*4</f>
        <v>0.18139912958063845</v>
      </c>
      <c r="O203" s="157">
        <f>O201/O202*4</f>
        <v>0.1624609155336017</v>
      </c>
      <c r="P203" s="157">
        <f>P201/P202*4</f>
        <v>0.29975311338417865</v>
      </c>
      <c r="Q203" s="191">
        <f>Q201/Q202</f>
        <v>0.20650844574061494</v>
      </c>
      <c r="R203" s="121"/>
      <c r="S203" s="156">
        <f>S201/S202*4</f>
        <v>0.13657753469997538</v>
      </c>
      <c r="T203" s="157">
        <f>T201/T202*4</f>
        <v>0.15485709814917273</v>
      </c>
      <c r="U203" s="157">
        <f>U201/U202*4</f>
        <v>0.16437607616011835</v>
      </c>
      <c r="V203" s="157">
        <f>V201/V202*4</f>
        <v>0.17944875916431399</v>
      </c>
      <c r="W203" s="191">
        <f>W201/W202</f>
        <v>0.16574939602171362</v>
      </c>
      <c r="X203" s="121"/>
      <c r="Y203" s="156">
        <f>Y201/Y202*4</f>
        <v>0.1359098637471832</v>
      </c>
      <c r="Z203" s="157">
        <f>Z201/Z202*4</f>
        <v>0.15031533077123493</v>
      </c>
      <c r="AA203" s="157">
        <f>AA201/AA202*4</f>
        <v>0.16822036918252442</v>
      </c>
      <c r="AB203" s="157">
        <f>AB201/AB202*4</f>
        <v>0.18792625110931338</v>
      </c>
      <c r="AC203" s="191">
        <f>AC201/AC202</f>
        <v>0.16009896176679328</v>
      </c>
      <c r="AD203" s="121"/>
      <c r="AE203" s="156">
        <f>AE201/AE202*4</f>
        <v>0.1585625303626641</v>
      </c>
      <c r="AF203" s="157">
        <f>AF201/AF202*4</f>
        <v>0.18876292795115912</v>
      </c>
      <c r="AG203" s="157">
        <f>AG201/AG202*4</f>
        <v>0.19764049900080596</v>
      </c>
      <c r="AH203" s="157">
        <f>AH201/AH202*4</f>
        <v>0.1988005039319132</v>
      </c>
      <c r="AI203" s="191">
        <f>AI201/AI202</f>
        <v>0.18171388215244103</v>
      </c>
      <c r="AJ203" s="121"/>
      <c r="AK203" s="156">
        <f>AK201/AK202*4</f>
        <v>0.16691025697192202</v>
      </c>
      <c r="AL203" s="157">
        <f>AL201/AL202*4</f>
        <v>0.20126897902658508</v>
      </c>
      <c r="AM203" s="157">
        <f>AM201/AM202*4</f>
        <v>0.1844285858958738</v>
      </c>
      <c r="AN203" s="157">
        <f>AN201/AN202*4</f>
        <v>0.19034516657802716</v>
      </c>
      <c r="AO203" s="191">
        <f>AO201/AO202</f>
        <v>0.18573134604092034</v>
      </c>
      <c r="AP203" s="121"/>
      <c r="AQ203" s="156">
        <f>AQ201/AQ202*4</f>
        <v>0.16272136854295199</v>
      </c>
      <c r="AR203" s="157">
        <f>AR201/AR202*4</f>
        <v>0.1962432657788919</v>
      </c>
      <c r="AS203" s="157">
        <f>AS201/AS202*4</f>
        <v>0.17715613601257305</v>
      </c>
      <c r="AT203" s="157">
        <f>AT201/AT202*4</f>
        <v>0.19131455885199622</v>
      </c>
      <c r="AU203" s="191">
        <f>AU201/AU202</f>
        <v>0.18084521889533575</v>
      </c>
      <c r="AV203" s="121"/>
      <c r="AW203" s="156">
        <f>AW201/AW202*4</f>
        <v>0.14877481876766024</v>
      </c>
      <c r="AX203" s="157">
        <f>AX201/AX202*4</f>
        <v>0.177267455408082</v>
      </c>
      <c r="AY203" s="157">
        <f>AY201/AY202*4</f>
        <v>0.17858809108148085</v>
      </c>
      <c r="AZ203" s="157">
        <f>AZ201/AZ202*4</f>
        <v>0.18868035716588322</v>
      </c>
      <c r="BA203" s="191">
        <f>BA201/BA202</f>
        <v>0.1679554705337733</v>
      </c>
      <c r="BB203" s="121"/>
      <c r="BC203" s="156">
        <f>BC201/BC202*4</f>
        <v>0.12754576122988054</v>
      </c>
      <c r="BD203" s="157">
        <f>BD201/BD202*4</f>
        <v>0.15042000366840341</v>
      </c>
      <c r="BE203" s="157">
        <f>BE201/BE202*4</f>
        <v>0.15567792940988667</v>
      </c>
      <c r="BF203" s="157">
        <f>BF201/BF202*4</f>
        <v>0.12439382429101072</v>
      </c>
      <c r="BG203" s="191">
        <f>BG201/BG202</f>
        <v>0.14519030922105958</v>
      </c>
      <c r="BH203" s="121"/>
      <c r="BI203" s="156">
        <f>BI201/BI202*4</f>
        <v>9.5971646392770033E-2</v>
      </c>
      <c r="BJ203" s="157">
        <f>BJ201/BJ202*4</f>
        <v>0.10315118553639339</v>
      </c>
      <c r="BK203" s="157">
        <f>BK201/BK202*4</f>
        <v>0.10979479445704454</v>
      </c>
      <c r="BL203" s="157">
        <f>BL201/BL202*4</f>
        <v>0.13202499660146202</v>
      </c>
      <c r="BM203" s="191">
        <f>BM201/BM202</f>
        <v>0.11004994790271698</v>
      </c>
      <c r="BN203" s="121"/>
      <c r="BO203" s="156">
        <f>BO201/BO202*4</f>
        <v>0.10807791766031404</v>
      </c>
      <c r="BP203" s="157">
        <f>BP201/BP202*4</f>
        <v>0.12326480808900017</v>
      </c>
      <c r="BQ203" s="157">
        <f>BQ201/BQ202*4</f>
        <v>0.12453741968422212</v>
      </c>
      <c r="BR203" s="157">
        <f>BR201/BR202*4</f>
        <v>0.20442940343250374</v>
      </c>
      <c r="BS203" s="191">
        <f>BS201/BS202</f>
        <v>0.1393302586548239</v>
      </c>
      <c r="BT203" s="121"/>
      <c r="BU203" s="156">
        <f>BU201/BU202*4</f>
        <v>0.11371880532766276</v>
      </c>
      <c r="BV203" s="157">
        <f>BV201/BV202*4</f>
        <v>0.12472260858607957</v>
      </c>
      <c r="BW203" s="157">
        <f>BW201/BW202*4</f>
        <v>0.12512365759747385</v>
      </c>
      <c r="BX203" s="157">
        <f>BX201/BX202*4</f>
        <v>0.13792485108635905</v>
      </c>
      <c r="BY203" s="191">
        <f>BY201/BY202</f>
        <v>0.12938942982793231</v>
      </c>
      <c r="BZ203" s="121"/>
      <c r="CA203" s="156">
        <f>CA201/CA202*4</f>
        <v>0.11978776372600759</v>
      </c>
      <c r="CB203" s="157">
        <f>CB201/CB202*4</f>
        <v>0.12870786312975085</v>
      </c>
      <c r="CC203" s="157">
        <f>CC201/CC202*4</f>
        <v>0.11803807045078679</v>
      </c>
      <c r="CD203" s="157">
        <f>CD201/CD202*4</f>
        <v>0.13305688429807919</v>
      </c>
      <c r="CE203" s="191">
        <f>CE201/CE202</f>
        <v>0.12696094401750613</v>
      </c>
      <c r="CF203" s="121"/>
      <c r="CG203" s="156">
        <f>CG201/CG202*4</f>
        <v>0.10887455552799134</v>
      </c>
      <c r="CH203" s="157">
        <f>CH201/CH202*4</f>
        <v>0.12343035530252244</v>
      </c>
      <c r="CI203" s="157">
        <f>CI201/CI202*4</f>
        <v>0.11480576047999193</v>
      </c>
      <c r="CJ203" s="157">
        <f>CJ201/CJ202*4</f>
        <v>0.12511816232126885</v>
      </c>
      <c r="CK203" s="191">
        <f>CK201/CK202</f>
        <v>0.11708418474559075</v>
      </c>
      <c r="CL203" s="121"/>
      <c r="CM203" s="156">
        <f>CM201/CM202*4</f>
        <v>7.5365514808035744E-2</v>
      </c>
      <c r="CN203" s="157">
        <f>CN201/CN202*4</f>
        <v>9.5333981688952088E-2</v>
      </c>
      <c r="CO203" s="157">
        <f>CO201/CO202*4</f>
        <v>0.1185473607915519</v>
      </c>
      <c r="CP203" s="157">
        <f>CP201/CP202*4</f>
        <v>0.19777821166922777</v>
      </c>
      <c r="CQ203" s="191">
        <f>CQ201/CQ202</f>
        <v>0.124627278567589</v>
      </c>
      <c r="CR203" s="121"/>
      <c r="CS203" s="1081">
        <f t="shared" ref="CS203:CV203" si="1316">CS201/CS202*4</f>
        <v>0.1089453115798806</v>
      </c>
      <c r="CT203" s="1082">
        <f t="shared" si="1316"/>
        <v>0.12981531856387932</v>
      </c>
      <c r="CU203" s="1082">
        <f t="shared" si="1316"/>
        <v>0.13934286301279913</v>
      </c>
      <c r="CV203" s="1082">
        <f t="shared" si="1316"/>
        <v>0.12513779031258701</v>
      </c>
      <c r="CW203" s="191">
        <f t="shared" ref="CW203" si="1317">CW201/CW202</f>
        <v>0.12577185542742039</v>
      </c>
      <c r="CX203" s="121"/>
      <c r="CY203" s="1081">
        <f t="shared" ref="CY203" si="1318">CY201/CY202*4</f>
        <v>0.11837393920531174</v>
      </c>
      <c r="CZ203" s="1082">
        <f t="shared" ref="CZ203" si="1319">CZ201/CZ202*4</f>
        <v>0.14139568676361966</v>
      </c>
      <c r="DA203" s="157">
        <f>DA201/DA202*4</f>
        <v>0.10093857996090125</v>
      </c>
      <c r="DB203" s="157">
        <f>DB201/DB202*4</f>
        <v>0.12717195157854633</v>
      </c>
      <c r="DC203" s="191">
        <f>DC201/DC202</f>
        <v>0.1079620757670834</v>
      </c>
      <c r="DD203" s="121"/>
      <c r="DE203" s="1183">
        <f t="shared" ref="DE203" si="1320">DE201/DE202*4</f>
        <v>0.10242135904899904</v>
      </c>
      <c r="DF203" s="1181">
        <f>DF201/DF202*4</f>
        <v>0.11570363694243818</v>
      </c>
      <c r="DG203" s="1181">
        <f>DG201/DG202*4</f>
        <v>0.11248474983329186</v>
      </c>
      <c r="DH203" s="157">
        <f>DH201/DH202*4</f>
        <v>0.13049734972091565</v>
      </c>
      <c r="DI203" s="191">
        <f>DI201/DI202</f>
        <v>0.11527750253662974</v>
      </c>
      <c r="DJ203" s="121"/>
      <c r="DK203" s="156">
        <f>DK201/DK202*4</f>
        <v>0.10552009814592192</v>
      </c>
      <c r="DL203" s="157">
        <f>DL201/DL202*4</f>
        <v>0.11502407114533032</v>
      </c>
      <c r="DM203" s="157">
        <f>DM201/DM202*4</f>
        <v>0.11119440666594965</v>
      </c>
      <c r="DN203" s="157">
        <f>DN201/DN202*4</f>
        <v>0.13506337407533361</v>
      </c>
      <c r="DO203" s="191">
        <f>DO201/DO202</f>
        <v>0.11655911682633761</v>
      </c>
      <c r="DP203" s="121"/>
      <c r="DQ203" s="156">
        <f>DQ201/DQ202*4</f>
        <v>0.10577561401733478</v>
      </c>
      <c r="DR203" s="157">
        <f>DR201/DR202*4</f>
        <v>0.11423636627255987</v>
      </c>
      <c r="DS203" s="157">
        <f>DS201/DS202*4</f>
        <v>0.10900442416229769</v>
      </c>
      <c r="DT203" s="157">
        <f>DT201/DT202*4</f>
        <v>0.13095122925289157</v>
      </c>
      <c r="DU203" s="191">
        <f>DU201/DU202</f>
        <v>0.11485906902393449</v>
      </c>
      <c r="DV203" s="121"/>
      <c r="DW203" s="156">
        <f>DW201/DW202*4</f>
        <v>0.10461601135127833</v>
      </c>
      <c r="DX203" s="157">
        <f>DX201/DX202*4</f>
        <v>0.11238996150781656</v>
      </c>
      <c r="DY203" s="157">
        <f>DY201/DY202*4</f>
        <v>0.10735549375272749</v>
      </c>
      <c r="DZ203" s="157">
        <f>DZ201/DZ202*4</f>
        <v>0.1440302724773333</v>
      </c>
      <c r="EA203" s="191">
        <f>EA201/EA202</f>
        <v>0.11694626580088729</v>
      </c>
      <c r="EB203" s="121"/>
      <c r="EC203" s="156">
        <f t="shared" ref="EC203:EF203" si="1321">EC201/EC202*4</f>
        <v>0.12002402839486902</v>
      </c>
      <c r="ED203" s="157">
        <f t="shared" si="1321"/>
        <v>0.12804672562583605</v>
      </c>
      <c r="EE203" s="157">
        <f t="shared" si="1321"/>
        <v>0.12430940600592791</v>
      </c>
      <c r="EF203" s="157">
        <f t="shared" si="1321"/>
        <v>0.1426439346598837</v>
      </c>
      <c r="EG203" s="191">
        <f t="shared" ref="EG203" si="1322">EG201/EG202</f>
        <v>0.12857753418125839</v>
      </c>
      <c r="EH203" s="9"/>
      <c r="EI203" s="486"/>
      <c r="EJ203" s="18"/>
    </row>
    <row r="204" spans="1:140" ht="11.25" customHeight="1" x14ac:dyDescent="0.2">
      <c r="A204" s="2"/>
      <c r="B204" s="2"/>
      <c r="C204" s="2"/>
      <c r="D204" s="2"/>
      <c r="E204" s="124"/>
      <c r="F204" s="124"/>
      <c r="G204" s="124"/>
      <c r="H204" s="124"/>
      <c r="I204" s="124"/>
      <c r="J204" s="124"/>
      <c r="K204" s="124"/>
      <c r="L204" s="124"/>
      <c r="M204" s="25"/>
      <c r="N204" s="25"/>
      <c r="O204" s="25"/>
      <c r="P204" s="25"/>
      <c r="Q204" s="124"/>
      <c r="R204" s="124"/>
      <c r="S204" s="25"/>
      <c r="T204" s="25"/>
      <c r="U204" s="25"/>
      <c r="V204" s="25"/>
      <c r="W204" s="124"/>
      <c r="X204" s="124"/>
      <c r="Y204" s="25"/>
      <c r="Z204" s="25"/>
      <c r="AA204" s="25"/>
      <c r="AB204" s="25"/>
      <c r="AC204" s="124"/>
      <c r="AD204" s="124"/>
      <c r="AE204" s="25"/>
      <c r="AF204" s="25"/>
      <c r="AG204" s="25"/>
      <c r="AH204" s="25"/>
      <c r="AI204" s="124"/>
      <c r="AJ204" s="124"/>
      <c r="AK204" s="25"/>
      <c r="AL204" s="25"/>
      <c r="AM204" s="25"/>
      <c r="AN204" s="25"/>
      <c r="AO204" s="124"/>
      <c r="AP204" s="124"/>
      <c r="AQ204" s="25"/>
      <c r="AR204" s="25"/>
      <c r="AS204" s="25"/>
      <c r="AT204" s="25"/>
      <c r="AU204" s="124"/>
      <c r="AV204" s="124"/>
      <c r="AW204" s="25"/>
      <c r="AX204" s="25"/>
      <c r="AY204" s="25"/>
      <c r="AZ204" s="25"/>
      <c r="BA204" s="124"/>
      <c r="BB204" s="124"/>
      <c r="BC204" s="25"/>
      <c r="BD204" s="25"/>
      <c r="BE204" s="25"/>
      <c r="BF204" s="25"/>
      <c r="BG204" s="124"/>
      <c r="BH204" s="124"/>
      <c r="BI204" s="25"/>
      <c r="BJ204" s="25"/>
      <c r="BK204" s="25"/>
      <c r="BL204" s="25"/>
      <c r="BM204" s="124"/>
      <c r="BN204" s="124"/>
      <c r="BO204" s="25"/>
      <c r="BP204" s="25"/>
      <c r="BQ204" s="25"/>
      <c r="BR204" s="25"/>
      <c r="BS204" s="124"/>
      <c r="BT204" s="124"/>
      <c r="BU204" s="25"/>
      <c r="BV204" s="25"/>
      <c r="BW204" s="25"/>
      <c r="BX204" s="25"/>
      <c r="BY204" s="124"/>
      <c r="BZ204" s="124"/>
      <c r="CA204" s="25"/>
      <c r="CB204" s="25"/>
      <c r="CC204" s="25"/>
      <c r="CD204" s="25"/>
      <c r="CE204" s="124"/>
      <c r="CF204" s="124"/>
      <c r="CG204" s="25"/>
      <c r="CH204" s="25"/>
      <c r="CI204" s="25"/>
      <c r="CJ204" s="25"/>
      <c r="CK204" s="124"/>
      <c r="CL204" s="124"/>
      <c r="CM204" s="25"/>
      <c r="CN204" s="25"/>
      <c r="CO204" s="25"/>
      <c r="CP204" s="25"/>
      <c r="CQ204" s="124"/>
      <c r="CR204" s="124"/>
      <c r="CS204" s="25"/>
      <c r="CT204" s="25"/>
      <c r="CU204" s="25"/>
      <c r="CV204" s="25"/>
      <c r="CW204" s="124"/>
      <c r="CX204" s="124"/>
      <c r="CY204" s="25"/>
      <c r="CZ204" s="25"/>
      <c r="DA204" s="25"/>
      <c r="DB204" s="25"/>
      <c r="DC204" s="124"/>
      <c r="DD204" s="124"/>
      <c r="DE204" s="25"/>
      <c r="DF204" s="25"/>
      <c r="DG204" s="25"/>
      <c r="DH204" s="25"/>
      <c r="DI204" s="124"/>
      <c r="DJ204" s="124"/>
      <c r="DK204" s="25"/>
      <c r="DL204" s="25"/>
      <c r="DM204" s="25"/>
      <c r="DN204" s="25"/>
      <c r="DO204" s="124"/>
      <c r="DP204" s="124"/>
      <c r="DQ204" s="25"/>
      <c r="DR204" s="25"/>
      <c r="DS204" s="25"/>
      <c r="DT204" s="25"/>
      <c r="DU204" s="124"/>
      <c r="DV204" s="124"/>
      <c r="DW204" s="25"/>
      <c r="DX204" s="25"/>
      <c r="DY204" s="25"/>
      <c r="DZ204" s="25"/>
      <c r="EA204" s="124"/>
      <c r="EB204" s="124"/>
      <c r="EC204" s="25"/>
      <c r="ED204" s="25"/>
      <c r="EE204" s="25"/>
      <c r="EF204" s="25"/>
      <c r="EG204" s="124"/>
      <c r="EH204" s="9"/>
      <c r="EI204" s="486"/>
      <c r="EJ204" s="18"/>
    </row>
    <row r="205" spans="1:140" ht="11.25" customHeight="1" x14ac:dyDescent="0.2">
      <c r="A205" s="106" t="s">
        <v>257</v>
      </c>
      <c r="B205" s="170"/>
      <c r="C205" s="170"/>
      <c r="D205" s="170"/>
      <c r="E205" s="171"/>
      <c r="F205" s="171"/>
      <c r="G205" s="171"/>
      <c r="H205" s="171"/>
      <c r="I205" s="171"/>
      <c r="J205" s="171"/>
      <c r="K205" s="171"/>
      <c r="L205" s="171"/>
      <c r="M205" s="172"/>
      <c r="N205" s="172"/>
      <c r="O205" s="172"/>
      <c r="P205" s="172"/>
      <c r="Q205" s="171"/>
      <c r="R205" s="171"/>
      <c r="S205" s="172"/>
      <c r="T205" s="172"/>
      <c r="U205" s="172"/>
      <c r="V205" s="172"/>
      <c r="W205" s="171"/>
      <c r="X205" s="171"/>
      <c r="Y205" s="172"/>
      <c r="Z205" s="172"/>
      <c r="AA205" s="172"/>
      <c r="AB205" s="172"/>
      <c r="AC205" s="171"/>
      <c r="AD205" s="171"/>
      <c r="AE205" s="172"/>
      <c r="AF205" s="172"/>
      <c r="AG205" s="172"/>
      <c r="AH205" s="172"/>
      <c r="AI205" s="171"/>
      <c r="AJ205" s="171"/>
      <c r="AK205" s="172"/>
      <c r="AL205" s="172"/>
      <c r="AM205" s="172"/>
      <c r="AN205" s="172"/>
      <c r="AO205" s="171"/>
      <c r="AP205" s="171"/>
      <c r="AQ205" s="172"/>
      <c r="AR205" s="172"/>
      <c r="AS205" s="172"/>
      <c r="AT205" s="172"/>
      <c r="AU205" s="171"/>
      <c r="AV205" s="171"/>
      <c r="AW205" s="172"/>
      <c r="AX205" s="172"/>
      <c r="AY205" s="172"/>
      <c r="AZ205" s="172"/>
      <c r="BA205" s="171"/>
      <c r="BB205" s="171"/>
      <c r="BC205" s="172"/>
      <c r="BD205" s="172"/>
      <c r="BE205" s="172"/>
      <c r="BF205" s="172"/>
      <c r="BG205" s="171"/>
      <c r="BH205" s="171"/>
      <c r="BI205" s="172"/>
      <c r="BJ205" s="172"/>
      <c r="BK205" s="172"/>
      <c r="BL205" s="172"/>
      <c r="BM205" s="171"/>
      <c r="BN205" s="171"/>
      <c r="BO205" s="172"/>
      <c r="BP205" s="172"/>
      <c r="BQ205" s="172"/>
      <c r="BR205" s="172"/>
      <c r="BS205" s="171"/>
      <c r="BT205" s="171"/>
      <c r="BU205" s="172"/>
      <c r="BV205" s="172"/>
      <c r="BW205" s="172"/>
      <c r="BX205" s="172"/>
      <c r="BY205" s="171"/>
      <c r="BZ205" s="171"/>
      <c r="CA205" s="172"/>
      <c r="CB205" s="172"/>
      <c r="CC205" s="172"/>
      <c r="CD205" s="172"/>
      <c r="CE205" s="171"/>
      <c r="CF205" s="171"/>
      <c r="CG205" s="172"/>
      <c r="CH205" s="172"/>
      <c r="CI205" s="172"/>
      <c r="CJ205" s="172"/>
      <c r="CK205" s="171"/>
      <c r="CL205" s="171"/>
      <c r="CM205" s="172"/>
      <c r="CN205" s="172"/>
      <c r="CO205" s="172"/>
      <c r="CP205" s="172"/>
      <c r="CQ205" s="171"/>
      <c r="CR205" s="171"/>
      <c r="CS205" s="172"/>
      <c r="CT205" s="172"/>
      <c r="CU205" s="172"/>
      <c r="CV205" s="172"/>
      <c r="CW205" s="171"/>
      <c r="CX205" s="171"/>
      <c r="CY205" s="172"/>
      <c r="CZ205" s="172"/>
      <c r="DA205" s="172"/>
      <c r="DB205" s="172"/>
      <c r="DC205" s="171"/>
      <c r="DD205" s="171"/>
      <c r="DE205" s="172"/>
      <c r="DF205" s="172"/>
      <c r="DG205" s="172"/>
      <c r="DH205" s="172"/>
      <c r="DI205" s="171"/>
      <c r="DJ205" s="171"/>
      <c r="DK205" s="172"/>
      <c r="DL205" s="172"/>
      <c r="DM205" s="172"/>
      <c r="DN205" s="172"/>
      <c r="DO205" s="171"/>
      <c r="DP205" s="171"/>
      <c r="DQ205" s="172"/>
      <c r="DR205" s="172"/>
      <c r="DS205" s="172"/>
      <c r="DT205" s="172"/>
      <c r="DU205" s="171"/>
      <c r="DV205" s="171"/>
      <c r="DW205" s="172"/>
      <c r="DX205" s="172"/>
      <c r="DY205" s="172"/>
      <c r="DZ205" s="172"/>
      <c r="EA205" s="171"/>
      <c r="EB205" s="171"/>
      <c r="EC205" s="172"/>
      <c r="ED205" s="172"/>
      <c r="EE205" s="172"/>
      <c r="EF205" s="172"/>
      <c r="EG205" s="171"/>
      <c r="EH205" s="9"/>
      <c r="EI205" s="486"/>
      <c r="EJ205" s="24"/>
    </row>
    <row r="206" spans="1:140" ht="11.25" customHeight="1" x14ac:dyDescent="0.2">
      <c r="A206" s="51" t="s">
        <v>249</v>
      </c>
      <c r="B206" s="2"/>
      <c r="C206" s="2"/>
      <c r="D206" s="2"/>
      <c r="E206" s="180"/>
      <c r="F206" s="181"/>
      <c r="G206" s="180"/>
      <c r="H206" s="181"/>
      <c r="I206" s="180"/>
      <c r="J206" s="181"/>
      <c r="K206" s="180"/>
      <c r="L206" s="181"/>
      <c r="M206" s="354">
        <v>1005.283</v>
      </c>
      <c r="N206" s="1208">
        <v>956.64099999999996</v>
      </c>
      <c r="O206" s="1208">
        <v>901.58799999999997</v>
      </c>
      <c r="P206" s="1208">
        <v>918.93200000000002</v>
      </c>
      <c r="Q206" s="1209">
        <v>3782.444</v>
      </c>
      <c r="R206" s="181"/>
      <c r="S206" s="354">
        <v>1004.207</v>
      </c>
      <c r="T206" s="1208">
        <v>1146.326</v>
      </c>
      <c r="U206" s="1208">
        <v>1151.721</v>
      </c>
      <c r="V206" s="1208">
        <v>1274.9780000000001</v>
      </c>
      <c r="W206" s="1209">
        <v>4577.232</v>
      </c>
      <c r="X206" s="181"/>
      <c r="Y206" s="354">
        <v>1196.2149999999999</v>
      </c>
      <c r="Z206" s="1208">
        <v>1299.432</v>
      </c>
      <c r="AA206" s="1208">
        <v>1309.451</v>
      </c>
      <c r="AB206" s="1208">
        <v>1488.7780000000002</v>
      </c>
      <c r="AC206" s="1209">
        <v>5293.8760000000002</v>
      </c>
      <c r="AD206" s="181"/>
      <c r="AE206" s="354">
        <v>1543.191</v>
      </c>
      <c r="AF206" s="1208">
        <v>1621.2449999999999</v>
      </c>
      <c r="AG206" s="1208">
        <v>1745.2850000000001</v>
      </c>
      <c r="AH206" s="1208">
        <v>1979.6329999999996</v>
      </c>
      <c r="AI206" s="1209">
        <v>6889.3539999999994</v>
      </c>
      <c r="AJ206" s="181"/>
      <c r="AK206" s="354">
        <v>1825.9479999999999</v>
      </c>
      <c r="AL206" s="1208">
        <v>1928.627</v>
      </c>
      <c r="AM206" s="1208">
        <v>1966.375</v>
      </c>
      <c r="AN206" s="1208">
        <v>2263.7550000000001</v>
      </c>
      <c r="AO206" s="1209">
        <v>7984.7039999999997</v>
      </c>
      <c r="AP206" s="181"/>
      <c r="AQ206" s="354">
        <v>2113.7849999999999</v>
      </c>
      <c r="AR206" s="1208">
        <v>2318.3820000000001</v>
      </c>
      <c r="AS206" s="1208">
        <v>2408.4949999999999</v>
      </c>
      <c r="AT206" s="1208">
        <v>2625.3939999999998</v>
      </c>
      <c r="AU206" s="1209">
        <v>9466.0560000000005</v>
      </c>
      <c r="AV206" s="181"/>
      <c r="AW206" s="354">
        <v>2521.7049999999999</v>
      </c>
      <c r="AX206" s="1208">
        <v>2631.8850000000002</v>
      </c>
      <c r="AY206" s="1208">
        <v>2731.1509999999998</v>
      </c>
      <c r="AZ206" s="1208">
        <v>3141.1770000000001</v>
      </c>
      <c r="BA206" s="1209">
        <v>11025.918</v>
      </c>
      <c r="BB206" s="181"/>
      <c r="BC206" s="354">
        <v>3028.8739999999998</v>
      </c>
      <c r="BD206" s="1208">
        <v>3283.8950000000004</v>
      </c>
      <c r="BE206" s="1208">
        <v>3208.181</v>
      </c>
      <c r="BF206" s="1208">
        <v>3176.5060000000003</v>
      </c>
      <c r="BG206" s="1209">
        <v>12697.456000000002</v>
      </c>
      <c r="BH206" s="181"/>
      <c r="BI206" s="354">
        <v>2627.7</v>
      </c>
      <c r="BJ206" s="1208">
        <v>2673.6</v>
      </c>
      <c r="BK206" s="1208">
        <v>2750.7000000000003</v>
      </c>
      <c r="BL206" s="1208">
        <v>3132.8999999999996</v>
      </c>
      <c r="BM206" s="1209">
        <v>11184.9</v>
      </c>
      <c r="BN206" s="181"/>
      <c r="BO206" s="354">
        <v>3007.8000000000006</v>
      </c>
      <c r="BP206" s="1208">
        <v>3217.4000000000005</v>
      </c>
      <c r="BQ206" s="1208">
        <v>3092.8</v>
      </c>
      <c r="BR206" s="1208">
        <v>3507.8</v>
      </c>
      <c r="BS206" s="1209">
        <v>12825.800000000001</v>
      </c>
      <c r="BT206" s="181"/>
      <c r="BU206" s="354">
        <v>3278.7</v>
      </c>
      <c r="BV206" s="1208">
        <v>3644.7000000000003</v>
      </c>
      <c r="BW206" s="1208">
        <v>4451.1000000000004</v>
      </c>
      <c r="BX206" s="1208">
        <v>4716.7</v>
      </c>
      <c r="BY206" s="1209">
        <v>16091.199999999999</v>
      </c>
      <c r="BZ206" s="181"/>
      <c r="CA206" s="354">
        <v>4316.2</v>
      </c>
      <c r="CB206" s="1208">
        <v>4553.5</v>
      </c>
      <c r="CC206" s="1208">
        <v>4415.5</v>
      </c>
      <c r="CD206" s="1208">
        <v>4975.2</v>
      </c>
      <c r="CE206" s="1209">
        <v>18260.399999999998</v>
      </c>
      <c r="CF206" s="181"/>
      <c r="CG206" s="354">
        <v>4444.7</v>
      </c>
      <c r="CH206" s="1208">
        <v>4737.5</v>
      </c>
      <c r="CI206" s="1208">
        <v>4669.1000000000004</v>
      </c>
      <c r="CJ206" s="1208">
        <v>5266.7</v>
      </c>
      <c r="CK206" s="1209">
        <v>19118</v>
      </c>
      <c r="CL206" s="181"/>
      <c r="CM206" s="354">
        <v>4439.2</v>
      </c>
      <c r="CN206" s="1208">
        <v>4783.5</v>
      </c>
      <c r="CO206" s="1208">
        <v>4707.1000000000004</v>
      </c>
      <c r="CP206" s="1208">
        <v>5224.2</v>
      </c>
      <c r="CQ206" s="1209">
        <v>19154</v>
      </c>
      <c r="CR206" s="181"/>
      <c r="CS206" s="354">
        <v>4694.7000000000007</v>
      </c>
      <c r="CT206" s="1208">
        <v>4960</v>
      </c>
      <c r="CU206" s="1208">
        <v>5023.3999999999996</v>
      </c>
      <c r="CV206" s="1208">
        <v>5884.8000000000011</v>
      </c>
      <c r="CW206" s="1209">
        <v>20562.899999999998</v>
      </c>
      <c r="CX206" s="181"/>
      <c r="CY206" s="354">
        <v>5387.2</v>
      </c>
      <c r="CZ206" s="1208">
        <v>5785</v>
      </c>
      <c r="DA206" s="1085">
        <f>+'Pro Forma IS'!DA11</f>
        <v>4132.1000000000004</v>
      </c>
      <c r="DB206" s="1085">
        <f>+'Pro Forma IS'!DB11</f>
        <v>4584.3</v>
      </c>
      <c r="DC206" s="163">
        <f>+SUM(CY206:DB206)</f>
        <v>19888.600000000002</v>
      </c>
      <c r="DD206" s="181"/>
      <c r="DE206" s="354">
        <f>+'Pro Forma IS'!DE11</f>
        <v>4205.7</v>
      </c>
      <c r="DF206" s="1208">
        <f>+'Pro Forma IS'!DF11</f>
        <v>4510.1000000000004</v>
      </c>
      <c r="DG206" s="1208">
        <f>+'Pro Forma IS'!DG11</f>
        <v>4528.2</v>
      </c>
      <c r="DH206" s="355">
        <f>+'Pro Forma IS'!DH11</f>
        <v>5085.7</v>
      </c>
      <c r="DI206" s="1209">
        <f>+'Pro Forma IS'!DI11</f>
        <v>18329.7</v>
      </c>
      <c r="DJ206" s="181"/>
      <c r="DK206" s="354">
        <f>+'Pro Forma IS'!DK11</f>
        <v>4695.3999999999996</v>
      </c>
      <c r="DL206" s="1208">
        <f>+'Pro Forma IS'!DL11</f>
        <v>4930.1925000000001</v>
      </c>
      <c r="DM206" s="1208">
        <f>+'Pro Forma IS'!DM11</f>
        <v>4850.5630000000001</v>
      </c>
      <c r="DN206" s="355">
        <f>+'Pro Forma IS'!DN11</f>
        <v>5438.3014999999996</v>
      </c>
      <c r="DO206" s="1209">
        <f>+'Pro Forma IS'!DO11</f>
        <v>19914.456999999999</v>
      </c>
      <c r="DP206" s="181"/>
      <c r="DQ206" s="354">
        <f>+'Pro Forma IS'!DQ11</f>
        <v>4913.6762500000004</v>
      </c>
      <c r="DR206" s="1208">
        <f>+'Pro Forma IS'!DR11</f>
        <v>5168.4449199999999</v>
      </c>
      <c r="DS206" s="1208">
        <f>+'Pro Forma IS'!DS11</f>
        <v>5041.1305800000009</v>
      </c>
      <c r="DT206" s="355">
        <f>+'Pro Forma IS'!DT11</f>
        <v>5650.8861350000006</v>
      </c>
      <c r="DU206" s="1209">
        <f>+'Pro Forma IS'!DU11</f>
        <v>20774.137885000004</v>
      </c>
      <c r="DV206" s="181"/>
      <c r="DW206" s="354">
        <f>+'Pro Forma IS'!DW11</f>
        <v>5123.9233112499996</v>
      </c>
      <c r="DX206" s="1208">
        <f>+'Pro Forma IS'!DX11</f>
        <v>5389.6040598500003</v>
      </c>
      <c r="DY206" s="1208">
        <f>+'Pro Forma IS'!DY11</f>
        <v>5256.8937671500007</v>
      </c>
      <c r="DZ206" s="355">
        <f>+'Pro Forma IS'!DZ11</f>
        <v>5892.3971533250015</v>
      </c>
      <c r="EA206" s="1209">
        <f>+'Pro Forma IS'!EA11</f>
        <v>21662.818291575004</v>
      </c>
      <c r="EB206" s="181"/>
      <c r="EC206" s="354">
        <f>+'Pro Forma IS'!EC11</f>
        <v>5343.3766571562501</v>
      </c>
      <c r="ED206" s="1208">
        <f>+'Pro Forma IS'!ED11</f>
        <v>5620.4517111407504</v>
      </c>
      <c r="EE206" s="1208">
        <f>+'Pro Forma IS'!EE11</f>
        <v>5482.1094238462501</v>
      </c>
      <c r="EF206" s="355">
        <f>+'Pro Forma IS'!EF11</f>
        <v>6144.4747495411257</v>
      </c>
      <c r="EG206" s="1209">
        <f>+'Pro Forma IS'!EG11</f>
        <v>22590.412541684374</v>
      </c>
      <c r="EH206" s="9"/>
      <c r="EI206" s="486"/>
      <c r="EJ206" s="24"/>
    </row>
    <row r="207" spans="1:140" ht="11.25" customHeight="1" x14ac:dyDescent="0.2">
      <c r="A207" s="51" t="s">
        <v>684</v>
      </c>
      <c r="B207" s="2"/>
      <c r="C207" s="2"/>
      <c r="D207" s="2"/>
      <c r="E207" s="184"/>
      <c r="F207" s="181"/>
      <c r="G207" s="184"/>
      <c r="H207" s="181"/>
      <c r="I207" s="184"/>
      <c r="J207" s="181"/>
      <c r="K207" s="184"/>
      <c r="L207" s="181"/>
      <c r="M207" s="354">
        <v>138.423</v>
      </c>
      <c r="N207" s="1080">
        <v>156.613</v>
      </c>
      <c r="O207" s="1080">
        <v>147.63999999999999</v>
      </c>
      <c r="P207" s="1080">
        <v>192.33499999999992</v>
      </c>
      <c r="Q207" s="1210">
        <v>635.01099999999997</v>
      </c>
      <c r="R207" s="181"/>
      <c r="S207" s="354">
        <v>137.22100000000003</v>
      </c>
      <c r="T207" s="1080">
        <v>169.57499999999999</v>
      </c>
      <c r="U207" s="1080">
        <v>186.91299999999998</v>
      </c>
      <c r="V207" s="1080">
        <v>207.41299999999998</v>
      </c>
      <c r="W207" s="1210">
        <v>701.12199999999984</v>
      </c>
      <c r="X207" s="181"/>
      <c r="Y207" s="354">
        <v>167.99299999999991</v>
      </c>
      <c r="Z207" s="1080">
        <v>196.21099999999996</v>
      </c>
      <c r="AA207" s="1080">
        <v>218.76500000000001</v>
      </c>
      <c r="AB207" s="1080">
        <v>259.02599999999995</v>
      </c>
      <c r="AC207" s="1210">
        <v>841.995</v>
      </c>
      <c r="AD207" s="181"/>
      <c r="AE207" s="354">
        <v>226.96600000000009</v>
      </c>
      <c r="AF207" s="1080">
        <v>273.24199999999996</v>
      </c>
      <c r="AG207" s="1080">
        <v>292.92100000000005</v>
      </c>
      <c r="AH207" s="1080">
        <v>317.05699999999939</v>
      </c>
      <c r="AI207" s="1210">
        <v>1110.1859999999995</v>
      </c>
      <c r="AJ207" s="181"/>
      <c r="AK207" s="354">
        <v>278.83699999999993</v>
      </c>
      <c r="AL207" s="1080">
        <v>332.02100000000007</v>
      </c>
      <c r="AM207" s="1080">
        <v>316.68200000000013</v>
      </c>
      <c r="AN207" s="1080">
        <v>340.12900000000019</v>
      </c>
      <c r="AO207" s="1210">
        <v>1267.6680000000001</v>
      </c>
      <c r="AP207" s="181"/>
      <c r="AQ207" s="354">
        <v>292.66899999999976</v>
      </c>
      <c r="AR207" s="1080">
        <v>341.70900000000023</v>
      </c>
      <c r="AS207" s="1080">
        <v>388.62499999999977</v>
      </c>
      <c r="AT207" s="1080">
        <v>428.20699999999977</v>
      </c>
      <c r="AU207" s="1210">
        <v>1451.21</v>
      </c>
      <c r="AV207" s="181"/>
      <c r="AW207" s="354">
        <v>373.11799999999994</v>
      </c>
      <c r="AX207" s="1080">
        <v>453.88800000000015</v>
      </c>
      <c r="AY207" s="1080">
        <v>471.9339999999998</v>
      </c>
      <c r="AZ207" s="1080">
        <v>548.77000000000021</v>
      </c>
      <c r="BA207" s="1210">
        <v>1847.7099999999996</v>
      </c>
      <c r="BB207" s="181"/>
      <c r="BC207" s="354">
        <v>434.22199999999987</v>
      </c>
      <c r="BD207" s="1080">
        <v>516.4640000000004</v>
      </c>
      <c r="BE207" s="1080">
        <v>544.14</v>
      </c>
      <c r="BF207" s="1080">
        <v>428.65100000000041</v>
      </c>
      <c r="BG207" s="1210">
        <v>1923.4770000000024</v>
      </c>
      <c r="BH207" s="181"/>
      <c r="BI207" s="354">
        <v>340.17499999999984</v>
      </c>
      <c r="BJ207" s="1080">
        <v>313.93700000000001</v>
      </c>
      <c r="BK207" s="1080">
        <v>412.60400000000021</v>
      </c>
      <c r="BL207" s="1080">
        <v>503.72199999999953</v>
      </c>
      <c r="BM207" s="1210">
        <v>1570.4379999999992</v>
      </c>
      <c r="BN207" s="181"/>
      <c r="BO207" s="354">
        <v>446.0520000000007</v>
      </c>
      <c r="BP207" s="1080">
        <v>524.06900000000041</v>
      </c>
      <c r="BQ207" s="1080">
        <v>312.06800000000015</v>
      </c>
      <c r="BR207" s="1080">
        <v>814.64500000000044</v>
      </c>
      <c r="BS207" s="1210">
        <v>2096.8340000000017</v>
      </c>
      <c r="BT207" s="181"/>
      <c r="BU207" s="354">
        <v>571.3549999999999</v>
      </c>
      <c r="BV207" s="1080">
        <v>656.02500000000043</v>
      </c>
      <c r="BW207" s="1080">
        <v>618.32361000000026</v>
      </c>
      <c r="BX207" s="1080">
        <v>791.53239000000031</v>
      </c>
      <c r="BY207" s="1210">
        <v>2637.2359999999999</v>
      </c>
      <c r="BZ207" s="181"/>
      <c r="CA207" s="354">
        <v>734.89999999999986</v>
      </c>
      <c r="CB207" s="1080">
        <v>792.30000000000007</v>
      </c>
      <c r="CC207" s="1080">
        <v>755.8</v>
      </c>
      <c r="CD207" s="1080">
        <v>863.09999999999945</v>
      </c>
      <c r="CE207" s="1210">
        <v>3146.0999999999976</v>
      </c>
      <c r="CF207" s="181"/>
      <c r="CG207" s="354">
        <v>709.6479999999998</v>
      </c>
      <c r="CH207" s="1080">
        <v>843.59999999999991</v>
      </c>
      <c r="CI207" s="1080">
        <v>812.4000000000002</v>
      </c>
      <c r="CJ207" s="1080">
        <v>907.00000000000034</v>
      </c>
      <c r="CK207" s="1210">
        <v>3272.6480000000006</v>
      </c>
      <c r="CL207" s="181"/>
      <c r="CM207" s="354">
        <v>636.39999999999975</v>
      </c>
      <c r="CN207" s="1080">
        <v>781.19999999999993</v>
      </c>
      <c r="CO207" s="1080">
        <v>914.20000000000016</v>
      </c>
      <c r="CP207" s="1080">
        <v>1426.3840000000009</v>
      </c>
      <c r="CQ207" s="1210">
        <v>3758.1840000000002</v>
      </c>
      <c r="CR207" s="181"/>
      <c r="CS207" s="354">
        <v>875.10000000000048</v>
      </c>
      <c r="CT207" s="1080">
        <v>1017.1999999999998</v>
      </c>
      <c r="CU207" s="1080">
        <v>969.39999999999952</v>
      </c>
      <c r="CV207" s="1080">
        <v>1135.2000000000012</v>
      </c>
      <c r="CW207" s="1210">
        <v>3996.8999999999978</v>
      </c>
      <c r="CX207" s="181"/>
      <c r="CY207" s="354">
        <v>1051.0999999999999</v>
      </c>
      <c r="CZ207" s="1080">
        <v>1295.5</v>
      </c>
      <c r="DA207" s="1085">
        <f>+'Pro Forma IS'!DA99</f>
        <v>824.30000000000052</v>
      </c>
      <c r="DB207" s="1085">
        <f>+'Pro Forma IS'!DB99</f>
        <v>779.09999999999991</v>
      </c>
      <c r="DC207" s="163">
        <f>+SUM(CY207:DB207)</f>
        <v>3950.0000000000005</v>
      </c>
      <c r="DD207" s="181"/>
      <c r="DE207" s="354">
        <f>+'Pro Forma IS'!DE99</f>
        <v>767.09999999999957</v>
      </c>
      <c r="DF207" s="1080">
        <f>+'Pro Forma IS'!DF99</f>
        <v>880.00000000000023</v>
      </c>
      <c r="DG207" s="1080">
        <f>+'Pro Forma IS'!DG99</f>
        <v>926.89999999999986</v>
      </c>
      <c r="DH207" s="355">
        <f>+'Pro Forma IS'!DH99</f>
        <v>999.80000000000007</v>
      </c>
      <c r="DI207" s="1210">
        <f>+'Pro Forma IS'!DI99</f>
        <v>3573.8</v>
      </c>
      <c r="DJ207" s="181"/>
      <c r="DK207" s="354">
        <f>+'Pro Forma IS'!DK99</f>
        <v>915.29999999999927</v>
      </c>
      <c r="DL207" s="1080">
        <f>+'Pro Forma IS'!DL99</f>
        <v>1021.2149199690089</v>
      </c>
      <c r="DM207" s="1080">
        <f>+'Pro Forma IS'!DM99</f>
        <v>1009.9538586705858</v>
      </c>
      <c r="DN207" s="355">
        <f>+'Pro Forma IS'!DN99</f>
        <v>1252.3991937638311</v>
      </c>
      <c r="DO207" s="1210">
        <f>+'Pro Forma IS'!DO99</f>
        <v>4198.8679724034237</v>
      </c>
      <c r="DP207" s="181"/>
      <c r="DQ207" s="354">
        <f>+'Pro Forma IS'!DQ99</f>
        <v>1005.4658497663477</v>
      </c>
      <c r="DR207" s="1080">
        <f>+'Pro Forma IS'!DR99</f>
        <v>1108.0509549665999</v>
      </c>
      <c r="DS207" s="1080">
        <f>+'Pro Forma IS'!DS99</f>
        <v>1080.7626641527804</v>
      </c>
      <c r="DT207" s="355">
        <f>+'Pro Forma IS'!DT99</f>
        <v>1329.5817654382708</v>
      </c>
      <c r="DU207" s="1210">
        <f>+'Pro Forma IS'!DU99</f>
        <v>4523.8612343240011</v>
      </c>
      <c r="DV207" s="181"/>
      <c r="DW207" s="354">
        <f>+'Pro Forma IS'!DW99</f>
        <v>1088.9631516335912</v>
      </c>
      <c r="DX207" s="1080">
        <f>+'Pro Forma IS'!DX99</f>
        <v>1194.5265885415351</v>
      </c>
      <c r="DY207" s="1080">
        <f>+'Pro Forma IS'!DY99</f>
        <v>1165.4243188352748</v>
      </c>
      <c r="DZ207" s="355">
        <f>+'Pro Forma IS'!DZ99</f>
        <v>1422.1196042359829</v>
      </c>
      <c r="EA207" s="1210">
        <f>+'Pro Forma IS'!EA99</f>
        <v>4871.0336632463868</v>
      </c>
      <c r="EB207" s="181"/>
      <c r="EC207" s="354">
        <f>+'Pro Forma IS'!EC99</f>
        <v>1168.7557468144439</v>
      </c>
      <c r="ED207" s="1080">
        <f>+'Pro Forma IS'!ED99</f>
        <v>1277.51300141668</v>
      </c>
      <c r="EE207" s="1080">
        <f>+'Pro Forma IS'!EE99</f>
        <v>1246.4793457928115</v>
      </c>
      <c r="EF207" s="355">
        <f>+'Pro Forma IS'!EF99</f>
        <v>1505.3691685899207</v>
      </c>
      <c r="EG207" s="1210">
        <f>+'Pro Forma IS'!EG99</f>
        <v>5198.1172626138532</v>
      </c>
      <c r="EH207" s="9"/>
      <c r="EI207" s="486"/>
      <c r="EJ207" s="24"/>
    </row>
    <row r="208" spans="1:140" ht="11.25" customHeight="1" x14ac:dyDescent="0.2">
      <c r="A208" s="51" t="s">
        <v>280</v>
      </c>
      <c r="B208" s="2"/>
      <c r="C208" s="2"/>
      <c r="D208" s="2"/>
      <c r="E208" s="152"/>
      <c r="F208" s="121"/>
      <c r="G208" s="152"/>
      <c r="H208" s="121"/>
      <c r="I208" s="152"/>
      <c r="J208" s="121"/>
      <c r="K208" s="152"/>
      <c r="L208" s="121"/>
      <c r="M208" s="366">
        <f>+CF!M138</f>
        <v>0.34599999999999997</v>
      </c>
      <c r="N208" s="353">
        <f>+CF!N138</f>
        <v>0.34599999999999997</v>
      </c>
      <c r="O208" s="353">
        <f>+CF!O138</f>
        <v>0.34599999999999997</v>
      </c>
      <c r="P208" s="353">
        <f>+CF!P138</f>
        <v>0.34599999999999997</v>
      </c>
      <c r="Q208" s="1211">
        <f>+CF!Q138</f>
        <v>0.34599999999999997</v>
      </c>
      <c r="R208" s="121"/>
      <c r="S208" s="366">
        <f>+CF!S138</f>
        <v>0.33999999999999997</v>
      </c>
      <c r="T208" s="353">
        <f>+CF!T138</f>
        <v>0.33999999999999997</v>
      </c>
      <c r="U208" s="353">
        <f>+CF!U138</f>
        <v>0.33999999999999997</v>
      </c>
      <c r="V208" s="353">
        <f>+CF!V138</f>
        <v>0.33999999999999997</v>
      </c>
      <c r="W208" s="1211">
        <f>+CF!W138</f>
        <v>0.33999999999999997</v>
      </c>
      <c r="X208" s="121"/>
      <c r="Y208" s="366">
        <f>+CF!Y138</f>
        <v>0.33499999999999996</v>
      </c>
      <c r="Z208" s="353">
        <f>+CF!Z138</f>
        <v>0.33499999999999996</v>
      </c>
      <c r="AA208" s="353">
        <f>+CF!AA138</f>
        <v>0.33499999999999996</v>
      </c>
      <c r="AB208" s="353">
        <f>+CF!AB138</f>
        <v>0.33499999999999996</v>
      </c>
      <c r="AC208" s="1211">
        <f>+CF!AC138</f>
        <v>0.33499999999999996</v>
      </c>
      <c r="AD208" s="121"/>
      <c r="AE208" s="366">
        <f>+CF!AE138</f>
        <v>0.29399999999999998</v>
      </c>
      <c r="AF208" s="353">
        <f>+CF!AF138</f>
        <v>0.29399999999999998</v>
      </c>
      <c r="AG208" s="353">
        <f>+CF!AG138</f>
        <v>0.29399999999999998</v>
      </c>
      <c r="AH208" s="353">
        <f>+CF!AH138</f>
        <v>0.29399999999999998</v>
      </c>
      <c r="AI208" s="1211">
        <f>+CF!AI138</f>
        <v>0.29399999999999998</v>
      </c>
      <c r="AJ208" s="121"/>
      <c r="AK208" s="366">
        <f>+CF!AK138</f>
        <v>0.27699999999999997</v>
      </c>
      <c r="AL208" s="353">
        <f>+CF!AL138</f>
        <v>0.27699999999999997</v>
      </c>
      <c r="AM208" s="353">
        <f>+CF!AM138</f>
        <v>0.27699999999999997</v>
      </c>
      <c r="AN208" s="353">
        <f>+CF!AN138</f>
        <v>0.27699999999999997</v>
      </c>
      <c r="AO208" s="1211">
        <f>+CF!AO138</f>
        <v>0.27699999999999997</v>
      </c>
      <c r="AP208" s="121"/>
      <c r="AQ208" s="366">
        <f>+CF!AQ138</f>
        <v>0.27600000000000002</v>
      </c>
      <c r="AR208" s="353">
        <f>+CF!AR138</f>
        <v>0.27600000000000002</v>
      </c>
      <c r="AS208" s="353">
        <f>+CF!AS138</f>
        <v>0.27600000000000002</v>
      </c>
      <c r="AT208" s="353">
        <f>+CF!AT138</f>
        <v>0.27600000000000002</v>
      </c>
      <c r="AU208" s="1211">
        <f>+CF!AU138</f>
        <v>0.27600000000000002</v>
      </c>
      <c r="AV208" s="121"/>
      <c r="AW208" s="366">
        <f>+CF!AW138</f>
        <v>0.25600000000000001</v>
      </c>
      <c r="AX208" s="353">
        <f>+CF!AX138</f>
        <v>0.25600000000000001</v>
      </c>
      <c r="AY208" s="353">
        <f>+CF!AY138</f>
        <v>0.25600000000000001</v>
      </c>
      <c r="AZ208" s="353">
        <f>+CF!AZ138</f>
        <v>0.25600000000000001</v>
      </c>
      <c r="BA208" s="1211">
        <f>+CF!BA138</f>
        <v>0.25600000000000001</v>
      </c>
      <c r="BB208" s="121"/>
      <c r="BC208" s="366">
        <f>+CF!BC138</f>
        <v>0.247</v>
      </c>
      <c r="BD208" s="353">
        <f>+CF!BD138</f>
        <v>0.247</v>
      </c>
      <c r="BE208" s="353">
        <f>+CF!BE138</f>
        <v>0.247</v>
      </c>
      <c r="BF208" s="353">
        <f>+CF!BF138</f>
        <v>0.247</v>
      </c>
      <c r="BG208" s="1211">
        <f>+CF!BG138</f>
        <v>0.247</v>
      </c>
      <c r="BH208" s="121"/>
      <c r="BI208" s="366">
        <f>+CF!BI138</f>
        <v>0.248</v>
      </c>
      <c r="BJ208" s="353">
        <f>+CF!BJ138</f>
        <v>0.248</v>
      </c>
      <c r="BK208" s="353">
        <f>+CF!BK138</f>
        <v>0.248</v>
      </c>
      <c r="BL208" s="353">
        <f>+CF!BL138</f>
        <v>0.248</v>
      </c>
      <c r="BM208" s="1211">
        <f>+CF!BM138</f>
        <v>0.248</v>
      </c>
      <c r="BN208" s="121"/>
      <c r="BO208" s="366">
        <f>+CF!BO138</f>
        <v>0.25900000000000001</v>
      </c>
      <c r="BP208" s="353">
        <f>+CF!BP138</f>
        <v>0.25900000000000001</v>
      </c>
      <c r="BQ208" s="353">
        <f>+CF!BQ138</f>
        <v>0.25900000000000001</v>
      </c>
      <c r="BR208" s="353">
        <f>+CF!BR138</f>
        <v>0.25900000000000001</v>
      </c>
      <c r="BS208" s="1211">
        <f>+CF!BS138</f>
        <v>0.25900000000000001</v>
      </c>
      <c r="BT208" s="121"/>
      <c r="BU208" s="366">
        <f>+CF!BU138</f>
        <v>0.23199999999999998</v>
      </c>
      <c r="BV208" s="353">
        <f>+CF!BV138</f>
        <v>0.23199999999999998</v>
      </c>
      <c r="BW208" s="353">
        <f>+CF!BW138</f>
        <v>0.23199999999999998</v>
      </c>
      <c r="BX208" s="353">
        <f>+CF!BX138</f>
        <v>0.23199999999999998</v>
      </c>
      <c r="BY208" s="1211">
        <f>+CF!BY138</f>
        <v>0.23199999999999998</v>
      </c>
      <c r="BZ208" s="121"/>
      <c r="CA208" s="366">
        <f>+CF!CA138</f>
        <v>0.22</v>
      </c>
      <c r="CB208" s="353">
        <f>+CF!CB138</f>
        <v>0.22</v>
      </c>
      <c r="CC208" s="353">
        <f>+CF!CC138</f>
        <v>0.22</v>
      </c>
      <c r="CD208" s="353">
        <f>+CF!CD138</f>
        <v>0.22</v>
      </c>
      <c r="CE208" s="1211">
        <f>+CF!CE138</f>
        <v>0.22</v>
      </c>
      <c r="CF208" s="121"/>
      <c r="CG208" s="366">
        <f>+CF!CG138</f>
        <v>0.26600000000000001</v>
      </c>
      <c r="CH208" s="353">
        <f>+CF!CH138</f>
        <v>0.26600000000000001</v>
      </c>
      <c r="CI208" s="353">
        <f>+CF!CI138</f>
        <v>0.26600000000000001</v>
      </c>
      <c r="CJ208" s="353">
        <f>+CF!CJ138</f>
        <v>0.26600000000000001</v>
      </c>
      <c r="CK208" s="1211">
        <f>+CF!CK138</f>
        <v>0.26600000000000001</v>
      </c>
      <c r="CL208" s="121"/>
      <c r="CM208" s="366">
        <f>+CF!CM138</f>
        <v>0.22599999999999998</v>
      </c>
      <c r="CN208" s="353">
        <f>+CF!CN138</f>
        <v>0.22599999999999998</v>
      </c>
      <c r="CO208" s="353">
        <f>+CF!CO138</f>
        <v>0.22599999999999998</v>
      </c>
      <c r="CP208" s="353">
        <f>+CF!CP138</f>
        <v>0.22599999999999998</v>
      </c>
      <c r="CQ208" s="1211">
        <f>+CF!CQ138</f>
        <v>0.22599999999999998</v>
      </c>
      <c r="CR208" s="121"/>
      <c r="CS208" s="366">
        <f>+CF!CS138</f>
        <v>0.18599999999999997</v>
      </c>
      <c r="CT208" s="353">
        <f>+CF!CT138</f>
        <v>0.18599999999999997</v>
      </c>
      <c r="CU208" s="353">
        <f>+CF!CU138</f>
        <v>0.18599999999999997</v>
      </c>
      <c r="CV208" s="353">
        <f>+CF!CV138</f>
        <v>0.18599999999999997</v>
      </c>
      <c r="CW208" s="1211">
        <f>+CF!CW138</f>
        <v>0.18599999999999997</v>
      </c>
      <c r="CX208" s="121"/>
      <c r="CY208" s="366">
        <f>+CF!CY138</f>
        <v>0.254</v>
      </c>
      <c r="CZ208" s="353">
        <f>+CF!CZ138</f>
        <v>0.254</v>
      </c>
      <c r="DA208" s="1086">
        <f>+CF!DA138</f>
        <v>0.254</v>
      </c>
      <c r="DB208" s="1086">
        <f>+CF!DB138</f>
        <v>0.254</v>
      </c>
      <c r="DC208" s="375">
        <f>+CF!DC138</f>
        <v>0.254</v>
      </c>
      <c r="DD208" s="121"/>
      <c r="DE208" s="366">
        <f>+CF!DE138</f>
        <v>0.21099999999999999</v>
      </c>
      <c r="DF208" s="353">
        <f>+CF!DF138</f>
        <v>0.21099999999999999</v>
      </c>
      <c r="DG208" s="353">
        <f>+CF!DG138</f>
        <v>0.21099999999999999</v>
      </c>
      <c r="DH208" s="367">
        <f>+CF!DH138</f>
        <v>0.21099999999999999</v>
      </c>
      <c r="DI208" s="1211">
        <f>+CF!DI138</f>
        <v>0.21099999999999999</v>
      </c>
      <c r="DJ208" s="121"/>
      <c r="DK208" s="366">
        <f>+CF!DK138</f>
        <v>0.20599999999999999</v>
      </c>
      <c r="DL208" s="353">
        <f>+CF!DL138</f>
        <v>0.20599999999999999</v>
      </c>
      <c r="DM208" s="353">
        <f>+CF!DM138</f>
        <v>0.20599999999999999</v>
      </c>
      <c r="DN208" s="367">
        <f>+CF!DN138</f>
        <v>0.20599999999999999</v>
      </c>
      <c r="DO208" s="1211">
        <f>+CF!DO138</f>
        <v>0.20599999999999999</v>
      </c>
      <c r="DP208" s="121"/>
      <c r="DQ208" s="366">
        <f>+CF!DQ138</f>
        <v>0.20599999999999999</v>
      </c>
      <c r="DR208" s="353">
        <f>+CF!DR138</f>
        <v>0.20599999999999999</v>
      </c>
      <c r="DS208" s="353">
        <f>+CF!DS138</f>
        <v>0.20599999999999999</v>
      </c>
      <c r="DT208" s="367">
        <f>+CF!DT138</f>
        <v>0.20599999999999999</v>
      </c>
      <c r="DU208" s="1211">
        <f>+CF!DU138</f>
        <v>0.20599999999999999</v>
      </c>
      <c r="DV208" s="121"/>
      <c r="DW208" s="366">
        <f>+CF!DW138</f>
        <v>0.20599999999999999</v>
      </c>
      <c r="DX208" s="353">
        <f>+CF!DX138</f>
        <v>0.20599999999999999</v>
      </c>
      <c r="DY208" s="353">
        <f>+CF!DY138</f>
        <v>0.20599999999999999</v>
      </c>
      <c r="DZ208" s="367">
        <f>+CF!DZ138</f>
        <v>0.20599999999999999</v>
      </c>
      <c r="EA208" s="1211">
        <f>+CF!EA138</f>
        <v>0.20599999999999999</v>
      </c>
      <c r="EB208" s="121"/>
      <c r="EC208" s="366">
        <f>+CF!EC138</f>
        <v>0.20599999999999999</v>
      </c>
      <c r="ED208" s="353">
        <f>+CF!ED138</f>
        <v>0.20599999999999999</v>
      </c>
      <c r="EE208" s="353">
        <f>+CF!EE138</f>
        <v>0.20599999999999999</v>
      </c>
      <c r="EF208" s="367">
        <f>+CF!EF138</f>
        <v>0.20599999999999999</v>
      </c>
      <c r="EG208" s="1211">
        <f>+CF!EG138</f>
        <v>0.20599999999999999</v>
      </c>
      <c r="EH208" s="9"/>
      <c r="EI208" s="486"/>
      <c r="EJ208" s="15"/>
    </row>
    <row r="209" spans="1:140" ht="11.25" customHeight="1" x14ac:dyDescent="0.2">
      <c r="A209" s="51" t="s">
        <v>701</v>
      </c>
      <c r="B209" s="2"/>
      <c r="C209" s="2"/>
      <c r="D209" s="2"/>
      <c r="E209" s="152"/>
      <c r="F209" s="121"/>
      <c r="G209" s="152"/>
      <c r="H209" s="121"/>
      <c r="I209" s="152"/>
      <c r="J209" s="121"/>
      <c r="K209" s="152"/>
      <c r="L209" s="121"/>
      <c r="M209" s="82">
        <f>M207*M208</f>
        <v>47.894357999999997</v>
      </c>
      <c r="N209" s="1206">
        <f t="shared" ref="N209:Q209" si="1323">N207*N208</f>
        <v>54.188097999999997</v>
      </c>
      <c r="O209" s="1206">
        <f t="shared" si="1323"/>
        <v>51.083439999999989</v>
      </c>
      <c r="P209" s="1206">
        <f t="shared" si="1323"/>
        <v>66.547909999999973</v>
      </c>
      <c r="Q209" s="1207">
        <f t="shared" si="1323"/>
        <v>219.71380599999998</v>
      </c>
      <c r="R209" s="121"/>
      <c r="S209" s="82">
        <f t="shared" ref="S209" si="1324">S207*S208</f>
        <v>46.65514000000001</v>
      </c>
      <c r="T209" s="1206">
        <f t="shared" ref="T209" si="1325">T207*T208</f>
        <v>57.655499999999989</v>
      </c>
      <c r="U209" s="1206">
        <f t="shared" ref="U209" si="1326">U207*U208</f>
        <v>63.550419999999988</v>
      </c>
      <c r="V209" s="1206">
        <f t="shared" ref="V209" si="1327">V207*V208</f>
        <v>70.520419999999987</v>
      </c>
      <c r="W209" s="1207">
        <f t="shared" ref="W209" si="1328">W207*W208</f>
        <v>238.38147999999993</v>
      </c>
      <c r="X209" s="121"/>
      <c r="Y209" s="82">
        <f t="shared" ref="Y209" si="1329">Y207*Y208</f>
        <v>56.277654999999967</v>
      </c>
      <c r="Z209" s="1206">
        <f t="shared" ref="Z209" si="1330">Z207*Z208</f>
        <v>65.73068499999998</v>
      </c>
      <c r="AA209" s="1206">
        <f t="shared" ref="AA209" si="1331">AA207*AA208</f>
        <v>73.286275000000003</v>
      </c>
      <c r="AB209" s="1206">
        <f t="shared" ref="AB209" si="1332">AB207*AB208</f>
        <v>86.77370999999998</v>
      </c>
      <c r="AC209" s="1207">
        <f t="shared" ref="AC209" si="1333">AC207*AC208</f>
        <v>282.06832499999996</v>
      </c>
      <c r="AD209" s="121"/>
      <c r="AE209" s="82">
        <f t="shared" ref="AE209" si="1334">AE207*AE208</f>
        <v>66.728004000000027</v>
      </c>
      <c r="AF209" s="1206">
        <f t="shared" ref="AF209" si="1335">AF207*AF208</f>
        <v>80.33314799999998</v>
      </c>
      <c r="AG209" s="1206">
        <f t="shared" ref="AG209" si="1336">AG207*AG208</f>
        <v>86.118774000000016</v>
      </c>
      <c r="AH209" s="1206">
        <f t="shared" ref="AH209" si="1337">AH207*AH208</f>
        <v>93.214757999999819</v>
      </c>
      <c r="AI209" s="1207">
        <f t="shared" ref="AI209" si="1338">AI207*AI208</f>
        <v>326.39468399999981</v>
      </c>
      <c r="AJ209" s="121"/>
      <c r="AK209" s="82">
        <f t="shared" ref="AK209" si="1339">AK207*AK208</f>
        <v>77.237848999999969</v>
      </c>
      <c r="AL209" s="1206">
        <f t="shared" ref="AL209" si="1340">AL207*AL208</f>
        <v>91.969817000000006</v>
      </c>
      <c r="AM209" s="1206">
        <f t="shared" ref="AM209" si="1341">AM207*AM208</f>
        <v>87.720914000000022</v>
      </c>
      <c r="AN209" s="1206">
        <f t="shared" ref="AN209" si="1342">AN207*AN208</f>
        <v>94.215733000000043</v>
      </c>
      <c r="AO209" s="1207">
        <f t="shared" ref="AO209" si="1343">AO207*AO208</f>
        <v>351.14403599999997</v>
      </c>
      <c r="AP209" s="121"/>
      <c r="AQ209" s="82">
        <f t="shared" ref="AQ209" si="1344">AQ207*AQ208</f>
        <v>80.776643999999933</v>
      </c>
      <c r="AR209" s="1206">
        <f t="shared" ref="AR209" si="1345">AR207*AR208</f>
        <v>94.311684000000071</v>
      </c>
      <c r="AS209" s="1206">
        <f t="shared" ref="AS209" si="1346">AS207*AS208</f>
        <v>107.26049999999995</v>
      </c>
      <c r="AT209" s="1206">
        <f t="shared" ref="AT209" si="1347">AT207*AT208</f>
        <v>118.18513199999994</v>
      </c>
      <c r="AU209" s="1207">
        <f t="shared" ref="AU209" si="1348">AU207*AU208</f>
        <v>400.53396000000004</v>
      </c>
      <c r="AV209" s="121"/>
      <c r="AW209" s="82">
        <f t="shared" ref="AW209" si="1349">AW207*AW208</f>
        <v>95.518207999999987</v>
      </c>
      <c r="AX209" s="1206">
        <f t="shared" ref="AX209" si="1350">AX207*AX208</f>
        <v>116.19532800000005</v>
      </c>
      <c r="AY209" s="1206">
        <f t="shared" ref="AY209" si="1351">AY207*AY208</f>
        <v>120.81510399999995</v>
      </c>
      <c r="AZ209" s="1206">
        <f t="shared" ref="AZ209" si="1352">AZ207*AZ208</f>
        <v>140.48512000000005</v>
      </c>
      <c r="BA209" s="1207">
        <f t="shared" ref="BA209" si="1353">BA207*BA208</f>
        <v>473.01375999999988</v>
      </c>
      <c r="BB209" s="121"/>
      <c r="BC209" s="82">
        <f t="shared" ref="BC209" si="1354">BC207*BC208</f>
        <v>107.25283399999996</v>
      </c>
      <c r="BD209" s="1206">
        <f t="shared" ref="BD209" si="1355">BD207*BD208</f>
        <v>127.5666080000001</v>
      </c>
      <c r="BE209" s="1206">
        <f t="shared" ref="BE209" si="1356">BE207*BE208</f>
        <v>134.40258</v>
      </c>
      <c r="BF209" s="1206">
        <f t="shared" ref="BF209" si="1357">BF207*BF208</f>
        <v>105.8767970000001</v>
      </c>
      <c r="BG209" s="1207">
        <f t="shared" ref="BG209" si="1358">BG207*BG208</f>
        <v>475.09881900000056</v>
      </c>
      <c r="BH209" s="121"/>
      <c r="BI209" s="82">
        <f t="shared" ref="BI209" si="1359">BI207*BI208</f>
        <v>84.363399999999956</v>
      </c>
      <c r="BJ209" s="1206">
        <f t="shared" ref="BJ209" si="1360">BJ207*BJ208</f>
        <v>77.856375999999997</v>
      </c>
      <c r="BK209" s="1206">
        <f t="shared" ref="BK209" si="1361">BK207*BK208</f>
        <v>102.32579200000005</v>
      </c>
      <c r="BL209" s="1206">
        <f t="shared" ref="BL209" si="1362">BL207*BL208</f>
        <v>124.92305599999987</v>
      </c>
      <c r="BM209" s="1207">
        <f t="shared" ref="BM209" si="1363">BM207*BM208</f>
        <v>389.46862399999981</v>
      </c>
      <c r="BN209" s="121"/>
      <c r="BO209" s="82">
        <f t="shared" ref="BO209" si="1364">BO207*BO208</f>
        <v>115.52746800000018</v>
      </c>
      <c r="BP209" s="1206">
        <f t="shared" ref="BP209" si="1365">BP207*BP208</f>
        <v>135.73387100000011</v>
      </c>
      <c r="BQ209" s="1206">
        <f t="shared" ref="BQ209" si="1366">BQ207*BQ208</f>
        <v>80.825612000000049</v>
      </c>
      <c r="BR209" s="1206">
        <f t="shared" ref="BR209" si="1367">BR207*BR208</f>
        <v>210.99305500000011</v>
      </c>
      <c r="BS209" s="1207">
        <f t="shared" ref="BS209" si="1368">BS207*BS208</f>
        <v>543.08000600000048</v>
      </c>
      <c r="BT209" s="121"/>
      <c r="BU209" s="82">
        <f t="shared" ref="BU209" si="1369">BU207*BU208</f>
        <v>132.55435999999997</v>
      </c>
      <c r="BV209" s="1206">
        <f t="shared" ref="BV209" si="1370">BV207*BV208</f>
        <v>152.19780000000009</v>
      </c>
      <c r="BW209" s="1206">
        <f t="shared" ref="BW209" si="1371">BW207*BW208</f>
        <v>143.45107752000004</v>
      </c>
      <c r="BX209" s="1206">
        <f t="shared" ref="BX209" si="1372">BX207*BX208</f>
        <v>183.63551448000007</v>
      </c>
      <c r="BY209" s="1207">
        <f t="shared" ref="BY209" si="1373">BY207*BY208</f>
        <v>611.83875199999989</v>
      </c>
      <c r="BZ209" s="121"/>
      <c r="CA209" s="82">
        <f t="shared" ref="CA209" si="1374">CA207*CA208</f>
        <v>161.67799999999997</v>
      </c>
      <c r="CB209" s="1206">
        <f t="shared" ref="CB209" si="1375">CB207*CB208</f>
        <v>174.30600000000001</v>
      </c>
      <c r="CC209" s="1206">
        <f t="shared" ref="CC209" si="1376">CC207*CC208</f>
        <v>166.27599999999998</v>
      </c>
      <c r="CD209" s="1206">
        <f t="shared" ref="CD209" si="1377">CD207*CD208</f>
        <v>189.88199999999989</v>
      </c>
      <c r="CE209" s="1207">
        <f t="shared" ref="CE209" si="1378">CE207*CE208</f>
        <v>692.14199999999948</v>
      </c>
      <c r="CF209" s="121"/>
      <c r="CG209" s="82">
        <f t="shared" ref="CG209" si="1379">CG207*CG208</f>
        <v>188.76636799999994</v>
      </c>
      <c r="CH209" s="1206">
        <f t="shared" ref="CH209" si="1380">CH207*CH208</f>
        <v>224.39759999999998</v>
      </c>
      <c r="CI209" s="1206">
        <f t="shared" ref="CI209" si="1381">CI207*CI208</f>
        <v>216.09840000000005</v>
      </c>
      <c r="CJ209" s="1206">
        <f t="shared" ref="CJ209" si="1382">CJ207*CJ208</f>
        <v>241.26200000000011</v>
      </c>
      <c r="CK209" s="1207">
        <f t="shared" ref="CK209" si="1383">CK207*CK208</f>
        <v>870.52436800000021</v>
      </c>
      <c r="CL209" s="121"/>
      <c r="CM209" s="82">
        <f t="shared" ref="CM209" si="1384">CM207*CM208</f>
        <v>143.82639999999992</v>
      </c>
      <c r="CN209" s="1206">
        <f t="shared" ref="CN209" si="1385">CN207*CN208</f>
        <v>176.55119999999997</v>
      </c>
      <c r="CO209" s="1206">
        <f t="shared" ref="CO209" si="1386">CO207*CO208</f>
        <v>206.60920000000002</v>
      </c>
      <c r="CP209" s="1206">
        <f t="shared" ref="CP209" si="1387">CP207*CP208</f>
        <v>322.3627840000002</v>
      </c>
      <c r="CQ209" s="1207">
        <f t="shared" ref="CQ209" si="1388">CQ207*CQ208</f>
        <v>849.34958399999994</v>
      </c>
      <c r="CR209" s="121"/>
      <c r="CS209" s="82">
        <f t="shared" ref="CS209" si="1389">CS207*CS208</f>
        <v>162.76860000000008</v>
      </c>
      <c r="CT209" s="1206">
        <f t="shared" ref="CT209" si="1390">CT207*CT208</f>
        <v>189.19919999999993</v>
      </c>
      <c r="CU209" s="1206">
        <f t="shared" ref="CU209" si="1391">CU207*CU208</f>
        <v>180.30839999999989</v>
      </c>
      <c r="CV209" s="1206">
        <f t="shared" ref="CV209" si="1392">CV207*CV208</f>
        <v>211.1472000000002</v>
      </c>
      <c r="CW209" s="1207">
        <f t="shared" ref="CW209" si="1393">CW207*CW208</f>
        <v>743.42339999999945</v>
      </c>
      <c r="CX209" s="121"/>
      <c r="CY209" s="82">
        <f t="shared" ref="CY209" si="1394">CY207*CY208</f>
        <v>266.9794</v>
      </c>
      <c r="CZ209" s="1206">
        <f t="shared" ref="CZ209" si="1395">CZ207*CZ208</f>
        <v>329.05700000000002</v>
      </c>
      <c r="DA209" s="1206">
        <f t="shared" ref="DA209" si="1396">DA207*DA208</f>
        <v>209.37220000000013</v>
      </c>
      <c r="DB209" s="1206">
        <f t="shared" ref="DB209" si="1397">DB207*DB208</f>
        <v>197.89139999999998</v>
      </c>
      <c r="DC209" s="1207">
        <f t="shared" ref="DC209" si="1398">DC207*DC208</f>
        <v>1003.3000000000002</v>
      </c>
      <c r="DD209" s="121"/>
      <c r="DE209" s="82">
        <f t="shared" ref="DE209" si="1399">DE207*DE208</f>
        <v>161.85809999999989</v>
      </c>
      <c r="DF209" s="1206">
        <f t="shared" ref="DF209" si="1400">DF207*DF208</f>
        <v>185.68000000000004</v>
      </c>
      <c r="DG209" s="1206">
        <f t="shared" ref="DG209" si="1401">DG207*DG208</f>
        <v>195.57589999999996</v>
      </c>
      <c r="DH209" s="1206">
        <f t="shared" ref="DH209" si="1402">DH207*DH208</f>
        <v>210.95780000000002</v>
      </c>
      <c r="DI209" s="1207">
        <f t="shared" ref="DI209" si="1403">DI207*DI208</f>
        <v>754.07180000000005</v>
      </c>
      <c r="DJ209" s="121"/>
      <c r="DK209" s="82">
        <f t="shared" ref="DK209" si="1404">DK207*DK208</f>
        <v>188.55179999999984</v>
      </c>
      <c r="DL209" s="1206">
        <f t="shared" ref="DL209" si="1405">DL207*DL208</f>
        <v>210.37027351361581</v>
      </c>
      <c r="DM209" s="1206">
        <f t="shared" ref="DM209" si="1406">DM207*DM208</f>
        <v>208.05049488614065</v>
      </c>
      <c r="DN209" s="1206">
        <f t="shared" ref="DN209" si="1407">DN207*DN208</f>
        <v>257.99423391534918</v>
      </c>
      <c r="DO209" s="1207">
        <f t="shared" ref="DO209" si="1408">DO207*DO208</f>
        <v>864.96680231510527</v>
      </c>
      <c r="DP209" s="121"/>
      <c r="DQ209" s="82">
        <f t="shared" ref="DQ209" si="1409">DQ207*DQ208</f>
        <v>207.12596505186761</v>
      </c>
      <c r="DR209" s="1206">
        <f t="shared" ref="DR209" si="1410">DR207*DR208</f>
        <v>228.25849672311955</v>
      </c>
      <c r="DS209" s="1206">
        <f t="shared" ref="DS209" si="1411">DS207*DS208</f>
        <v>222.63710881547274</v>
      </c>
      <c r="DT209" s="1206">
        <f t="shared" ref="DT209" si="1412">DT207*DT208</f>
        <v>273.89384368028379</v>
      </c>
      <c r="DU209" s="1207">
        <f t="shared" ref="DU209" si="1413">DU207*DU208</f>
        <v>931.91541427074412</v>
      </c>
      <c r="DV209" s="121"/>
      <c r="DW209" s="82">
        <f t="shared" ref="DW209" si="1414">DW207*DW208</f>
        <v>224.32640923651979</v>
      </c>
      <c r="DX209" s="1206">
        <f t="shared" ref="DX209" si="1415">DX207*DX208</f>
        <v>246.07247723955624</v>
      </c>
      <c r="DY209" s="1206">
        <f t="shared" ref="DY209" si="1416">DY207*DY208</f>
        <v>240.07740968006658</v>
      </c>
      <c r="DZ209" s="1206">
        <f t="shared" ref="DZ209" si="1417">DZ207*DZ208</f>
        <v>292.9566384726125</v>
      </c>
      <c r="EA209" s="1207">
        <f t="shared" ref="EA209" si="1418">EA207*EA208</f>
        <v>1003.4329346287557</v>
      </c>
      <c r="EB209" s="121"/>
      <c r="EC209" s="82">
        <f t="shared" ref="EC209:EG209" si="1419">EC207*EC208</f>
        <v>240.76368384377542</v>
      </c>
      <c r="ED209" s="1206">
        <f t="shared" si="1419"/>
        <v>263.16767829183607</v>
      </c>
      <c r="EE209" s="1206">
        <f t="shared" si="1419"/>
        <v>256.77474523331915</v>
      </c>
      <c r="EF209" s="1206">
        <f t="shared" si="1419"/>
        <v>310.10604872952365</v>
      </c>
      <c r="EG209" s="1207">
        <f t="shared" si="1419"/>
        <v>1070.8121560984537</v>
      </c>
      <c r="EH209" s="9"/>
      <c r="EI209" s="486"/>
      <c r="EJ209" s="18"/>
    </row>
    <row r="210" spans="1:140" ht="11.25" customHeight="1" x14ac:dyDescent="0.2">
      <c r="A210" s="50" t="s">
        <v>685</v>
      </c>
      <c r="B210" s="3"/>
      <c r="C210" s="3"/>
      <c r="D210" s="3"/>
      <c r="E210" s="1212"/>
      <c r="F210" s="1213"/>
      <c r="G210" s="1212"/>
      <c r="H210" s="1213"/>
      <c r="I210" s="1212"/>
      <c r="J210" s="1213"/>
      <c r="K210" s="1212"/>
      <c r="L210" s="1213"/>
      <c r="M210" s="165">
        <f>M207-M209</f>
        <v>90.528642000000005</v>
      </c>
      <c r="N210" s="1214">
        <f t="shared" ref="N210:Q210" si="1420">N207-N209</f>
        <v>102.424902</v>
      </c>
      <c r="O210" s="1214">
        <f t="shared" si="1420"/>
        <v>96.55655999999999</v>
      </c>
      <c r="P210" s="1214">
        <f t="shared" si="1420"/>
        <v>125.78708999999995</v>
      </c>
      <c r="Q210" s="1215">
        <f t="shared" si="1420"/>
        <v>415.29719399999999</v>
      </c>
      <c r="R210" s="1213"/>
      <c r="S210" s="165">
        <f t="shared" ref="S210" si="1421">S207-S209</f>
        <v>90.565860000000015</v>
      </c>
      <c r="T210" s="1214">
        <f t="shared" ref="T210" si="1422">T207-T209</f>
        <v>111.9195</v>
      </c>
      <c r="U210" s="1214">
        <f t="shared" ref="U210" si="1423">U207-U209</f>
        <v>123.36257999999999</v>
      </c>
      <c r="V210" s="1214">
        <f t="shared" ref="V210" si="1424">V207-V209</f>
        <v>136.89258000000001</v>
      </c>
      <c r="W210" s="1215">
        <f t="shared" ref="W210" si="1425">W207-W209</f>
        <v>462.74051999999995</v>
      </c>
      <c r="X210" s="1213"/>
      <c r="Y210" s="165">
        <f t="shared" ref="Y210" si="1426">Y207-Y209</f>
        <v>111.71534499999994</v>
      </c>
      <c r="Z210" s="1214">
        <f t="shared" ref="Z210" si="1427">Z207-Z209</f>
        <v>130.48031499999996</v>
      </c>
      <c r="AA210" s="1214">
        <f t="shared" ref="AA210" si="1428">AA207-AA209</f>
        <v>145.478725</v>
      </c>
      <c r="AB210" s="1214">
        <f t="shared" ref="AB210" si="1429">AB207-AB209</f>
        <v>172.25228999999996</v>
      </c>
      <c r="AC210" s="1215">
        <f t="shared" ref="AC210" si="1430">AC207-AC209</f>
        <v>559.92667500000005</v>
      </c>
      <c r="AD210" s="1213"/>
      <c r="AE210" s="165">
        <f t="shared" ref="AE210" si="1431">AE207-AE209</f>
        <v>160.23799600000007</v>
      </c>
      <c r="AF210" s="1214">
        <f t="shared" ref="AF210" si="1432">AF207-AF209</f>
        <v>192.90885199999997</v>
      </c>
      <c r="AG210" s="1214">
        <f t="shared" ref="AG210" si="1433">AG207-AG209</f>
        <v>206.80222600000002</v>
      </c>
      <c r="AH210" s="1214">
        <f t="shared" ref="AH210" si="1434">AH207-AH209</f>
        <v>223.84224199999957</v>
      </c>
      <c r="AI210" s="1215">
        <f t="shared" ref="AI210" si="1435">AI207-AI209</f>
        <v>783.7913159999996</v>
      </c>
      <c r="AJ210" s="1213"/>
      <c r="AK210" s="165">
        <f t="shared" ref="AK210" si="1436">AK207-AK209</f>
        <v>201.59915099999995</v>
      </c>
      <c r="AL210" s="1214">
        <f t="shared" ref="AL210" si="1437">AL207-AL209</f>
        <v>240.05118300000007</v>
      </c>
      <c r="AM210" s="1214">
        <f t="shared" ref="AM210" si="1438">AM207-AM209</f>
        <v>228.96108600000011</v>
      </c>
      <c r="AN210" s="1214">
        <f t="shared" ref="AN210" si="1439">AN207-AN209</f>
        <v>245.91326700000013</v>
      </c>
      <c r="AO210" s="1215">
        <f t="shared" ref="AO210" si="1440">AO207-AO209</f>
        <v>916.52396400000021</v>
      </c>
      <c r="AP210" s="1213"/>
      <c r="AQ210" s="165">
        <f t="shared" ref="AQ210" si="1441">AQ207-AQ209</f>
        <v>211.89235599999984</v>
      </c>
      <c r="AR210" s="1214">
        <f t="shared" ref="AR210" si="1442">AR207-AR209</f>
        <v>247.39731600000016</v>
      </c>
      <c r="AS210" s="1214">
        <f t="shared" ref="AS210" si="1443">AS207-AS209</f>
        <v>281.36449999999979</v>
      </c>
      <c r="AT210" s="1214">
        <f t="shared" ref="AT210" si="1444">AT207-AT209</f>
        <v>310.02186799999981</v>
      </c>
      <c r="AU210" s="1215">
        <f t="shared" ref="AU210" si="1445">AU207-AU209</f>
        <v>1050.6760400000001</v>
      </c>
      <c r="AV210" s="1213"/>
      <c r="AW210" s="165">
        <f t="shared" ref="AW210" si="1446">AW207-AW209</f>
        <v>277.59979199999998</v>
      </c>
      <c r="AX210" s="1214">
        <f t="shared" ref="AX210" si="1447">AX207-AX209</f>
        <v>337.69267200000013</v>
      </c>
      <c r="AY210" s="1214">
        <f t="shared" ref="AY210" si="1448">AY207-AY209</f>
        <v>351.11889599999984</v>
      </c>
      <c r="AZ210" s="1214">
        <f t="shared" ref="AZ210" si="1449">AZ207-AZ209</f>
        <v>408.28488000000016</v>
      </c>
      <c r="BA210" s="1215">
        <f t="shared" ref="BA210" si="1450">BA207-BA209</f>
        <v>1374.6962399999998</v>
      </c>
      <c r="BB210" s="1213"/>
      <c r="BC210" s="165">
        <f t="shared" ref="BC210" si="1451">BC207-BC209</f>
        <v>326.96916599999992</v>
      </c>
      <c r="BD210" s="1214">
        <f t="shared" ref="BD210" si="1452">BD207-BD209</f>
        <v>388.89739200000031</v>
      </c>
      <c r="BE210" s="1214">
        <f t="shared" ref="BE210" si="1453">BE207-BE209</f>
        <v>409.73741999999999</v>
      </c>
      <c r="BF210" s="1214">
        <f t="shared" ref="BF210" si="1454">BF207-BF209</f>
        <v>322.77420300000028</v>
      </c>
      <c r="BG210" s="1215">
        <f t="shared" ref="BG210" si="1455">BG207-BG209</f>
        <v>1448.3781810000019</v>
      </c>
      <c r="BH210" s="1213"/>
      <c r="BI210" s="165">
        <f t="shared" ref="BI210" si="1456">BI207-BI209</f>
        <v>255.81159999999988</v>
      </c>
      <c r="BJ210" s="1214">
        <f t="shared" ref="BJ210" si="1457">BJ207-BJ209</f>
        <v>236.080624</v>
      </c>
      <c r="BK210" s="1214">
        <f t="shared" ref="BK210" si="1458">BK207-BK209</f>
        <v>310.27820800000018</v>
      </c>
      <c r="BL210" s="1214">
        <f t="shared" ref="BL210" si="1459">BL207-BL209</f>
        <v>378.79894399999966</v>
      </c>
      <c r="BM210" s="1215">
        <f t="shared" ref="BM210" si="1460">BM207-BM209</f>
        <v>1180.9693759999993</v>
      </c>
      <c r="BN210" s="1213"/>
      <c r="BO210" s="165">
        <f t="shared" ref="BO210" si="1461">BO207-BO209</f>
        <v>330.52453200000053</v>
      </c>
      <c r="BP210" s="1214">
        <f t="shared" ref="BP210" si="1462">BP207-BP209</f>
        <v>388.33512900000028</v>
      </c>
      <c r="BQ210" s="1214">
        <f t="shared" ref="BQ210" si="1463">BQ207-BQ209</f>
        <v>231.24238800000012</v>
      </c>
      <c r="BR210" s="1214">
        <f t="shared" ref="BR210" si="1464">BR207-BR209</f>
        <v>603.6519450000003</v>
      </c>
      <c r="BS210" s="1215">
        <f t="shared" ref="BS210" si="1465">BS207-BS209</f>
        <v>1553.7539940000011</v>
      </c>
      <c r="BT210" s="1213"/>
      <c r="BU210" s="165">
        <f t="shared" ref="BU210" si="1466">BU207-BU209</f>
        <v>438.80063999999993</v>
      </c>
      <c r="BV210" s="1214">
        <f t="shared" ref="BV210" si="1467">BV207-BV209</f>
        <v>503.82720000000035</v>
      </c>
      <c r="BW210" s="1214">
        <f t="shared" ref="BW210" si="1468">BW207-BW209</f>
        <v>474.87253248000025</v>
      </c>
      <c r="BX210" s="1214">
        <f t="shared" ref="BX210" si="1469">BX207-BX209</f>
        <v>607.89687552000021</v>
      </c>
      <c r="BY210" s="1215">
        <f t="shared" ref="BY210" si="1470">BY207-BY209</f>
        <v>2025.397248</v>
      </c>
      <c r="BZ210" s="1213"/>
      <c r="CA210" s="165">
        <f t="shared" ref="CA210" si="1471">CA207-CA209</f>
        <v>573.22199999999987</v>
      </c>
      <c r="CB210" s="1214">
        <f t="shared" ref="CB210" si="1472">CB207-CB209</f>
        <v>617.99400000000003</v>
      </c>
      <c r="CC210" s="1214">
        <f t="shared" ref="CC210" si="1473">CC207-CC209</f>
        <v>589.524</v>
      </c>
      <c r="CD210" s="1214">
        <f t="shared" ref="CD210" si="1474">CD207-CD209</f>
        <v>673.21799999999962</v>
      </c>
      <c r="CE210" s="1215">
        <f t="shared" ref="CE210" si="1475">CE207-CE209</f>
        <v>2453.9579999999983</v>
      </c>
      <c r="CF210" s="1213"/>
      <c r="CG210" s="165">
        <f t="shared" ref="CG210" si="1476">CG207-CG209</f>
        <v>520.88163199999985</v>
      </c>
      <c r="CH210" s="1214">
        <f t="shared" ref="CH210" si="1477">CH207-CH209</f>
        <v>619.2023999999999</v>
      </c>
      <c r="CI210" s="1214">
        <f t="shared" ref="CI210" si="1478">CI207-CI209</f>
        <v>596.30160000000012</v>
      </c>
      <c r="CJ210" s="1214">
        <f t="shared" ref="CJ210" si="1479">CJ207-CJ209</f>
        <v>665.73800000000028</v>
      </c>
      <c r="CK210" s="1215">
        <f t="shared" ref="CK210" si="1480">CK207-CK209</f>
        <v>2402.1236320000003</v>
      </c>
      <c r="CL210" s="1213"/>
      <c r="CM210" s="165">
        <f t="shared" ref="CM210" si="1481">CM207-CM209</f>
        <v>492.57359999999983</v>
      </c>
      <c r="CN210" s="1214">
        <f t="shared" ref="CN210" si="1482">CN207-CN209</f>
        <v>604.64879999999994</v>
      </c>
      <c r="CO210" s="1214">
        <f t="shared" ref="CO210" si="1483">CO207-CO209</f>
        <v>707.59080000000017</v>
      </c>
      <c r="CP210" s="1214">
        <f t="shared" ref="CP210" si="1484">CP207-CP209</f>
        <v>1104.0212160000008</v>
      </c>
      <c r="CQ210" s="1215">
        <f t="shared" ref="CQ210" si="1485">CQ207-CQ209</f>
        <v>2908.8344160000001</v>
      </c>
      <c r="CR210" s="1213"/>
      <c r="CS210" s="165">
        <f t="shared" ref="CS210" si="1486">CS207-CS209</f>
        <v>712.33140000000037</v>
      </c>
      <c r="CT210" s="1214">
        <f t="shared" ref="CT210" si="1487">CT207-CT209</f>
        <v>828.00079999999991</v>
      </c>
      <c r="CU210" s="1214">
        <f t="shared" ref="CU210" si="1488">CU207-CU209</f>
        <v>789.09159999999963</v>
      </c>
      <c r="CV210" s="1214">
        <f t="shared" ref="CV210" si="1489">CV207-CV209</f>
        <v>924.05280000000096</v>
      </c>
      <c r="CW210" s="1215">
        <f t="shared" ref="CW210" si="1490">CW207-CW209</f>
        <v>3253.4765999999981</v>
      </c>
      <c r="CX210" s="1213"/>
      <c r="CY210" s="165">
        <f t="shared" ref="CY210" si="1491">CY207-CY209</f>
        <v>784.12059999999997</v>
      </c>
      <c r="CZ210" s="1214">
        <f t="shared" ref="CZ210" si="1492">CZ207-CZ209</f>
        <v>966.44299999999998</v>
      </c>
      <c r="DA210" s="1214">
        <f t="shared" ref="DA210" si="1493">DA207-DA209</f>
        <v>614.92780000000039</v>
      </c>
      <c r="DB210" s="1214">
        <f t="shared" ref="DB210" si="1494">DB207-DB209</f>
        <v>581.20859999999993</v>
      </c>
      <c r="DC210" s="1215">
        <f t="shared" ref="DC210" si="1495">DC207-DC209</f>
        <v>2946.7000000000003</v>
      </c>
      <c r="DD210" s="1213"/>
      <c r="DE210" s="165">
        <f t="shared" ref="DE210" si="1496">DE207-DE209</f>
        <v>605.24189999999965</v>
      </c>
      <c r="DF210" s="1214">
        <f t="shared" ref="DF210" si="1497">DF207-DF209</f>
        <v>694.32000000000016</v>
      </c>
      <c r="DG210" s="1214">
        <f t="shared" ref="DG210" si="1498">DG207-DG209</f>
        <v>731.32409999999993</v>
      </c>
      <c r="DH210" s="1214">
        <f t="shared" ref="DH210" si="1499">DH207-DH209</f>
        <v>788.84220000000005</v>
      </c>
      <c r="DI210" s="1215">
        <f t="shared" ref="DI210" si="1500">DI207-DI209</f>
        <v>2819.7282</v>
      </c>
      <c r="DJ210" s="1213"/>
      <c r="DK210" s="165">
        <f t="shared" ref="DK210" si="1501">DK207-DK209</f>
        <v>726.74819999999943</v>
      </c>
      <c r="DL210" s="1214">
        <f t="shared" ref="DL210" si="1502">DL207-DL209</f>
        <v>810.8446464553931</v>
      </c>
      <c r="DM210" s="1214">
        <f t="shared" ref="DM210" si="1503">DM207-DM209</f>
        <v>801.90336378444511</v>
      </c>
      <c r="DN210" s="1214">
        <f t="shared" ref="DN210" si="1504">DN207-DN209</f>
        <v>994.40495984848189</v>
      </c>
      <c r="DO210" s="1215">
        <f t="shared" ref="DO210" si="1505">DO207-DO209</f>
        <v>3333.9011700883184</v>
      </c>
      <c r="DP210" s="1213"/>
      <c r="DQ210" s="165">
        <f t="shared" ref="DQ210" si="1506">DQ207-DQ209</f>
        <v>798.33988471448004</v>
      </c>
      <c r="DR210" s="1214">
        <f t="shared" ref="DR210" si="1507">DR207-DR209</f>
        <v>879.79245824348027</v>
      </c>
      <c r="DS210" s="1214">
        <f t="shared" ref="DS210" si="1508">DS207-DS209</f>
        <v>858.12555533730767</v>
      </c>
      <c r="DT210" s="1214">
        <f t="shared" ref="DT210" si="1509">DT207-DT209</f>
        <v>1055.6879217579872</v>
      </c>
      <c r="DU210" s="1215">
        <f t="shared" ref="DU210" si="1510">DU207-DU209</f>
        <v>3591.9458200532572</v>
      </c>
      <c r="DV210" s="1213"/>
      <c r="DW210" s="165">
        <f t="shared" ref="DW210" si="1511">DW207-DW209</f>
        <v>864.63674239707143</v>
      </c>
      <c r="DX210" s="1214">
        <f t="shared" ref="DX210" si="1512">DX207-DX209</f>
        <v>948.45411130197886</v>
      </c>
      <c r="DY210" s="1214">
        <f t="shared" ref="DY210" si="1513">DY207-DY209</f>
        <v>925.34690915520821</v>
      </c>
      <c r="DZ210" s="1214">
        <f t="shared" ref="DZ210" si="1514">DZ207-DZ209</f>
        <v>1129.1629657633705</v>
      </c>
      <c r="EA210" s="1215">
        <f t="shared" ref="EA210" si="1515">EA207-EA209</f>
        <v>3867.6007286176309</v>
      </c>
      <c r="EB210" s="1213"/>
      <c r="EC210" s="165">
        <f t="shared" ref="EC210:EG210" si="1516">EC207-EC209</f>
        <v>927.99206297066848</v>
      </c>
      <c r="ED210" s="1214">
        <f t="shared" si="1516"/>
        <v>1014.345323124844</v>
      </c>
      <c r="EE210" s="1214">
        <f t="shared" si="1516"/>
        <v>989.70460055949229</v>
      </c>
      <c r="EF210" s="1214">
        <f t="shared" si="1516"/>
        <v>1195.2631198603972</v>
      </c>
      <c r="EG210" s="1215">
        <f t="shared" si="1516"/>
        <v>4127.3051065153995</v>
      </c>
      <c r="EH210" s="9"/>
      <c r="EI210" s="486"/>
      <c r="EJ210" s="18"/>
    </row>
    <row r="211" spans="1:140" ht="11.25" customHeight="1" x14ac:dyDescent="0.2">
      <c r="A211" s="50" t="s">
        <v>282</v>
      </c>
      <c r="B211" s="3"/>
      <c r="C211" s="3"/>
      <c r="D211" s="3"/>
      <c r="E211" s="1216"/>
      <c r="F211" s="1217"/>
      <c r="G211" s="1216"/>
      <c r="H211" s="1217"/>
      <c r="I211" s="1216"/>
      <c r="J211" s="1217"/>
      <c r="K211" s="1216"/>
      <c r="L211" s="1217"/>
      <c r="M211" s="456">
        <f>M210/M206</f>
        <v>9.0052892568560305E-2</v>
      </c>
      <c r="N211" s="1061">
        <f t="shared" ref="N211:Q211" si="1517">N210/N206</f>
        <v>0.10706723002672895</v>
      </c>
      <c r="O211" s="1061">
        <f t="shared" si="1517"/>
        <v>0.10709610154527345</v>
      </c>
      <c r="P211" s="1061">
        <f t="shared" si="1517"/>
        <v>0.13688400229832018</v>
      </c>
      <c r="Q211" s="1212">
        <f t="shared" si="1517"/>
        <v>0.10979599274966133</v>
      </c>
      <c r="R211" s="1217"/>
      <c r="S211" s="456">
        <f t="shared" ref="S211" si="1518">S210/S206</f>
        <v>9.0186445623262945E-2</v>
      </c>
      <c r="T211" s="1061">
        <f t="shared" ref="T211" si="1519">T210/T206</f>
        <v>9.7633221265154932E-2</v>
      </c>
      <c r="U211" s="1061">
        <f t="shared" ref="U211" si="1520">U210/U206</f>
        <v>0.10711151398646025</v>
      </c>
      <c r="V211" s="1061">
        <f t="shared" ref="V211" si="1521">V210/V206</f>
        <v>0.10736858204612158</v>
      </c>
      <c r="W211" s="1212">
        <f t="shared" ref="W211" si="1522">W210/W206</f>
        <v>0.10109614719114084</v>
      </c>
      <c r="X211" s="1217"/>
      <c r="Y211" s="456">
        <f t="shared" ref="Y211" si="1523">Y210/Y206</f>
        <v>9.3390690636716608E-2</v>
      </c>
      <c r="Z211" s="1061">
        <f t="shared" ref="Z211" si="1524">Z210/Z206</f>
        <v>0.10041334598501496</v>
      </c>
      <c r="AA211" s="1061">
        <f t="shared" ref="AA211" si="1525">AA210/AA206</f>
        <v>0.11109902165105834</v>
      </c>
      <c r="AB211" s="1061">
        <f t="shared" ref="AB211" si="1526">AB210/AB206</f>
        <v>0.11570045366065319</v>
      </c>
      <c r="AC211" s="1212">
        <f t="shared" ref="AC211" si="1527">AC210/AC206</f>
        <v>0.10576875525607325</v>
      </c>
      <c r="AD211" s="1217"/>
      <c r="AE211" s="456">
        <f t="shared" ref="AE211" si="1528">AE210/AE206</f>
        <v>0.10383549152373237</v>
      </c>
      <c r="AF211" s="1061">
        <f t="shared" ref="AF211" si="1529">AF210/AF206</f>
        <v>0.11898809371809935</v>
      </c>
      <c r="AG211" s="1061">
        <f t="shared" ref="AG211" si="1530">AG210/AG206</f>
        <v>0.118491951744271</v>
      </c>
      <c r="AH211" s="1061">
        <f t="shared" ref="AH211" si="1531">AH210/AH206</f>
        <v>0.11307259577911644</v>
      </c>
      <c r="AI211" s="1212">
        <f t="shared" ref="AI211" si="1532">AI210/AI206</f>
        <v>0.11376847756698229</v>
      </c>
      <c r="AJ211" s="1217"/>
      <c r="AK211" s="456">
        <f t="shared" ref="AK211" si="1533">AK210/AK206</f>
        <v>0.11040793658965095</v>
      </c>
      <c r="AL211" s="1061">
        <f t="shared" ref="AL211" si="1534">AL210/AL206</f>
        <v>0.12446739727277492</v>
      </c>
      <c r="AM211" s="1061">
        <f t="shared" ref="AM211" si="1535">AM210/AM206</f>
        <v>0.11643815955756155</v>
      </c>
      <c r="AN211" s="1061">
        <f t="shared" ref="AN211" si="1536">AN210/AN206</f>
        <v>0.10863068971686429</v>
      </c>
      <c r="AO211" s="1212">
        <f t="shared" ref="AO211" si="1537">AO210/AO206</f>
        <v>0.11478496435184075</v>
      </c>
      <c r="AP211" s="1217"/>
      <c r="AQ211" s="456">
        <f t="shared" ref="AQ211" si="1538">AQ210/AQ206</f>
        <v>0.10024309757141803</v>
      </c>
      <c r="AR211" s="1061">
        <f t="shared" ref="AR211" si="1539">AR210/AR206</f>
        <v>0.10671119599789861</v>
      </c>
      <c r="AS211" s="1061">
        <f t="shared" ref="AS211" si="1540">AS210/AS206</f>
        <v>0.11682170816215097</v>
      </c>
      <c r="AT211" s="1061">
        <f t="shared" ref="AT211" si="1541">AT210/AT206</f>
        <v>0.11808584463893794</v>
      </c>
      <c r="AU211" s="1212">
        <f t="shared" ref="AU211" si="1542">AU210/AU206</f>
        <v>0.11099406553267803</v>
      </c>
      <c r="AV211" s="1217"/>
      <c r="AW211" s="456">
        <f t="shared" ref="AW211" si="1543">AW210/AW206</f>
        <v>0.11008416607017871</v>
      </c>
      <c r="AX211" s="1061">
        <f t="shared" ref="AX211" si="1544">AX210/AX206</f>
        <v>0.12830829310551187</v>
      </c>
      <c r="AY211" s="1061">
        <f t="shared" ref="AY211" si="1545">AY210/AY206</f>
        <v>0.12856077748905126</v>
      </c>
      <c r="AZ211" s="1061">
        <f t="shared" ref="AZ211" si="1546">AZ210/AZ206</f>
        <v>0.12997831067781285</v>
      </c>
      <c r="BA211" s="1212">
        <f t="shared" ref="BA211" si="1547">BA210/BA206</f>
        <v>0.12467861995708655</v>
      </c>
      <c r="BB211" s="1217"/>
      <c r="BC211" s="456">
        <f t="shared" ref="BC211" si="1548">BC210/BC206</f>
        <v>0.10795073218628438</v>
      </c>
      <c r="BD211" s="1061">
        <f t="shared" ref="BD211" si="1549">BD210/BD206</f>
        <v>0.11842564759226475</v>
      </c>
      <c r="BE211" s="1061">
        <f t="shared" ref="BE211" si="1550">BE210/BE206</f>
        <v>0.12771642871770639</v>
      </c>
      <c r="BF211" s="1061">
        <f t="shared" ref="BF211" si="1551">BF210/BF206</f>
        <v>0.10161296814802184</v>
      </c>
      <c r="BG211" s="1212">
        <f t="shared" ref="BG211" si="1552">BG210/BG206</f>
        <v>0.11406837566517275</v>
      </c>
      <c r="BH211" s="1217"/>
      <c r="BI211" s="456">
        <f t="shared" ref="BI211" si="1553">BI210/BI206</f>
        <v>9.7351904707538878E-2</v>
      </c>
      <c r="BJ211" s="1061">
        <f t="shared" ref="BJ211" si="1554">BJ210/BJ206</f>
        <v>8.8300652304009575E-2</v>
      </c>
      <c r="BK211" s="1061">
        <f t="shared" ref="BK211" si="1555">BK210/BK206</f>
        <v>0.11279972661504349</v>
      </c>
      <c r="BL211" s="1061">
        <f t="shared" ref="BL211" si="1556">BL210/BL206</f>
        <v>0.12091000159596531</v>
      </c>
      <c r="BM211" s="1212">
        <f t="shared" ref="BM211" si="1557">BM210/BM206</f>
        <v>0.10558604690252031</v>
      </c>
      <c r="BN211" s="1217"/>
      <c r="BO211" s="456">
        <f t="shared" ref="BO211" si="1558">BO210/BO206</f>
        <v>0.10988913225613421</v>
      </c>
      <c r="BP211" s="1061">
        <f t="shared" ref="BP211" si="1559">BP210/BP206</f>
        <v>0.12069843009883764</v>
      </c>
      <c r="BQ211" s="1061">
        <f t="shared" ref="BQ211" si="1560">BQ210/BQ206</f>
        <v>7.4767973357475467E-2</v>
      </c>
      <c r="BR211" s="1061">
        <f t="shared" ref="BR211" si="1561">BR210/BR206</f>
        <v>0.17208847283197454</v>
      </c>
      <c r="BS211" s="1212">
        <f t="shared" ref="BS211" si="1562">BS210/BS206</f>
        <v>0.12114285221974465</v>
      </c>
      <c r="BT211" s="1217"/>
      <c r="BU211" s="456">
        <f t="shared" ref="BU211" si="1563">BU210/BU206</f>
        <v>0.13383372678195624</v>
      </c>
      <c r="BV211" s="1061">
        <f t="shared" ref="BV211" si="1564">BV210/BV206</f>
        <v>0.13823557494443994</v>
      </c>
      <c r="BW211" s="1061">
        <f t="shared" ref="BW211" si="1565">BW210/BW206</f>
        <v>0.10668655668935774</v>
      </c>
      <c r="BX211" s="1061">
        <f t="shared" ref="BX211" si="1566">BX210/BX206</f>
        <v>0.12888181896665046</v>
      </c>
      <c r="BY211" s="1212">
        <f t="shared" ref="BY211" si="1567">BY210/BY206</f>
        <v>0.12586986974246794</v>
      </c>
      <c r="BZ211" s="1217"/>
      <c r="CA211" s="456">
        <f t="shared" ref="CA211" si="1568">CA210/CA206</f>
        <v>0.13280709883693986</v>
      </c>
      <c r="CB211" s="1061">
        <f t="shared" ref="CB211" si="1569">CB210/CB206</f>
        <v>0.13571845832875812</v>
      </c>
      <c r="CC211" s="1061">
        <f t="shared" ref="CC211" si="1570">CC210/CC206</f>
        <v>0.13351239950175517</v>
      </c>
      <c r="CD211" s="1061">
        <f t="shared" ref="CD211" si="1571">CD210/CD206</f>
        <v>0.13531476121562946</v>
      </c>
      <c r="CE211" s="1212">
        <f t="shared" ref="CE211" si="1572">CE210/CE206</f>
        <v>0.1343868699480843</v>
      </c>
      <c r="CF211" s="1217"/>
      <c r="CG211" s="456">
        <f t="shared" ref="CG211" si="1573">CG210/CG206</f>
        <v>0.11719162868135079</v>
      </c>
      <c r="CH211" s="1061">
        <f t="shared" ref="CH211" si="1574">CH210/CH206</f>
        <v>0.13070235356200527</v>
      </c>
      <c r="CI211" s="1061">
        <f t="shared" ref="CI211" si="1575">CI210/CI206</f>
        <v>0.12771232143239597</v>
      </c>
      <c r="CJ211" s="1061">
        <f t="shared" ref="CJ211" si="1576">CJ210/CJ206</f>
        <v>0.12640514933449795</v>
      </c>
      <c r="CK211" s="1212">
        <f t="shared" ref="CK211" si="1577">CK210/CK206</f>
        <v>0.12564722418663041</v>
      </c>
      <c r="CL211" s="1217"/>
      <c r="CM211" s="456">
        <f t="shared" ref="CM211" si="1578">CM210/CM206</f>
        <v>0.11095999279149393</v>
      </c>
      <c r="CN211" s="1061">
        <f t="shared" ref="CN211" si="1579">CN210/CN206</f>
        <v>0.12640301034807147</v>
      </c>
      <c r="CO211" s="1061">
        <f t="shared" ref="CO211" si="1580">CO210/CO206</f>
        <v>0.15032414862654292</v>
      </c>
      <c r="CP211" s="1061">
        <f t="shared" ref="CP211" si="1581">CP210/CP206</f>
        <v>0.21132828299069731</v>
      </c>
      <c r="CQ211" s="1212">
        <f t="shared" ref="CQ211" si="1582">CQ210/CQ206</f>
        <v>0.15186563725592567</v>
      </c>
      <c r="CR211" s="1217"/>
      <c r="CS211" s="456">
        <f t="shared" ref="CS211" si="1583">CS210/CS206</f>
        <v>0.15173097322512627</v>
      </c>
      <c r="CT211" s="1061">
        <f t="shared" ref="CT211" si="1584">CT210/CT206</f>
        <v>0.16693564516129031</v>
      </c>
      <c r="CU211" s="1061">
        <f t="shared" ref="CU211" si="1585">CU210/CU206</f>
        <v>0.15708317076083922</v>
      </c>
      <c r="CV211" s="1061">
        <f t="shared" ref="CV211" si="1586">CV210/CV206</f>
        <v>0.15702365415986963</v>
      </c>
      <c r="CW211" s="1212">
        <f t="shared" ref="CW211" si="1587">CW210/CW206</f>
        <v>0.15822070816859482</v>
      </c>
      <c r="CX211" s="1217"/>
      <c r="CY211" s="456">
        <f t="shared" ref="CY211" si="1588">CY210/CY206</f>
        <v>0.14555253192753193</v>
      </c>
      <c r="CZ211" s="1061">
        <f t="shared" ref="CZ211" si="1589">CZ210/CZ206</f>
        <v>0.16706015557476231</v>
      </c>
      <c r="DA211" s="1061">
        <f t="shared" ref="DA211" si="1590">DA210/DA206</f>
        <v>0.14881725998886772</v>
      </c>
      <c r="DB211" s="1061">
        <f t="shared" ref="DB211" si="1591">DB210/DB206</f>
        <v>0.12678240952817221</v>
      </c>
      <c r="DC211" s="1212">
        <f t="shared" ref="DC211" si="1592">DC210/DC206</f>
        <v>0.14816025260702109</v>
      </c>
      <c r="DD211" s="1217"/>
      <c r="DE211" s="456">
        <f t="shared" ref="DE211" si="1593">DE210/DE206</f>
        <v>0.14390990798202433</v>
      </c>
      <c r="DF211" s="1061">
        <f t="shared" ref="DF211" si="1594">DF210/DF206</f>
        <v>0.15394780603534292</v>
      </c>
      <c r="DG211" s="1061">
        <f t="shared" ref="DG211" si="1595">DG210/DG206</f>
        <v>0.16150437259838346</v>
      </c>
      <c r="DH211" s="1061">
        <f t="shared" ref="DH211" si="1596">DH210/DH206</f>
        <v>0.15510985705016025</v>
      </c>
      <c r="DI211" s="1212">
        <f t="shared" ref="DI211" si="1597">DI210/DI206</f>
        <v>0.15383384343442608</v>
      </c>
      <c r="DJ211" s="1217"/>
      <c r="DK211" s="456">
        <f t="shared" ref="DK211" si="1598">DK210/DK206</f>
        <v>0.15477876219278433</v>
      </c>
      <c r="DL211" s="1061">
        <f t="shared" ref="DL211" si="1599">DL210/DL206</f>
        <v>0.1644651089091132</v>
      </c>
      <c r="DM211" s="1061">
        <f t="shared" ref="DM211" si="1600">DM210/DM206</f>
        <v>0.16532170879636965</v>
      </c>
      <c r="DN211" s="1061">
        <f t="shared" ref="DN211" si="1601">DN210/DN206</f>
        <v>0.18285212025270794</v>
      </c>
      <c r="DO211" s="1212">
        <f t="shared" ref="DO211" si="1602">DO210/DO206</f>
        <v>0.16741110089460731</v>
      </c>
      <c r="DP211" s="1217"/>
      <c r="DQ211" s="456">
        <f t="shared" ref="DQ211" si="1603">DQ210/DQ206</f>
        <v>0.16247303324358822</v>
      </c>
      <c r="DR211" s="1061">
        <f t="shared" ref="DR211" si="1604">DR210/DR206</f>
        <v>0.1702238239666643</v>
      </c>
      <c r="DS211" s="1061">
        <f t="shared" ref="DS211" si="1605">DS210/DS206</f>
        <v>0.1702248219361355</v>
      </c>
      <c r="DT211" s="1061">
        <f t="shared" ref="DT211" si="1606">DT210/DT206</f>
        <v>0.1868181195900149</v>
      </c>
      <c r="DU211" s="1212">
        <f t="shared" ref="DU211" si="1607">DU210/DU206</f>
        <v>0.17290468754647223</v>
      </c>
      <c r="DV211" s="1217"/>
      <c r="DW211" s="456">
        <f t="shared" ref="DW211" si="1608">DW210/DW206</f>
        <v>0.16874505918125074</v>
      </c>
      <c r="DX211" s="1061">
        <f t="shared" ref="DX211" si="1609">DX210/DX206</f>
        <v>0.1759784393750764</v>
      </c>
      <c r="DY211" s="1061">
        <f t="shared" ref="DY211" si="1610">DY210/DY206</f>
        <v>0.17602541541501998</v>
      </c>
      <c r="DZ211" s="1061">
        <f t="shared" ref="DZ211" si="1611">DZ210/DZ206</f>
        <v>0.19163049203602966</v>
      </c>
      <c r="EA211" s="1212">
        <f t="shared" ref="EA211" si="1612">EA210/EA206</f>
        <v>0.1785363601614938</v>
      </c>
      <c r="EB211" s="1217"/>
      <c r="EC211" s="456">
        <f t="shared" ref="EC211:EG211" si="1613">EC210/EC206</f>
        <v>0.17367146703533093</v>
      </c>
      <c r="ED211" s="1061">
        <f t="shared" si="1613"/>
        <v>0.18047398594568981</v>
      </c>
      <c r="EE211" s="1061">
        <f t="shared" si="1613"/>
        <v>0.18053353627974744</v>
      </c>
      <c r="EF211" s="1061">
        <f t="shared" si="1613"/>
        <v>0.19452649226846613</v>
      </c>
      <c r="EG211" s="1212">
        <f t="shared" si="1613"/>
        <v>0.18270162613894705</v>
      </c>
      <c r="EH211" s="9"/>
      <c r="EI211" s="486"/>
      <c r="EJ211" s="18"/>
    </row>
    <row r="212" spans="1:140" ht="11.25" customHeight="1" x14ac:dyDescent="0.2">
      <c r="A212" s="50"/>
      <c r="B212" s="3"/>
      <c r="C212" s="3"/>
      <c r="D212" s="3"/>
      <c r="E212" s="1216"/>
      <c r="F212" s="1217"/>
      <c r="G212" s="1216"/>
      <c r="H212" s="1217"/>
      <c r="I212" s="1216"/>
      <c r="J212" s="1217"/>
      <c r="K212" s="1216"/>
      <c r="L212" s="1217"/>
      <c r="M212" s="456"/>
      <c r="N212" s="1061"/>
      <c r="O212" s="1061"/>
      <c r="P212" s="1061"/>
      <c r="Q212" s="1212"/>
      <c r="R212" s="1217"/>
      <c r="S212" s="456"/>
      <c r="T212" s="1061"/>
      <c r="U212" s="1061"/>
      <c r="V212" s="1061"/>
      <c r="W212" s="1212"/>
      <c r="X212" s="1217"/>
      <c r="Y212" s="456"/>
      <c r="Z212" s="1061"/>
      <c r="AA212" s="1061"/>
      <c r="AB212" s="1061"/>
      <c r="AC212" s="1212"/>
      <c r="AD212" s="1217"/>
      <c r="AE212" s="456"/>
      <c r="AF212" s="1061"/>
      <c r="AG212" s="1061"/>
      <c r="AH212" s="1061"/>
      <c r="AI212" s="1212"/>
      <c r="AJ212" s="1217"/>
      <c r="AK212" s="456"/>
      <c r="AL212" s="1061"/>
      <c r="AM212" s="1061"/>
      <c r="AN212" s="1061"/>
      <c r="AO212" s="1212"/>
      <c r="AP212" s="1217"/>
      <c r="AQ212" s="456"/>
      <c r="AR212" s="1061"/>
      <c r="AS212" s="1061"/>
      <c r="AT212" s="1061"/>
      <c r="AU212" s="1212"/>
      <c r="AV212" s="1217"/>
      <c r="AW212" s="456"/>
      <c r="AX212" s="1061"/>
      <c r="AY212" s="1061"/>
      <c r="AZ212" s="1061"/>
      <c r="BA212" s="1212"/>
      <c r="BB212" s="1217"/>
      <c r="BC212" s="456"/>
      <c r="BD212" s="1061"/>
      <c r="BE212" s="1061"/>
      <c r="BF212" s="1061"/>
      <c r="BG212" s="1212"/>
      <c r="BH212" s="1217"/>
      <c r="BI212" s="456"/>
      <c r="BJ212" s="1061"/>
      <c r="BK212" s="1061"/>
      <c r="BL212" s="1061"/>
      <c r="BM212" s="1212"/>
      <c r="BN212" s="1217"/>
      <c r="BO212" s="456"/>
      <c r="BP212" s="1061"/>
      <c r="BQ212" s="1061"/>
      <c r="BR212" s="1061"/>
      <c r="BS212" s="1212"/>
      <c r="BT212" s="1217"/>
      <c r="BU212" s="456"/>
      <c r="BV212" s="1061"/>
      <c r="BW212" s="1061"/>
      <c r="BX212" s="1061"/>
      <c r="BY212" s="1212"/>
      <c r="BZ212" s="1217"/>
      <c r="CA212" s="456"/>
      <c r="CB212" s="1061"/>
      <c r="CC212" s="1061"/>
      <c r="CD212" s="1061"/>
      <c r="CE212" s="1212"/>
      <c r="CF212" s="1217"/>
      <c r="CG212" s="456"/>
      <c r="CH212" s="1061"/>
      <c r="CI212" s="1061"/>
      <c r="CJ212" s="1061"/>
      <c r="CK212" s="1212"/>
      <c r="CL212" s="1217"/>
      <c r="CM212" s="456"/>
      <c r="CN212" s="1061"/>
      <c r="CO212" s="1061"/>
      <c r="CP212" s="1061"/>
      <c r="CQ212" s="1212"/>
      <c r="CR212" s="1217"/>
      <c r="CS212" s="456"/>
      <c r="CT212" s="1061"/>
      <c r="CU212" s="1061"/>
      <c r="CV212" s="1061"/>
      <c r="CW212" s="1212"/>
      <c r="CX212" s="1217"/>
      <c r="CY212" s="456"/>
      <c r="CZ212" s="1061"/>
      <c r="DA212" s="1061"/>
      <c r="DB212" s="1061"/>
      <c r="DC212" s="1212"/>
      <c r="DD212" s="1217"/>
      <c r="DE212" s="456"/>
      <c r="DF212" s="1061"/>
      <c r="DG212" s="1061"/>
      <c r="DH212" s="1061"/>
      <c r="DI212" s="1212"/>
      <c r="DJ212" s="1217"/>
      <c r="DK212" s="456"/>
      <c r="DL212" s="1061"/>
      <c r="DM212" s="1061"/>
      <c r="DN212" s="1061"/>
      <c r="DO212" s="1212"/>
      <c r="DP212" s="1217"/>
      <c r="DQ212" s="456"/>
      <c r="DR212" s="1061"/>
      <c r="DS212" s="1061"/>
      <c r="DT212" s="1061"/>
      <c r="DU212" s="1212"/>
      <c r="DV212" s="1217"/>
      <c r="DW212" s="456"/>
      <c r="DX212" s="1061"/>
      <c r="DY212" s="1061"/>
      <c r="DZ212" s="1061"/>
      <c r="EA212" s="1212"/>
      <c r="EB212" s="1217"/>
      <c r="EC212" s="456"/>
      <c r="ED212" s="1061"/>
      <c r="EE212" s="1061"/>
      <c r="EF212" s="1061"/>
      <c r="EG212" s="1212"/>
      <c r="EH212" s="9"/>
      <c r="EI212" s="486"/>
      <c r="EJ212" s="18"/>
    </row>
    <row r="213" spans="1:140" ht="11.25" customHeight="1" x14ac:dyDescent="0.2">
      <c r="A213" s="50" t="s">
        <v>700</v>
      </c>
      <c r="B213" s="2"/>
      <c r="C213" s="2"/>
      <c r="D213" s="2"/>
      <c r="E213" s="162"/>
      <c r="F213" s="124"/>
      <c r="G213" s="162"/>
      <c r="H213" s="124"/>
      <c r="I213" s="162"/>
      <c r="J213" s="124"/>
      <c r="K213" s="162"/>
      <c r="L213" s="124"/>
      <c r="M213" s="111"/>
      <c r="N213" s="25"/>
      <c r="O213" s="25"/>
      <c r="P213" s="25"/>
      <c r="Q213" s="162"/>
      <c r="R213" s="124"/>
      <c r="S213" s="161"/>
      <c r="T213" s="25"/>
      <c r="U213" s="25"/>
      <c r="V213" s="25"/>
      <c r="W213" s="162"/>
      <c r="X213" s="124"/>
      <c r="Y213" s="161"/>
      <c r="Z213" s="25"/>
      <c r="AA213" s="25"/>
      <c r="AB213" s="25"/>
      <c r="AC213" s="162"/>
      <c r="AD213" s="124"/>
      <c r="AE213" s="161"/>
      <c r="AF213" s="25"/>
      <c r="AG213" s="25"/>
      <c r="AH213" s="25"/>
      <c r="AI213" s="162"/>
      <c r="AJ213" s="124"/>
      <c r="AK213" s="161"/>
      <c r="AL213" s="25"/>
      <c r="AM213" s="25"/>
      <c r="AN213" s="25"/>
      <c r="AO213" s="162"/>
      <c r="AP213" s="124"/>
      <c r="AQ213" s="161"/>
      <c r="AR213" s="25"/>
      <c r="AS213" s="25"/>
      <c r="AT213" s="25"/>
      <c r="AU213" s="162"/>
      <c r="AV213" s="124"/>
      <c r="AW213" s="161"/>
      <c r="AX213" s="25"/>
      <c r="AY213" s="25"/>
      <c r="AZ213" s="25"/>
      <c r="BA213" s="162"/>
      <c r="BB213" s="124"/>
      <c r="BC213" s="161"/>
      <c r="BD213" s="25"/>
      <c r="BE213" s="25"/>
      <c r="BF213" s="25"/>
      <c r="BG213" s="162"/>
      <c r="BH213" s="124"/>
      <c r="BI213" s="161"/>
      <c r="BJ213" s="25"/>
      <c r="BK213" s="25"/>
      <c r="BL213" s="25"/>
      <c r="BM213" s="162"/>
      <c r="BN213" s="124"/>
      <c r="BO213" s="161"/>
      <c r="BP213" s="25"/>
      <c r="BQ213" s="25"/>
      <c r="BR213" s="25"/>
      <c r="BS213" s="162"/>
      <c r="BT213" s="124"/>
      <c r="BU213" s="161"/>
      <c r="BV213" s="25"/>
      <c r="BW213" s="25"/>
      <c r="BX213" s="25"/>
      <c r="BY213" s="162"/>
      <c r="BZ213" s="124"/>
      <c r="CA213" s="161"/>
      <c r="CB213" s="25"/>
      <c r="CC213" s="25"/>
      <c r="CD213" s="25"/>
      <c r="CE213" s="162"/>
      <c r="CF213" s="124"/>
      <c r="CG213" s="161"/>
      <c r="CH213" s="25"/>
      <c r="CI213" s="25"/>
      <c r="CJ213" s="25"/>
      <c r="CK213" s="162"/>
      <c r="CL213" s="124"/>
      <c r="CM213" s="161"/>
      <c r="CN213" s="25"/>
      <c r="CO213" s="25"/>
      <c r="CP213" s="25"/>
      <c r="CQ213" s="162"/>
      <c r="CR213" s="124"/>
      <c r="CS213" s="1083"/>
      <c r="CT213" s="1084"/>
      <c r="CU213" s="1084"/>
      <c r="CV213" s="1084"/>
      <c r="CW213" s="162"/>
      <c r="CX213" s="124"/>
      <c r="CY213" s="161"/>
      <c r="CZ213" s="25"/>
      <c r="DA213" s="25"/>
      <c r="DB213" s="25"/>
      <c r="DC213" s="162"/>
      <c r="DD213" s="124"/>
      <c r="DE213" s="161"/>
      <c r="DF213" s="25"/>
      <c r="DG213" s="25"/>
      <c r="DH213" s="25"/>
      <c r="DI213" s="162"/>
      <c r="DJ213" s="124"/>
      <c r="DK213" s="161"/>
      <c r="DL213" s="25"/>
      <c r="DM213" s="25"/>
      <c r="DN213" s="25"/>
      <c r="DO213" s="162"/>
      <c r="DP213" s="124"/>
      <c r="DQ213" s="161"/>
      <c r="DR213" s="25"/>
      <c r="DS213" s="25"/>
      <c r="DT213" s="25"/>
      <c r="DU213" s="162"/>
      <c r="DV213" s="124"/>
      <c r="DW213" s="161"/>
      <c r="DX213" s="25"/>
      <c r="DY213" s="25"/>
      <c r="DZ213" s="25"/>
      <c r="EA213" s="162"/>
      <c r="EB213" s="124"/>
      <c r="EC213" s="161"/>
      <c r="ED213" s="25"/>
      <c r="EE213" s="25"/>
      <c r="EF213" s="25"/>
      <c r="EG213" s="162"/>
      <c r="EH213" s="9"/>
      <c r="EI213" s="486"/>
      <c r="EJ213" s="18"/>
    </row>
    <row r="214" spans="1:140" ht="11.25" customHeight="1" x14ac:dyDescent="0.2">
      <c r="A214" s="51" t="s">
        <v>251</v>
      </c>
      <c r="B214" s="2"/>
      <c r="C214" s="2"/>
      <c r="D214" s="2"/>
      <c r="E214" s="162"/>
      <c r="F214" s="124"/>
      <c r="G214" s="162"/>
      <c r="H214" s="124"/>
      <c r="I214" s="162"/>
      <c r="J214" s="124"/>
      <c r="K214" s="162"/>
      <c r="L214" s="124"/>
      <c r="M214" s="912">
        <f>+M39+M31</f>
        <v>1182.0920000000001</v>
      </c>
      <c r="N214" s="23">
        <f t="shared" ref="N214:P214" si="1614">+N39+N31</f>
        <v>1174.0919999999999</v>
      </c>
      <c r="O214" s="23">
        <f t="shared" si="1614"/>
        <v>1196.1019999999999</v>
      </c>
      <c r="P214" s="23">
        <f t="shared" si="1614"/>
        <v>1191.6890000000001</v>
      </c>
      <c r="Q214" s="1218">
        <f t="shared" ref="Q214:Q226" si="1615">+P214</f>
        <v>1191.6890000000001</v>
      </c>
      <c r="R214" s="124"/>
      <c r="S214" s="912">
        <f t="shared" ref="S214:V214" si="1616">+S39+S31</f>
        <v>1185.0930000000001</v>
      </c>
      <c r="T214" s="23">
        <f t="shared" si="1616"/>
        <v>1221.4809999999998</v>
      </c>
      <c r="U214" s="23">
        <f t="shared" si="1616"/>
        <v>1253.415</v>
      </c>
      <c r="V214" s="23">
        <f t="shared" si="1616"/>
        <v>1309.9639999999999</v>
      </c>
      <c r="W214" s="1218">
        <f t="shared" ref="W214:CE216" si="1617">+V214</f>
        <v>1309.9639999999999</v>
      </c>
      <c r="X214" s="124"/>
      <c r="Y214" s="912">
        <f t="shared" ref="Y214:AB214" si="1618">+Y39+Y31</f>
        <v>1369.9880000000001</v>
      </c>
      <c r="Z214" s="23">
        <f t="shared" si="1618"/>
        <v>1326.0590000000002</v>
      </c>
      <c r="AA214" s="23">
        <f t="shared" si="1618"/>
        <v>1256.307</v>
      </c>
      <c r="AB214" s="23">
        <f t="shared" si="1618"/>
        <v>1298.883</v>
      </c>
      <c r="AC214" s="1218">
        <f t="shared" si="1617"/>
        <v>1298.883</v>
      </c>
      <c r="AD214" s="124"/>
      <c r="AE214" s="912">
        <f t="shared" ref="AE214:AH214" si="1619">+AE39+AE31</f>
        <v>1341.664</v>
      </c>
      <c r="AF214" s="23">
        <f t="shared" si="1619"/>
        <v>1300.626</v>
      </c>
      <c r="AG214" s="23">
        <f t="shared" si="1619"/>
        <v>1308.1420000000001</v>
      </c>
      <c r="AH214" s="23">
        <f t="shared" si="1619"/>
        <v>1350.298</v>
      </c>
      <c r="AI214" s="1218">
        <f t="shared" si="1617"/>
        <v>1350.298</v>
      </c>
      <c r="AJ214" s="124"/>
      <c r="AK214" s="912">
        <f t="shared" ref="AK214:AN214" si="1620">+AK39+AK31</f>
        <v>1323.931</v>
      </c>
      <c r="AL214" s="23">
        <f t="shared" si="1620"/>
        <v>1303.1969999999999</v>
      </c>
      <c r="AM214" s="23">
        <f t="shared" si="1620"/>
        <v>1054.4569999999999</v>
      </c>
      <c r="AN214" s="23">
        <f t="shared" si="1620"/>
        <v>1041.722</v>
      </c>
      <c r="AO214" s="1218">
        <f t="shared" si="1617"/>
        <v>1041.722</v>
      </c>
      <c r="AP214" s="124"/>
      <c r="AQ214" s="912">
        <f t="shared" ref="AQ214:AT214" si="1621">+AQ39+AQ31</f>
        <v>870.53899999999999</v>
      </c>
      <c r="AR214" s="23">
        <f t="shared" si="1621"/>
        <v>2663.0590000000002</v>
      </c>
      <c r="AS214" s="23">
        <f t="shared" si="1621"/>
        <v>2275.355</v>
      </c>
      <c r="AT214" s="23">
        <f t="shared" si="1621"/>
        <v>2433.7159999999999</v>
      </c>
      <c r="AU214" s="1218">
        <f t="shared" si="1617"/>
        <v>2433.7159999999999</v>
      </c>
      <c r="AV214" s="124"/>
      <c r="AW214" s="912">
        <f t="shared" ref="AW214:AZ214" si="1622">+AW39+AW31</f>
        <v>2325.3440000000001</v>
      </c>
      <c r="AX214" s="23">
        <f t="shared" si="1622"/>
        <v>2158.5770000000002</v>
      </c>
      <c r="AY214" s="23">
        <f t="shared" si="1622"/>
        <v>1947.2059999999999</v>
      </c>
      <c r="AZ214" s="23">
        <f t="shared" si="1622"/>
        <v>3726.2440000000001</v>
      </c>
      <c r="BA214" s="1218">
        <f t="shared" si="1617"/>
        <v>3726.2440000000001</v>
      </c>
      <c r="BB214" s="124"/>
      <c r="BC214" s="912">
        <f t="shared" ref="BC214:BF214" si="1623">+BC39+BC31</f>
        <v>3505.2659999999996</v>
      </c>
      <c r="BD214" s="23">
        <f t="shared" si="1623"/>
        <v>3052.703</v>
      </c>
      <c r="BE214" s="23">
        <f t="shared" si="1623"/>
        <v>2707.6820000000002</v>
      </c>
      <c r="BF214" s="23">
        <f t="shared" si="1623"/>
        <v>2619.3290000000002</v>
      </c>
      <c r="BG214" s="1218">
        <f t="shared" si="1617"/>
        <v>2619.3290000000002</v>
      </c>
      <c r="BH214" s="124"/>
      <c r="BI214" s="912">
        <f t="shared" ref="BI214:BL214" si="1624">+BI39+BI31</f>
        <v>2917.97</v>
      </c>
      <c r="BJ214" s="23">
        <f t="shared" si="1624"/>
        <v>2904.7910000000002</v>
      </c>
      <c r="BK214" s="23">
        <f t="shared" si="1624"/>
        <v>2950.2109999999998</v>
      </c>
      <c r="BL214" s="23">
        <f t="shared" si="1624"/>
        <v>2933.2090000000003</v>
      </c>
      <c r="BM214" s="1218">
        <f t="shared" si="1617"/>
        <v>2933.2090000000003</v>
      </c>
      <c r="BN214" s="124"/>
      <c r="BO214" s="155">
        <f t="shared" ref="BO214:BR214" si="1625">+BO39+BO31</f>
        <v>2885.8489999999997</v>
      </c>
      <c r="BP214" s="804">
        <f t="shared" si="1625"/>
        <v>2824.93</v>
      </c>
      <c r="BQ214" s="804">
        <f t="shared" si="1625"/>
        <v>2861.7420000000002</v>
      </c>
      <c r="BR214" s="804">
        <f t="shared" si="1625"/>
        <v>2824.6680000000001</v>
      </c>
      <c r="BS214" s="1221">
        <f t="shared" si="1617"/>
        <v>2824.6680000000001</v>
      </c>
      <c r="BT214" s="1222"/>
      <c r="BU214" s="155">
        <f t="shared" ref="BU214:BX214" si="1626">+BU39+BU31</f>
        <v>2726.9610000000002</v>
      </c>
      <c r="BV214" s="804">
        <f t="shared" si="1626"/>
        <v>6572.8629999999994</v>
      </c>
      <c r="BW214" s="804">
        <f t="shared" si="1626"/>
        <v>5895.69</v>
      </c>
      <c r="BX214" s="804">
        <f t="shared" si="1626"/>
        <v>5305.192</v>
      </c>
      <c r="BY214" s="1221">
        <f t="shared" si="1617"/>
        <v>5305.192</v>
      </c>
      <c r="BZ214" s="1222"/>
      <c r="CA214" s="155">
        <f t="shared" ref="CA214:CD214" si="1627">+CA39+CA31</f>
        <v>4925.8240000000005</v>
      </c>
      <c r="CB214" s="804">
        <f t="shared" si="1627"/>
        <v>4903.027</v>
      </c>
      <c r="CC214" s="804">
        <f t="shared" si="1627"/>
        <v>4714.2210000000005</v>
      </c>
      <c r="CD214" s="804">
        <f t="shared" si="1627"/>
        <v>5343.1</v>
      </c>
      <c r="CE214" s="1221">
        <f t="shared" si="1617"/>
        <v>5343.1</v>
      </c>
      <c r="CF214" s="1222"/>
      <c r="CG214" s="155">
        <f t="shared" ref="CG214:CJ214" si="1628">+CG39+CG31</f>
        <v>4456.3</v>
      </c>
      <c r="CH214" s="804">
        <f t="shared" si="1628"/>
        <v>4154.7999999999993</v>
      </c>
      <c r="CI214" s="804">
        <f t="shared" si="1628"/>
        <v>3502</v>
      </c>
      <c r="CJ214" s="804">
        <f t="shared" si="1628"/>
        <v>3499</v>
      </c>
      <c r="CK214" s="1221">
        <f t="shared" ref="CK214:EA216" si="1629">+CJ214</f>
        <v>3499</v>
      </c>
      <c r="CL214" s="1222"/>
      <c r="CM214" s="155">
        <f t="shared" ref="CM214:CP214" si="1630">+CM39+CM31</f>
        <v>3487</v>
      </c>
      <c r="CN214" s="804">
        <f t="shared" si="1630"/>
        <v>3069</v>
      </c>
      <c r="CO214" s="804">
        <f t="shared" si="1630"/>
        <v>3036.1</v>
      </c>
      <c r="CP214" s="804">
        <f t="shared" si="1630"/>
        <v>3473.4</v>
      </c>
      <c r="CQ214" s="1221">
        <f t="shared" si="1629"/>
        <v>3473.4</v>
      </c>
      <c r="CR214" s="1222"/>
      <c r="CS214" s="155">
        <f t="shared" ref="CS214:CV214" si="1631">+CS39+CS31</f>
        <v>3177.5</v>
      </c>
      <c r="CT214" s="804">
        <f t="shared" si="1631"/>
        <v>3162.7999999999997</v>
      </c>
      <c r="CU214" s="804">
        <f t="shared" si="1631"/>
        <v>15012</v>
      </c>
      <c r="CV214" s="804">
        <f t="shared" si="1631"/>
        <v>12870.400000000001</v>
      </c>
      <c r="CW214" s="1221">
        <f t="shared" si="1629"/>
        <v>12870.400000000001</v>
      </c>
      <c r="CX214" s="1222"/>
      <c r="CY214" s="155">
        <f t="shared" ref="CY214:DB214" si="1632">+CY39+CY31</f>
        <v>12391.7</v>
      </c>
      <c r="CZ214" s="804">
        <f t="shared" si="1632"/>
        <v>14652.2</v>
      </c>
      <c r="DA214" s="804">
        <f t="shared" si="1632"/>
        <v>8312.2000000000007</v>
      </c>
      <c r="DB214" s="804">
        <f t="shared" si="1632"/>
        <v>12269</v>
      </c>
      <c r="DC214" s="1221">
        <f t="shared" si="1629"/>
        <v>12269</v>
      </c>
      <c r="DD214" s="1222"/>
      <c r="DE214" s="155">
        <f t="shared" ref="DE214:DH214" si="1633">+DE39+DE31</f>
        <v>11950.3</v>
      </c>
      <c r="DF214" s="804">
        <f t="shared" si="1633"/>
        <v>11592</v>
      </c>
      <c r="DG214" s="804">
        <f t="shared" si="1633"/>
        <v>10909</v>
      </c>
      <c r="DH214" s="804">
        <f t="shared" si="1633"/>
        <v>10522.1</v>
      </c>
      <c r="DI214" s="1221">
        <f t="shared" si="1629"/>
        <v>10522.1</v>
      </c>
      <c r="DJ214" s="1222"/>
      <c r="DK214" s="155">
        <f t="shared" ref="DK214:DN214" si="1634">+DK39+DK31</f>
        <v>10522.1</v>
      </c>
      <c r="DL214" s="804">
        <f t="shared" si="1634"/>
        <v>10522.1</v>
      </c>
      <c r="DM214" s="804">
        <f t="shared" si="1634"/>
        <v>10522.1</v>
      </c>
      <c r="DN214" s="804">
        <f t="shared" si="1634"/>
        <v>10522.1</v>
      </c>
      <c r="DO214" s="1221">
        <f t="shared" si="1629"/>
        <v>10522.1</v>
      </c>
      <c r="DP214" s="1222"/>
      <c r="DQ214" s="155">
        <f t="shared" ref="DQ214:DT214" si="1635">+DQ39+DQ31</f>
        <v>10522.1</v>
      </c>
      <c r="DR214" s="804">
        <f t="shared" si="1635"/>
        <v>10522.1</v>
      </c>
      <c r="DS214" s="804">
        <f t="shared" si="1635"/>
        <v>10522.1</v>
      </c>
      <c r="DT214" s="804">
        <f t="shared" si="1635"/>
        <v>10522.1</v>
      </c>
      <c r="DU214" s="1221">
        <f t="shared" si="1629"/>
        <v>10522.1</v>
      </c>
      <c r="DV214" s="1222"/>
      <c r="DW214" s="155">
        <f t="shared" ref="DW214:DZ214" si="1636">+DW39+DW31</f>
        <v>10522.1</v>
      </c>
      <c r="DX214" s="804">
        <f t="shared" si="1636"/>
        <v>10522.1</v>
      </c>
      <c r="DY214" s="804">
        <f t="shared" si="1636"/>
        <v>10522.1</v>
      </c>
      <c r="DZ214" s="804">
        <f t="shared" si="1636"/>
        <v>10522.1</v>
      </c>
      <c r="EA214" s="1221">
        <f t="shared" si="1629"/>
        <v>10522.1</v>
      </c>
      <c r="EB214" s="1222"/>
      <c r="EC214" s="155">
        <f t="shared" ref="EC214:EF214" si="1637">+EC39+EC31</f>
        <v>10522.1</v>
      </c>
      <c r="ED214" s="804">
        <f t="shared" si="1637"/>
        <v>10522.1</v>
      </c>
      <c r="EE214" s="804">
        <f t="shared" si="1637"/>
        <v>10522.1</v>
      </c>
      <c r="EF214" s="804">
        <f t="shared" si="1637"/>
        <v>10522.1</v>
      </c>
      <c r="EG214" s="1221">
        <f t="shared" ref="EG214:EG216" si="1638">+EF214</f>
        <v>10522.1</v>
      </c>
      <c r="EH214" s="9"/>
      <c r="EI214" s="486"/>
      <c r="EJ214" s="18"/>
    </row>
    <row r="215" spans="1:140" ht="11.25" customHeight="1" x14ac:dyDescent="0.2">
      <c r="A215" s="51" t="s">
        <v>691</v>
      </c>
      <c r="B215" s="2"/>
      <c r="C215" s="2"/>
      <c r="D215" s="2"/>
      <c r="E215" s="162"/>
      <c r="F215" s="124"/>
      <c r="G215" s="162"/>
      <c r="H215" s="124"/>
      <c r="I215" s="162"/>
      <c r="J215" s="124"/>
      <c r="K215" s="162"/>
      <c r="L215" s="124"/>
      <c r="M215" s="912">
        <f>+M40-M15</f>
        <v>0</v>
      </c>
      <c r="N215" s="23">
        <f t="shared" ref="N215:P215" si="1639">+N40-N15</f>
        <v>0</v>
      </c>
      <c r="O215" s="23">
        <f t="shared" si="1639"/>
        <v>0</v>
      </c>
      <c r="P215" s="23">
        <f t="shared" si="1639"/>
        <v>0</v>
      </c>
      <c r="Q215" s="1218">
        <f t="shared" si="1615"/>
        <v>0</v>
      </c>
      <c r="R215" s="124"/>
      <c r="S215" s="912">
        <f t="shared" ref="S215:V215" si="1640">+S40-S15</f>
        <v>0</v>
      </c>
      <c r="T215" s="23">
        <f t="shared" si="1640"/>
        <v>0</v>
      </c>
      <c r="U215" s="23">
        <f t="shared" si="1640"/>
        <v>0</v>
      </c>
      <c r="V215" s="23">
        <f t="shared" si="1640"/>
        <v>0</v>
      </c>
      <c r="W215" s="1218">
        <f t="shared" si="1617"/>
        <v>0</v>
      </c>
      <c r="X215" s="124"/>
      <c r="Y215" s="912">
        <f t="shared" ref="Y215:AB215" si="1641">+Y40-Y15</f>
        <v>0</v>
      </c>
      <c r="Z215" s="23">
        <f t="shared" si="1641"/>
        <v>0</v>
      </c>
      <c r="AA215" s="23">
        <f t="shared" si="1641"/>
        <v>0</v>
      </c>
      <c r="AB215" s="23">
        <f t="shared" si="1641"/>
        <v>0</v>
      </c>
      <c r="AC215" s="1218">
        <f t="shared" si="1617"/>
        <v>0</v>
      </c>
      <c r="AD215" s="124"/>
      <c r="AE215" s="912">
        <f t="shared" ref="AE215:AH215" si="1642">+AE40-AE15</f>
        <v>0</v>
      </c>
      <c r="AF215" s="23">
        <f t="shared" si="1642"/>
        <v>0</v>
      </c>
      <c r="AG215" s="23">
        <f t="shared" si="1642"/>
        <v>0</v>
      </c>
      <c r="AH215" s="23">
        <f t="shared" si="1642"/>
        <v>0</v>
      </c>
      <c r="AI215" s="1218">
        <f t="shared" si="1617"/>
        <v>0</v>
      </c>
      <c r="AJ215" s="124"/>
      <c r="AK215" s="912">
        <f t="shared" ref="AK215:AN215" si="1643">+AK40-AK15</f>
        <v>0</v>
      </c>
      <c r="AL215" s="23">
        <f t="shared" si="1643"/>
        <v>0</v>
      </c>
      <c r="AM215" s="23">
        <f t="shared" si="1643"/>
        <v>0</v>
      </c>
      <c r="AN215" s="23">
        <f t="shared" si="1643"/>
        <v>0</v>
      </c>
      <c r="AO215" s="1218">
        <f t="shared" si="1617"/>
        <v>0</v>
      </c>
      <c r="AP215" s="124"/>
      <c r="AQ215" s="912">
        <f t="shared" ref="AQ215:AT215" si="1644">+AQ40-AQ15</f>
        <v>0</v>
      </c>
      <c r="AR215" s="23">
        <f t="shared" si="1644"/>
        <v>0</v>
      </c>
      <c r="AS215" s="23">
        <f t="shared" si="1644"/>
        <v>0</v>
      </c>
      <c r="AT215" s="23">
        <f t="shared" si="1644"/>
        <v>0</v>
      </c>
      <c r="AU215" s="1218">
        <f t="shared" si="1617"/>
        <v>0</v>
      </c>
      <c r="AV215" s="124"/>
      <c r="AW215" s="912">
        <f t="shared" ref="AW215:AZ215" si="1645">+AW40-AW15</f>
        <v>0</v>
      </c>
      <c r="AX215" s="23">
        <f t="shared" si="1645"/>
        <v>0</v>
      </c>
      <c r="AY215" s="23">
        <f t="shared" si="1645"/>
        <v>0</v>
      </c>
      <c r="AZ215" s="23">
        <f t="shared" si="1645"/>
        <v>0</v>
      </c>
      <c r="BA215" s="1218">
        <f t="shared" si="1617"/>
        <v>0</v>
      </c>
      <c r="BB215" s="124"/>
      <c r="BC215" s="912">
        <f t="shared" ref="BC215:BF215" si="1646">+BC40-BC15</f>
        <v>0</v>
      </c>
      <c r="BD215" s="23">
        <f t="shared" si="1646"/>
        <v>0</v>
      </c>
      <c r="BE215" s="23">
        <f t="shared" si="1646"/>
        <v>0</v>
      </c>
      <c r="BF215" s="23">
        <f t="shared" si="1646"/>
        <v>0</v>
      </c>
      <c r="BG215" s="1218">
        <f t="shared" si="1617"/>
        <v>0</v>
      </c>
      <c r="BH215" s="124"/>
      <c r="BI215" s="912">
        <f t="shared" ref="BI215:BL215" si="1647">+BI40-BI15</f>
        <v>0</v>
      </c>
      <c r="BJ215" s="23">
        <f t="shared" si="1647"/>
        <v>0</v>
      </c>
      <c r="BK215" s="23">
        <f t="shared" si="1647"/>
        <v>0</v>
      </c>
      <c r="BL215" s="23">
        <f t="shared" si="1647"/>
        <v>0</v>
      </c>
      <c r="BM215" s="1218">
        <f t="shared" si="1617"/>
        <v>0</v>
      </c>
      <c r="BN215" s="124"/>
      <c r="BO215" s="155">
        <f t="shared" ref="BO215:BR215" si="1648">+BO40-BO15</f>
        <v>0</v>
      </c>
      <c r="BP215" s="804">
        <f t="shared" si="1648"/>
        <v>0</v>
      </c>
      <c r="BQ215" s="804">
        <f t="shared" si="1648"/>
        <v>0</v>
      </c>
      <c r="BR215" s="804">
        <f t="shared" si="1648"/>
        <v>0</v>
      </c>
      <c r="BS215" s="1221">
        <f t="shared" si="1617"/>
        <v>0</v>
      </c>
      <c r="BT215" s="1222"/>
      <c r="BU215" s="155">
        <f t="shared" ref="BU215:BX215" si="1649">+BU40-BU15</f>
        <v>0</v>
      </c>
      <c r="BV215" s="804">
        <f t="shared" si="1649"/>
        <v>0</v>
      </c>
      <c r="BW215" s="804">
        <f t="shared" si="1649"/>
        <v>0</v>
      </c>
      <c r="BX215" s="804">
        <f t="shared" si="1649"/>
        <v>0</v>
      </c>
      <c r="BY215" s="1221">
        <f t="shared" si="1617"/>
        <v>0</v>
      </c>
      <c r="BZ215" s="1222"/>
      <c r="CA215" s="155">
        <f t="shared" ref="CA215:CD215" si="1650">+CA40-CA15</f>
        <v>0</v>
      </c>
      <c r="CB215" s="804">
        <f t="shared" si="1650"/>
        <v>0</v>
      </c>
      <c r="CC215" s="804">
        <f t="shared" si="1650"/>
        <v>0</v>
      </c>
      <c r="CD215" s="804">
        <f t="shared" si="1650"/>
        <v>0</v>
      </c>
      <c r="CE215" s="1221">
        <f t="shared" si="1617"/>
        <v>0</v>
      </c>
      <c r="CF215" s="1222"/>
      <c r="CG215" s="155">
        <f t="shared" ref="CG215:CJ215" si="1651">+CG40-CG15</f>
        <v>0</v>
      </c>
      <c r="CH215" s="804">
        <f t="shared" si="1651"/>
        <v>0</v>
      </c>
      <c r="CI215" s="804">
        <f t="shared" si="1651"/>
        <v>0</v>
      </c>
      <c r="CJ215" s="804">
        <f t="shared" si="1651"/>
        <v>0</v>
      </c>
      <c r="CK215" s="1221">
        <f t="shared" si="1629"/>
        <v>0</v>
      </c>
      <c r="CL215" s="1222"/>
      <c r="CM215" s="155">
        <f t="shared" ref="CM215:CP215" si="1652">+CM40-CM15</f>
        <v>0</v>
      </c>
      <c r="CN215" s="804">
        <f t="shared" si="1652"/>
        <v>0</v>
      </c>
      <c r="CO215" s="804">
        <f t="shared" si="1652"/>
        <v>0</v>
      </c>
      <c r="CP215" s="804">
        <f t="shared" si="1652"/>
        <v>0</v>
      </c>
      <c r="CQ215" s="1221">
        <f t="shared" si="1629"/>
        <v>0</v>
      </c>
      <c r="CR215" s="1222"/>
      <c r="CS215" s="155">
        <f t="shared" ref="CS215:CV215" si="1653">+CS40-CS15</f>
        <v>0</v>
      </c>
      <c r="CT215" s="804">
        <f t="shared" si="1653"/>
        <v>0</v>
      </c>
      <c r="CU215" s="804">
        <f t="shared" si="1653"/>
        <v>0</v>
      </c>
      <c r="CV215" s="804">
        <f t="shared" si="1653"/>
        <v>0</v>
      </c>
      <c r="CW215" s="1221">
        <f t="shared" si="1629"/>
        <v>0</v>
      </c>
      <c r="CX215" s="1222"/>
      <c r="CY215" s="155">
        <f t="shared" ref="CY215:DB215" si="1654">+CY40-CY15</f>
        <v>0</v>
      </c>
      <c r="CZ215" s="804">
        <f t="shared" si="1654"/>
        <v>0</v>
      </c>
      <c r="DA215" s="804">
        <f t="shared" si="1654"/>
        <v>0</v>
      </c>
      <c r="DB215" s="804">
        <f t="shared" si="1654"/>
        <v>4489.1000000000004</v>
      </c>
      <c r="DC215" s="1221">
        <f t="shared" si="1629"/>
        <v>4489.1000000000004</v>
      </c>
      <c r="DD215" s="1222"/>
      <c r="DE215" s="155">
        <f t="shared" ref="DE215:DH215" si="1655">+DE40-DE15</f>
        <v>4510.1000000000004</v>
      </c>
      <c r="DF215" s="804">
        <f t="shared" si="1655"/>
        <v>4510.1000000000004</v>
      </c>
      <c r="DG215" s="804">
        <f t="shared" si="1655"/>
        <v>4510.1000000000004</v>
      </c>
      <c r="DH215" s="804">
        <f t="shared" si="1655"/>
        <v>3483.7</v>
      </c>
      <c r="DI215" s="1221">
        <f t="shared" si="1629"/>
        <v>3483.7</v>
      </c>
      <c r="DJ215" s="1222"/>
      <c r="DK215" s="155">
        <f t="shared" ref="DK215:DN215" si="1656">+DK40-DK15</f>
        <v>3756.3199999999997</v>
      </c>
      <c r="DL215" s="804">
        <f t="shared" si="1656"/>
        <v>3944.1540000000005</v>
      </c>
      <c r="DM215" s="804">
        <f t="shared" si="1656"/>
        <v>3880.4504000000002</v>
      </c>
      <c r="DN215" s="804">
        <f t="shared" si="1656"/>
        <v>3915.5770799999996</v>
      </c>
      <c r="DO215" s="1221">
        <f t="shared" si="1629"/>
        <v>3915.5770799999996</v>
      </c>
      <c r="DP215" s="1222"/>
      <c r="DQ215" s="155">
        <f t="shared" ref="DQ215:DT215" si="1657">+DQ40-DQ15</f>
        <v>3950.5957050000006</v>
      </c>
      <c r="DR215" s="804">
        <f t="shared" si="1657"/>
        <v>4155.4297156800003</v>
      </c>
      <c r="DS215" s="804">
        <f t="shared" si="1657"/>
        <v>4053.0689863200009</v>
      </c>
      <c r="DT215" s="804">
        <f t="shared" si="1657"/>
        <v>4091.2415617400002</v>
      </c>
      <c r="DU215" s="1221">
        <f t="shared" si="1629"/>
        <v>4091.2415617400002</v>
      </c>
      <c r="DV215" s="1222"/>
      <c r="DW215" s="155">
        <f t="shared" ref="DW215:DZ215" si="1658">+DW40-DW15</f>
        <v>4140.1300354900004</v>
      </c>
      <c r="DX215" s="804">
        <f t="shared" si="1658"/>
        <v>4354.8000803588002</v>
      </c>
      <c r="DY215" s="804">
        <f t="shared" si="1658"/>
        <v>4247.5701638572009</v>
      </c>
      <c r="DZ215" s="804">
        <f t="shared" si="1658"/>
        <v>4289.6651276206012</v>
      </c>
      <c r="EA215" s="1221">
        <f t="shared" si="1629"/>
        <v>4289.6651276206012</v>
      </c>
      <c r="EB215" s="1222"/>
      <c r="EC215" s="155">
        <f t="shared" ref="EC215:EF215" si="1659">+EC40-EC15</f>
        <v>4338.8218456108752</v>
      </c>
      <c r="ED215" s="804">
        <f t="shared" si="1659"/>
        <v>4563.8067894462893</v>
      </c>
      <c r="EE215" s="804">
        <f t="shared" si="1659"/>
        <v>4451.472852163155</v>
      </c>
      <c r="EF215" s="804">
        <f t="shared" si="1659"/>
        <v>4497.7555166641041</v>
      </c>
      <c r="EG215" s="1221">
        <f t="shared" si="1638"/>
        <v>4497.7555166641041</v>
      </c>
      <c r="EH215" s="9"/>
      <c r="EI215" s="486"/>
      <c r="EJ215" s="18"/>
    </row>
    <row r="216" spans="1:140" ht="11.25" customHeight="1" x14ac:dyDescent="0.2">
      <c r="A216" s="51" t="s">
        <v>686</v>
      </c>
      <c r="B216" s="2"/>
      <c r="C216" s="2"/>
      <c r="D216" s="2"/>
      <c r="E216" s="162"/>
      <c r="F216" s="124"/>
      <c r="G216" s="162"/>
      <c r="H216" s="124"/>
      <c r="I216" s="162"/>
      <c r="J216" s="124"/>
      <c r="K216" s="162"/>
      <c r="L216" s="124"/>
      <c r="M216" s="912">
        <f>+M41+M42</f>
        <v>367.14499999999998</v>
      </c>
      <c r="N216" s="23">
        <f t="shared" ref="N216:P216" si="1660">+N41+N42</f>
        <v>425.78300000000002</v>
      </c>
      <c r="O216" s="23">
        <f t="shared" si="1660"/>
        <v>417.65600000000001</v>
      </c>
      <c r="P216" s="23">
        <f t="shared" si="1660"/>
        <v>455.27</v>
      </c>
      <c r="Q216" s="1218">
        <f t="shared" si="1615"/>
        <v>455.27</v>
      </c>
      <c r="R216" s="124"/>
      <c r="S216" s="912">
        <f t="shared" ref="S216:V216" si="1661">+S41+S42</f>
        <v>469.83800000000002</v>
      </c>
      <c r="T216" s="23">
        <f t="shared" si="1661"/>
        <v>476.05599999999998</v>
      </c>
      <c r="U216" s="23">
        <f t="shared" si="1661"/>
        <v>494.54</v>
      </c>
      <c r="V216" s="23">
        <f t="shared" si="1661"/>
        <v>556.81200000000001</v>
      </c>
      <c r="W216" s="1218">
        <f t="shared" si="1617"/>
        <v>556.81200000000001</v>
      </c>
      <c r="X216" s="124"/>
      <c r="Y216" s="912">
        <f t="shared" ref="Y216:AB216" si="1662">+Y41+Y42</f>
        <v>586.85599999999999</v>
      </c>
      <c r="Z216" s="23">
        <f t="shared" si="1662"/>
        <v>627.95600000000002</v>
      </c>
      <c r="AA216" s="23">
        <f t="shared" si="1662"/>
        <v>606.37</v>
      </c>
      <c r="AB216" s="23">
        <f t="shared" si="1662"/>
        <v>578.84</v>
      </c>
      <c r="AC216" s="1218">
        <f t="shared" si="1617"/>
        <v>578.84</v>
      </c>
      <c r="AD216" s="124"/>
      <c r="AE216" s="912">
        <f t="shared" ref="AE216:AH216" si="1663">+AE41+AE42</f>
        <v>621.39499999999998</v>
      </c>
      <c r="AF216" s="23">
        <f t="shared" si="1663"/>
        <v>713.81799999999998</v>
      </c>
      <c r="AG216" s="23">
        <f t="shared" si="1663"/>
        <v>740.94399999999996</v>
      </c>
      <c r="AH216" s="23">
        <f t="shared" si="1663"/>
        <v>746.39</v>
      </c>
      <c r="AI216" s="1218">
        <f t="shared" si="1617"/>
        <v>746.39</v>
      </c>
      <c r="AJ216" s="124"/>
      <c r="AK216" s="912">
        <f t="shared" ref="AK216:AN216" si="1664">+AK41+AK42</f>
        <v>749.30700000000002</v>
      </c>
      <c r="AL216" s="23">
        <f t="shared" si="1664"/>
        <v>701.11900000000003</v>
      </c>
      <c r="AM216" s="23">
        <f t="shared" si="1664"/>
        <v>893.71199999999999</v>
      </c>
      <c r="AN216" s="23">
        <f t="shared" si="1664"/>
        <v>956.40200000000004</v>
      </c>
      <c r="AO216" s="1218">
        <f t="shared" si="1617"/>
        <v>956.40200000000004</v>
      </c>
      <c r="AP216" s="124"/>
      <c r="AQ216" s="912">
        <f t="shared" ref="AQ216:AT216" si="1665">+AQ41+AQ42</f>
        <v>960.68899999999996</v>
      </c>
      <c r="AR216" s="23">
        <f t="shared" si="1665"/>
        <v>1132.9280000000001</v>
      </c>
      <c r="AS216" s="23">
        <f t="shared" si="1665"/>
        <v>1244.951</v>
      </c>
      <c r="AT216" s="23">
        <f t="shared" si="1665"/>
        <v>1337.0740000000001</v>
      </c>
      <c r="AU216" s="1218">
        <f t="shared" si="1617"/>
        <v>1337.0740000000001</v>
      </c>
      <c r="AV216" s="124"/>
      <c r="AW216" s="912">
        <f t="shared" ref="AW216:AZ216" si="1666">+AW41+AW42</f>
        <v>1648.146</v>
      </c>
      <c r="AX216" s="23">
        <f t="shared" si="1666"/>
        <v>1650.64</v>
      </c>
      <c r="AY216" s="23">
        <f t="shared" si="1666"/>
        <v>1702.423</v>
      </c>
      <c r="AZ216" s="23">
        <f t="shared" si="1666"/>
        <v>2024.2560000000001</v>
      </c>
      <c r="BA216" s="1218">
        <f t="shared" si="1617"/>
        <v>2024.2560000000001</v>
      </c>
      <c r="BB216" s="124"/>
      <c r="BC216" s="912">
        <f t="shared" ref="BC216:BF216" si="1667">+BC41+BC42</f>
        <v>2092.8389999999999</v>
      </c>
      <c r="BD216" s="23">
        <f t="shared" si="1667"/>
        <v>2086.7559999999999</v>
      </c>
      <c r="BE216" s="23">
        <f t="shared" si="1667"/>
        <v>2045.491</v>
      </c>
      <c r="BF216" s="23">
        <f t="shared" si="1667"/>
        <v>2386.605</v>
      </c>
      <c r="BG216" s="1218">
        <f t="shared" si="1617"/>
        <v>2386.605</v>
      </c>
      <c r="BH216" s="124"/>
      <c r="BI216" s="912">
        <f t="shared" ref="BI216:BL216" si="1668">+BI41+BI42</f>
        <v>2354.6129999999998</v>
      </c>
      <c r="BJ216" s="23">
        <f t="shared" si="1668"/>
        <v>2348.3510000000001</v>
      </c>
      <c r="BK216" s="23">
        <f t="shared" si="1668"/>
        <v>2373.5300000000002</v>
      </c>
      <c r="BL216" s="23">
        <f t="shared" si="1668"/>
        <v>2315.261</v>
      </c>
      <c r="BM216" s="1218">
        <f t="shared" si="1617"/>
        <v>2315.261</v>
      </c>
      <c r="BN216" s="124"/>
      <c r="BO216" s="155">
        <f t="shared" ref="BO216:BR216" si="1669">+BO41+BO42</f>
        <v>2347.364</v>
      </c>
      <c r="BP216" s="804">
        <f t="shared" si="1669"/>
        <v>2274.08</v>
      </c>
      <c r="BQ216" s="804">
        <f t="shared" si="1669"/>
        <v>2424.2159999999999</v>
      </c>
      <c r="BR216" s="804">
        <f t="shared" si="1669"/>
        <v>2355.703</v>
      </c>
      <c r="BS216" s="1221">
        <f t="shared" si="1617"/>
        <v>2355.703</v>
      </c>
      <c r="BT216" s="1222"/>
      <c r="BU216" s="155">
        <f t="shared" ref="BU216:BX216" si="1670">+BU41+BU42</f>
        <v>2319.2979999999998</v>
      </c>
      <c r="BV216" s="804">
        <f t="shared" si="1670"/>
        <v>4151.63</v>
      </c>
      <c r="BW216" s="804">
        <f t="shared" si="1670"/>
        <v>4119.1719999999996</v>
      </c>
      <c r="BX216" s="804">
        <f t="shared" si="1670"/>
        <v>3598.8510000000001</v>
      </c>
      <c r="BY216" s="1221">
        <f t="shared" si="1617"/>
        <v>3598.8510000000001</v>
      </c>
      <c r="BZ216" s="1222"/>
      <c r="CA216" s="155">
        <f t="shared" ref="CA216:CD216" si="1671">+CA41+CA42</f>
        <v>3754.4749999999999</v>
      </c>
      <c r="CB216" s="804">
        <f t="shared" si="1671"/>
        <v>3925.538</v>
      </c>
      <c r="CC216" s="804">
        <f t="shared" si="1671"/>
        <v>4038.8069999999998</v>
      </c>
      <c r="CD216" s="804">
        <f t="shared" si="1671"/>
        <v>4363.3999999999996</v>
      </c>
      <c r="CE216" s="1221">
        <f t="shared" si="1617"/>
        <v>4363.3999999999996</v>
      </c>
      <c r="CF216" s="1222"/>
      <c r="CG216" s="155">
        <f t="shared" ref="CG216:CJ216" si="1672">+CG41+CG42</f>
        <v>4404.3</v>
      </c>
      <c r="CH216" s="804">
        <f t="shared" si="1672"/>
        <v>4511</v>
      </c>
      <c r="CI216" s="804">
        <f t="shared" si="1672"/>
        <v>4625.5</v>
      </c>
      <c r="CJ216" s="804">
        <f t="shared" si="1672"/>
        <v>4226.7</v>
      </c>
      <c r="CK216" s="1221">
        <f t="shared" si="1629"/>
        <v>4226.7</v>
      </c>
      <c r="CL216" s="1222"/>
      <c r="CM216" s="155">
        <f t="shared" ref="CM216:CP216" si="1673">+CM41+CM42</f>
        <v>4286.5</v>
      </c>
      <c r="CN216" s="804">
        <f t="shared" si="1673"/>
        <v>4436.5</v>
      </c>
      <c r="CO216" s="804">
        <f t="shared" si="1673"/>
        <v>4290</v>
      </c>
      <c r="CP216" s="804">
        <f t="shared" si="1673"/>
        <v>4744</v>
      </c>
      <c r="CQ216" s="1221">
        <f t="shared" si="1629"/>
        <v>4744</v>
      </c>
      <c r="CR216" s="1222"/>
      <c r="CS216" s="155">
        <f t="shared" ref="CS216:CV216" si="1674">+CS41+CS42</f>
        <v>4675.1000000000004</v>
      </c>
      <c r="CT216" s="804">
        <f t="shared" si="1674"/>
        <v>4706.5</v>
      </c>
      <c r="CU216" s="804">
        <f t="shared" si="1674"/>
        <v>6375.8</v>
      </c>
      <c r="CV216" s="804">
        <f t="shared" si="1674"/>
        <v>6262.6</v>
      </c>
      <c r="CW216" s="1221">
        <f t="shared" si="1629"/>
        <v>6262.6</v>
      </c>
      <c r="CX216" s="1222"/>
      <c r="CY216" s="155">
        <f t="shared" ref="CY216:DB216" si="1675">+CY41+CY42</f>
        <v>6292.5</v>
      </c>
      <c r="CZ216" s="804">
        <f t="shared" si="1675"/>
        <v>6349.8</v>
      </c>
      <c r="DA216" s="804">
        <f t="shared" si="1675"/>
        <v>5766.6</v>
      </c>
      <c r="DB216" s="804">
        <f t="shared" si="1675"/>
        <v>1181.1999999999998</v>
      </c>
      <c r="DC216" s="1221">
        <f t="shared" si="1629"/>
        <v>1181.1999999999998</v>
      </c>
      <c r="DD216" s="1222"/>
      <c r="DE216" s="155">
        <f t="shared" ref="DE216:DH216" si="1676">+DE41+DE42</f>
        <v>1211.5</v>
      </c>
      <c r="DF216" s="804">
        <f t="shared" si="1676"/>
        <v>916.39999999999964</v>
      </c>
      <c r="DG216" s="804">
        <f t="shared" si="1676"/>
        <v>846.29999999999927</v>
      </c>
      <c r="DH216" s="804">
        <f t="shared" si="1676"/>
        <v>1677.4000000000005</v>
      </c>
      <c r="DI216" s="1221">
        <f t="shared" si="1629"/>
        <v>1677.4000000000005</v>
      </c>
      <c r="DJ216" s="1222"/>
      <c r="DK216" s="155">
        <f t="shared" ref="DK216:DN216" si="1677">+DK41+DK42</f>
        <v>1677.4000000000005</v>
      </c>
      <c r="DL216" s="804">
        <f t="shared" si="1677"/>
        <v>1677.4000000000005</v>
      </c>
      <c r="DM216" s="804">
        <f t="shared" si="1677"/>
        <v>1677.4000000000005</v>
      </c>
      <c r="DN216" s="804">
        <f t="shared" si="1677"/>
        <v>1677.4000000000005</v>
      </c>
      <c r="DO216" s="1221">
        <f t="shared" si="1629"/>
        <v>1677.4000000000005</v>
      </c>
      <c r="DP216" s="1222"/>
      <c r="DQ216" s="155">
        <f t="shared" ref="DQ216:DT216" si="1678">+DQ41+DQ42</f>
        <v>1677.4000000000005</v>
      </c>
      <c r="DR216" s="804">
        <f t="shared" si="1678"/>
        <v>1677.4000000000005</v>
      </c>
      <c r="DS216" s="804">
        <f t="shared" si="1678"/>
        <v>1677.4000000000005</v>
      </c>
      <c r="DT216" s="804">
        <f t="shared" si="1678"/>
        <v>1677.4000000000005</v>
      </c>
      <c r="DU216" s="1221">
        <f t="shared" si="1629"/>
        <v>1677.4000000000005</v>
      </c>
      <c r="DV216" s="1222"/>
      <c r="DW216" s="155">
        <f t="shared" ref="DW216:DZ216" si="1679">+DW41+DW42</f>
        <v>1677.4000000000005</v>
      </c>
      <c r="DX216" s="804">
        <f t="shared" si="1679"/>
        <v>1677.4000000000005</v>
      </c>
      <c r="DY216" s="804">
        <f t="shared" si="1679"/>
        <v>1677.4000000000005</v>
      </c>
      <c r="DZ216" s="804">
        <f t="shared" si="1679"/>
        <v>1677.4000000000005</v>
      </c>
      <c r="EA216" s="1221">
        <f t="shared" si="1629"/>
        <v>1677.4000000000005</v>
      </c>
      <c r="EB216" s="1222"/>
      <c r="EC216" s="155">
        <f t="shared" ref="EC216:EF216" si="1680">+EC41+EC42</f>
        <v>1677.4000000000005</v>
      </c>
      <c r="ED216" s="804">
        <f t="shared" si="1680"/>
        <v>1677.4000000000005</v>
      </c>
      <c r="EE216" s="804">
        <f t="shared" si="1680"/>
        <v>1677.4000000000005</v>
      </c>
      <c r="EF216" s="804">
        <f t="shared" si="1680"/>
        <v>1677.4000000000005</v>
      </c>
      <c r="EG216" s="1221">
        <f t="shared" si="1638"/>
        <v>1677.4000000000005</v>
      </c>
      <c r="EH216" s="9"/>
      <c r="EI216" s="486"/>
      <c r="EJ216" s="18"/>
    </row>
    <row r="217" spans="1:140" ht="11.25" customHeight="1" x14ac:dyDescent="0.2">
      <c r="A217" s="538" t="s">
        <v>692</v>
      </c>
      <c r="B217" s="2"/>
      <c r="C217" s="2"/>
      <c r="D217" s="2"/>
      <c r="E217" s="162"/>
      <c r="F217" s="124"/>
      <c r="G217" s="162"/>
      <c r="H217" s="124"/>
      <c r="I217" s="162"/>
      <c r="J217" s="124"/>
      <c r="K217" s="162"/>
      <c r="L217" s="124"/>
      <c r="M217" s="912"/>
      <c r="N217" s="23"/>
      <c r="O217" s="23"/>
      <c r="P217" s="23"/>
      <c r="Q217" s="1218"/>
      <c r="R217" s="124"/>
      <c r="S217" s="912"/>
      <c r="T217" s="23"/>
      <c r="U217" s="23"/>
      <c r="V217" s="23"/>
      <c r="W217" s="1218"/>
      <c r="X217" s="124"/>
      <c r="Y217" s="912"/>
      <c r="Z217" s="23"/>
      <c r="AA217" s="23"/>
      <c r="AB217" s="23"/>
      <c r="AC217" s="1218"/>
      <c r="AD217" s="124"/>
      <c r="AE217" s="912"/>
      <c r="AF217" s="23"/>
      <c r="AG217" s="23"/>
      <c r="AH217" s="23"/>
      <c r="AI217" s="1218"/>
      <c r="AJ217" s="124"/>
      <c r="AK217" s="912"/>
      <c r="AL217" s="23"/>
      <c r="AM217" s="23"/>
      <c r="AN217" s="23"/>
      <c r="AO217" s="1218"/>
      <c r="AP217" s="124"/>
      <c r="AQ217" s="912"/>
      <c r="AR217" s="23"/>
      <c r="AS217" s="23"/>
      <c r="AT217" s="23"/>
      <c r="AU217" s="1218"/>
      <c r="AV217" s="124"/>
      <c r="AW217" s="912"/>
      <c r="AX217" s="23"/>
      <c r="AY217" s="23"/>
      <c r="AZ217" s="23"/>
      <c r="BA217" s="1218"/>
      <c r="BB217" s="124"/>
      <c r="BC217" s="912"/>
      <c r="BD217" s="23"/>
      <c r="BE217" s="23"/>
      <c r="BF217" s="23"/>
      <c r="BG217" s="1218"/>
      <c r="BH217" s="124"/>
      <c r="BI217" s="912"/>
      <c r="BJ217" s="23"/>
      <c r="BK217" s="23"/>
      <c r="BL217" s="23"/>
      <c r="BM217" s="1218"/>
      <c r="BN217" s="124"/>
      <c r="BO217" s="155"/>
      <c r="BP217" s="804"/>
      <c r="BQ217" s="804"/>
      <c r="BR217" s="804"/>
      <c r="BS217" s="1221"/>
      <c r="BT217" s="1222"/>
      <c r="BU217" s="155"/>
      <c r="BV217" s="804"/>
      <c r="BW217" s="804"/>
      <c r="BX217" s="804"/>
      <c r="BY217" s="1221"/>
      <c r="BZ217" s="1222"/>
      <c r="CA217" s="155"/>
      <c r="CB217" s="804"/>
      <c r="CC217" s="804"/>
      <c r="CD217" s="804"/>
      <c r="CE217" s="1221"/>
      <c r="CF217" s="1222"/>
      <c r="CG217" s="155"/>
      <c r="CH217" s="804"/>
      <c r="CI217" s="804"/>
      <c r="CJ217" s="804"/>
      <c r="CK217" s="1221"/>
      <c r="CL217" s="1222"/>
      <c r="CM217" s="155"/>
      <c r="CN217" s="804"/>
      <c r="CO217" s="804"/>
      <c r="CP217" s="804"/>
      <c r="CQ217" s="1221"/>
      <c r="CR217" s="1222"/>
      <c r="CS217" s="155"/>
      <c r="CT217" s="804"/>
      <c r="CU217" s="804"/>
      <c r="CV217" s="804"/>
      <c r="CW217" s="1221"/>
      <c r="CX217" s="1222"/>
      <c r="CY217" s="155"/>
      <c r="CZ217" s="804"/>
      <c r="DA217" s="804"/>
      <c r="DB217" s="804"/>
      <c r="DC217" s="1221"/>
      <c r="DD217" s="1222"/>
      <c r="DE217" s="155"/>
      <c r="DF217" s="804"/>
      <c r="DG217" s="804"/>
      <c r="DH217" s="804"/>
      <c r="DI217" s="1221"/>
      <c r="DJ217" s="1222"/>
      <c r="DK217" s="155"/>
      <c r="DL217" s="804"/>
      <c r="DM217" s="804"/>
      <c r="DN217" s="804"/>
      <c r="DO217" s="1221"/>
      <c r="DP217" s="1222"/>
      <c r="DQ217" s="155"/>
      <c r="DR217" s="804"/>
      <c r="DS217" s="804"/>
      <c r="DT217" s="804"/>
      <c r="DU217" s="1221"/>
      <c r="DV217" s="1222"/>
      <c r="DW217" s="155"/>
      <c r="DX217" s="804"/>
      <c r="DY217" s="804"/>
      <c r="DZ217" s="804"/>
      <c r="EA217" s="1221"/>
      <c r="EB217" s="1222"/>
      <c r="EC217" s="155"/>
      <c r="ED217" s="804"/>
      <c r="EE217" s="804"/>
      <c r="EF217" s="804"/>
      <c r="EG217" s="1221"/>
      <c r="EH217" s="9"/>
      <c r="EI217" s="486"/>
      <c r="EJ217" s="18"/>
    </row>
    <row r="218" spans="1:140" ht="11.25" customHeight="1" x14ac:dyDescent="0.2">
      <c r="A218" s="50" t="s">
        <v>67</v>
      </c>
      <c r="B218" s="2"/>
      <c r="C218" s="2"/>
      <c r="D218" s="2"/>
      <c r="E218" s="162"/>
      <c r="F218" s="124"/>
      <c r="G218" s="162"/>
      <c r="H218" s="124"/>
      <c r="I218" s="162"/>
      <c r="J218" s="124"/>
      <c r="K218" s="162"/>
      <c r="L218" s="124"/>
      <c r="M218" s="912"/>
      <c r="N218" s="23"/>
      <c r="O218" s="23"/>
      <c r="P218" s="23"/>
      <c r="Q218" s="1218"/>
      <c r="R218" s="124"/>
      <c r="S218" s="912"/>
      <c r="T218" s="23"/>
      <c r="U218" s="23"/>
      <c r="V218" s="23"/>
      <c r="W218" s="1218"/>
      <c r="X218" s="124"/>
      <c r="Y218" s="912"/>
      <c r="Z218" s="23"/>
      <c r="AA218" s="23"/>
      <c r="AB218" s="23"/>
      <c r="AC218" s="1218"/>
      <c r="AD218" s="124"/>
      <c r="AE218" s="912"/>
      <c r="AF218" s="23"/>
      <c r="AG218" s="23"/>
      <c r="AH218" s="23"/>
      <c r="AI218" s="1218"/>
      <c r="AJ218" s="124"/>
      <c r="AK218" s="912"/>
      <c r="AL218" s="23"/>
      <c r="AM218" s="23"/>
      <c r="AN218" s="23"/>
      <c r="AO218" s="1218"/>
      <c r="AP218" s="124"/>
      <c r="AQ218" s="912"/>
      <c r="AR218" s="23"/>
      <c r="AS218" s="23"/>
      <c r="AT218" s="23"/>
      <c r="AU218" s="1218"/>
      <c r="AV218" s="124"/>
      <c r="AW218" s="912"/>
      <c r="AX218" s="23"/>
      <c r="AY218" s="23"/>
      <c r="AZ218" s="23"/>
      <c r="BA218" s="1218"/>
      <c r="BB218" s="124"/>
      <c r="BC218" s="912"/>
      <c r="BD218" s="23"/>
      <c r="BE218" s="23"/>
      <c r="BF218" s="23"/>
      <c r="BG218" s="1218"/>
      <c r="BH218" s="124"/>
      <c r="BI218" s="912"/>
      <c r="BJ218" s="23"/>
      <c r="BK218" s="23"/>
      <c r="BL218" s="23"/>
      <c r="BM218" s="1218"/>
      <c r="BN218" s="124"/>
      <c r="BO218" s="155"/>
      <c r="BP218" s="804"/>
      <c r="BQ218" s="804"/>
      <c r="BR218" s="804"/>
      <c r="BS218" s="1221"/>
      <c r="BT218" s="1222"/>
      <c r="BU218" s="155"/>
      <c r="BV218" s="804"/>
      <c r="BW218" s="804"/>
      <c r="BX218" s="804"/>
      <c r="BY218" s="1221"/>
      <c r="BZ218" s="1222"/>
      <c r="CA218" s="155"/>
      <c r="CB218" s="804"/>
      <c r="CC218" s="804"/>
      <c r="CD218" s="804"/>
      <c r="CE218" s="1221"/>
      <c r="CF218" s="1222"/>
      <c r="CG218" s="155"/>
      <c r="CH218" s="804"/>
      <c r="CI218" s="804"/>
      <c r="CJ218" s="804"/>
      <c r="CK218" s="1221"/>
      <c r="CL218" s="1222"/>
      <c r="CM218" s="155"/>
      <c r="CN218" s="804"/>
      <c r="CO218" s="804"/>
      <c r="CP218" s="804"/>
      <c r="CQ218" s="1221"/>
      <c r="CR218" s="1222"/>
      <c r="CS218" s="155"/>
      <c r="CT218" s="804"/>
      <c r="CU218" s="804"/>
      <c r="CV218" s="804"/>
      <c r="CW218" s="1221"/>
      <c r="CX218" s="1222"/>
      <c r="CY218" s="155"/>
      <c r="CZ218" s="804"/>
      <c r="DA218" s="804"/>
      <c r="DB218" s="804"/>
      <c r="DC218" s="1221"/>
      <c r="DD218" s="1222"/>
      <c r="DE218" s="155"/>
      <c r="DF218" s="804"/>
      <c r="DG218" s="804"/>
      <c r="DH218" s="804"/>
      <c r="DI218" s="1221"/>
      <c r="DJ218" s="1222"/>
      <c r="DK218" s="155"/>
      <c r="DL218" s="804"/>
      <c r="DM218" s="804"/>
      <c r="DN218" s="804"/>
      <c r="DO218" s="1221"/>
      <c r="DP218" s="1222"/>
      <c r="DQ218" s="155"/>
      <c r="DR218" s="804"/>
      <c r="DS218" s="804"/>
      <c r="DT218" s="804"/>
      <c r="DU218" s="1221"/>
      <c r="DV218" s="1222"/>
      <c r="DW218" s="155"/>
      <c r="DX218" s="804"/>
      <c r="DY218" s="804"/>
      <c r="DZ218" s="804"/>
      <c r="EA218" s="1221"/>
      <c r="EB218" s="1222"/>
      <c r="EC218" s="155"/>
      <c r="ED218" s="804"/>
      <c r="EE218" s="804"/>
      <c r="EF218" s="804"/>
      <c r="EG218" s="1221"/>
      <c r="EH218" s="9"/>
      <c r="EI218" s="486"/>
      <c r="EJ218" s="18"/>
    </row>
    <row r="219" spans="1:140" ht="11.25" customHeight="1" x14ac:dyDescent="0.2">
      <c r="A219" s="51" t="s">
        <v>160</v>
      </c>
      <c r="B219" s="2"/>
      <c r="C219" s="2"/>
      <c r="D219" s="2"/>
      <c r="E219" s="162"/>
      <c r="F219" s="124"/>
      <c r="G219" s="162"/>
      <c r="H219" s="124"/>
      <c r="I219" s="162"/>
      <c r="J219" s="124"/>
      <c r="K219" s="162"/>
      <c r="L219" s="124"/>
      <c r="M219" s="912">
        <f>+M47</f>
        <v>0</v>
      </c>
      <c r="N219" s="23">
        <f t="shared" ref="N219:P219" si="1681">+N47</f>
        <v>0</v>
      </c>
      <c r="O219" s="23">
        <f t="shared" si="1681"/>
        <v>0</v>
      </c>
      <c r="P219" s="23">
        <f t="shared" si="1681"/>
        <v>0</v>
      </c>
      <c r="Q219" s="1218">
        <f t="shared" si="1615"/>
        <v>0</v>
      </c>
      <c r="R219" s="124"/>
      <c r="S219" s="912">
        <f t="shared" ref="S219:V219" si="1682">+S47</f>
        <v>0</v>
      </c>
      <c r="T219" s="23">
        <f t="shared" si="1682"/>
        <v>0</v>
      </c>
      <c r="U219" s="23">
        <f t="shared" si="1682"/>
        <v>0</v>
      </c>
      <c r="V219" s="23">
        <f t="shared" si="1682"/>
        <v>0</v>
      </c>
      <c r="W219" s="1218">
        <f t="shared" ref="W219:CE221" si="1683">+V219</f>
        <v>0</v>
      </c>
      <c r="X219" s="124"/>
      <c r="Y219" s="912">
        <f t="shared" ref="Y219:AB219" si="1684">+Y47</f>
        <v>0</v>
      </c>
      <c r="Z219" s="23">
        <f t="shared" si="1684"/>
        <v>0</v>
      </c>
      <c r="AA219" s="23">
        <f t="shared" si="1684"/>
        <v>0</v>
      </c>
      <c r="AB219" s="23">
        <f t="shared" si="1684"/>
        <v>0</v>
      </c>
      <c r="AC219" s="1218">
        <f t="shared" si="1683"/>
        <v>0</v>
      </c>
      <c r="AD219" s="124"/>
      <c r="AE219" s="912">
        <f t="shared" ref="AE219:AH219" si="1685">+AE47</f>
        <v>0</v>
      </c>
      <c r="AF219" s="23">
        <f t="shared" si="1685"/>
        <v>0</v>
      </c>
      <c r="AG219" s="23">
        <f t="shared" si="1685"/>
        <v>0</v>
      </c>
      <c r="AH219" s="23">
        <f t="shared" si="1685"/>
        <v>0</v>
      </c>
      <c r="AI219" s="1218">
        <f t="shared" si="1683"/>
        <v>0</v>
      </c>
      <c r="AJ219" s="124"/>
      <c r="AK219" s="912">
        <f t="shared" ref="AK219:AN219" si="1686">+AK47</f>
        <v>0</v>
      </c>
      <c r="AL219" s="23">
        <f t="shared" si="1686"/>
        <v>0</v>
      </c>
      <c r="AM219" s="23">
        <f t="shared" si="1686"/>
        <v>0</v>
      </c>
      <c r="AN219" s="23">
        <f t="shared" si="1686"/>
        <v>0</v>
      </c>
      <c r="AO219" s="1218">
        <f t="shared" si="1683"/>
        <v>0</v>
      </c>
      <c r="AP219" s="124"/>
      <c r="AQ219" s="912">
        <f t="shared" ref="AQ219:AT219" si="1687">+AQ47</f>
        <v>0</v>
      </c>
      <c r="AR219" s="23">
        <f t="shared" si="1687"/>
        <v>0</v>
      </c>
      <c r="AS219" s="23">
        <f t="shared" si="1687"/>
        <v>0</v>
      </c>
      <c r="AT219" s="23">
        <f t="shared" si="1687"/>
        <v>0</v>
      </c>
      <c r="AU219" s="1218">
        <f t="shared" si="1683"/>
        <v>0</v>
      </c>
      <c r="AV219" s="124"/>
      <c r="AW219" s="912">
        <f t="shared" ref="AW219:AZ219" si="1688">+AW47</f>
        <v>0</v>
      </c>
      <c r="AX219" s="23">
        <f t="shared" si="1688"/>
        <v>0</v>
      </c>
      <c r="AY219" s="23">
        <f t="shared" si="1688"/>
        <v>0</v>
      </c>
      <c r="AZ219" s="23">
        <f t="shared" si="1688"/>
        <v>0</v>
      </c>
      <c r="BA219" s="1218">
        <f t="shared" si="1683"/>
        <v>0</v>
      </c>
      <c r="BB219" s="124"/>
      <c r="BC219" s="912">
        <f t="shared" ref="BC219:BF219" si="1689">+BC47</f>
        <v>0</v>
      </c>
      <c r="BD219" s="23">
        <f t="shared" si="1689"/>
        <v>0</v>
      </c>
      <c r="BE219" s="23">
        <f t="shared" si="1689"/>
        <v>0</v>
      </c>
      <c r="BF219" s="23">
        <f t="shared" si="1689"/>
        <v>0</v>
      </c>
      <c r="BG219" s="1218">
        <f t="shared" si="1683"/>
        <v>0</v>
      </c>
      <c r="BH219" s="124"/>
      <c r="BI219" s="912">
        <f t="shared" ref="BI219:BL219" si="1690">+BI47</f>
        <v>0</v>
      </c>
      <c r="BJ219" s="23">
        <f t="shared" si="1690"/>
        <v>0</v>
      </c>
      <c r="BK219" s="23">
        <f t="shared" si="1690"/>
        <v>0</v>
      </c>
      <c r="BL219" s="23">
        <f t="shared" si="1690"/>
        <v>0</v>
      </c>
      <c r="BM219" s="1218">
        <f t="shared" si="1683"/>
        <v>0</v>
      </c>
      <c r="BN219" s="124"/>
      <c r="BO219" s="155">
        <f t="shared" ref="BO219:BR219" si="1691">+BO47</f>
        <v>0</v>
      </c>
      <c r="BP219" s="804">
        <f t="shared" si="1691"/>
        <v>0</v>
      </c>
      <c r="BQ219" s="804">
        <f t="shared" si="1691"/>
        <v>0</v>
      </c>
      <c r="BR219" s="804">
        <f t="shared" si="1691"/>
        <v>61.756</v>
      </c>
      <c r="BS219" s="1221">
        <f t="shared" si="1683"/>
        <v>61.756</v>
      </c>
      <c r="BT219" s="1222"/>
      <c r="BU219" s="155">
        <f t="shared" ref="BU219:BX219" si="1692">+BU47</f>
        <v>64.510000000000005</v>
      </c>
      <c r="BV219" s="804">
        <f t="shared" si="1692"/>
        <v>66.022999999999996</v>
      </c>
      <c r="BW219" s="804">
        <f t="shared" si="1692"/>
        <v>65.36</v>
      </c>
      <c r="BX219" s="804">
        <f t="shared" si="1692"/>
        <v>66.984999999999999</v>
      </c>
      <c r="BY219" s="1221">
        <f t="shared" si="1683"/>
        <v>66.984999999999999</v>
      </c>
      <c r="BZ219" s="1222"/>
      <c r="CA219" s="155">
        <f t="shared" ref="CA219:CD219" si="1693">+CA47</f>
        <v>67.897000000000006</v>
      </c>
      <c r="CB219" s="804">
        <f t="shared" si="1693"/>
        <v>65.808000000000007</v>
      </c>
      <c r="CC219" s="804">
        <f t="shared" si="1693"/>
        <v>66.680000000000007</v>
      </c>
      <c r="CD219" s="804">
        <f t="shared" si="1693"/>
        <v>67.400000000000006</v>
      </c>
      <c r="CE219" s="1221">
        <f t="shared" si="1683"/>
        <v>67.400000000000006</v>
      </c>
      <c r="CF219" s="1222"/>
      <c r="CG219" s="155">
        <f t="shared" ref="CG219:CJ219" si="1694">+CG47</f>
        <v>68.099999999999994</v>
      </c>
      <c r="CH219" s="804">
        <f t="shared" si="1694"/>
        <v>68.5</v>
      </c>
      <c r="CI219" s="804">
        <f t="shared" si="1694"/>
        <v>66.2</v>
      </c>
      <c r="CJ219" s="804">
        <f t="shared" si="1694"/>
        <v>66.099999999999994</v>
      </c>
      <c r="CK219" s="1221">
        <f t="shared" ref="CK219:EA221" si="1695">+CJ219</f>
        <v>66.099999999999994</v>
      </c>
      <c r="CL219" s="1222"/>
      <c r="CM219" s="155">
        <f t="shared" ref="CM219:CP219" si="1696">+CM47</f>
        <v>67.099999999999994</v>
      </c>
      <c r="CN219" s="804">
        <f t="shared" si="1696"/>
        <v>68.400000000000006</v>
      </c>
      <c r="CO219" s="804">
        <f t="shared" si="1696"/>
        <v>69.400000000000006</v>
      </c>
      <c r="CP219" s="804">
        <f t="shared" si="1696"/>
        <v>71.7</v>
      </c>
      <c r="CQ219" s="1221">
        <f t="shared" si="1695"/>
        <v>71.7</v>
      </c>
      <c r="CR219" s="1222"/>
      <c r="CS219" s="155">
        <f t="shared" ref="CS219:CV219" si="1697">+CS47</f>
        <v>69.7</v>
      </c>
      <c r="CT219" s="804">
        <f t="shared" si="1697"/>
        <v>70.8</v>
      </c>
      <c r="CU219" s="804">
        <f t="shared" si="1697"/>
        <v>71.099999999999994</v>
      </c>
      <c r="CV219" s="804">
        <f t="shared" si="1697"/>
        <v>73.7</v>
      </c>
      <c r="CW219" s="1221">
        <f t="shared" si="1695"/>
        <v>73.7</v>
      </c>
      <c r="CX219" s="1222"/>
      <c r="CY219" s="155">
        <f t="shared" ref="CY219:DB219" si="1698">+CY47</f>
        <v>72.400000000000006</v>
      </c>
      <c r="CZ219" s="804">
        <f t="shared" si="1698"/>
        <v>75.2</v>
      </c>
      <c r="DA219" s="804">
        <f t="shared" si="1698"/>
        <v>72.8</v>
      </c>
      <c r="DB219" s="804">
        <f t="shared" si="1698"/>
        <v>74</v>
      </c>
      <c r="DC219" s="1221">
        <f t="shared" si="1695"/>
        <v>74</v>
      </c>
      <c r="DD219" s="1222"/>
      <c r="DE219" s="155">
        <f t="shared" ref="DE219:DH219" si="1699">+DE47</f>
        <v>5.3</v>
      </c>
      <c r="DF219" s="804">
        <f t="shared" si="1699"/>
        <v>5.2</v>
      </c>
      <c r="DG219" s="804">
        <f t="shared" si="1699"/>
        <v>5.2</v>
      </c>
      <c r="DH219" s="804">
        <f t="shared" si="1699"/>
        <v>9.6</v>
      </c>
      <c r="DI219" s="1221">
        <f t="shared" si="1695"/>
        <v>9.6</v>
      </c>
      <c r="DJ219" s="1222"/>
      <c r="DK219" s="155">
        <f t="shared" ref="DK219:DN219" si="1700">+DK47</f>
        <v>9.6</v>
      </c>
      <c r="DL219" s="804">
        <f t="shared" si="1700"/>
        <v>9.6</v>
      </c>
      <c r="DM219" s="804">
        <f t="shared" si="1700"/>
        <v>9.6</v>
      </c>
      <c r="DN219" s="804">
        <f t="shared" si="1700"/>
        <v>9.6</v>
      </c>
      <c r="DO219" s="1221">
        <f t="shared" si="1695"/>
        <v>9.6</v>
      </c>
      <c r="DP219" s="1222"/>
      <c r="DQ219" s="155">
        <f t="shared" ref="DQ219:DT219" si="1701">+DQ47</f>
        <v>9.6</v>
      </c>
      <c r="DR219" s="804">
        <f t="shared" si="1701"/>
        <v>9.6</v>
      </c>
      <c r="DS219" s="804">
        <f t="shared" si="1701"/>
        <v>9.6</v>
      </c>
      <c r="DT219" s="804">
        <f t="shared" si="1701"/>
        <v>9.6</v>
      </c>
      <c r="DU219" s="1221">
        <f t="shared" si="1695"/>
        <v>9.6</v>
      </c>
      <c r="DV219" s="1222"/>
      <c r="DW219" s="155">
        <f t="shared" ref="DW219:DZ219" si="1702">+DW47</f>
        <v>9.6</v>
      </c>
      <c r="DX219" s="804">
        <f t="shared" si="1702"/>
        <v>9.6</v>
      </c>
      <c r="DY219" s="804">
        <f t="shared" si="1702"/>
        <v>9.6</v>
      </c>
      <c r="DZ219" s="804">
        <f t="shared" si="1702"/>
        <v>9.6</v>
      </c>
      <c r="EA219" s="1221">
        <f t="shared" si="1695"/>
        <v>9.6</v>
      </c>
      <c r="EB219" s="1222"/>
      <c r="EC219" s="155">
        <f t="shared" ref="EC219:EF219" si="1703">+EC47</f>
        <v>9.6</v>
      </c>
      <c r="ED219" s="804">
        <f t="shared" si="1703"/>
        <v>9.6</v>
      </c>
      <c r="EE219" s="804">
        <f t="shared" si="1703"/>
        <v>9.6</v>
      </c>
      <c r="EF219" s="804">
        <f t="shared" si="1703"/>
        <v>9.6</v>
      </c>
      <c r="EG219" s="1221">
        <f t="shared" ref="EG219:EG221" si="1704">+EF219</f>
        <v>9.6</v>
      </c>
      <c r="EH219" s="9"/>
      <c r="EI219" s="486"/>
      <c r="EJ219" s="18"/>
    </row>
    <row r="220" spans="1:140" ht="11.25" customHeight="1" x14ac:dyDescent="0.2">
      <c r="A220" s="51" t="s">
        <v>687</v>
      </c>
      <c r="B220" s="2"/>
      <c r="C220" s="2"/>
      <c r="D220" s="2"/>
      <c r="E220" s="162"/>
      <c r="F220" s="124"/>
      <c r="G220" s="162"/>
      <c r="H220" s="124"/>
      <c r="I220" s="162"/>
      <c r="J220" s="124"/>
      <c r="K220" s="162"/>
      <c r="L220" s="124"/>
      <c r="M220" s="912">
        <f>+M48</f>
        <v>0</v>
      </c>
      <c r="N220" s="23">
        <f t="shared" ref="N220:P220" si="1705">+N48</f>
        <v>0</v>
      </c>
      <c r="O220" s="23">
        <f t="shared" si="1705"/>
        <v>0</v>
      </c>
      <c r="P220" s="23">
        <f t="shared" si="1705"/>
        <v>0</v>
      </c>
      <c r="Q220" s="1218">
        <f t="shared" si="1615"/>
        <v>0</v>
      </c>
      <c r="R220" s="124"/>
      <c r="S220" s="912">
        <f t="shared" ref="S220:V220" si="1706">+S48</f>
        <v>0</v>
      </c>
      <c r="T220" s="23">
        <f t="shared" si="1706"/>
        <v>0</v>
      </c>
      <c r="U220" s="23">
        <f t="shared" si="1706"/>
        <v>0</v>
      </c>
      <c r="V220" s="23">
        <f t="shared" si="1706"/>
        <v>0</v>
      </c>
      <c r="W220" s="1218">
        <f t="shared" si="1683"/>
        <v>0</v>
      </c>
      <c r="X220" s="124"/>
      <c r="Y220" s="912">
        <f t="shared" ref="Y220:AB220" si="1707">+Y48</f>
        <v>0</v>
      </c>
      <c r="Z220" s="23">
        <f t="shared" si="1707"/>
        <v>0</v>
      </c>
      <c r="AA220" s="23">
        <f t="shared" si="1707"/>
        <v>0</v>
      </c>
      <c r="AB220" s="23">
        <f t="shared" si="1707"/>
        <v>0</v>
      </c>
      <c r="AC220" s="1218">
        <f t="shared" si="1683"/>
        <v>0</v>
      </c>
      <c r="AD220" s="124"/>
      <c r="AE220" s="912">
        <f t="shared" ref="AE220:AH220" si="1708">+AE48</f>
        <v>0</v>
      </c>
      <c r="AF220" s="23">
        <f t="shared" si="1708"/>
        <v>0</v>
      </c>
      <c r="AG220" s="23">
        <f t="shared" si="1708"/>
        <v>0</v>
      </c>
      <c r="AH220" s="23">
        <f t="shared" si="1708"/>
        <v>0</v>
      </c>
      <c r="AI220" s="1218">
        <f t="shared" si="1683"/>
        <v>0</v>
      </c>
      <c r="AJ220" s="124"/>
      <c r="AK220" s="912">
        <f t="shared" ref="AK220:AN220" si="1709">+AK48</f>
        <v>0</v>
      </c>
      <c r="AL220" s="23">
        <f t="shared" si="1709"/>
        <v>0</v>
      </c>
      <c r="AM220" s="23">
        <f t="shared" si="1709"/>
        <v>0</v>
      </c>
      <c r="AN220" s="23">
        <f t="shared" si="1709"/>
        <v>0</v>
      </c>
      <c r="AO220" s="1218">
        <f t="shared" si="1683"/>
        <v>0</v>
      </c>
      <c r="AP220" s="124"/>
      <c r="AQ220" s="912">
        <f t="shared" ref="AQ220:AT220" si="1710">+AQ48</f>
        <v>0</v>
      </c>
      <c r="AR220" s="23">
        <f t="shared" si="1710"/>
        <v>0</v>
      </c>
      <c r="AS220" s="23">
        <f t="shared" si="1710"/>
        <v>0</v>
      </c>
      <c r="AT220" s="23">
        <f t="shared" si="1710"/>
        <v>0</v>
      </c>
      <c r="AU220" s="1218">
        <f t="shared" si="1683"/>
        <v>0</v>
      </c>
      <c r="AV220" s="124"/>
      <c r="AW220" s="912">
        <f t="shared" ref="AW220:AZ220" si="1711">+AW48</f>
        <v>0</v>
      </c>
      <c r="AX220" s="23">
        <f t="shared" si="1711"/>
        <v>0</v>
      </c>
      <c r="AY220" s="23">
        <f t="shared" si="1711"/>
        <v>0</v>
      </c>
      <c r="AZ220" s="23">
        <f t="shared" si="1711"/>
        <v>0</v>
      </c>
      <c r="BA220" s="1218">
        <f t="shared" si="1683"/>
        <v>0</v>
      </c>
      <c r="BB220" s="124"/>
      <c r="BC220" s="912">
        <f t="shared" ref="BC220:BF220" si="1712">+BC48</f>
        <v>0</v>
      </c>
      <c r="BD220" s="23">
        <f t="shared" si="1712"/>
        <v>0</v>
      </c>
      <c r="BE220" s="23">
        <f t="shared" si="1712"/>
        <v>0</v>
      </c>
      <c r="BF220" s="23">
        <f t="shared" si="1712"/>
        <v>0</v>
      </c>
      <c r="BG220" s="1218">
        <f t="shared" si="1683"/>
        <v>0</v>
      </c>
      <c r="BH220" s="124"/>
      <c r="BI220" s="912">
        <f t="shared" ref="BI220:BL220" si="1713">+BI48</f>
        <v>0</v>
      </c>
      <c r="BJ220" s="23">
        <f t="shared" si="1713"/>
        <v>0</v>
      </c>
      <c r="BK220" s="23">
        <f t="shared" si="1713"/>
        <v>0</v>
      </c>
      <c r="BL220" s="23">
        <f t="shared" si="1713"/>
        <v>0</v>
      </c>
      <c r="BM220" s="1218">
        <f t="shared" si="1683"/>
        <v>0</v>
      </c>
      <c r="BN220" s="124"/>
      <c r="BO220" s="155">
        <f t="shared" ref="BO220:BR220" si="1714">+BO48</f>
        <v>0</v>
      </c>
      <c r="BP220" s="804">
        <f t="shared" si="1714"/>
        <v>0</v>
      </c>
      <c r="BQ220" s="804">
        <f t="shared" si="1714"/>
        <v>0</v>
      </c>
      <c r="BR220" s="804">
        <f t="shared" si="1714"/>
        <v>0</v>
      </c>
      <c r="BS220" s="1221">
        <f t="shared" si="1683"/>
        <v>0</v>
      </c>
      <c r="BT220" s="1222"/>
      <c r="BU220" s="155">
        <f t="shared" ref="BU220:BX220" si="1715">+BU48</f>
        <v>0</v>
      </c>
      <c r="BV220" s="804">
        <f t="shared" si="1715"/>
        <v>0</v>
      </c>
      <c r="BW220" s="804">
        <f t="shared" si="1715"/>
        <v>0</v>
      </c>
      <c r="BX220" s="804">
        <f t="shared" si="1715"/>
        <v>0</v>
      </c>
      <c r="BY220" s="1221">
        <f t="shared" si="1683"/>
        <v>0</v>
      </c>
      <c r="BZ220" s="1222"/>
      <c r="CA220" s="155">
        <f t="shared" ref="CA220:CD220" si="1716">+CA48</f>
        <v>0</v>
      </c>
      <c r="CB220" s="804">
        <f t="shared" si="1716"/>
        <v>0</v>
      </c>
      <c r="CC220" s="804">
        <f t="shared" si="1716"/>
        <v>0</v>
      </c>
      <c r="CD220" s="804">
        <f t="shared" si="1716"/>
        <v>0</v>
      </c>
      <c r="CE220" s="1221">
        <f t="shared" si="1683"/>
        <v>0</v>
      </c>
      <c r="CF220" s="1222"/>
      <c r="CG220" s="155">
        <f t="shared" ref="CG220:CJ220" si="1717">+CG48</f>
        <v>0</v>
      </c>
      <c r="CH220" s="804">
        <f t="shared" si="1717"/>
        <v>0</v>
      </c>
      <c r="CI220" s="804">
        <f t="shared" si="1717"/>
        <v>0</v>
      </c>
      <c r="CJ220" s="804">
        <f t="shared" si="1717"/>
        <v>0</v>
      </c>
      <c r="CK220" s="1221">
        <f t="shared" si="1695"/>
        <v>0</v>
      </c>
      <c r="CL220" s="1222"/>
      <c r="CM220" s="155">
        <f t="shared" ref="CM220:CP220" si="1718">+CM48</f>
        <v>0</v>
      </c>
      <c r="CN220" s="804">
        <f t="shared" si="1718"/>
        <v>0</v>
      </c>
      <c r="CO220" s="804">
        <f t="shared" si="1718"/>
        <v>0</v>
      </c>
      <c r="CP220" s="804">
        <f t="shared" si="1718"/>
        <v>0</v>
      </c>
      <c r="CQ220" s="1221">
        <f t="shared" si="1695"/>
        <v>0</v>
      </c>
      <c r="CR220" s="1222"/>
      <c r="CS220" s="155">
        <f t="shared" ref="CS220:CV220" si="1719">+CS48</f>
        <v>0</v>
      </c>
      <c r="CT220" s="804">
        <f t="shared" si="1719"/>
        <v>0</v>
      </c>
      <c r="CU220" s="804">
        <f t="shared" si="1719"/>
        <v>0</v>
      </c>
      <c r="CV220" s="804">
        <f t="shared" si="1719"/>
        <v>0</v>
      </c>
      <c r="CW220" s="1221">
        <f t="shared" si="1695"/>
        <v>0</v>
      </c>
      <c r="CX220" s="1222"/>
      <c r="CY220" s="155">
        <f t="shared" ref="CY220:DB220" si="1720">+CY48</f>
        <v>0</v>
      </c>
      <c r="CZ220" s="804">
        <f t="shared" si="1720"/>
        <v>0</v>
      </c>
      <c r="DA220" s="804">
        <f t="shared" si="1720"/>
        <v>0</v>
      </c>
      <c r="DB220" s="804">
        <f t="shared" si="1720"/>
        <v>0</v>
      </c>
      <c r="DC220" s="1221">
        <f t="shared" si="1695"/>
        <v>0</v>
      </c>
      <c r="DD220" s="1222"/>
      <c r="DE220" s="155">
        <f t="shared" ref="DE220:DH220" si="1721">+DE48</f>
        <v>0</v>
      </c>
      <c r="DF220" s="804">
        <f t="shared" si="1721"/>
        <v>0</v>
      </c>
      <c r="DG220" s="804">
        <f t="shared" si="1721"/>
        <v>0</v>
      </c>
      <c r="DH220" s="804">
        <f t="shared" si="1721"/>
        <v>0</v>
      </c>
      <c r="DI220" s="1221">
        <f t="shared" si="1695"/>
        <v>0</v>
      </c>
      <c r="DJ220" s="1222"/>
      <c r="DK220" s="155">
        <f t="shared" ref="DK220:DN220" si="1722">+DK48</f>
        <v>0</v>
      </c>
      <c r="DL220" s="804">
        <f t="shared" si="1722"/>
        <v>0</v>
      </c>
      <c r="DM220" s="804">
        <f t="shared" si="1722"/>
        <v>0</v>
      </c>
      <c r="DN220" s="804">
        <f t="shared" si="1722"/>
        <v>0</v>
      </c>
      <c r="DO220" s="1221">
        <f t="shared" si="1695"/>
        <v>0</v>
      </c>
      <c r="DP220" s="1222"/>
      <c r="DQ220" s="155">
        <f t="shared" ref="DQ220:DT220" si="1723">+DQ48</f>
        <v>0</v>
      </c>
      <c r="DR220" s="804">
        <f t="shared" si="1723"/>
        <v>0</v>
      </c>
      <c r="DS220" s="804">
        <f t="shared" si="1723"/>
        <v>0</v>
      </c>
      <c r="DT220" s="804">
        <f t="shared" si="1723"/>
        <v>0</v>
      </c>
      <c r="DU220" s="1221">
        <f t="shared" si="1695"/>
        <v>0</v>
      </c>
      <c r="DV220" s="1222"/>
      <c r="DW220" s="155">
        <f t="shared" ref="DW220:DZ220" si="1724">+DW48</f>
        <v>0</v>
      </c>
      <c r="DX220" s="804">
        <f t="shared" si="1724"/>
        <v>0</v>
      </c>
      <c r="DY220" s="804">
        <f t="shared" si="1724"/>
        <v>0</v>
      </c>
      <c r="DZ220" s="804">
        <f t="shared" si="1724"/>
        <v>0</v>
      </c>
      <c r="EA220" s="1221">
        <f t="shared" si="1695"/>
        <v>0</v>
      </c>
      <c r="EB220" s="1222"/>
      <c r="EC220" s="155">
        <f t="shared" ref="EC220:EF220" si="1725">+EC48</f>
        <v>0</v>
      </c>
      <c r="ED220" s="804">
        <f t="shared" si="1725"/>
        <v>0</v>
      </c>
      <c r="EE220" s="804">
        <f t="shared" si="1725"/>
        <v>0</v>
      </c>
      <c r="EF220" s="804">
        <f t="shared" si="1725"/>
        <v>0</v>
      </c>
      <c r="EG220" s="1221">
        <f t="shared" si="1704"/>
        <v>0</v>
      </c>
      <c r="EH220" s="9"/>
      <c r="EI220" s="486"/>
      <c r="EJ220" s="18"/>
    </row>
    <row r="221" spans="1:140" ht="11.25" customHeight="1" x14ac:dyDescent="0.2">
      <c r="A221" s="51" t="s">
        <v>608</v>
      </c>
      <c r="B221" s="2"/>
      <c r="C221" s="2"/>
      <c r="D221" s="2"/>
      <c r="E221" s="162"/>
      <c r="F221" s="124"/>
      <c r="G221" s="162"/>
      <c r="H221" s="124"/>
      <c r="I221" s="162"/>
      <c r="J221" s="124"/>
      <c r="K221" s="162"/>
      <c r="L221" s="124"/>
      <c r="M221" s="912">
        <f>+M55</f>
        <v>2036.0970000000002</v>
      </c>
      <c r="N221" s="23">
        <f t="shared" ref="N221:P221" si="1726">+N55</f>
        <v>2119.6010000000001</v>
      </c>
      <c r="O221" s="23">
        <f t="shared" si="1726"/>
        <v>2203.4080000000004</v>
      </c>
      <c r="P221" s="23">
        <f t="shared" si="1726"/>
        <v>2228.5860000000002</v>
      </c>
      <c r="Q221" s="1218">
        <f t="shared" si="1615"/>
        <v>2228.5860000000002</v>
      </c>
      <c r="R221" s="124"/>
      <c r="S221" s="912">
        <f t="shared" ref="S221:V221" si="1727">+S55</f>
        <v>2617.5990000000002</v>
      </c>
      <c r="T221" s="23">
        <f t="shared" si="1727"/>
        <v>2737.79</v>
      </c>
      <c r="U221" s="23">
        <f t="shared" si="1727"/>
        <v>2884.05</v>
      </c>
      <c r="V221" s="23">
        <f t="shared" si="1727"/>
        <v>3009.5989999999997</v>
      </c>
      <c r="W221" s="1218">
        <f t="shared" si="1683"/>
        <v>3009.5989999999997</v>
      </c>
      <c r="X221" s="124"/>
      <c r="Y221" s="912">
        <f t="shared" ref="Y221:AB221" si="1728">+Y55</f>
        <v>3119.5219999999999</v>
      </c>
      <c r="Z221" s="23">
        <f t="shared" si="1728"/>
        <v>3274.7159999999999</v>
      </c>
      <c r="AA221" s="23">
        <f t="shared" si="1728"/>
        <v>3460.1639999999998</v>
      </c>
      <c r="AB221" s="23">
        <f t="shared" si="1728"/>
        <v>3646.7089999999998</v>
      </c>
      <c r="AC221" s="1218">
        <f t="shared" si="1683"/>
        <v>3646.7089999999998</v>
      </c>
      <c r="AD221" s="124"/>
      <c r="AE221" s="912">
        <f t="shared" ref="AE221:AH221" si="1729">+AE55</f>
        <v>3782.2339999999999</v>
      </c>
      <c r="AF221" s="23">
        <f t="shared" si="1729"/>
        <v>3983.4009999999998</v>
      </c>
      <c r="AG221" s="23">
        <f t="shared" si="1729"/>
        <v>4184.6819999999998</v>
      </c>
      <c r="AH221" s="23">
        <f t="shared" si="1729"/>
        <v>4619.6819999999998</v>
      </c>
      <c r="AI221" s="1218">
        <f t="shared" si="1683"/>
        <v>4619.6819999999998</v>
      </c>
      <c r="AJ221" s="124"/>
      <c r="AK221" s="912">
        <f t="shared" ref="AK221:AN221" si="1730">+AK55</f>
        <v>4738.9279999999999</v>
      </c>
      <c r="AL221" s="23">
        <f t="shared" si="1730"/>
        <v>4801.34</v>
      </c>
      <c r="AM221" s="23">
        <f t="shared" si="1730"/>
        <v>4994.1480000000001</v>
      </c>
      <c r="AN221" s="23">
        <f t="shared" si="1730"/>
        <v>5080.3499999999995</v>
      </c>
      <c r="AO221" s="1218">
        <f t="shared" si="1683"/>
        <v>5080.3499999999995</v>
      </c>
      <c r="AP221" s="124"/>
      <c r="AQ221" s="912">
        <f t="shared" ref="AQ221:AT221" si="1731">+AQ55</f>
        <v>5374.3310000000001</v>
      </c>
      <c r="AR221" s="23">
        <f t="shared" si="1731"/>
        <v>5859.5219999999999</v>
      </c>
      <c r="AS221" s="23">
        <f t="shared" si="1731"/>
        <v>6151.3970000000008</v>
      </c>
      <c r="AT221" s="23">
        <f t="shared" si="1731"/>
        <v>6644.66</v>
      </c>
      <c r="AU221" s="1218">
        <f t="shared" si="1683"/>
        <v>6644.66</v>
      </c>
      <c r="AV221" s="124"/>
      <c r="AW221" s="912">
        <f t="shared" ref="AW221:AZ221" si="1732">+AW55</f>
        <v>7046.7429999999995</v>
      </c>
      <c r="AX221" s="23">
        <f t="shared" si="1732"/>
        <v>7334.058</v>
      </c>
      <c r="AY221" s="23">
        <f t="shared" si="1732"/>
        <v>8053.3509999999997</v>
      </c>
      <c r="AZ221" s="23">
        <f t="shared" si="1732"/>
        <v>9085.6880000000001</v>
      </c>
      <c r="BA221" s="1218">
        <f t="shared" si="1683"/>
        <v>9085.6880000000001</v>
      </c>
      <c r="BB221" s="124"/>
      <c r="BC221" s="912">
        <f t="shared" ref="BC221:BF221" si="1733">+BC55</f>
        <v>9574.5949999999993</v>
      </c>
      <c r="BD221" s="23">
        <f t="shared" si="1733"/>
        <v>10074.280999999999</v>
      </c>
      <c r="BE221" s="23">
        <f t="shared" si="1733"/>
        <v>10172.237000000001</v>
      </c>
      <c r="BF221" s="23">
        <f t="shared" si="1733"/>
        <v>9808.5619999999999</v>
      </c>
      <c r="BG221" s="1218">
        <f t="shared" si="1683"/>
        <v>9808.5619999999999</v>
      </c>
      <c r="BH221" s="124"/>
      <c r="BI221" s="912">
        <f t="shared" ref="BI221:BL221" si="1734">+BI55</f>
        <v>10002.956</v>
      </c>
      <c r="BJ221" s="23">
        <f t="shared" si="1734"/>
        <v>10602.527</v>
      </c>
      <c r="BK221" s="23">
        <f t="shared" si="1734"/>
        <v>11210.528999999999</v>
      </c>
      <c r="BL221" s="23">
        <f t="shared" si="1734"/>
        <v>11630.175999999999</v>
      </c>
      <c r="BM221" s="1218">
        <f t="shared" si="1683"/>
        <v>11630.175999999999</v>
      </c>
      <c r="BN221" s="124"/>
      <c r="BO221" s="155">
        <f>+BO55</f>
        <v>11853.178</v>
      </c>
      <c r="BP221" s="804">
        <f t="shared" ref="BP221:BR221" si="1735">+BP55</f>
        <v>12058.01</v>
      </c>
      <c r="BQ221" s="804">
        <f t="shared" si="1735"/>
        <v>13171.933000000001</v>
      </c>
      <c r="BR221" s="804">
        <f t="shared" si="1735"/>
        <v>13711.01</v>
      </c>
      <c r="BS221" s="1221">
        <f t="shared" si="1683"/>
        <v>13711.01</v>
      </c>
      <c r="BT221" s="1222"/>
      <c r="BU221" s="155">
        <f t="shared" ref="BU221:BX221" si="1736">+BU55</f>
        <v>14659.179</v>
      </c>
      <c r="BV221" s="804">
        <f t="shared" si="1736"/>
        <v>16489.495999999999</v>
      </c>
      <c r="BW221" s="804">
        <f t="shared" si="1736"/>
        <v>16496.791000000001</v>
      </c>
      <c r="BX221" s="804">
        <f t="shared" si="1736"/>
        <v>16904.782999999999</v>
      </c>
      <c r="BY221" s="1221">
        <f t="shared" si="1683"/>
        <v>16904.782999999999</v>
      </c>
      <c r="BZ221" s="1222"/>
      <c r="CA221" s="155">
        <f t="shared" ref="CA221:CD221" si="1737">+CA55</f>
        <v>17823.305</v>
      </c>
      <c r="CB221" s="804">
        <f t="shared" si="1737"/>
        <v>18301.916000000001</v>
      </c>
      <c r="CC221" s="804">
        <f t="shared" si="1737"/>
        <v>18886.085999999999</v>
      </c>
      <c r="CD221" s="804">
        <f t="shared" si="1737"/>
        <v>19016.5</v>
      </c>
      <c r="CE221" s="1221">
        <f t="shared" si="1683"/>
        <v>19016.5</v>
      </c>
      <c r="CF221" s="1222"/>
      <c r="CG221" s="155">
        <f t="shared" ref="CG221:CJ221" si="1738">+CG55</f>
        <v>19681.099999999999</v>
      </c>
      <c r="CH221" s="804">
        <f t="shared" si="1738"/>
        <v>20296.100000000002</v>
      </c>
      <c r="CI221" s="804">
        <f t="shared" si="1738"/>
        <v>21304.6</v>
      </c>
      <c r="CJ221" s="804">
        <f t="shared" si="1738"/>
        <v>22385.3</v>
      </c>
      <c r="CK221" s="1221">
        <f t="shared" si="1695"/>
        <v>22385.3</v>
      </c>
      <c r="CL221" s="1222"/>
      <c r="CM221" s="155">
        <f t="shared" ref="CM221:CP221" si="1739">+CM55</f>
        <v>22961.699999999997</v>
      </c>
      <c r="CN221" s="804">
        <f t="shared" si="1739"/>
        <v>23720.5</v>
      </c>
      <c r="CO221" s="804">
        <f t="shared" si="1739"/>
        <v>23740.7</v>
      </c>
      <c r="CP221" s="804">
        <f t="shared" si="1739"/>
        <v>23378.1</v>
      </c>
      <c r="CQ221" s="1221">
        <f t="shared" si="1695"/>
        <v>23378.1</v>
      </c>
      <c r="CR221" s="1222"/>
      <c r="CS221" s="155">
        <f t="shared" ref="CS221:CV221" si="1740">+CS55</f>
        <v>23321</v>
      </c>
      <c r="CT221" s="804">
        <f t="shared" si="1740"/>
        <v>24101.200000000001</v>
      </c>
      <c r="CU221" s="804">
        <f t="shared" si="1740"/>
        <v>23112.7</v>
      </c>
      <c r="CV221" s="804">
        <f t="shared" si="1740"/>
        <v>23690.3</v>
      </c>
      <c r="CW221" s="1221">
        <f t="shared" si="1695"/>
        <v>23690.3</v>
      </c>
      <c r="CX221" s="1222"/>
      <c r="CY221" s="155">
        <f t="shared" ref="CY221:DB221" si="1741">+CY55</f>
        <v>24504.699999999997</v>
      </c>
      <c r="CZ221" s="804">
        <f t="shared" si="1741"/>
        <v>25045.1</v>
      </c>
      <c r="DA221" s="804">
        <f t="shared" si="1741"/>
        <v>23191.599999999999</v>
      </c>
      <c r="DB221" s="804">
        <f t="shared" si="1741"/>
        <v>23002.799999999999</v>
      </c>
      <c r="DC221" s="1221">
        <f t="shared" si="1695"/>
        <v>23002.799999999999</v>
      </c>
      <c r="DD221" s="1222"/>
      <c r="DE221" s="155">
        <f t="shared" ref="DE221:DH221" si="1742">+DE55</f>
        <v>23785.800000000003</v>
      </c>
      <c r="DF221" s="804">
        <f t="shared" si="1742"/>
        <v>24590</v>
      </c>
      <c r="DG221" s="804">
        <f t="shared" si="1742"/>
        <v>25375.399999999998</v>
      </c>
      <c r="DH221" s="804">
        <f t="shared" si="1742"/>
        <v>26358.199999999997</v>
      </c>
      <c r="DI221" s="1221">
        <f t="shared" si="1695"/>
        <v>26358.199999999997</v>
      </c>
      <c r="DJ221" s="1222"/>
      <c r="DK221" s="155">
        <f t="shared" ref="DK221:DN221" si="1743">+DK55</f>
        <v>26977.801199999998</v>
      </c>
      <c r="DL221" s="804">
        <f t="shared" si="1743"/>
        <v>27678.58171479516</v>
      </c>
      <c r="DM221" s="804">
        <f t="shared" si="1743"/>
        <v>28370.466741416054</v>
      </c>
      <c r="DN221" s="804">
        <f t="shared" si="1743"/>
        <v>29259.071927325967</v>
      </c>
      <c r="DO221" s="1221">
        <f t="shared" si="1695"/>
        <v>29259.071927325967</v>
      </c>
      <c r="DP221" s="1222"/>
      <c r="DQ221" s="155">
        <f t="shared" ref="DQ221:DT221" si="1744">+DQ55</f>
        <v>29972.347471604375</v>
      </c>
      <c r="DR221" s="804">
        <f t="shared" si="1744"/>
        <v>30772.799939745932</v>
      </c>
      <c r="DS221" s="804">
        <f t="shared" si="1744"/>
        <v>31552.873800831072</v>
      </c>
      <c r="DT221" s="804">
        <f t="shared" si="1744"/>
        <v>32535.811010928421</v>
      </c>
      <c r="DU221" s="1221">
        <f t="shared" si="1695"/>
        <v>32535.811010928421</v>
      </c>
      <c r="DV221" s="1222"/>
      <c r="DW221" s="155">
        <f t="shared" ref="DW221:DZ221" si="1745">+DW55</f>
        <v>33317.421344645772</v>
      </c>
      <c r="DX221" s="804">
        <f t="shared" si="1745"/>
        <v>34189.261775232975</v>
      </c>
      <c r="DY221" s="804">
        <f t="shared" si="1745"/>
        <v>35039.816805468348</v>
      </c>
      <c r="DZ221" s="804">
        <f t="shared" si="1745"/>
        <v>36248.192218770797</v>
      </c>
      <c r="EA221" s="1221">
        <f t="shared" si="1695"/>
        <v>36248.192218770797</v>
      </c>
      <c r="EB221" s="1222"/>
      <c r="EC221" s="155">
        <f t="shared" ref="EC221:EF221" si="1746">+EC55</f>
        <v>37262.706773656988</v>
      </c>
      <c r="ED221" s="804">
        <f t="shared" si="1746"/>
        <v>38388.322623916196</v>
      </c>
      <c r="EE221" s="804">
        <f t="shared" si="1746"/>
        <v>39511.894253771643</v>
      </c>
      <c r="EF221" s="804">
        <f t="shared" si="1746"/>
        <v>40861.907276332669</v>
      </c>
      <c r="EG221" s="1221">
        <f t="shared" si="1704"/>
        <v>40861.907276332669</v>
      </c>
      <c r="EH221" s="9"/>
      <c r="EI221" s="486"/>
      <c r="EJ221" s="18"/>
    </row>
    <row r="222" spans="1:140" ht="11.25" customHeight="1" x14ac:dyDescent="0.2">
      <c r="A222" s="538" t="s">
        <v>693</v>
      </c>
      <c r="B222" s="2"/>
      <c r="C222" s="2"/>
      <c r="D222" s="2"/>
      <c r="E222" s="162"/>
      <c r="F222" s="124"/>
      <c r="G222" s="162"/>
      <c r="H222" s="124"/>
      <c r="I222" s="162"/>
      <c r="J222" s="124"/>
      <c r="K222" s="162"/>
      <c r="L222" s="124"/>
      <c r="M222" s="912"/>
      <c r="N222" s="23"/>
      <c r="O222" s="23"/>
      <c r="P222" s="23"/>
      <c r="Q222" s="1218"/>
      <c r="R222" s="124"/>
      <c r="S222" s="912"/>
      <c r="T222" s="23"/>
      <c r="U222" s="23"/>
      <c r="V222" s="23"/>
      <c r="W222" s="1218"/>
      <c r="X222" s="124"/>
      <c r="Y222" s="912"/>
      <c r="Z222" s="23"/>
      <c r="AA222" s="23"/>
      <c r="AB222" s="23"/>
      <c r="AC222" s="1218"/>
      <c r="AD222" s="124"/>
      <c r="AE222" s="912"/>
      <c r="AF222" s="23"/>
      <c r="AG222" s="23"/>
      <c r="AH222" s="23"/>
      <c r="AI222" s="1218"/>
      <c r="AJ222" s="124"/>
      <c r="AK222" s="912"/>
      <c r="AL222" s="23"/>
      <c r="AM222" s="23"/>
      <c r="AN222" s="23"/>
      <c r="AO222" s="1218"/>
      <c r="AP222" s="124"/>
      <c r="AQ222" s="912"/>
      <c r="AR222" s="23"/>
      <c r="AS222" s="23"/>
      <c r="AT222" s="23"/>
      <c r="AU222" s="1218"/>
      <c r="AV222" s="124"/>
      <c r="AW222" s="912"/>
      <c r="AX222" s="23"/>
      <c r="AY222" s="23"/>
      <c r="AZ222" s="23"/>
      <c r="BA222" s="1218"/>
      <c r="BB222" s="124"/>
      <c r="BC222" s="912"/>
      <c r="BD222" s="23"/>
      <c r="BE222" s="23"/>
      <c r="BF222" s="23"/>
      <c r="BG222" s="1218"/>
      <c r="BH222" s="124"/>
      <c r="BI222" s="912"/>
      <c r="BJ222" s="23"/>
      <c r="BK222" s="23"/>
      <c r="BL222" s="23"/>
      <c r="BM222" s="1218"/>
      <c r="BN222" s="124"/>
      <c r="BO222" s="155"/>
      <c r="BP222" s="804"/>
      <c r="BQ222" s="804"/>
      <c r="BR222" s="804"/>
      <c r="BS222" s="1221"/>
      <c r="BT222" s="1222"/>
      <c r="BU222" s="155"/>
      <c r="BV222" s="804"/>
      <c r="BW222" s="804"/>
      <c r="BX222" s="804"/>
      <c r="BY222" s="1221"/>
      <c r="BZ222" s="1222"/>
      <c r="CA222" s="155"/>
      <c r="CB222" s="804"/>
      <c r="CC222" s="804"/>
      <c r="CD222" s="804"/>
      <c r="CE222" s="1221"/>
      <c r="CF222" s="1222"/>
      <c r="CG222" s="155"/>
      <c r="CH222" s="804"/>
      <c r="CI222" s="804"/>
      <c r="CJ222" s="804"/>
      <c r="CK222" s="1221"/>
      <c r="CL222" s="1222"/>
      <c r="CM222" s="155"/>
      <c r="CN222" s="804"/>
      <c r="CO222" s="804"/>
      <c r="CP222" s="804"/>
      <c r="CQ222" s="1221"/>
      <c r="CR222" s="1222"/>
      <c r="CS222" s="155"/>
      <c r="CT222" s="804"/>
      <c r="CU222" s="804"/>
      <c r="CV222" s="804"/>
      <c r="CW222" s="1221"/>
      <c r="CX222" s="1222"/>
      <c r="CY222" s="155"/>
      <c r="CZ222" s="804"/>
      <c r="DA222" s="804"/>
      <c r="DB222" s="804"/>
      <c r="DC222" s="1221"/>
      <c r="DD222" s="1222"/>
      <c r="DE222" s="155"/>
      <c r="DF222" s="804"/>
      <c r="DG222" s="804"/>
      <c r="DH222" s="804"/>
      <c r="DI222" s="1221"/>
      <c r="DJ222" s="1222"/>
      <c r="DK222" s="155"/>
      <c r="DL222" s="804"/>
      <c r="DM222" s="804"/>
      <c r="DN222" s="804"/>
      <c r="DO222" s="1221"/>
      <c r="DP222" s="1222"/>
      <c r="DQ222" s="155"/>
      <c r="DR222" s="804"/>
      <c r="DS222" s="804"/>
      <c r="DT222" s="804"/>
      <c r="DU222" s="1221"/>
      <c r="DV222" s="1222"/>
      <c r="DW222" s="155"/>
      <c r="DX222" s="804"/>
      <c r="DY222" s="804"/>
      <c r="DZ222" s="804"/>
      <c r="EA222" s="1221"/>
      <c r="EB222" s="1222"/>
      <c r="EC222" s="155"/>
      <c r="ED222" s="804"/>
      <c r="EE222" s="804"/>
      <c r="EF222" s="804"/>
      <c r="EG222" s="1221"/>
      <c r="EH222" s="9"/>
      <c r="EI222" s="486"/>
      <c r="EJ222" s="18"/>
    </row>
    <row r="223" spans="1:140" ht="11.25" customHeight="1" x14ac:dyDescent="0.2">
      <c r="A223" s="50" t="s">
        <v>702</v>
      </c>
      <c r="B223" s="2"/>
      <c r="C223" s="2"/>
      <c r="D223" s="2"/>
      <c r="E223" s="162"/>
      <c r="F223" s="124"/>
      <c r="G223" s="162"/>
      <c r="H223" s="124"/>
      <c r="I223" s="162"/>
      <c r="J223" s="124"/>
      <c r="K223" s="162"/>
      <c r="L223" s="124"/>
      <c r="M223" s="912"/>
      <c r="N223" s="23"/>
      <c r="O223" s="23"/>
      <c r="P223" s="23"/>
      <c r="Q223" s="1218"/>
      <c r="R223" s="124"/>
      <c r="S223" s="912"/>
      <c r="T223" s="23"/>
      <c r="U223" s="23"/>
      <c r="V223" s="23"/>
      <c r="W223" s="1218"/>
      <c r="X223" s="124"/>
      <c r="Y223" s="912"/>
      <c r="Z223" s="23"/>
      <c r="AA223" s="23"/>
      <c r="AB223" s="23"/>
      <c r="AC223" s="1218"/>
      <c r="AD223" s="124"/>
      <c r="AE223" s="912"/>
      <c r="AF223" s="23"/>
      <c r="AG223" s="23"/>
      <c r="AH223" s="23"/>
      <c r="AI223" s="1218"/>
      <c r="AJ223" s="124"/>
      <c r="AK223" s="912"/>
      <c r="AL223" s="23"/>
      <c r="AM223" s="23"/>
      <c r="AN223" s="23"/>
      <c r="AO223" s="1218"/>
      <c r="AP223" s="124"/>
      <c r="AQ223" s="912"/>
      <c r="AR223" s="23"/>
      <c r="AS223" s="23"/>
      <c r="AT223" s="23"/>
      <c r="AU223" s="1218"/>
      <c r="AV223" s="124"/>
      <c r="AW223" s="912"/>
      <c r="AX223" s="23"/>
      <c r="AY223" s="23"/>
      <c r="AZ223" s="23"/>
      <c r="BA223" s="1218"/>
      <c r="BB223" s="124"/>
      <c r="BC223" s="912"/>
      <c r="BD223" s="23"/>
      <c r="BE223" s="23"/>
      <c r="BF223" s="23"/>
      <c r="BG223" s="1218"/>
      <c r="BH223" s="124"/>
      <c r="BI223" s="912"/>
      <c r="BJ223" s="23"/>
      <c r="BK223" s="23"/>
      <c r="BL223" s="23"/>
      <c r="BM223" s="1218"/>
      <c r="BN223" s="124"/>
      <c r="BO223" s="155"/>
      <c r="BP223" s="804"/>
      <c r="BQ223" s="804"/>
      <c r="BR223" s="804"/>
      <c r="BS223" s="1221"/>
      <c r="BT223" s="1222"/>
      <c r="BU223" s="155"/>
      <c r="BV223" s="804"/>
      <c r="BW223" s="804"/>
      <c r="BX223" s="804"/>
      <c r="BY223" s="1221"/>
      <c r="BZ223" s="1222"/>
      <c r="CA223" s="155"/>
      <c r="CB223" s="804"/>
      <c r="CC223" s="804"/>
      <c r="CD223" s="804"/>
      <c r="CE223" s="1221"/>
      <c r="CF223" s="1222"/>
      <c r="CG223" s="155"/>
      <c r="CH223" s="804"/>
      <c r="CI223" s="804"/>
      <c r="CJ223" s="804"/>
      <c r="CK223" s="1221"/>
      <c r="CL223" s="1222"/>
      <c r="CM223" s="155"/>
      <c r="CN223" s="804"/>
      <c r="CO223" s="804"/>
      <c r="CP223" s="804"/>
      <c r="CQ223" s="1221"/>
      <c r="CR223" s="1222"/>
      <c r="CS223" s="155"/>
      <c r="CT223" s="804"/>
      <c r="CU223" s="804"/>
      <c r="CV223" s="804"/>
      <c r="CW223" s="1221"/>
      <c r="CX223" s="1222"/>
      <c r="CY223" s="155"/>
      <c r="CZ223" s="804"/>
      <c r="DA223" s="804"/>
      <c r="DB223" s="804"/>
      <c r="DC223" s="1221"/>
      <c r="DD223" s="1222"/>
      <c r="DE223" s="155"/>
      <c r="DF223" s="804"/>
      <c r="DG223" s="804"/>
      <c r="DH223" s="804"/>
      <c r="DI223" s="1221"/>
      <c r="DJ223" s="1222"/>
      <c r="DK223" s="155"/>
      <c r="DL223" s="804"/>
      <c r="DM223" s="804"/>
      <c r="DN223" s="804"/>
      <c r="DO223" s="1221"/>
      <c r="DP223" s="1222"/>
      <c r="DQ223" s="155"/>
      <c r="DR223" s="804"/>
      <c r="DS223" s="804"/>
      <c r="DT223" s="804"/>
      <c r="DU223" s="1221"/>
      <c r="DV223" s="1222"/>
      <c r="DW223" s="155"/>
      <c r="DX223" s="804"/>
      <c r="DY223" s="804"/>
      <c r="DZ223" s="804"/>
      <c r="EA223" s="1221"/>
      <c r="EB223" s="1222"/>
      <c r="EC223" s="155"/>
      <c r="ED223" s="804"/>
      <c r="EE223" s="804"/>
      <c r="EF223" s="804"/>
      <c r="EG223" s="1221"/>
      <c r="EH223" s="9"/>
      <c r="EI223" s="486"/>
      <c r="EJ223" s="18"/>
    </row>
    <row r="224" spans="1:140" ht="11.25" customHeight="1" x14ac:dyDescent="0.2">
      <c r="A224" s="51" t="s">
        <v>688</v>
      </c>
      <c r="B224" s="2"/>
      <c r="C224" s="2"/>
      <c r="D224" s="2"/>
      <c r="E224" s="162"/>
      <c r="F224" s="124"/>
      <c r="G224" s="162"/>
      <c r="H224" s="124"/>
      <c r="I224" s="162"/>
      <c r="J224" s="124"/>
      <c r="K224" s="162"/>
      <c r="L224" s="124"/>
      <c r="M224" s="912">
        <f>-M11</f>
        <v>-669.23</v>
      </c>
      <c r="N224" s="23">
        <f t="shared" ref="N224:P224" si="1747">-N11</f>
        <v>-675.31</v>
      </c>
      <c r="O224" s="23">
        <f t="shared" si="1747"/>
        <v>-646.46600000000001</v>
      </c>
      <c r="P224" s="23">
        <f t="shared" si="1747"/>
        <v>-706.55899999999997</v>
      </c>
      <c r="Q224" s="1218">
        <f t="shared" si="1615"/>
        <v>-706.55899999999997</v>
      </c>
      <c r="R224" s="124"/>
      <c r="S224" s="912">
        <f t="shared" ref="S224:V224" si="1748">-S11</f>
        <v>-571.452</v>
      </c>
      <c r="T224" s="23">
        <f t="shared" si="1748"/>
        <v>-705.07500000000005</v>
      </c>
      <c r="U224" s="23">
        <f t="shared" si="1748"/>
        <v>-803.178</v>
      </c>
      <c r="V224" s="23">
        <f t="shared" si="1748"/>
        <v>-810.46299999999997</v>
      </c>
      <c r="W224" s="1218">
        <f t="shared" ref="W224:CE226" si="1749">+V224</f>
        <v>-810.46299999999997</v>
      </c>
      <c r="X224" s="124"/>
      <c r="Y224" s="912">
        <f t="shared" ref="Y224:AB224" si="1750">-Y11</f>
        <v>-911.63300000000004</v>
      </c>
      <c r="Z224" s="23">
        <f t="shared" si="1750"/>
        <v>-1068.1099999999999</v>
      </c>
      <c r="AA224" s="23">
        <f t="shared" si="1750"/>
        <v>-1104.7270000000001</v>
      </c>
      <c r="AB224" s="23">
        <f t="shared" si="1750"/>
        <v>-1230.1559999999999</v>
      </c>
      <c r="AC224" s="1218">
        <f t="shared" si="1749"/>
        <v>-1230.1559999999999</v>
      </c>
      <c r="AD224" s="124"/>
      <c r="AE224" s="912">
        <f t="shared" ref="AE224:AH224" si="1751">-AE11</f>
        <v>-642.48599999999999</v>
      </c>
      <c r="AF224" s="23">
        <f t="shared" si="1751"/>
        <v>-303.28500000000003</v>
      </c>
      <c r="AG224" s="23">
        <f t="shared" si="1751"/>
        <v>-531.61</v>
      </c>
      <c r="AH224" s="23">
        <f t="shared" si="1751"/>
        <v>-609.11500000000001</v>
      </c>
      <c r="AI224" s="1218">
        <f t="shared" si="1749"/>
        <v>-609.11500000000001</v>
      </c>
      <c r="AJ224" s="124"/>
      <c r="AK224" s="912">
        <f t="shared" ref="AK224:AN224" si="1752">-AK11</f>
        <v>-673.072</v>
      </c>
      <c r="AL224" s="23">
        <f t="shared" si="1752"/>
        <v>-808.65499999999997</v>
      </c>
      <c r="AM224" s="23">
        <f t="shared" si="1752"/>
        <v>-275.62099999999998</v>
      </c>
      <c r="AN224" s="23">
        <f t="shared" si="1752"/>
        <v>-315.55099999999999</v>
      </c>
      <c r="AO224" s="1218">
        <f t="shared" si="1749"/>
        <v>-315.55099999999999</v>
      </c>
      <c r="AP224" s="124"/>
      <c r="AQ224" s="912">
        <f t="shared" ref="AQ224:AT224" si="1753">-AQ11</f>
        <v>-260.82299999999998</v>
      </c>
      <c r="AR224" s="23">
        <f t="shared" si="1753"/>
        <v>-284.733</v>
      </c>
      <c r="AS224" s="23">
        <f t="shared" si="1753"/>
        <v>-263.952</v>
      </c>
      <c r="AT224" s="23">
        <f t="shared" si="1753"/>
        <v>-317.81</v>
      </c>
      <c r="AU224" s="1218">
        <f t="shared" si="1749"/>
        <v>-317.81</v>
      </c>
      <c r="AV224" s="124"/>
      <c r="AW224" s="912">
        <f t="shared" ref="AW224:AZ224" si="1754">-AW11</f>
        <v>-197.56399999999999</v>
      </c>
      <c r="AX224" s="23">
        <f t="shared" si="1754"/>
        <v>-174.14500000000001</v>
      </c>
      <c r="AY224" s="23">
        <f t="shared" si="1754"/>
        <v>-209.28100000000001</v>
      </c>
      <c r="AZ224" s="23">
        <f t="shared" si="1754"/>
        <v>-239.108</v>
      </c>
      <c r="BA224" s="1218">
        <f t="shared" si="1749"/>
        <v>-239.108</v>
      </c>
      <c r="BB224" s="124"/>
      <c r="BC224" s="912">
        <f t="shared" ref="BC224:BF224" si="1755">-BC11</f>
        <v>-233.81899999999999</v>
      </c>
      <c r="BD224" s="23">
        <f t="shared" si="1755"/>
        <v>-284.10000000000002</v>
      </c>
      <c r="BE224" s="23">
        <f t="shared" si="1755"/>
        <v>-286.51900000000001</v>
      </c>
      <c r="BF224" s="23">
        <f t="shared" si="1755"/>
        <v>-392.85399999999998</v>
      </c>
      <c r="BG224" s="1218">
        <f t="shared" si="1749"/>
        <v>-392.85399999999998</v>
      </c>
      <c r="BH224" s="124"/>
      <c r="BI224" s="912">
        <f t="shared" ref="BI224:BL224" si="1756">-BI11</f>
        <v>-975.94500000000005</v>
      </c>
      <c r="BJ224" s="23">
        <f t="shared" si="1756"/>
        <v>-1258.4110000000001</v>
      </c>
      <c r="BK224" s="23">
        <f t="shared" si="1756"/>
        <v>-1636.231</v>
      </c>
      <c r="BL224" s="23">
        <f t="shared" si="1756"/>
        <v>-1721.92</v>
      </c>
      <c r="BM224" s="1218">
        <f t="shared" si="1749"/>
        <v>-1721.92</v>
      </c>
      <c r="BN224" s="124"/>
      <c r="BO224" s="155">
        <f t="shared" ref="BO224:BR224" si="1757">-BO11</f>
        <v>-806.36800000000005</v>
      </c>
      <c r="BP224" s="804">
        <f t="shared" si="1757"/>
        <v>-1232.9359999999999</v>
      </c>
      <c r="BQ224" s="804">
        <f t="shared" si="1757"/>
        <v>-1635.0409999999999</v>
      </c>
      <c r="BR224" s="804">
        <f t="shared" si="1757"/>
        <v>-1632.98</v>
      </c>
      <c r="BS224" s="1221">
        <f t="shared" si="1749"/>
        <v>-1632.98</v>
      </c>
      <c r="BT224" s="1222"/>
      <c r="BU224" s="155">
        <f t="shared" ref="BU224:BX224" si="1758">-BU11</f>
        <v>-1593.559</v>
      </c>
      <c r="BV224" s="804">
        <f t="shared" si="1758"/>
        <v>-551.58299999999997</v>
      </c>
      <c r="BW224" s="804">
        <f t="shared" si="1758"/>
        <v>-484.36799999999999</v>
      </c>
      <c r="BX224" s="804">
        <f t="shared" si="1758"/>
        <v>-537.00099999999998</v>
      </c>
      <c r="BY224" s="1221">
        <f t="shared" si="1749"/>
        <v>-537.00099999999998</v>
      </c>
      <c r="BZ224" s="1222"/>
      <c r="CA224" s="155">
        <f t="shared" ref="CA224:CD224" si="1759">-CA11</f>
        <v>-1043.2829999999999</v>
      </c>
      <c r="CB224" s="804">
        <f t="shared" si="1759"/>
        <v>-1118.24</v>
      </c>
      <c r="CC224" s="804">
        <f t="shared" si="1759"/>
        <v>-1541.335</v>
      </c>
      <c r="CD224" s="804">
        <f t="shared" si="1759"/>
        <v>-1678.7</v>
      </c>
      <c r="CE224" s="1221">
        <f t="shared" si="1749"/>
        <v>-1678.7</v>
      </c>
      <c r="CF224" s="1222"/>
      <c r="CG224" s="155">
        <f t="shared" ref="CG224:CJ224" si="1760">-CG11</f>
        <v>-2150.6999999999998</v>
      </c>
      <c r="CH224" s="804">
        <f t="shared" si="1760"/>
        <v>-2324.9</v>
      </c>
      <c r="CI224" s="804">
        <f t="shared" si="1760"/>
        <v>-1995.6</v>
      </c>
      <c r="CJ224" s="804">
        <f t="shared" si="1760"/>
        <v>-3115.2</v>
      </c>
      <c r="CK224" s="1221">
        <f t="shared" ref="CK224:EA226" si="1761">+CJ224</f>
        <v>-3115.2</v>
      </c>
      <c r="CL224" s="1222"/>
      <c r="CM224" s="155">
        <f t="shared" ref="CM224:CP224" si="1762">-CM11</f>
        <v>-3346.5</v>
      </c>
      <c r="CN224" s="804">
        <f t="shared" si="1762"/>
        <v>-3321.1</v>
      </c>
      <c r="CO224" s="804">
        <f t="shared" si="1762"/>
        <v>-4025.3</v>
      </c>
      <c r="CP224" s="804">
        <f t="shared" si="1762"/>
        <v>-3005.6</v>
      </c>
      <c r="CQ224" s="1221">
        <f t="shared" si="1761"/>
        <v>-3005.6</v>
      </c>
      <c r="CR224" s="1222"/>
      <c r="CS224" s="155">
        <f t="shared" ref="CS224:CV224" si="1763">-CS11</f>
        <v>-2511</v>
      </c>
      <c r="CT224" s="804">
        <f t="shared" si="1763"/>
        <v>-3342</v>
      </c>
      <c r="CU224" s="804">
        <f t="shared" si="1763"/>
        <v>-1833.5</v>
      </c>
      <c r="CV224" s="804">
        <f t="shared" si="1763"/>
        <v>-790.8</v>
      </c>
      <c r="CW224" s="1221">
        <f t="shared" si="1761"/>
        <v>-790.8</v>
      </c>
      <c r="CX224" s="1222"/>
      <c r="CY224" s="155">
        <f t="shared" ref="CY224:DB224" si="1764">-CY11</f>
        <v>-664.3</v>
      </c>
      <c r="CZ224" s="804">
        <f t="shared" si="1764"/>
        <v>-4097.6000000000004</v>
      </c>
      <c r="DA224" s="804">
        <f t="shared" si="1764"/>
        <v>-971.4</v>
      </c>
      <c r="DB224" s="804">
        <f t="shared" si="1764"/>
        <v>-963.7</v>
      </c>
      <c r="DC224" s="1221">
        <f t="shared" si="1761"/>
        <v>-963.7</v>
      </c>
      <c r="DD224" s="1222"/>
      <c r="DE224" s="155">
        <f t="shared" ref="DE224:DH224" si="1765">-DE11</f>
        <v>-803.9</v>
      </c>
      <c r="DF224" s="804">
        <f t="shared" si="1765"/>
        <v>-726.4</v>
      </c>
      <c r="DG224" s="804">
        <f t="shared" si="1765"/>
        <v>-648.6</v>
      </c>
      <c r="DH224" s="804">
        <f t="shared" si="1765"/>
        <v>-630.29999999999995</v>
      </c>
      <c r="DI224" s="1221">
        <f t="shared" si="1761"/>
        <v>-630.29999999999995</v>
      </c>
      <c r="DJ224" s="1222"/>
      <c r="DK224" s="155">
        <f t="shared" ref="DK224:DN224" si="1766">-DK11</f>
        <v>-1557.2442175485717</v>
      </c>
      <c r="DL224" s="804">
        <f t="shared" si="1766"/>
        <v>-2632.2613277019454</v>
      </c>
      <c r="DM224" s="804">
        <f t="shared" si="1766"/>
        <v>-3342.997046432678</v>
      </c>
      <c r="DN224" s="804">
        <f t="shared" si="1766"/>
        <v>-4332.7964401465715</v>
      </c>
      <c r="DO224" s="1221">
        <f t="shared" si="1761"/>
        <v>-4332.7964401465715</v>
      </c>
      <c r="DP224" s="1222"/>
      <c r="DQ224" s="155">
        <f t="shared" ref="DQ224:DT224" si="1767">-DQ11</f>
        <v>-5275.0535640558928</v>
      </c>
      <c r="DR224" s="804">
        <f t="shared" si="1767"/>
        <v>-6442.3285810400466</v>
      </c>
      <c r="DS224" s="804">
        <f t="shared" si="1767"/>
        <v>-7207.1879142372018</v>
      </c>
      <c r="DT224" s="804">
        <f t="shared" si="1767"/>
        <v>-8265.9570668576089</v>
      </c>
      <c r="DU224" s="1221">
        <f t="shared" si="1761"/>
        <v>-8265.9570668576089</v>
      </c>
      <c r="DV224" s="1222"/>
      <c r="DW224" s="155">
        <f t="shared" ref="DW224:DZ224" si="1768">-DW11</f>
        <v>-9409.2006644715584</v>
      </c>
      <c r="DX224" s="804">
        <f t="shared" si="1768"/>
        <v>-10664.700785721901</v>
      </c>
      <c r="DY224" s="804">
        <f t="shared" si="1768"/>
        <v>-11484.683335176287</v>
      </c>
      <c r="DZ224" s="804">
        <f t="shared" si="1768"/>
        <v>-12781.991948316689</v>
      </c>
      <c r="EA224" s="1221">
        <f t="shared" si="1761"/>
        <v>-12781.991948316689</v>
      </c>
      <c r="EB224" s="1222"/>
      <c r="EC224" s="155">
        <f t="shared" ref="EC224:EF224" si="1769">-EC11</f>
        <v>-14143.502459574598</v>
      </c>
      <c r="ED224" s="804">
        <f t="shared" si="1769"/>
        <v>-15670.492885724132</v>
      </c>
      <c r="EE224" s="804">
        <f t="shared" si="1769"/>
        <v>-16746.039576696206</v>
      </c>
      <c r="EF224" s="804">
        <f t="shared" si="1769"/>
        <v>-18208.562987428984</v>
      </c>
      <c r="EG224" s="1221">
        <f t="shared" ref="EG224:EG228" si="1770">+EF224</f>
        <v>-18208.562987428984</v>
      </c>
      <c r="EH224" s="9"/>
      <c r="EI224" s="486"/>
      <c r="EJ224" s="18"/>
    </row>
    <row r="225" spans="1:140" ht="11.25" customHeight="1" x14ac:dyDescent="0.2">
      <c r="A225" s="51" t="s">
        <v>689</v>
      </c>
      <c r="B225" s="2"/>
      <c r="C225" s="2"/>
      <c r="D225" s="2"/>
      <c r="E225" s="162"/>
      <c r="F225" s="124"/>
      <c r="G225" s="162"/>
      <c r="H225" s="124"/>
      <c r="I225" s="162"/>
      <c r="J225" s="124"/>
      <c r="K225" s="162"/>
      <c r="L225" s="124"/>
      <c r="M225" s="912">
        <f>-M20</f>
        <v>0</v>
      </c>
      <c r="N225" s="23">
        <f t="shared" ref="N225:P225" si="1771">-N20</f>
        <v>0</v>
      </c>
      <c r="O225" s="23">
        <f t="shared" si="1771"/>
        <v>0</v>
      </c>
      <c r="P225" s="23">
        <f t="shared" si="1771"/>
        <v>0</v>
      </c>
      <c r="Q225" s="1218">
        <f t="shared" si="1615"/>
        <v>0</v>
      </c>
      <c r="R225" s="124"/>
      <c r="S225" s="912">
        <f t="shared" ref="S225:V225" si="1772">-S20</f>
        <v>0</v>
      </c>
      <c r="T225" s="23">
        <f t="shared" si="1772"/>
        <v>0</v>
      </c>
      <c r="U225" s="23">
        <f t="shared" si="1772"/>
        <v>0</v>
      </c>
      <c r="V225" s="23">
        <f t="shared" si="1772"/>
        <v>0</v>
      </c>
      <c r="W225" s="1218">
        <f t="shared" si="1749"/>
        <v>0</v>
      </c>
      <c r="X225" s="124"/>
      <c r="Y225" s="912">
        <f t="shared" ref="Y225:AB225" si="1773">-Y20</f>
        <v>0</v>
      </c>
      <c r="Z225" s="23">
        <f t="shared" si="1773"/>
        <v>0</v>
      </c>
      <c r="AA225" s="23">
        <f t="shared" si="1773"/>
        <v>0</v>
      </c>
      <c r="AB225" s="23">
        <f t="shared" si="1773"/>
        <v>0</v>
      </c>
      <c r="AC225" s="1218">
        <f t="shared" si="1749"/>
        <v>0</v>
      </c>
      <c r="AD225" s="124"/>
      <c r="AE225" s="912">
        <f t="shared" ref="AE225:AH225" si="1774">-AE20</f>
        <v>0</v>
      </c>
      <c r="AF225" s="23">
        <f t="shared" si="1774"/>
        <v>0</v>
      </c>
      <c r="AG225" s="23">
        <f t="shared" si="1774"/>
        <v>0</v>
      </c>
      <c r="AH225" s="23">
        <f t="shared" si="1774"/>
        <v>0</v>
      </c>
      <c r="AI225" s="1218">
        <f t="shared" si="1749"/>
        <v>0</v>
      </c>
      <c r="AJ225" s="124"/>
      <c r="AK225" s="912">
        <f t="shared" ref="AK225:AN225" si="1775">-AK20</f>
        <v>0</v>
      </c>
      <c r="AL225" s="23">
        <f t="shared" si="1775"/>
        <v>0</v>
      </c>
      <c r="AM225" s="23">
        <f t="shared" si="1775"/>
        <v>0</v>
      </c>
      <c r="AN225" s="23">
        <f t="shared" si="1775"/>
        <v>0</v>
      </c>
      <c r="AO225" s="1218">
        <f t="shared" si="1749"/>
        <v>0</v>
      </c>
      <c r="AP225" s="124"/>
      <c r="AQ225" s="912">
        <f t="shared" ref="AQ225:AT225" si="1776">-AQ20</f>
        <v>0</v>
      </c>
      <c r="AR225" s="23">
        <f t="shared" si="1776"/>
        <v>0</v>
      </c>
      <c r="AS225" s="23">
        <f t="shared" si="1776"/>
        <v>0</v>
      </c>
      <c r="AT225" s="23">
        <f t="shared" si="1776"/>
        <v>0</v>
      </c>
      <c r="AU225" s="1218">
        <f t="shared" si="1749"/>
        <v>0</v>
      </c>
      <c r="AV225" s="124"/>
      <c r="AW225" s="912">
        <f t="shared" ref="AW225:AZ225" si="1777">-AW20</f>
        <v>0</v>
      </c>
      <c r="AX225" s="23">
        <f t="shared" si="1777"/>
        <v>0</v>
      </c>
      <c r="AY225" s="23">
        <f t="shared" si="1777"/>
        <v>0</v>
      </c>
      <c r="AZ225" s="23">
        <f t="shared" si="1777"/>
        <v>0</v>
      </c>
      <c r="BA225" s="1218">
        <f t="shared" si="1749"/>
        <v>0</v>
      </c>
      <c r="BB225" s="124"/>
      <c r="BC225" s="912">
        <f t="shared" ref="BC225:BF225" si="1778">-BC20</f>
        <v>0</v>
      </c>
      <c r="BD225" s="23">
        <f t="shared" si="1778"/>
        <v>0</v>
      </c>
      <c r="BE225" s="23">
        <f t="shared" si="1778"/>
        <v>0</v>
      </c>
      <c r="BF225" s="23">
        <f t="shared" si="1778"/>
        <v>0</v>
      </c>
      <c r="BG225" s="1218">
        <f t="shared" si="1749"/>
        <v>0</v>
      </c>
      <c r="BH225" s="124"/>
      <c r="BI225" s="912">
        <f t="shared" ref="BI225:BL225" si="1779">-BI20</f>
        <v>0</v>
      </c>
      <c r="BJ225" s="23">
        <f t="shared" si="1779"/>
        <v>0</v>
      </c>
      <c r="BK225" s="23">
        <f t="shared" si="1779"/>
        <v>0</v>
      </c>
      <c r="BL225" s="23">
        <f t="shared" si="1779"/>
        <v>0</v>
      </c>
      <c r="BM225" s="1218">
        <f t="shared" si="1749"/>
        <v>0</v>
      </c>
      <c r="BN225" s="124"/>
      <c r="BO225" s="155">
        <f t="shared" ref="BO225:BR225" si="1780">-BO20</f>
        <v>0</v>
      </c>
      <c r="BP225" s="804">
        <f t="shared" si="1780"/>
        <v>0</v>
      </c>
      <c r="BQ225" s="804">
        <f t="shared" si="1780"/>
        <v>-498.5</v>
      </c>
      <c r="BR225" s="804">
        <f t="shared" si="1780"/>
        <v>-511.28300000000002</v>
      </c>
      <c r="BS225" s="1221">
        <f t="shared" si="1749"/>
        <v>-511.28300000000002</v>
      </c>
      <c r="BT225" s="1222"/>
      <c r="BU225" s="155">
        <f t="shared" ref="BU225:BX225" si="1781">-BU20</f>
        <v>-523.23099999999999</v>
      </c>
      <c r="BV225" s="804">
        <f t="shared" si="1781"/>
        <v>-533.13599999999997</v>
      </c>
      <c r="BW225" s="804">
        <f t="shared" si="1781"/>
        <v>-531.17899999999997</v>
      </c>
      <c r="BX225" s="804">
        <f t="shared" si="1781"/>
        <v>-521.88199999999995</v>
      </c>
      <c r="BY225" s="1221">
        <f t="shared" si="1749"/>
        <v>-521.88199999999995</v>
      </c>
      <c r="BZ225" s="1222"/>
      <c r="CA225" s="155">
        <f t="shared" ref="CA225:CD225" si="1782">-CA20</f>
        <v>-549.86500000000001</v>
      </c>
      <c r="CB225" s="804">
        <f t="shared" si="1782"/>
        <v>-552.54</v>
      </c>
      <c r="CC225" s="804">
        <f t="shared" si="1782"/>
        <v>-560.62900000000002</v>
      </c>
      <c r="CD225" s="804">
        <f t="shared" si="1782"/>
        <v>-548.29999999999995</v>
      </c>
      <c r="CE225" s="1221">
        <f t="shared" si="1749"/>
        <v>-548.29999999999995</v>
      </c>
      <c r="CF225" s="1222"/>
      <c r="CG225" s="155">
        <f t="shared" ref="CG225:CJ225" si="1783">-CG20</f>
        <v>0</v>
      </c>
      <c r="CH225" s="804">
        <f t="shared" si="1783"/>
        <v>0</v>
      </c>
      <c r="CI225" s="804">
        <f t="shared" si="1783"/>
        <v>0</v>
      </c>
      <c r="CJ225" s="804">
        <f t="shared" si="1783"/>
        <v>0</v>
      </c>
      <c r="CK225" s="1221">
        <f t="shared" si="1761"/>
        <v>0</v>
      </c>
      <c r="CL225" s="1222"/>
      <c r="CM225" s="155">
        <f t="shared" ref="CM225:CP225" si="1784">-CM20</f>
        <v>0</v>
      </c>
      <c r="CN225" s="804">
        <f t="shared" si="1784"/>
        <v>0</v>
      </c>
      <c r="CO225" s="804">
        <f t="shared" si="1784"/>
        <v>0</v>
      </c>
      <c r="CP225" s="804">
        <f t="shared" si="1784"/>
        <v>0</v>
      </c>
      <c r="CQ225" s="1221">
        <f t="shared" si="1761"/>
        <v>0</v>
      </c>
      <c r="CR225" s="1222"/>
      <c r="CS225" s="155">
        <f t="shared" ref="CS225:CV225" si="1785">-CS20</f>
        <v>0</v>
      </c>
      <c r="CT225" s="804">
        <f t="shared" si="1785"/>
        <v>0</v>
      </c>
      <c r="CU225" s="804">
        <f t="shared" si="1785"/>
        <v>0</v>
      </c>
      <c r="CV225" s="804">
        <f t="shared" si="1785"/>
        <v>0</v>
      </c>
      <c r="CW225" s="1221">
        <f t="shared" si="1761"/>
        <v>0</v>
      </c>
      <c r="CX225" s="1222"/>
      <c r="CY225" s="155">
        <f t="shared" ref="CY225:DB225" si="1786">-CY20</f>
        <v>0</v>
      </c>
      <c r="CZ225" s="804">
        <f t="shared" si="1786"/>
        <v>0</v>
      </c>
      <c r="DA225" s="804">
        <f t="shared" si="1786"/>
        <v>0</v>
      </c>
      <c r="DB225" s="804">
        <f t="shared" si="1786"/>
        <v>0</v>
      </c>
      <c r="DC225" s="1221">
        <f t="shared" si="1761"/>
        <v>0</v>
      </c>
      <c r="DD225" s="1222"/>
      <c r="DE225" s="155">
        <f t="shared" ref="DE225:DH225" si="1787">-DE20</f>
        <v>0</v>
      </c>
      <c r="DF225" s="804">
        <f t="shared" si="1787"/>
        <v>0</v>
      </c>
      <c r="DG225" s="804">
        <f t="shared" si="1787"/>
        <v>0</v>
      </c>
      <c r="DH225" s="804">
        <f t="shared" si="1787"/>
        <v>0</v>
      </c>
      <c r="DI225" s="1221">
        <f t="shared" si="1761"/>
        <v>0</v>
      </c>
      <c r="DJ225" s="1222"/>
      <c r="DK225" s="155">
        <f t="shared" ref="DK225:DN225" si="1788">-DK20</f>
        <v>0</v>
      </c>
      <c r="DL225" s="804">
        <f t="shared" si="1788"/>
        <v>0</v>
      </c>
      <c r="DM225" s="804">
        <f t="shared" si="1788"/>
        <v>0</v>
      </c>
      <c r="DN225" s="804">
        <f t="shared" si="1788"/>
        <v>0</v>
      </c>
      <c r="DO225" s="1221">
        <f t="shared" si="1761"/>
        <v>0</v>
      </c>
      <c r="DP225" s="1222"/>
      <c r="DQ225" s="155">
        <f t="shared" ref="DQ225:DT225" si="1789">-DQ20</f>
        <v>0</v>
      </c>
      <c r="DR225" s="804">
        <f t="shared" si="1789"/>
        <v>0</v>
      </c>
      <c r="DS225" s="804">
        <f t="shared" si="1789"/>
        <v>0</v>
      </c>
      <c r="DT225" s="804">
        <f t="shared" si="1789"/>
        <v>0</v>
      </c>
      <c r="DU225" s="1221">
        <f t="shared" si="1761"/>
        <v>0</v>
      </c>
      <c r="DV225" s="1222"/>
      <c r="DW225" s="155">
        <f t="shared" ref="DW225:DZ225" si="1790">-DW20</f>
        <v>0</v>
      </c>
      <c r="DX225" s="804">
        <f t="shared" si="1790"/>
        <v>0</v>
      </c>
      <c r="DY225" s="804">
        <f t="shared" si="1790"/>
        <v>0</v>
      </c>
      <c r="DZ225" s="804">
        <f t="shared" si="1790"/>
        <v>0</v>
      </c>
      <c r="EA225" s="1221">
        <f t="shared" si="1761"/>
        <v>0</v>
      </c>
      <c r="EB225" s="1222"/>
      <c r="EC225" s="155">
        <f t="shared" ref="EC225:EF225" si="1791">-EC20</f>
        <v>0</v>
      </c>
      <c r="ED225" s="804">
        <f t="shared" si="1791"/>
        <v>0</v>
      </c>
      <c r="EE225" s="804">
        <f t="shared" si="1791"/>
        <v>0</v>
      </c>
      <c r="EF225" s="804">
        <f t="shared" si="1791"/>
        <v>0</v>
      </c>
      <c r="EG225" s="1221">
        <f t="shared" si="1770"/>
        <v>0</v>
      </c>
      <c r="EH225" s="9"/>
      <c r="EI225" s="486"/>
      <c r="EJ225" s="18"/>
    </row>
    <row r="226" spans="1:140" ht="11.25" customHeight="1" x14ac:dyDescent="0.2">
      <c r="A226" s="51" t="s">
        <v>690</v>
      </c>
      <c r="B226" s="2"/>
      <c r="C226" s="2"/>
      <c r="D226" s="2"/>
      <c r="E226" s="162"/>
      <c r="F226" s="124"/>
      <c r="G226" s="162"/>
      <c r="H226" s="124"/>
      <c r="I226" s="162"/>
      <c r="J226" s="124"/>
      <c r="K226" s="162"/>
      <c r="L226" s="124"/>
      <c r="M226" s="912">
        <f>-M158</f>
        <v>-119.94899999999984</v>
      </c>
      <c r="N226" s="23">
        <f t="shared" ref="N226:P226" si="1792">-N158</f>
        <v>-100.00499999999988</v>
      </c>
      <c r="O226" s="23">
        <f t="shared" si="1792"/>
        <v>-114.59500000000025</v>
      </c>
      <c r="P226" s="23">
        <f t="shared" si="1792"/>
        <v>-130.20800000000008</v>
      </c>
      <c r="Q226" s="1218">
        <f t="shared" si="1615"/>
        <v>-130.20800000000008</v>
      </c>
      <c r="R226" s="124"/>
      <c r="S226" s="912">
        <f>-S158</f>
        <v>-540.23199999999997</v>
      </c>
      <c r="T226" s="23">
        <f t="shared" ref="T226:V226" si="1793">-T158</f>
        <v>-52.083000000000084</v>
      </c>
      <c r="U226" s="23">
        <f t="shared" si="1793"/>
        <v>-162.19499999999971</v>
      </c>
      <c r="V226" s="23">
        <f t="shared" si="1793"/>
        <v>3.4629999999997381</v>
      </c>
      <c r="W226" s="1218">
        <f t="shared" si="1749"/>
        <v>3.4629999999997381</v>
      </c>
      <c r="X226" s="124"/>
      <c r="Y226" s="912">
        <f>-Y158</f>
        <v>-145.18100000000004</v>
      </c>
      <c r="Z226" s="23">
        <f t="shared" ref="Z226:AB226" si="1794">-Z158</f>
        <v>-41.665999999999713</v>
      </c>
      <c r="AA226" s="23">
        <f t="shared" si="1794"/>
        <v>-36.99100000000044</v>
      </c>
      <c r="AB226" s="23">
        <f t="shared" si="1794"/>
        <v>-146.42999999999938</v>
      </c>
      <c r="AC226" s="1218">
        <f t="shared" si="1749"/>
        <v>-146.42999999999938</v>
      </c>
      <c r="AD226" s="124"/>
      <c r="AE226" s="912">
        <f t="shared" ref="AE226:AH226" si="1795">-AE23</f>
        <v>-3685.2579999999998</v>
      </c>
      <c r="AF226" s="23">
        <f t="shared" si="1795"/>
        <v>-3856.5590000000002</v>
      </c>
      <c r="AG226" s="23">
        <f t="shared" si="1795"/>
        <v>-3786.0360000000001</v>
      </c>
      <c r="AH226" s="23">
        <f t="shared" si="1795"/>
        <v>-4070.5320000000002</v>
      </c>
      <c r="AI226" s="1218">
        <f t="shared" si="1749"/>
        <v>-4070.5320000000002</v>
      </c>
      <c r="AJ226" s="124"/>
      <c r="AK226" s="912">
        <f t="shared" ref="AK226:AN226" si="1796">-AK23</f>
        <v>-4098.0519999999997</v>
      </c>
      <c r="AL226" s="23">
        <f t="shared" si="1796"/>
        <v>-4052.2829999999999</v>
      </c>
      <c r="AM226" s="23">
        <f t="shared" si="1796"/>
        <v>-4474.6959999999999</v>
      </c>
      <c r="AN226" s="23">
        <f t="shared" si="1796"/>
        <v>-4474.991</v>
      </c>
      <c r="AO226" s="1218">
        <f t="shared" si="1749"/>
        <v>-4474.991</v>
      </c>
      <c r="AP226" s="124"/>
      <c r="AQ226" s="912">
        <f t="shared" ref="AQ226:AT226" si="1797">-AQ23</f>
        <v>-4561.3119999999999</v>
      </c>
      <c r="AR226" s="23">
        <f t="shared" si="1797"/>
        <v>-6361.3639999999996</v>
      </c>
      <c r="AS226" s="23">
        <f t="shared" si="1797"/>
        <v>-6157.2120000000004</v>
      </c>
      <c r="AT226" s="23">
        <f t="shared" si="1797"/>
        <v>-6596.1229999999996</v>
      </c>
      <c r="AU226" s="1218">
        <f t="shared" si="1749"/>
        <v>-6596.1229999999996</v>
      </c>
      <c r="AV226" s="124"/>
      <c r="AW226" s="912">
        <f t="shared" ref="AW226:AZ226" si="1798">-AW23</f>
        <v>-6855.9489999999996</v>
      </c>
      <c r="AX226" s="23">
        <f t="shared" si="1798"/>
        <v>-6879.8149999999996</v>
      </c>
      <c r="AY226" s="23">
        <f t="shared" si="1798"/>
        <v>-7336.6970000000001</v>
      </c>
      <c r="AZ226" s="23">
        <f t="shared" si="1798"/>
        <v>-9241.0110000000004</v>
      </c>
      <c r="BA226" s="1218">
        <f t="shared" si="1749"/>
        <v>-9241.0110000000004</v>
      </c>
      <c r="BB226" s="124"/>
      <c r="BC226" s="912">
        <f t="shared" ref="BC226:BF226" si="1799">-BC23</f>
        <v>-9480.8690000000006</v>
      </c>
      <c r="BD226" s="23">
        <f t="shared" si="1799"/>
        <v>-9463.4709999999995</v>
      </c>
      <c r="BE226" s="23">
        <f t="shared" si="1799"/>
        <v>-9266.6859999999997</v>
      </c>
      <c r="BF226" s="23">
        <f t="shared" si="1799"/>
        <v>-9210.5810000000001</v>
      </c>
      <c r="BG226" s="1218">
        <f t="shared" si="1749"/>
        <v>-9210.5810000000001</v>
      </c>
      <c r="BH226" s="124"/>
      <c r="BI226" s="912">
        <f t="shared" ref="BI226:BL226" si="1800">-BI23</f>
        <v>-9123.0499999999993</v>
      </c>
      <c r="BJ226" s="23">
        <f t="shared" si="1800"/>
        <v>-9357.6790000000001</v>
      </c>
      <c r="BK226" s="23">
        <f t="shared" si="1800"/>
        <v>-9633.4480000000003</v>
      </c>
      <c r="BL226" s="23">
        <f t="shared" si="1800"/>
        <v>-9817.9230000000007</v>
      </c>
      <c r="BM226" s="1218">
        <f t="shared" si="1749"/>
        <v>-9817.9230000000007</v>
      </c>
      <c r="BN226" s="124"/>
      <c r="BO226" s="155">
        <f t="shared" ref="BO226:BR226" si="1801">-BO23</f>
        <v>-10351.84</v>
      </c>
      <c r="BP226" s="804">
        <f t="shared" si="1801"/>
        <v>-10230.540999999999</v>
      </c>
      <c r="BQ226" s="804">
        <f t="shared" si="1801"/>
        <v>-10476.778</v>
      </c>
      <c r="BR226" s="804">
        <f t="shared" si="1801"/>
        <v>-10758.402</v>
      </c>
      <c r="BS226" s="1221">
        <f t="shared" si="1749"/>
        <v>-10758.402</v>
      </c>
      <c r="BT226" s="1222"/>
      <c r="BU226" s="155">
        <f t="shared" ref="BU226:BX226" si="1802">-BU23</f>
        <v>-10934.931</v>
      </c>
      <c r="BV226" s="804">
        <f t="shared" si="1802"/>
        <v>-14741.004000000001</v>
      </c>
      <c r="BW226" s="804">
        <f t="shared" si="1802"/>
        <v>-14433.079</v>
      </c>
      <c r="BX226" s="804">
        <f t="shared" si="1802"/>
        <v>-14474.323</v>
      </c>
      <c r="BY226" s="1221">
        <f t="shared" si="1749"/>
        <v>-14474.323</v>
      </c>
      <c r="BZ226" s="1222"/>
      <c r="CA226" s="155">
        <f t="shared" ref="CA226:CD226" si="1803">-CA23</f>
        <v>-14573.31</v>
      </c>
      <c r="CB226" s="804">
        <f t="shared" si="1803"/>
        <v>-14927.272000000001</v>
      </c>
      <c r="CC226" s="804">
        <f t="shared" si="1803"/>
        <v>-15056.603999999999</v>
      </c>
      <c r="CD226" s="804">
        <f t="shared" si="1803"/>
        <v>-15462</v>
      </c>
      <c r="CE226" s="1221">
        <f t="shared" si="1749"/>
        <v>-15462</v>
      </c>
      <c r="CF226" s="1222"/>
      <c r="CG226" s="155">
        <f t="shared" ref="CG226:CJ226" si="1804">-CG23</f>
        <v>-15359.4</v>
      </c>
      <c r="CH226" s="804">
        <f t="shared" si="1804"/>
        <v>-15535.2</v>
      </c>
      <c r="CI226" s="804">
        <f t="shared" si="1804"/>
        <v>-16024.4</v>
      </c>
      <c r="CJ226" s="804">
        <f t="shared" si="1804"/>
        <v>-16038.2</v>
      </c>
      <c r="CK226" s="1221">
        <f t="shared" si="1761"/>
        <v>-16038.2</v>
      </c>
      <c r="CL226" s="1222"/>
      <c r="CM226" s="155">
        <f t="shared" ref="CM226:CP226" si="1805">-CM23</f>
        <v>-16148.3</v>
      </c>
      <c r="CN226" s="804">
        <f t="shared" si="1805"/>
        <v>-16398.400000000001</v>
      </c>
      <c r="CO226" s="804">
        <f t="shared" si="1805"/>
        <v>-15978.7</v>
      </c>
      <c r="CP226" s="804">
        <f t="shared" si="1805"/>
        <v>-16964.2</v>
      </c>
      <c r="CQ226" s="1221">
        <f t="shared" si="1761"/>
        <v>-16964.2</v>
      </c>
      <c r="CR226" s="1222"/>
      <c r="CS226" s="155">
        <f t="shared" ref="CS226:CV226" si="1806">-CS23</f>
        <v>-16711.5</v>
      </c>
      <c r="CT226" s="804">
        <f t="shared" si="1806"/>
        <v>-16935.099999999999</v>
      </c>
      <c r="CU226" s="804">
        <f t="shared" si="1806"/>
        <v>-25128.7</v>
      </c>
      <c r="CV226" s="804">
        <f t="shared" si="1806"/>
        <v>-21014.9</v>
      </c>
      <c r="CW226" s="1221">
        <f t="shared" si="1761"/>
        <v>-21014.9</v>
      </c>
      <c r="CX226" s="1222"/>
      <c r="CY226" s="155">
        <f t="shared" ref="CY226:DB226" si="1807">-CY23</f>
        <v>-25485.4</v>
      </c>
      <c r="CZ226" s="804">
        <f t="shared" si="1807"/>
        <v>-25378.3</v>
      </c>
      <c r="DA226" s="804">
        <f t="shared" si="1807"/>
        <v>-21580.9</v>
      </c>
      <c r="DB226" s="804">
        <f t="shared" si="1807"/>
        <v>-23826.9</v>
      </c>
      <c r="DC226" s="1221">
        <f t="shared" si="1761"/>
        <v>-23826.9</v>
      </c>
      <c r="DD226" s="1222"/>
      <c r="DE226" s="155">
        <f t="shared" ref="DE226:DH226" si="1808">-DE23</f>
        <v>-24015</v>
      </c>
      <c r="DF226" s="804">
        <f t="shared" si="1808"/>
        <v>-24523.599999999999</v>
      </c>
      <c r="DG226" s="804">
        <f t="shared" si="1808"/>
        <v>-24783.8</v>
      </c>
      <c r="DH226" s="804">
        <f t="shared" si="1808"/>
        <v>-25138.6</v>
      </c>
      <c r="DI226" s="1221">
        <f t="shared" si="1761"/>
        <v>-25138.6</v>
      </c>
      <c r="DJ226" s="1222"/>
      <c r="DK226" s="155">
        <f t="shared" ref="DK226:DN226" si="1809">-DK23</f>
        <v>-25138.6</v>
      </c>
      <c r="DL226" s="804">
        <f t="shared" si="1809"/>
        <v>-25138.6</v>
      </c>
      <c r="DM226" s="804">
        <f t="shared" si="1809"/>
        <v>-25138.6</v>
      </c>
      <c r="DN226" s="804">
        <f t="shared" si="1809"/>
        <v>-25138.6</v>
      </c>
      <c r="DO226" s="1221">
        <f t="shared" si="1761"/>
        <v>-25138.6</v>
      </c>
      <c r="DP226" s="1222"/>
      <c r="DQ226" s="155">
        <f t="shared" ref="DQ226:DT226" si="1810">-DQ23</f>
        <v>-25138.6</v>
      </c>
      <c r="DR226" s="804">
        <f t="shared" si="1810"/>
        <v>-25138.6</v>
      </c>
      <c r="DS226" s="804">
        <f t="shared" si="1810"/>
        <v>-25138.6</v>
      </c>
      <c r="DT226" s="804">
        <f t="shared" si="1810"/>
        <v>-25138.6</v>
      </c>
      <c r="DU226" s="1221">
        <f t="shared" si="1761"/>
        <v>-25138.6</v>
      </c>
      <c r="DV226" s="1222"/>
      <c r="DW226" s="155">
        <f t="shared" ref="DW226:DZ226" si="1811">-DW23</f>
        <v>-25138.6</v>
      </c>
      <c r="DX226" s="804">
        <f t="shared" si="1811"/>
        <v>-25138.6</v>
      </c>
      <c r="DY226" s="804">
        <f t="shared" si="1811"/>
        <v>-25138.6</v>
      </c>
      <c r="DZ226" s="804">
        <f t="shared" si="1811"/>
        <v>-25138.6</v>
      </c>
      <c r="EA226" s="1221">
        <f t="shared" si="1761"/>
        <v>-25138.6</v>
      </c>
      <c r="EB226" s="1222"/>
      <c r="EC226" s="155">
        <f t="shared" ref="EC226:EF226" si="1812">-EC23</f>
        <v>-25138.6</v>
      </c>
      <c r="ED226" s="804">
        <f t="shared" si="1812"/>
        <v>-25138.6</v>
      </c>
      <c r="EE226" s="804">
        <f t="shared" si="1812"/>
        <v>-25138.6</v>
      </c>
      <c r="EF226" s="804">
        <f t="shared" si="1812"/>
        <v>-25138.6</v>
      </c>
      <c r="EG226" s="1221">
        <f t="shared" si="1770"/>
        <v>-25138.6</v>
      </c>
      <c r="EH226" s="9"/>
      <c r="EI226" s="486"/>
      <c r="EJ226" s="18"/>
    </row>
    <row r="227" spans="1:140" ht="11.25" customHeight="1" x14ac:dyDescent="0.2">
      <c r="A227" s="50" t="s">
        <v>698</v>
      </c>
      <c r="B227" s="2"/>
      <c r="C227" s="2"/>
      <c r="D227" s="2"/>
      <c r="E227" s="162"/>
      <c r="F227" s="124"/>
      <c r="G227" s="162"/>
      <c r="H227" s="124"/>
      <c r="I227" s="162"/>
      <c r="J227" s="124"/>
      <c r="K227" s="162"/>
      <c r="L227" s="124"/>
      <c r="M227" s="913">
        <f t="shared" ref="M227:P228" si="1813">+SUM(M213:M225)</f>
        <v>2916.1040000000003</v>
      </c>
      <c r="N227" s="991">
        <f t="shared" si="1813"/>
        <v>3044.1660000000002</v>
      </c>
      <c r="O227" s="991">
        <f t="shared" si="1813"/>
        <v>3170.7000000000003</v>
      </c>
      <c r="P227" s="991">
        <f t="shared" si="1813"/>
        <v>3168.9859999999999</v>
      </c>
      <c r="Q227" s="1219">
        <f>+P227</f>
        <v>3168.9859999999999</v>
      </c>
      <c r="R227" s="124"/>
      <c r="S227" s="913">
        <f t="shared" ref="S227:V228" si="1814">+SUM(S213:S225)</f>
        <v>3701.0780000000004</v>
      </c>
      <c r="T227" s="991">
        <f t="shared" si="1814"/>
        <v>3730.2519999999995</v>
      </c>
      <c r="U227" s="991">
        <f t="shared" si="1814"/>
        <v>3828.8270000000002</v>
      </c>
      <c r="V227" s="991">
        <f t="shared" si="1814"/>
        <v>4065.9120000000003</v>
      </c>
      <c r="W227" s="1219">
        <f t="shared" ref="W227:W228" si="1815">+V227</f>
        <v>4065.9120000000003</v>
      </c>
      <c r="X227" s="124"/>
      <c r="Y227" s="913">
        <f t="shared" ref="Y227:AB228" si="1816">+SUM(Y213:Y225)</f>
        <v>4164.7330000000002</v>
      </c>
      <c r="Z227" s="991">
        <f t="shared" si="1816"/>
        <v>4160.6210000000001</v>
      </c>
      <c r="AA227" s="991">
        <f t="shared" si="1816"/>
        <v>4218.1140000000005</v>
      </c>
      <c r="AB227" s="991">
        <f t="shared" si="1816"/>
        <v>4294.2759999999998</v>
      </c>
      <c r="AC227" s="1219">
        <f t="shared" ref="AC227:AC228" si="1817">+AB227</f>
        <v>4294.2759999999998</v>
      </c>
      <c r="AD227" s="124"/>
      <c r="AE227" s="913">
        <f t="shared" ref="AE227:AH228" si="1818">+SUM(AE213:AE225)</f>
        <v>5102.8069999999998</v>
      </c>
      <c r="AF227" s="991">
        <f t="shared" si="1818"/>
        <v>5694.5599999999995</v>
      </c>
      <c r="AG227" s="991">
        <f t="shared" si="1818"/>
        <v>5702.1580000000004</v>
      </c>
      <c r="AH227" s="991">
        <f t="shared" si="1818"/>
        <v>6107.2550000000001</v>
      </c>
      <c r="AI227" s="1219">
        <f t="shared" ref="AI227:AI228" si="1819">+AH227</f>
        <v>6107.2550000000001</v>
      </c>
      <c r="AJ227" s="124"/>
      <c r="AK227" s="913">
        <f t="shared" ref="AK227:AN228" si="1820">+SUM(AK213:AK225)</f>
        <v>6139.0940000000001</v>
      </c>
      <c r="AL227" s="991">
        <f t="shared" si="1820"/>
        <v>5997.0010000000002</v>
      </c>
      <c r="AM227" s="991">
        <f t="shared" si="1820"/>
        <v>6666.6959999999999</v>
      </c>
      <c r="AN227" s="991">
        <f t="shared" si="1820"/>
        <v>6762.9229999999989</v>
      </c>
      <c r="AO227" s="1219">
        <f t="shared" ref="AO227:AO228" si="1821">+AN227</f>
        <v>6762.9229999999989</v>
      </c>
      <c r="AP227" s="124"/>
      <c r="AQ227" s="913">
        <f t="shared" ref="AQ227:AT228" si="1822">+SUM(AQ213:AQ225)</f>
        <v>6944.7359999999999</v>
      </c>
      <c r="AR227" s="991">
        <f t="shared" si="1822"/>
        <v>9370.7759999999998</v>
      </c>
      <c r="AS227" s="991">
        <f t="shared" si="1822"/>
        <v>9407.751000000002</v>
      </c>
      <c r="AT227" s="991">
        <f t="shared" si="1822"/>
        <v>10097.640000000001</v>
      </c>
      <c r="AU227" s="1219">
        <f t="shared" ref="AU227:AU228" si="1823">+AT227</f>
        <v>10097.640000000001</v>
      </c>
      <c r="AV227" s="124"/>
      <c r="AW227" s="913">
        <f t="shared" ref="AW227:AZ228" si="1824">+SUM(AW213:AW225)</f>
        <v>10822.669</v>
      </c>
      <c r="AX227" s="991">
        <f t="shared" si="1824"/>
        <v>10969.130000000001</v>
      </c>
      <c r="AY227" s="991">
        <f t="shared" si="1824"/>
        <v>11493.698999999999</v>
      </c>
      <c r="AZ227" s="991">
        <f t="shared" si="1824"/>
        <v>14597.08</v>
      </c>
      <c r="BA227" s="1219">
        <f t="shared" ref="BA227:BA228" si="1825">+AZ227</f>
        <v>14597.08</v>
      </c>
      <c r="BB227" s="124"/>
      <c r="BC227" s="913">
        <f t="shared" ref="BC227:BF228" si="1826">+SUM(BC213:BC225)</f>
        <v>14938.880999999999</v>
      </c>
      <c r="BD227" s="991">
        <f t="shared" si="1826"/>
        <v>14929.639999999998</v>
      </c>
      <c r="BE227" s="991">
        <f t="shared" si="1826"/>
        <v>14638.891000000001</v>
      </c>
      <c r="BF227" s="991">
        <f t="shared" si="1826"/>
        <v>14421.642</v>
      </c>
      <c r="BG227" s="1219">
        <f t="shared" ref="BG227:BG228" si="1827">+BF227</f>
        <v>14421.642</v>
      </c>
      <c r="BH227" s="124"/>
      <c r="BI227" s="913">
        <f t="shared" ref="BI227:BL228" si="1828">+SUM(BI213:BI225)</f>
        <v>14299.594000000001</v>
      </c>
      <c r="BJ227" s="991">
        <f t="shared" si="1828"/>
        <v>14597.258</v>
      </c>
      <c r="BK227" s="991">
        <f t="shared" si="1828"/>
        <v>14898.038999999997</v>
      </c>
      <c r="BL227" s="991">
        <f t="shared" si="1828"/>
        <v>15156.726000000001</v>
      </c>
      <c r="BM227" s="1219">
        <f t="shared" ref="BM227:BM228" si="1829">+BL227</f>
        <v>15156.726000000001</v>
      </c>
      <c r="BN227" s="124"/>
      <c r="BO227" s="1223">
        <f t="shared" ref="BO227:BR228" si="1830">+SUM(BO213:BO225)</f>
        <v>16280.022999999999</v>
      </c>
      <c r="BP227" s="1224">
        <f t="shared" si="1830"/>
        <v>15924.084000000001</v>
      </c>
      <c r="BQ227" s="1224">
        <f t="shared" si="1830"/>
        <v>16324.350000000002</v>
      </c>
      <c r="BR227" s="1224">
        <f t="shared" si="1830"/>
        <v>16808.874000000003</v>
      </c>
      <c r="BS227" s="1225">
        <f t="shared" ref="BS227:BS228" si="1831">+BR227</f>
        <v>16808.874000000003</v>
      </c>
      <c r="BT227" s="1222"/>
      <c r="BU227" s="1223">
        <f t="shared" ref="BU227:BX228" si="1832">+SUM(BU213:BU225)</f>
        <v>17653.157999999999</v>
      </c>
      <c r="BV227" s="1224">
        <f t="shared" si="1832"/>
        <v>26195.292999999998</v>
      </c>
      <c r="BW227" s="1224">
        <f t="shared" si="1832"/>
        <v>25561.466</v>
      </c>
      <c r="BX227" s="1224">
        <f t="shared" si="1832"/>
        <v>24816.928</v>
      </c>
      <c r="BY227" s="1225">
        <f t="shared" ref="BY227:BY228" si="1833">+BX227</f>
        <v>24816.928</v>
      </c>
      <c r="BZ227" s="1222"/>
      <c r="CA227" s="1223">
        <f t="shared" ref="CA227:CD228" si="1834">+SUM(CA213:CA225)</f>
        <v>24978.353000000003</v>
      </c>
      <c r="CB227" s="1224">
        <f t="shared" si="1834"/>
        <v>25525.509000000002</v>
      </c>
      <c r="CC227" s="1224">
        <f t="shared" si="1834"/>
        <v>25603.83</v>
      </c>
      <c r="CD227" s="1224">
        <f t="shared" si="1834"/>
        <v>26563.4</v>
      </c>
      <c r="CE227" s="1225">
        <f t="shared" ref="CE227:CE228" si="1835">+CD227</f>
        <v>26563.4</v>
      </c>
      <c r="CF227" s="1222"/>
      <c r="CG227" s="1223">
        <f t="shared" ref="CG227:CJ228" si="1836">+SUM(CG213:CG225)</f>
        <v>26459.1</v>
      </c>
      <c r="CH227" s="1224">
        <f t="shared" si="1836"/>
        <v>26705.5</v>
      </c>
      <c r="CI227" s="1224">
        <f t="shared" si="1836"/>
        <v>27502.7</v>
      </c>
      <c r="CJ227" s="1224">
        <f t="shared" si="1836"/>
        <v>27061.899999999998</v>
      </c>
      <c r="CK227" s="1225">
        <f t="shared" ref="CK227:CK228" si="1837">+CJ227</f>
        <v>27061.899999999998</v>
      </c>
      <c r="CL227" s="1222"/>
      <c r="CM227" s="1223">
        <f t="shared" ref="CM227:CP228" si="1838">+SUM(CM213:CM225)</f>
        <v>27455.799999999996</v>
      </c>
      <c r="CN227" s="1224">
        <f t="shared" si="1838"/>
        <v>27973.300000000003</v>
      </c>
      <c r="CO227" s="1224">
        <f t="shared" si="1838"/>
        <v>27110.9</v>
      </c>
      <c r="CP227" s="1224">
        <f t="shared" si="1838"/>
        <v>28661.599999999999</v>
      </c>
      <c r="CQ227" s="1225">
        <f t="shared" ref="CQ227:CQ228" si="1839">+CP227</f>
        <v>28661.599999999999</v>
      </c>
      <c r="CR227" s="1222"/>
      <c r="CS227" s="1223">
        <f t="shared" ref="CS227:CV228" si="1840">+SUM(CS213:CS225)</f>
        <v>28732.3</v>
      </c>
      <c r="CT227" s="1224">
        <f t="shared" si="1840"/>
        <v>28699.3</v>
      </c>
      <c r="CU227" s="1224">
        <f t="shared" si="1840"/>
        <v>42738.1</v>
      </c>
      <c r="CV227" s="1224">
        <f t="shared" si="1840"/>
        <v>42106.2</v>
      </c>
      <c r="CW227" s="1225">
        <f t="shared" ref="CW227:CW228" si="1841">+CV227</f>
        <v>42106.2</v>
      </c>
      <c r="CX227" s="1222"/>
      <c r="CY227" s="1223">
        <f t="shared" ref="CY227:DB228" si="1842">+SUM(CY213:CY225)</f>
        <v>42597</v>
      </c>
      <c r="CZ227" s="1224">
        <f t="shared" si="1842"/>
        <v>42024.700000000004</v>
      </c>
      <c r="DA227" s="1224">
        <f t="shared" si="1842"/>
        <v>36371.799999999996</v>
      </c>
      <c r="DB227" s="1224">
        <f t="shared" si="1842"/>
        <v>40052.400000000001</v>
      </c>
      <c r="DC227" s="1225">
        <f t="shared" ref="DC227:DC228" si="1843">+DB227</f>
        <v>40052.400000000001</v>
      </c>
      <c r="DD227" s="1222"/>
      <c r="DE227" s="1223">
        <f t="shared" ref="DE227:DH228" si="1844">+SUM(DE213:DE225)</f>
        <v>40659.1</v>
      </c>
      <c r="DF227" s="1224">
        <f t="shared" si="1844"/>
        <v>40887.299999999996</v>
      </c>
      <c r="DG227" s="1224">
        <f t="shared" si="1844"/>
        <v>40997.4</v>
      </c>
      <c r="DH227" s="1224">
        <f t="shared" si="1844"/>
        <v>41420.699999999997</v>
      </c>
      <c r="DI227" s="1225">
        <f t="shared" ref="DI227:DI228" si="1845">+DH227</f>
        <v>41420.699999999997</v>
      </c>
      <c r="DJ227" s="1222"/>
      <c r="DK227" s="1223">
        <f t="shared" ref="DK227:DN228" si="1846">+SUM(DK213:DK225)</f>
        <v>41385.97698245143</v>
      </c>
      <c r="DL227" s="1224">
        <f t="shared" si="1846"/>
        <v>41199.574387093213</v>
      </c>
      <c r="DM227" s="1224">
        <f t="shared" si="1846"/>
        <v>41117.020094983382</v>
      </c>
      <c r="DN227" s="1224">
        <f t="shared" si="1846"/>
        <v>41050.952567179396</v>
      </c>
      <c r="DO227" s="1225">
        <f t="shared" ref="DO227:DO228" si="1847">+DN227</f>
        <v>41050.952567179396</v>
      </c>
      <c r="DP227" s="1222"/>
      <c r="DQ227" s="1223">
        <f t="shared" ref="DQ227:DT228" si="1848">+SUM(DQ213:DQ225)</f>
        <v>40856.989612548481</v>
      </c>
      <c r="DR227" s="1224">
        <f t="shared" si="1848"/>
        <v>40695.001074385887</v>
      </c>
      <c r="DS227" s="1224">
        <f t="shared" si="1848"/>
        <v>40607.854872913871</v>
      </c>
      <c r="DT227" s="1224">
        <f t="shared" si="1848"/>
        <v>40570.195505810814</v>
      </c>
      <c r="DU227" s="1225">
        <f t="shared" ref="DU227:DU228" si="1849">+DT227</f>
        <v>40570.195505810814</v>
      </c>
      <c r="DV227" s="1222"/>
      <c r="DW227" s="1223">
        <f t="shared" ref="DW227:DZ228" si="1850">+SUM(DW213:DW225)</f>
        <v>40257.450715664214</v>
      </c>
      <c r="DX227" s="1224">
        <f t="shared" si="1850"/>
        <v>40088.461069869874</v>
      </c>
      <c r="DY227" s="1224">
        <f t="shared" si="1850"/>
        <v>40011.803634149255</v>
      </c>
      <c r="DZ227" s="1224">
        <f t="shared" si="1850"/>
        <v>39964.96539807471</v>
      </c>
      <c r="EA227" s="1225">
        <f t="shared" ref="EA227:EA228" si="1851">+DZ227</f>
        <v>39964.96539807471</v>
      </c>
      <c r="EB227" s="1222"/>
      <c r="EC227" s="1223">
        <f t="shared" ref="EC227:EF227" si="1852">+SUM(EC213:EC225)</f>
        <v>39667.126159693267</v>
      </c>
      <c r="ED227" s="1224">
        <f t="shared" si="1852"/>
        <v>39490.73652763835</v>
      </c>
      <c r="EE227" s="1224">
        <f t="shared" si="1852"/>
        <v>39426.427529238586</v>
      </c>
      <c r="EF227" s="1224">
        <f t="shared" si="1852"/>
        <v>39360.199805567783</v>
      </c>
      <c r="EG227" s="1225">
        <f t="shared" si="1770"/>
        <v>39360.199805567783</v>
      </c>
      <c r="EH227" s="9"/>
      <c r="EI227" s="486"/>
      <c r="EJ227" s="18"/>
    </row>
    <row r="228" spans="1:140" ht="11.25" customHeight="1" x14ac:dyDescent="0.2">
      <c r="A228" s="50" t="s">
        <v>699</v>
      </c>
      <c r="B228" s="2"/>
      <c r="C228" s="2"/>
      <c r="D228" s="2"/>
      <c r="E228" s="162"/>
      <c r="F228" s="124"/>
      <c r="G228" s="162"/>
      <c r="H228" s="124"/>
      <c r="I228" s="162"/>
      <c r="J228" s="124"/>
      <c r="K228" s="162"/>
      <c r="L228" s="124"/>
      <c r="M228" s="913">
        <f t="shared" si="1813"/>
        <v>2796.1550000000007</v>
      </c>
      <c r="N228" s="991">
        <f t="shared" si="1813"/>
        <v>2944.1610000000001</v>
      </c>
      <c r="O228" s="991">
        <f t="shared" si="1813"/>
        <v>3056.105</v>
      </c>
      <c r="P228" s="991">
        <f t="shared" si="1813"/>
        <v>3038.7779999999998</v>
      </c>
      <c r="Q228" s="1219">
        <f>+P228</f>
        <v>3038.7779999999998</v>
      </c>
      <c r="R228" s="124"/>
      <c r="S228" s="913">
        <f t="shared" si="1814"/>
        <v>3160.8460000000005</v>
      </c>
      <c r="T228" s="991">
        <f t="shared" si="1814"/>
        <v>3678.1689999999994</v>
      </c>
      <c r="U228" s="991">
        <f t="shared" si="1814"/>
        <v>3666.6320000000005</v>
      </c>
      <c r="V228" s="991">
        <f t="shared" si="1814"/>
        <v>4069.375</v>
      </c>
      <c r="W228" s="1219">
        <f t="shared" si="1815"/>
        <v>4069.375</v>
      </c>
      <c r="X228" s="124"/>
      <c r="Y228" s="913">
        <f t="shared" si="1816"/>
        <v>4019.5520000000001</v>
      </c>
      <c r="Z228" s="991">
        <f t="shared" si="1816"/>
        <v>4118.9549999999999</v>
      </c>
      <c r="AA228" s="991">
        <f t="shared" si="1816"/>
        <v>4181.1229999999996</v>
      </c>
      <c r="AB228" s="991">
        <f t="shared" si="1816"/>
        <v>4147.8460000000005</v>
      </c>
      <c r="AC228" s="1219">
        <f t="shared" si="1817"/>
        <v>4147.8460000000005</v>
      </c>
      <c r="AD228" s="124"/>
      <c r="AE228" s="913">
        <f t="shared" si="1818"/>
        <v>1417.549</v>
      </c>
      <c r="AF228" s="991">
        <f t="shared" si="1818"/>
        <v>1838.0009999999993</v>
      </c>
      <c r="AG228" s="991">
        <f t="shared" si="1818"/>
        <v>1916.1220000000003</v>
      </c>
      <c r="AH228" s="991">
        <f t="shared" si="1818"/>
        <v>2036.723</v>
      </c>
      <c r="AI228" s="1219">
        <f t="shared" si="1819"/>
        <v>2036.723</v>
      </c>
      <c r="AJ228" s="124"/>
      <c r="AK228" s="913">
        <f t="shared" si="1820"/>
        <v>2041.0420000000004</v>
      </c>
      <c r="AL228" s="991">
        <f t="shared" si="1820"/>
        <v>1944.7180000000003</v>
      </c>
      <c r="AM228" s="991">
        <f t="shared" si="1820"/>
        <v>2192</v>
      </c>
      <c r="AN228" s="991">
        <f t="shared" si="1820"/>
        <v>2287.9319999999989</v>
      </c>
      <c r="AO228" s="1219">
        <f t="shared" si="1821"/>
        <v>2287.9319999999989</v>
      </c>
      <c r="AP228" s="124"/>
      <c r="AQ228" s="913">
        <f t="shared" si="1822"/>
        <v>2383.424</v>
      </c>
      <c r="AR228" s="991">
        <f t="shared" si="1822"/>
        <v>3009.4120000000003</v>
      </c>
      <c r="AS228" s="991">
        <f t="shared" si="1822"/>
        <v>3250.5390000000016</v>
      </c>
      <c r="AT228" s="991">
        <f t="shared" si="1822"/>
        <v>3501.5170000000016</v>
      </c>
      <c r="AU228" s="1219">
        <f t="shared" si="1823"/>
        <v>3501.5170000000016</v>
      </c>
      <c r="AV228" s="124"/>
      <c r="AW228" s="913">
        <f t="shared" si="1824"/>
        <v>3966.7200000000003</v>
      </c>
      <c r="AX228" s="991">
        <f t="shared" si="1824"/>
        <v>4089.3150000000014</v>
      </c>
      <c r="AY228" s="991">
        <f t="shared" si="1824"/>
        <v>4157.0019999999986</v>
      </c>
      <c r="AZ228" s="991">
        <f t="shared" si="1824"/>
        <v>5356.0689999999995</v>
      </c>
      <c r="BA228" s="1219">
        <f t="shared" si="1825"/>
        <v>5356.0689999999995</v>
      </c>
      <c r="BB228" s="124"/>
      <c r="BC228" s="913">
        <f t="shared" si="1826"/>
        <v>5458.0119999999988</v>
      </c>
      <c r="BD228" s="991">
        <f t="shared" si="1826"/>
        <v>5466.1689999999981</v>
      </c>
      <c r="BE228" s="991">
        <f t="shared" si="1826"/>
        <v>5372.2050000000017</v>
      </c>
      <c r="BF228" s="991">
        <f t="shared" si="1826"/>
        <v>5211.0609999999997</v>
      </c>
      <c r="BG228" s="1219">
        <f t="shared" si="1827"/>
        <v>5211.0609999999997</v>
      </c>
      <c r="BH228" s="124"/>
      <c r="BI228" s="913">
        <f t="shared" si="1828"/>
        <v>5176.5440000000017</v>
      </c>
      <c r="BJ228" s="991">
        <f t="shared" si="1828"/>
        <v>5239.5789999999997</v>
      </c>
      <c r="BK228" s="991">
        <f t="shared" si="1828"/>
        <v>5264.5909999999967</v>
      </c>
      <c r="BL228" s="991">
        <f t="shared" si="1828"/>
        <v>5338.8029999999999</v>
      </c>
      <c r="BM228" s="1219">
        <f t="shared" si="1829"/>
        <v>5338.8029999999999</v>
      </c>
      <c r="BN228" s="124"/>
      <c r="BO228" s="1223">
        <f t="shared" si="1830"/>
        <v>5928.1829999999991</v>
      </c>
      <c r="BP228" s="1224">
        <f t="shared" si="1830"/>
        <v>5693.5430000000015</v>
      </c>
      <c r="BQ228" s="1224">
        <f t="shared" si="1830"/>
        <v>5847.5720000000019</v>
      </c>
      <c r="BR228" s="1224">
        <f t="shared" si="1830"/>
        <v>6050.4720000000034</v>
      </c>
      <c r="BS228" s="1225">
        <f t="shared" si="1831"/>
        <v>6050.4720000000034</v>
      </c>
      <c r="BT228" s="1222"/>
      <c r="BU228" s="1223">
        <f t="shared" si="1832"/>
        <v>6718.226999999999</v>
      </c>
      <c r="BV228" s="1224">
        <f t="shared" si="1832"/>
        <v>11454.288999999997</v>
      </c>
      <c r="BW228" s="1224">
        <f t="shared" si="1832"/>
        <v>11128.387000000001</v>
      </c>
      <c r="BX228" s="1224">
        <f t="shared" si="1832"/>
        <v>10342.605</v>
      </c>
      <c r="BY228" s="1225">
        <f t="shared" si="1833"/>
        <v>10342.605</v>
      </c>
      <c r="BZ228" s="1222"/>
      <c r="CA228" s="1223">
        <f t="shared" si="1834"/>
        <v>10405.043000000003</v>
      </c>
      <c r="CB228" s="1224">
        <f t="shared" si="1834"/>
        <v>10598.237000000001</v>
      </c>
      <c r="CC228" s="1224">
        <f t="shared" si="1834"/>
        <v>10547.226000000002</v>
      </c>
      <c r="CD228" s="1224">
        <f t="shared" si="1834"/>
        <v>11101.400000000001</v>
      </c>
      <c r="CE228" s="1225">
        <f t="shared" si="1835"/>
        <v>11101.400000000001</v>
      </c>
      <c r="CF228" s="1222"/>
      <c r="CG228" s="1223">
        <f t="shared" si="1836"/>
        <v>11099.699999999999</v>
      </c>
      <c r="CH228" s="1224">
        <f t="shared" si="1836"/>
        <v>11170.3</v>
      </c>
      <c r="CI228" s="1224">
        <f t="shared" si="1836"/>
        <v>11478.300000000001</v>
      </c>
      <c r="CJ228" s="1224">
        <f t="shared" si="1836"/>
        <v>11023.699999999997</v>
      </c>
      <c r="CK228" s="1225">
        <f t="shared" si="1837"/>
        <v>11023.699999999997</v>
      </c>
      <c r="CL228" s="1222"/>
      <c r="CM228" s="1223">
        <f t="shared" si="1838"/>
        <v>11307.499999999996</v>
      </c>
      <c r="CN228" s="1224">
        <f t="shared" si="1838"/>
        <v>11574.900000000001</v>
      </c>
      <c r="CO228" s="1224">
        <f t="shared" si="1838"/>
        <v>11132.2</v>
      </c>
      <c r="CP228" s="1224">
        <f t="shared" si="1838"/>
        <v>11697.399999999998</v>
      </c>
      <c r="CQ228" s="1225">
        <f t="shared" si="1839"/>
        <v>11697.399999999998</v>
      </c>
      <c r="CR228" s="1222"/>
      <c r="CS228" s="1223">
        <f t="shared" si="1840"/>
        <v>12020.8</v>
      </c>
      <c r="CT228" s="1224">
        <f t="shared" si="1840"/>
        <v>11764.2</v>
      </c>
      <c r="CU228" s="1224">
        <f t="shared" si="1840"/>
        <v>17609.399999999998</v>
      </c>
      <c r="CV228" s="1224">
        <f t="shared" si="1840"/>
        <v>21091.299999999996</v>
      </c>
      <c r="CW228" s="1225">
        <f t="shared" si="1841"/>
        <v>21091.299999999996</v>
      </c>
      <c r="CX228" s="1222"/>
      <c r="CY228" s="1223">
        <f t="shared" si="1842"/>
        <v>17111.599999999999</v>
      </c>
      <c r="CZ228" s="1224">
        <f t="shared" si="1842"/>
        <v>16646.400000000005</v>
      </c>
      <c r="DA228" s="1224">
        <f t="shared" si="1842"/>
        <v>14790.899999999994</v>
      </c>
      <c r="DB228" s="1224">
        <f t="shared" si="1842"/>
        <v>16225.5</v>
      </c>
      <c r="DC228" s="1225">
        <f t="shared" si="1843"/>
        <v>16225.5</v>
      </c>
      <c r="DD228" s="1222"/>
      <c r="DE228" s="1223">
        <f t="shared" si="1844"/>
        <v>16644.099999999999</v>
      </c>
      <c r="DF228" s="1224">
        <f t="shared" si="1844"/>
        <v>16363.699999999997</v>
      </c>
      <c r="DG228" s="1224">
        <f t="shared" si="1844"/>
        <v>16213.600000000002</v>
      </c>
      <c r="DH228" s="1224">
        <f t="shared" si="1844"/>
        <v>16282.099999999999</v>
      </c>
      <c r="DI228" s="1225">
        <f t="shared" si="1845"/>
        <v>16282.099999999999</v>
      </c>
      <c r="DJ228" s="1222"/>
      <c r="DK228" s="1223">
        <f t="shared" si="1846"/>
        <v>16247.376982451431</v>
      </c>
      <c r="DL228" s="1224">
        <f t="shared" si="1846"/>
        <v>16060.974387093214</v>
      </c>
      <c r="DM228" s="1224">
        <f t="shared" si="1846"/>
        <v>15978.420094983383</v>
      </c>
      <c r="DN228" s="1224">
        <f t="shared" si="1846"/>
        <v>15912.352567179398</v>
      </c>
      <c r="DO228" s="1225">
        <f t="shared" si="1847"/>
        <v>15912.352567179398</v>
      </c>
      <c r="DP228" s="1222"/>
      <c r="DQ228" s="1223">
        <f t="shared" si="1848"/>
        <v>15718.389612548483</v>
      </c>
      <c r="DR228" s="1224">
        <f t="shared" si="1848"/>
        <v>15556.401074385889</v>
      </c>
      <c r="DS228" s="1224">
        <f t="shared" si="1848"/>
        <v>15469.254872913873</v>
      </c>
      <c r="DT228" s="1224">
        <f t="shared" si="1848"/>
        <v>15431.595505810816</v>
      </c>
      <c r="DU228" s="1225">
        <f t="shared" si="1849"/>
        <v>15431.595505810816</v>
      </c>
      <c r="DV228" s="1222"/>
      <c r="DW228" s="1223">
        <f t="shared" si="1850"/>
        <v>15118.850715664215</v>
      </c>
      <c r="DX228" s="1224">
        <f t="shared" si="1850"/>
        <v>14949.861069869876</v>
      </c>
      <c r="DY228" s="1224">
        <f t="shared" si="1850"/>
        <v>14873.203634149257</v>
      </c>
      <c r="DZ228" s="1224">
        <f t="shared" si="1850"/>
        <v>14826.365398074711</v>
      </c>
      <c r="EA228" s="1225">
        <f t="shared" si="1851"/>
        <v>14826.365398074711</v>
      </c>
      <c r="EB228" s="1222"/>
      <c r="EC228" s="1223">
        <f t="shared" ref="EC228:EF228" si="1853">+SUM(EC214:EC226)</f>
        <v>14528.526159693269</v>
      </c>
      <c r="ED228" s="1224">
        <f t="shared" si="1853"/>
        <v>14352.136527638351</v>
      </c>
      <c r="EE228" s="1224">
        <f t="shared" si="1853"/>
        <v>14287.827529238588</v>
      </c>
      <c r="EF228" s="1224">
        <f t="shared" si="1853"/>
        <v>14221.599805567785</v>
      </c>
      <c r="EG228" s="1225">
        <f t="shared" si="1770"/>
        <v>14221.599805567785</v>
      </c>
      <c r="EH228" s="9"/>
      <c r="EI228" s="486"/>
      <c r="EJ228" s="18"/>
    </row>
    <row r="229" spans="1:140" ht="11.25" customHeight="1" x14ac:dyDescent="0.2">
      <c r="A229" s="51"/>
      <c r="B229" s="2"/>
      <c r="C229" s="2"/>
      <c r="D229" s="2"/>
      <c r="E229" s="187"/>
      <c r="F229" s="188"/>
      <c r="G229" s="187"/>
      <c r="H229" s="188"/>
      <c r="I229" s="187"/>
      <c r="J229" s="188"/>
      <c r="K229" s="187"/>
      <c r="L229" s="188"/>
      <c r="M229" s="189"/>
      <c r="N229" s="190"/>
      <c r="O229" s="190"/>
      <c r="P229" s="190"/>
      <c r="Q229" s="187"/>
      <c r="R229" s="188"/>
      <c r="S229" s="189"/>
      <c r="T229" s="190"/>
      <c r="U229" s="190"/>
      <c r="V229" s="190"/>
      <c r="W229" s="187"/>
      <c r="X229" s="188"/>
      <c r="Y229" s="189"/>
      <c r="Z229" s="190"/>
      <c r="AA229" s="190"/>
      <c r="AB229" s="190"/>
      <c r="AC229" s="187"/>
      <c r="AD229" s="188"/>
      <c r="AE229" s="189"/>
      <c r="AF229" s="190"/>
      <c r="AG229" s="190"/>
      <c r="AH229" s="190"/>
      <c r="AI229" s="187"/>
      <c r="AJ229" s="188"/>
      <c r="AK229" s="189"/>
      <c r="AL229" s="190"/>
      <c r="AM229" s="190"/>
      <c r="AN229" s="190"/>
      <c r="AO229" s="187"/>
      <c r="AP229" s="188"/>
      <c r="AQ229" s="189"/>
      <c r="AR229" s="190"/>
      <c r="AS229" s="190"/>
      <c r="AT229" s="190"/>
      <c r="AU229" s="187"/>
      <c r="AV229" s="188"/>
      <c r="AW229" s="189"/>
      <c r="AX229" s="190"/>
      <c r="AY229" s="190"/>
      <c r="AZ229" s="190"/>
      <c r="BA229" s="187"/>
      <c r="BB229" s="188"/>
      <c r="BC229" s="189"/>
      <c r="BD229" s="190"/>
      <c r="BE229" s="190"/>
      <c r="BF229" s="190"/>
      <c r="BG229" s="187"/>
      <c r="BH229" s="188"/>
      <c r="BI229" s="189"/>
      <c r="BJ229" s="190"/>
      <c r="BK229" s="190"/>
      <c r="BL229" s="190"/>
      <c r="BM229" s="187"/>
      <c r="BN229" s="188"/>
      <c r="BO229" s="189"/>
      <c r="BP229" s="190"/>
      <c r="BQ229" s="190"/>
      <c r="BR229" s="190"/>
      <c r="BS229" s="187"/>
      <c r="BT229" s="188"/>
      <c r="BU229" s="189"/>
      <c r="BV229" s="190"/>
      <c r="BW229" s="190"/>
      <c r="BX229" s="190"/>
      <c r="BY229" s="187"/>
      <c r="BZ229" s="188"/>
      <c r="CA229" s="189"/>
      <c r="CB229" s="190"/>
      <c r="CC229" s="190"/>
      <c r="CD229" s="190"/>
      <c r="CE229" s="187"/>
      <c r="CF229" s="188"/>
      <c r="CG229" s="189"/>
      <c r="CH229" s="190"/>
      <c r="CI229" s="190"/>
      <c r="CJ229" s="190"/>
      <c r="CK229" s="187"/>
      <c r="CL229" s="188"/>
      <c r="CM229" s="189"/>
      <c r="CN229" s="190"/>
      <c r="CO229" s="190"/>
      <c r="CP229" s="190"/>
      <c r="CQ229" s="187"/>
      <c r="CR229" s="188"/>
      <c r="CS229" s="1079"/>
      <c r="CT229" s="1080"/>
      <c r="CU229" s="1080"/>
      <c r="CV229" s="1080"/>
      <c r="CW229" s="187"/>
      <c r="CX229" s="188"/>
      <c r="CY229" s="1079"/>
      <c r="CZ229" s="1080"/>
      <c r="DA229" s="190"/>
      <c r="DB229" s="190"/>
      <c r="DC229" s="187"/>
      <c r="DD229" s="188"/>
      <c r="DE229" s="1079"/>
      <c r="DF229" s="1080"/>
      <c r="DG229" s="190"/>
      <c r="DH229" s="190"/>
      <c r="DI229" s="187"/>
      <c r="DJ229" s="188"/>
      <c r="DK229" s="189"/>
      <c r="DL229" s="190"/>
      <c r="DM229" s="190"/>
      <c r="DN229" s="190"/>
      <c r="DO229" s="187"/>
      <c r="DP229" s="188"/>
      <c r="DQ229" s="189"/>
      <c r="DR229" s="190"/>
      <c r="DS229" s="190"/>
      <c r="DT229" s="190"/>
      <c r="DU229" s="187"/>
      <c r="DV229" s="188"/>
      <c r="DW229" s="189"/>
      <c r="DX229" s="190"/>
      <c r="DY229" s="190"/>
      <c r="DZ229" s="190"/>
      <c r="EA229" s="187"/>
      <c r="EB229" s="188"/>
      <c r="EC229" s="189"/>
      <c r="ED229" s="190"/>
      <c r="EE229" s="190"/>
      <c r="EF229" s="190"/>
      <c r="EG229" s="187"/>
      <c r="EH229" s="9"/>
      <c r="EI229" s="486"/>
      <c r="EJ229" s="9"/>
    </row>
    <row r="230" spans="1:140" ht="11.25" customHeight="1" x14ac:dyDescent="0.2">
      <c r="A230" s="50" t="s">
        <v>697</v>
      </c>
      <c r="B230" s="2"/>
      <c r="C230" s="2"/>
      <c r="D230" s="2"/>
      <c r="E230" s="187"/>
      <c r="F230" s="188"/>
      <c r="G230" s="187"/>
      <c r="H230" s="188"/>
      <c r="I230" s="187"/>
      <c r="J230" s="188"/>
      <c r="K230" s="187"/>
      <c r="L230" s="188"/>
      <c r="M230" s="1220">
        <f>+M210*4/M227</f>
        <v>0.12417752178934632</v>
      </c>
      <c r="N230" s="1061">
        <f t="shared" ref="N230:P230" si="1854">+N210*4/N227</f>
        <v>0.13458517308188844</v>
      </c>
      <c r="O230" s="1061">
        <f t="shared" si="1854"/>
        <v>0.12181103226416877</v>
      </c>
      <c r="P230" s="1061">
        <f t="shared" si="1854"/>
        <v>0.15877266734532744</v>
      </c>
      <c r="Q230" s="1212">
        <f>+Q$210/AVERAGE(M227:P227)</f>
        <v>0.13505648117765623</v>
      </c>
      <c r="R230" s="188"/>
      <c r="S230" s="1220">
        <f>+S$210*4/S227</f>
        <v>9.7880520216001937E-2</v>
      </c>
      <c r="T230" s="1061">
        <f t="shared" ref="T230:V230" si="1855">+T$210*4/T227</f>
        <v>0.12001280342454076</v>
      </c>
      <c r="U230" s="1061">
        <f t="shared" si="1855"/>
        <v>0.12887767454627747</v>
      </c>
      <c r="V230" s="1061">
        <f t="shared" si="1855"/>
        <v>0.13467343120067526</v>
      </c>
      <c r="W230" s="1212">
        <f>+W$210/AVERAGE(S227:V227)</f>
        <v>0.12077213537274299</v>
      </c>
      <c r="X230" s="188"/>
      <c r="Y230" s="1220">
        <f t="shared" ref="Y230:CJ230" si="1856">+Y$210*4/Y227</f>
        <v>0.10729652537149434</v>
      </c>
      <c r="Z230" s="1061">
        <f t="shared" si="1856"/>
        <v>0.12544311534263752</v>
      </c>
      <c r="AA230" s="1061">
        <f t="shared" si="1856"/>
        <v>0.13795618136446761</v>
      </c>
      <c r="AB230" s="1061">
        <f t="shared" si="1856"/>
        <v>0.16044827114046695</v>
      </c>
      <c r="AC230" s="1212">
        <f t="shared" ref="AC230" si="1857">+AC$210/AVERAGE(Y227:AB227)</f>
        <v>0.13301703007243729</v>
      </c>
      <c r="AD230" s="188"/>
      <c r="AE230" s="1220">
        <f t="shared" ref="AE230" si="1858">+AE$210*4/AE227</f>
        <v>0.12560772610055609</v>
      </c>
      <c r="AF230" s="1061">
        <f t="shared" si="1856"/>
        <v>0.13550395605630636</v>
      </c>
      <c r="AG230" s="1061">
        <f t="shared" si="1856"/>
        <v>0.14506944633943852</v>
      </c>
      <c r="AH230" s="1061">
        <f t="shared" si="1856"/>
        <v>0.14660743132552975</v>
      </c>
      <c r="AI230" s="1212">
        <f t="shared" ref="AI230" si="1859">+AI$210/AVERAGE(AE227:AH227)</f>
        <v>0.13868252196907294</v>
      </c>
      <c r="AJ230" s="188"/>
      <c r="AK230" s="1220">
        <f t="shared" ref="AK230" si="1860">+AK$210*4/AK227</f>
        <v>0.13135433404342722</v>
      </c>
      <c r="AL230" s="1061">
        <f t="shared" si="1856"/>
        <v>0.16011415239050322</v>
      </c>
      <c r="AM230" s="1061">
        <f t="shared" si="1856"/>
        <v>0.13737604714539262</v>
      </c>
      <c r="AN230" s="1061">
        <f t="shared" si="1856"/>
        <v>0.14544791771250401</v>
      </c>
      <c r="AO230" s="1212">
        <f t="shared" ref="AO230" si="1861">+AO$210/AVERAGE(AK227:AN227)</f>
        <v>0.14339892310459237</v>
      </c>
      <c r="AP230" s="188"/>
      <c r="AQ230" s="1220">
        <f t="shared" ref="AQ230" si="1862">+AQ$210*4/AQ227</f>
        <v>0.12204487312404667</v>
      </c>
      <c r="AR230" s="1061">
        <f t="shared" si="1856"/>
        <v>0.10560376899415808</v>
      </c>
      <c r="AS230" s="1061">
        <f t="shared" si="1856"/>
        <v>0.11963092985773102</v>
      </c>
      <c r="AT230" s="1061">
        <f t="shared" si="1856"/>
        <v>0.12280963393426574</v>
      </c>
      <c r="AU230" s="1212">
        <f t="shared" ref="AU230" si="1863">+AU$210/AVERAGE(AQ227:AT227)</f>
        <v>0.11732546664164219</v>
      </c>
      <c r="AV230" s="188"/>
      <c r="AW230" s="1220">
        <f t="shared" ref="AW230" si="1864">+AW$210*4/AW227</f>
        <v>0.10259938357164947</v>
      </c>
      <c r="AX230" s="1061">
        <f t="shared" si="1856"/>
        <v>0.12314291908291727</v>
      </c>
      <c r="AY230" s="1061">
        <f t="shared" si="1856"/>
        <v>0.12219526403118783</v>
      </c>
      <c r="AZ230" s="1061">
        <f t="shared" si="1856"/>
        <v>0.11188124748237323</v>
      </c>
      <c r="BA230" s="1212">
        <f t="shared" ref="BA230" si="1865">+BA$210/AVERAGE(AW227:AZ227)</f>
        <v>0.1148389495653304</v>
      </c>
      <c r="BB230" s="188"/>
      <c r="BC230" s="1220">
        <f t="shared" ref="BC230" si="1866">+BC$210*4/BC227</f>
        <v>8.7548502729220462E-2</v>
      </c>
      <c r="BD230" s="1061">
        <f t="shared" si="1856"/>
        <v>0.10419471387119861</v>
      </c>
      <c r="BE230" s="1061">
        <f t="shared" si="1856"/>
        <v>0.11195859577067688</v>
      </c>
      <c r="BF230" s="1061">
        <f t="shared" si="1856"/>
        <v>8.9524952290453555E-2</v>
      </c>
      <c r="BG230" s="1212">
        <f t="shared" ref="BG230" si="1867">+BG$210/AVERAGE(BC227:BF227)</f>
        <v>9.8313350219401241E-2</v>
      </c>
      <c r="BH230" s="188"/>
      <c r="BI230" s="1220">
        <f t="shared" ref="BI230" si="1868">+BI$210*4/BI227</f>
        <v>7.1557723946567953E-2</v>
      </c>
      <c r="BJ230" s="1061">
        <f t="shared" si="1856"/>
        <v>6.4691772660317434E-2</v>
      </c>
      <c r="BK230" s="1061">
        <f t="shared" si="1856"/>
        <v>8.3307127334006914E-2</v>
      </c>
      <c r="BL230" s="1061">
        <f t="shared" si="1856"/>
        <v>9.9968540435447506E-2</v>
      </c>
      <c r="BM230" s="1212">
        <f t="shared" ref="BM230" si="1869">+BM$210/AVERAGE(BI227:BL227)</f>
        <v>8.0131432255708901E-2</v>
      </c>
      <c r="BN230" s="188"/>
      <c r="BO230" s="1220">
        <f t="shared" ref="BO230" si="1870">+BO$210*4/BO227</f>
        <v>8.120984399100678E-2</v>
      </c>
      <c r="BP230" s="1061">
        <f t="shared" si="1856"/>
        <v>9.7546616558917998E-2</v>
      </c>
      <c r="BQ230" s="1061">
        <f t="shared" si="1856"/>
        <v>5.6661952972093858E-2</v>
      </c>
      <c r="BR230" s="1061">
        <f t="shared" si="1856"/>
        <v>0.14365077517982469</v>
      </c>
      <c r="BS230" s="1212">
        <f t="shared" ref="BS230" si="1871">+BS$210/AVERAGE(BO227:BR227)</f>
        <v>9.5121975153836691E-2</v>
      </c>
      <c r="BT230" s="188"/>
      <c r="BU230" s="1220">
        <f t="shared" ref="BU230" si="1872">+BU$210*4/BU227</f>
        <v>9.9427114400720815E-2</v>
      </c>
      <c r="BV230" s="1061">
        <f t="shared" si="1856"/>
        <v>7.6934004899277195E-2</v>
      </c>
      <c r="BW230" s="1061">
        <f t="shared" si="1856"/>
        <v>7.431068820231207E-2</v>
      </c>
      <c r="BX230" s="1061">
        <f t="shared" si="1856"/>
        <v>9.7981003212001136E-2</v>
      </c>
      <c r="BY230" s="1212">
        <f t="shared" ref="BY230" si="1873">+BY$210/AVERAGE(BU227:BX227)</f>
        <v>8.59796270585097E-2</v>
      </c>
      <c r="BZ230" s="188"/>
      <c r="CA230" s="1220">
        <f t="shared" ref="CA230" si="1874">+CA$210*4/CA227</f>
        <v>9.1795003457593824E-2</v>
      </c>
      <c r="CB230" s="1061">
        <f t="shared" si="1856"/>
        <v>9.6843357756352666E-2</v>
      </c>
      <c r="CC230" s="1061">
        <f t="shared" si="1856"/>
        <v>9.2099346074395891E-2</v>
      </c>
      <c r="CD230" s="1061">
        <f t="shared" si="1856"/>
        <v>0.10137527575536258</v>
      </c>
      <c r="CE230" s="1212">
        <f t="shared" ref="CE230" si="1875">+CE$210/AVERAGE(CA227:CD227)</f>
        <v>9.5604632314614829E-2</v>
      </c>
      <c r="CF230" s="188"/>
      <c r="CG230" s="1220">
        <f t="shared" ref="CG230" si="1876">+CG$210*4/CG227</f>
        <v>7.8745177575956837E-2</v>
      </c>
      <c r="CH230" s="1061">
        <f t="shared" si="1856"/>
        <v>9.2745299657373936E-2</v>
      </c>
      <c r="CI230" s="1061">
        <f t="shared" si="1856"/>
        <v>8.6726263239609219E-2</v>
      </c>
      <c r="CJ230" s="1061">
        <f t="shared" si="1856"/>
        <v>9.8402255569638539E-2</v>
      </c>
      <c r="CK230" s="1212">
        <f t="shared" ref="CK230" si="1877">+CK$210/AVERAGE(CG227:CJ227)</f>
        <v>8.919118055271924E-2</v>
      </c>
      <c r="CL230" s="188"/>
      <c r="CM230" s="1220">
        <f t="shared" ref="CM230:DZ230" si="1878">+CM$210*4/CM227</f>
        <v>7.1762410856722428E-2</v>
      </c>
      <c r="CN230" s="1061">
        <f t="shared" si="1878"/>
        <v>8.646084659300117E-2</v>
      </c>
      <c r="CO230" s="1061">
        <f t="shared" si="1878"/>
        <v>0.10439945556953109</v>
      </c>
      <c r="CP230" s="1061">
        <f t="shared" si="1878"/>
        <v>0.15407670416166591</v>
      </c>
      <c r="CQ230" s="1212">
        <f t="shared" ref="CQ230" si="1879">+CQ$210/AVERAGE(CM227:CP227)</f>
        <v>0.10463282600250357</v>
      </c>
      <c r="CR230" s="188"/>
      <c r="CS230" s="1220">
        <f t="shared" ref="CS230" si="1880">+CS$210*4/CS227</f>
        <v>9.916803040480579E-2</v>
      </c>
      <c r="CT230" s="1061">
        <f t="shared" si="1878"/>
        <v>0.1154036230848836</v>
      </c>
      <c r="CU230" s="1061">
        <f t="shared" si="1878"/>
        <v>7.385369026699827E-2</v>
      </c>
      <c r="CV230" s="1061">
        <f t="shared" si="1878"/>
        <v>8.7783062826852193E-2</v>
      </c>
      <c r="CW230" s="1212">
        <f t="shared" ref="CW230" si="1881">+CW$210/AVERAGE(CS227:CV227)</f>
        <v>9.1469506782244872E-2</v>
      </c>
      <c r="CX230" s="188"/>
      <c r="CY230" s="1220">
        <f t="shared" ref="CY230" si="1882">+CY$210*4/CY227</f>
        <v>7.3631532737047201E-2</v>
      </c>
      <c r="CZ230" s="1061">
        <f t="shared" si="1878"/>
        <v>9.1988092716902198E-2</v>
      </c>
      <c r="DA230" s="1061">
        <f t="shared" si="1878"/>
        <v>6.7626875766390496E-2</v>
      </c>
      <c r="DB230" s="1061">
        <f t="shared" si="1878"/>
        <v>5.8044821284117795E-2</v>
      </c>
      <c r="DC230" s="1212">
        <f t="shared" ref="DC230" si="1883">+DC$210/AVERAGE(CY227:DB227)</f>
        <v>7.318907218376873E-2</v>
      </c>
      <c r="DD230" s="188"/>
      <c r="DE230" s="1220">
        <f t="shared" ref="DE230" si="1884">+DE$210*4/DE227</f>
        <v>5.9543069079246683E-2</v>
      </c>
      <c r="DF230" s="1061">
        <f t="shared" si="1878"/>
        <v>6.7925248182198403E-2</v>
      </c>
      <c r="DG230" s="1061">
        <f t="shared" si="1878"/>
        <v>7.1353217521111081E-2</v>
      </c>
      <c r="DH230" s="1061">
        <f t="shared" si="1878"/>
        <v>7.6178548406955954E-2</v>
      </c>
      <c r="DI230" s="1212">
        <f t="shared" ref="DI230" si="1885">+DI$210/AVERAGE(DE227:DH227)</f>
        <v>6.8788748784035569E-2</v>
      </c>
      <c r="DJ230" s="188"/>
      <c r="DK230" s="1220">
        <f t="shared" ref="DK230" si="1886">+DK$210*4/DK227</f>
        <v>7.0241009442223071E-2</v>
      </c>
      <c r="DL230" s="1061">
        <f t="shared" si="1878"/>
        <v>7.8723594456297133E-2</v>
      </c>
      <c r="DM230" s="1061">
        <f t="shared" si="1878"/>
        <v>7.801181719219813E-2</v>
      </c>
      <c r="DN230" s="1061">
        <f t="shared" si="1878"/>
        <v>9.6894702574431127E-2</v>
      </c>
      <c r="DO230" s="1212">
        <f t="shared" ref="DO230" si="1887">+DO$210/AVERAGE(DK227:DN227)</f>
        <v>8.0942758333878109E-2</v>
      </c>
      <c r="DP230" s="188"/>
      <c r="DQ230" s="1220">
        <f t="shared" ref="DQ230" si="1888">+DQ$210*4/DQ227</f>
        <v>7.8159442708357008E-2</v>
      </c>
      <c r="DR230" s="1061">
        <f t="shared" si="1878"/>
        <v>8.6476710654000824E-2</v>
      </c>
      <c r="DS230" s="1061">
        <f t="shared" si="1878"/>
        <v>8.452803606818364E-2</v>
      </c>
      <c r="DT230" s="1061">
        <f t="shared" si="1878"/>
        <v>0.10408507118056973</v>
      </c>
      <c r="DU230" s="1212">
        <f t="shared" ref="DU230" si="1889">+DU$210/AVERAGE(DQ227:DT227)</f>
        <v>8.8292138231660933E-2</v>
      </c>
      <c r="DV230" s="188"/>
      <c r="DW230" s="1220">
        <f t="shared" ref="DW230" si="1890">+DW$210*4/DW227</f>
        <v>8.5910729768155975E-2</v>
      </c>
      <c r="DX230" s="1061">
        <f t="shared" si="1878"/>
        <v>9.4636120817800956E-2</v>
      </c>
      <c r="DY230" s="1061">
        <f t="shared" si="1878"/>
        <v>9.2507392829994151E-2</v>
      </c>
      <c r="DZ230" s="1061">
        <f t="shared" si="1878"/>
        <v>0.1130152827123696</v>
      </c>
      <c r="EA230" s="1212">
        <f t="shared" ref="EA230" si="1891">+EA$210/AVERAGE(DW227:DZ227)</f>
        <v>9.6495410602920467E-2</v>
      </c>
      <c r="EB230" s="188"/>
      <c r="EC230" s="1220">
        <f t="shared" ref="EC230:EF230" si="1892">+EC$210*4/EC227</f>
        <v>9.3577947566428329E-2</v>
      </c>
      <c r="ED230" s="1061">
        <f t="shared" si="1892"/>
        <v>0.10274260875483393</v>
      </c>
      <c r="EE230" s="1061">
        <f t="shared" si="1892"/>
        <v>0.10041027428371781</v>
      </c>
      <c r="EF230" s="1061">
        <f t="shared" si="1892"/>
        <v>0.12146921263253532</v>
      </c>
      <c r="EG230" s="1212">
        <f t="shared" ref="EG230" si="1893">+EG$210/AVERAGE(EC227:EF227)</f>
        <v>0.10452545969629971</v>
      </c>
      <c r="EH230" s="9"/>
      <c r="EI230" s="486"/>
      <c r="EJ230" s="9"/>
    </row>
    <row r="231" spans="1:140" ht="11.25" customHeight="1" x14ac:dyDescent="0.2">
      <c r="A231" s="50" t="s">
        <v>696</v>
      </c>
      <c r="B231" s="2"/>
      <c r="C231" s="2"/>
      <c r="D231" s="2"/>
      <c r="E231" s="187"/>
      <c r="F231" s="188"/>
      <c r="G231" s="187"/>
      <c r="H231" s="188"/>
      <c r="I231" s="187"/>
      <c r="J231" s="188"/>
      <c r="K231" s="187"/>
      <c r="L231" s="188"/>
      <c r="M231" s="1220">
        <f>+M210*4/M228</f>
        <v>0.1295044688152123</v>
      </c>
      <c r="N231" s="1061">
        <f>+N210*4/N228</f>
        <v>0.13915665889195597</v>
      </c>
      <c r="O231" s="1061">
        <f>+O210*4/O228</f>
        <v>0.12637858974086294</v>
      </c>
      <c r="P231" s="1061">
        <f>+P210*4/P228</f>
        <v>0.16557588609631893</v>
      </c>
      <c r="Q231" s="1212">
        <f>+Q$210/AVERAGE(M228:P228)</f>
        <v>0.1403600206468856</v>
      </c>
      <c r="R231" s="188"/>
      <c r="S231" s="1220">
        <f>+S210*4/S228</f>
        <v>0.11460964564550123</v>
      </c>
      <c r="T231" s="1061">
        <f>+T210*4/T228</f>
        <v>0.1217121888635351</v>
      </c>
      <c r="U231" s="1061">
        <f>+U210*4/U228</f>
        <v>0.13457863237979703</v>
      </c>
      <c r="V231" s="1061">
        <f>+V210*4/V228</f>
        <v>0.13455882537244665</v>
      </c>
      <c r="W231" s="1212">
        <f>+W210/AVERAGE(S228:V228)</f>
        <v>0.12699549132756024</v>
      </c>
      <c r="X231" s="188"/>
      <c r="Y231" s="1220">
        <f>+Y210*4/Y228</f>
        <v>0.1111719365740261</v>
      </c>
      <c r="Z231" s="1061">
        <f>+Z210*4/Z228</f>
        <v>0.12671205682023715</v>
      </c>
      <c r="AA231" s="1061">
        <f>+AA210*4/AA228</f>
        <v>0.13917669965700605</v>
      </c>
      <c r="AB231" s="1061">
        <f>+AB210*4/AB228</f>
        <v>0.16611252201745189</v>
      </c>
      <c r="AC231" s="1212">
        <f>+AC210/AVERAGE(Y228:AB228)</f>
        <v>0.13600789216270912</v>
      </c>
      <c r="AD231" s="188"/>
      <c r="AE231" s="1220">
        <f>+AE210*4/AE228</f>
        <v>0.45215508176436953</v>
      </c>
      <c r="AF231" s="1061">
        <f>+AF210*4/AF228</f>
        <v>0.41982317093407467</v>
      </c>
      <c r="AG231" s="1061">
        <f>+AG210*4/AG228</f>
        <v>0.43170993496238752</v>
      </c>
      <c r="AH231" s="1061">
        <f>+AH210*4/AH228</f>
        <v>0.43961253837659725</v>
      </c>
      <c r="AI231" s="1212">
        <f>+AI210/AVERAGE(AE228:AH228)</f>
        <v>0.43493250078554224</v>
      </c>
      <c r="AJ231" s="188"/>
      <c r="AK231" s="1220">
        <f>+AK210*4/AK228</f>
        <v>0.39509064683627265</v>
      </c>
      <c r="AL231" s="1061">
        <f>+AL210*4/AL228</f>
        <v>0.49375011286983517</v>
      </c>
      <c r="AM231" s="1061">
        <f>+AM210*4/AM228</f>
        <v>0.4178122007299272</v>
      </c>
      <c r="AN231" s="1061">
        <f>+AN210*4/AN228</f>
        <v>0.42993107662290708</v>
      </c>
      <c r="AO231" s="1212">
        <f>+AO210/AVERAGE(AK228:AN228)</f>
        <v>0.43305329983656399</v>
      </c>
      <c r="AP231" s="188"/>
      <c r="AQ231" s="1220">
        <f>+AQ210*4/AQ228</f>
        <v>0.3556100064445098</v>
      </c>
      <c r="AR231" s="1061">
        <f>+AR210*4/AR228</f>
        <v>0.32883143418049793</v>
      </c>
      <c r="AS231" s="1061">
        <f>+AS210*4/AS228</f>
        <v>0.34623734709843462</v>
      </c>
      <c r="AT231" s="1061">
        <f>+AT210*4/AT228</f>
        <v>0.35415720443453469</v>
      </c>
      <c r="AU231" s="1212">
        <f>+AU210/AVERAGE(AQ228:AT228)</f>
        <v>0.34604705912576245</v>
      </c>
      <c r="AV231" s="188"/>
      <c r="AW231" s="1220">
        <f>+AW210*4/AW228</f>
        <v>0.27992879961277828</v>
      </c>
      <c r="AX231" s="1061">
        <f>+AX210*4/AX228</f>
        <v>0.33031710396484498</v>
      </c>
      <c r="AY231" s="1061">
        <f>+AY210*4/AY228</f>
        <v>0.33785780810305116</v>
      </c>
      <c r="AZ231" s="1061">
        <f>+AZ210*4/AZ228</f>
        <v>0.30491383139388251</v>
      </c>
      <c r="BA231" s="1212">
        <f>+BA210/AVERAGE(AW228:AZ228)</f>
        <v>0.31298035084995213</v>
      </c>
      <c r="BB231" s="188"/>
      <c r="BC231" s="1220">
        <f>+BC210*4/BC228</f>
        <v>0.23962509866229681</v>
      </c>
      <c r="BD231" s="1061">
        <f>+BD210*4/BD228</f>
        <v>0.28458497496144042</v>
      </c>
      <c r="BE231" s="1061">
        <f>+BE210*4/BE228</f>
        <v>0.30507951204393713</v>
      </c>
      <c r="BF231" s="1061">
        <f>+BF210*4/BF228</f>
        <v>0.24776083258284662</v>
      </c>
      <c r="BG231" s="1212">
        <f>+BG210/AVERAGE(BC228:BF228)</f>
        <v>0.26937240500929782</v>
      </c>
      <c r="BH231" s="188"/>
      <c r="BI231" s="1220">
        <f>+BI210*4/BI228</f>
        <v>0.19766979668288326</v>
      </c>
      <c r="BJ231" s="1061">
        <f>+BJ210*4/BJ228</f>
        <v>0.18022869700027427</v>
      </c>
      <c r="BK231" s="1061">
        <f>+BK210*4/BK228</f>
        <v>0.23574724646226108</v>
      </c>
      <c r="BL231" s="1061">
        <f>+BL210*4/BL228</f>
        <v>0.2838081450092837</v>
      </c>
      <c r="BM231" s="1212">
        <f>+BM210/AVERAGE(BI228:BL228)</f>
        <v>0.22473768088962259</v>
      </c>
      <c r="BN231" s="188"/>
      <c r="BO231" s="1220">
        <f>+BO210*4/BO228</f>
        <v>0.22301911530059082</v>
      </c>
      <c r="BP231" s="1061">
        <f>+BP210*4/BP228</f>
        <v>0.27282493800433238</v>
      </c>
      <c r="BQ231" s="1061">
        <f>+BQ210*4/BQ228</f>
        <v>0.15818010483667413</v>
      </c>
      <c r="BR231" s="1061">
        <f>+BR210*4/BR228</f>
        <v>0.39907758931865145</v>
      </c>
      <c r="BS231" s="1212">
        <f>+BS210/AVERAGE(BO228:BR228)</f>
        <v>0.26424646057338158</v>
      </c>
      <c r="BT231" s="188"/>
      <c r="BU231" s="1220">
        <f>+BU210*4/BU228</f>
        <v>0.26125978773863995</v>
      </c>
      <c r="BV231" s="1061">
        <f>+BV210*4/BV228</f>
        <v>0.17594359632448614</v>
      </c>
      <c r="BW231" s="1061">
        <f>+BW210*4/BW228</f>
        <v>0.17068871975067015</v>
      </c>
      <c r="BX231" s="1061">
        <f>+BX210*4/BX228</f>
        <v>0.23510397062248833</v>
      </c>
      <c r="BY231" s="1212">
        <f>+BY210/AVERAGE(BU228:BX228)</f>
        <v>0.20436105180197472</v>
      </c>
      <c r="BZ231" s="188"/>
      <c r="CA231" s="1220">
        <f>+CA210*4/CA228</f>
        <v>0.22036314506340807</v>
      </c>
      <c r="CB231" s="1061">
        <f>+CB210*4/CB228</f>
        <v>0.23324407634967967</v>
      </c>
      <c r="CC231" s="1061">
        <f>+CC210*4/CC228</f>
        <v>0.22357499497972258</v>
      </c>
      <c r="CD231" s="1061">
        <f>+CD210*4/CD228</f>
        <v>0.24257048660529285</v>
      </c>
      <c r="CE231" s="1212">
        <f>+CE210/AVERAGE(CA228:CD228)</f>
        <v>0.23013817952238735</v>
      </c>
      <c r="CF231" s="188"/>
      <c r="CG231" s="1220">
        <f>+CG210*4/CG228</f>
        <v>0.18771016586033853</v>
      </c>
      <c r="CH231" s="1061">
        <f>+CH210*4/CH228</f>
        <v>0.2217316992381583</v>
      </c>
      <c r="CI231" s="1061">
        <f>+CI210*4/CI228</f>
        <v>0.20780136431353077</v>
      </c>
      <c r="CJ231" s="1061">
        <f>+CJ210*4/CJ228</f>
        <v>0.24156608035414623</v>
      </c>
      <c r="CK231" s="1212">
        <f>+CK210/AVERAGE(CG228:CJ228)</f>
        <v>0.21460945519521132</v>
      </c>
      <c r="CL231" s="188"/>
      <c r="CM231" s="1220">
        <f>+CM210*4/CM228</f>
        <v>0.17424668582799027</v>
      </c>
      <c r="CN231" s="1061">
        <f>+CN210*4/CN228</f>
        <v>0.20895171448565425</v>
      </c>
      <c r="CO231" s="1061">
        <f>+CO210*4/CO228</f>
        <v>0.25425012126982993</v>
      </c>
      <c r="CP231" s="1061">
        <f>+CP210*4/CP228</f>
        <v>0.3775270456682685</v>
      </c>
      <c r="CQ231" s="1212">
        <f>+CQ210/AVERAGE(CM228:CP228)</f>
        <v>0.25453573818690933</v>
      </c>
      <c r="CR231" s="188"/>
      <c r="CS231" s="1220">
        <f>+CS210*4/CS228</f>
        <v>0.23703294289897525</v>
      </c>
      <c r="CT231" s="1061">
        <f>+CT210*4/CT228</f>
        <v>0.28153237789224933</v>
      </c>
      <c r="CU231" s="1061">
        <f>+CU210*4/CU228</f>
        <v>0.17924326780015212</v>
      </c>
      <c r="CV231" s="1061">
        <f>+CV210*4/CV228</f>
        <v>0.17524814496972707</v>
      </c>
      <c r="CW231" s="1212">
        <f>+CW210/AVERAGE(CS228:CV228)</f>
        <v>0.20827015461137499</v>
      </c>
      <c r="CX231" s="188"/>
      <c r="CY231" s="1220">
        <f>+CY210*4/CY228</f>
        <v>0.1832956824610206</v>
      </c>
      <c r="CZ231" s="1061">
        <f>+CZ210*4/CZ228</f>
        <v>0.23222871011149551</v>
      </c>
      <c r="DA231" s="1061">
        <f>+DA210*4/DA228</f>
        <v>0.16629895408663453</v>
      </c>
      <c r="DB231" s="1061">
        <f>+DB210*4/DB228</f>
        <v>0.14328275862068965</v>
      </c>
      <c r="DC231" s="1212">
        <f>+DC210/AVERAGE(CY228:DB228)</f>
        <v>0.18196694990613579</v>
      </c>
      <c r="DD231" s="188"/>
      <c r="DE231" s="1220">
        <f>+DE210*4/DE228</f>
        <v>0.14545500207280651</v>
      </c>
      <c r="DF231" s="1061">
        <f>+DF210*4/DF228</f>
        <v>0.16972200663664092</v>
      </c>
      <c r="DG231" s="1061">
        <f>+DG210*4/DG228</f>
        <v>0.18042238614496467</v>
      </c>
      <c r="DH231" s="1061">
        <f>+DH210*4/DH228</f>
        <v>0.19379372439673018</v>
      </c>
      <c r="DI231" s="1212">
        <f>+DI210/AVERAGE(DE228:DH228)</f>
        <v>0.17218794110238386</v>
      </c>
      <c r="DJ231" s="188"/>
      <c r="DK231" s="1220">
        <f>+DK210*4/DK228</f>
        <v>0.17892074536953262</v>
      </c>
      <c r="DL231" s="1061">
        <f>+DL210*4/DL228</f>
        <v>0.20194158259962042</v>
      </c>
      <c r="DM231" s="1061">
        <f>+DM210*4/DM228</f>
        <v>0.20074659672672202</v>
      </c>
      <c r="DN231" s="1061">
        <f>+DN210*4/DN228</f>
        <v>0.24997056988280364</v>
      </c>
      <c r="DO231" s="1212">
        <f>+DO210/AVERAGE(DK228:DN228)</f>
        <v>0.20772253331317928</v>
      </c>
      <c r="DP231" s="188"/>
      <c r="DQ231" s="1220">
        <f>+DQ210*4/DQ228</f>
        <v>0.20316073195618978</v>
      </c>
      <c r="DR231" s="1061">
        <f>+DR210*4/DR228</f>
        <v>0.22622005026396153</v>
      </c>
      <c r="DS231" s="1061">
        <f>+DS210*4/DS228</f>
        <v>0.22189189133856879</v>
      </c>
      <c r="DT231" s="1061">
        <f>+DT210*4/DT228</f>
        <v>0.27364323316029493</v>
      </c>
      <c r="DU231" s="1212">
        <f>+DU210/AVERAGE(DQ228:DT228)</f>
        <v>0.23108379799478518</v>
      </c>
      <c r="DV231" s="188"/>
      <c r="DW231" s="1220">
        <f>+DW210*4/DW228</f>
        <v>0.22875726697962448</v>
      </c>
      <c r="DX231" s="1061">
        <f>+DX210*4/DX228</f>
        <v>0.25376934457631967</v>
      </c>
      <c r="DY231" s="1061">
        <f>+DY210*4/DY228</f>
        <v>0.24886283598796105</v>
      </c>
      <c r="DZ231" s="1061">
        <f>+DZ210*4/DZ228</f>
        <v>0.30463648654173836</v>
      </c>
      <c r="EA231" s="1212">
        <f>+EA210/AVERAGE(DW228:DZ228)</f>
        <v>0.25883968390594952</v>
      </c>
      <c r="EB231" s="188"/>
      <c r="EC231" s="1220">
        <f t="shared" ref="EC231:EF231" si="1894">+EC210*4/EC228</f>
        <v>0.25549516937105771</v>
      </c>
      <c r="ED231" s="1061">
        <f t="shared" si="1894"/>
        <v>0.28270225026677748</v>
      </c>
      <c r="EE231" s="1061">
        <f t="shared" si="1894"/>
        <v>0.27707630107772852</v>
      </c>
      <c r="EF231" s="1061">
        <f t="shared" si="1894"/>
        <v>0.33618246503953775</v>
      </c>
      <c r="EG231" s="1212">
        <f t="shared" ref="EG231" si="1895">+EG210/AVERAGE(EC228:EF228)</f>
        <v>0.2876667455948097</v>
      </c>
      <c r="EH231" s="9"/>
      <c r="EI231" s="486"/>
      <c r="EJ231" s="9"/>
    </row>
    <row r="232" spans="1:140" ht="11.25" customHeight="1" x14ac:dyDescent="0.2">
      <c r="A232" s="105"/>
      <c r="B232" s="2"/>
      <c r="C232" s="2"/>
      <c r="D232" s="2"/>
      <c r="E232" s="191"/>
      <c r="F232" s="121"/>
      <c r="G232" s="191"/>
      <c r="H232" s="121"/>
      <c r="I232" s="191"/>
      <c r="J232" s="121"/>
      <c r="K232" s="191"/>
      <c r="L232" s="121"/>
      <c r="M232" s="156"/>
      <c r="N232" s="157"/>
      <c r="O232" s="157"/>
      <c r="P232" s="157"/>
      <c r="Q232" s="191"/>
      <c r="R232" s="121"/>
      <c r="S232" s="156"/>
      <c r="T232" s="157"/>
      <c r="U232" s="157"/>
      <c r="V232" s="157"/>
      <c r="W232" s="191"/>
      <c r="X232" s="121"/>
      <c r="Y232" s="156"/>
      <c r="Z232" s="157"/>
      <c r="AA232" s="157"/>
      <c r="AB232" s="157"/>
      <c r="AC232" s="191"/>
      <c r="AD232" s="121"/>
      <c r="AE232" s="156"/>
      <c r="AF232" s="157"/>
      <c r="AG232" s="157"/>
      <c r="AH232" s="157"/>
      <c r="AI232" s="191"/>
      <c r="AJ232" s="121"/>
      <c r="AK232" s="156"/>
      <c r="AL232" s="157"/>
      <c r="AM232" s="157"/>
      <c r="AN232" s="157"/>
      <c r="AO232" s="191"/>
      <c r="AP232" s="121"/>
      <c r="AQ232" s="156"/>
      <c r="AR232" s="157"/>
      <c r="AS232" s="157"/>
      <c r="AT232" s="157"/>
      <c r="AU232" s="191"/>
      <c r="AV232" s="121"/>
      <c r="AW232" s="156"/>
      <c r="AX232" s="157"/>
      <c r="AY232" s="157"/>
      <c r="AZ232" s="157"/>
      <c r="BA232" s="191"/>
      <c r="BB232" s="121"/>
      <c r="BC232" s="156"/>
      <c r="BD232" s="157"/>
      <c r="BE232" s="157"/>
      <c r="BF232" s="157"/>
      <c r="BG232" s="191"/>
      <c r="BH232" s="121"/>
      <c r="BI232" s="156"/>
      <c r="BJ232" s="157"/>
      <c r="BK232" s="157"/>
      <c r="BL232" s="157"/>
      <c r="BM232" s="191"/>
      <c r="BN232" s="121"/>
      <c r="BO232" s="156"/>
      <c r="BP232" s="157"/>
      <c r="BQ232" s="157"/>
      <c r="BR232" s="157"/>
      <c r="BS232" s="191"/>
      <c r="BT232" s="121"/>
      <c r="BU232" s="156"/>
      <c r="BV232" s="157"/>
      <c r="BW232" s="157"/>
      <c r="BX232" s="157"/>
      <c r="BY232" s="191"/>
      <c r="BZ232" s="121"/>
      <c r="CA232" s="156"/>
      <c r="CB232" s="157"/>
      <c r="CC232" s="157"/>
      <c r="CD232" s="157"/>
      <c r="CE232" s="191"/>
      <c r="CF232" s="121"/>
      <c r="CG232" s="156"/>
      <c r="CH232" s="157"/>
      <c r="CI232" s="157"/>
      <c r="CJ232" s="157"/>
      <c r="CK232" s="191"/>
      <c r="CL232" s="121"/>
      <c r="CM232" s="156"/>
      <c r="CN232" s="157"/>
      <c r="CO232" s="157"/>
      <c r="CP232" s="157"/>
      <c r="CQ232" s="191"/>
      <c r="CR232" s="121"/>
      <c r="CS232" s="1081"/>
      <c r="CT232" s="1082"/>
      <c r="CU232" s="1082"/>
      <c r="CV232" s="1082"/>
      <c r="CW232" s="191"/>
      <c r="CX232" s="121"/>
      <c r="CY232" s="1081"/>
      <c r="CZ232" s="1082"/>
      <c r="DA232" s="157"/>
      <c r="DB232" s="157"/>
      <c r="DC232" s="191"/>
      <c r="DD232" s="121"/>
      <c r="DE232" s="1183"/>
      <c r="DF232" s="1181"/>
      <c r="DG232" s="157"/>
      <c r="DH232" s="157"/>
      <c r="DI232" s="191"/>
      <c r="DJ232" s="121"/>
      <c r="DK232" s="156"/>
      <c r="DL232" s="157"/>
      <c r="DM232" s="157"/>
      <c r="DN232" s="157"/>
      <c r="DO232" s="191"/>
      <c r="DP232" s="121"/>
      <c r="DQ232" s="156"/>
      <c r="DR232" s="157"/>
      <c r="DS232" s="157"/>
      <c r="DT232" s="157"/>
      <c r="DU232" s="191"/>
      <c r="DV232" s="121"/>
      <c r="DW232" s="156"/>
      <c r="DX232" s="157"/>
      <c r="DY232" s="157"/>
      <c r="DZ232" s="157"/>
      <c r="EA232" s="191"/>
      <c r="EB232" s="121"/>
      <c r="EC232" s="156"/>
      <c r="ED232" s="157"/>
      <c r="EE232" s="157"/>
      <c r="EF232" s="157"/>
      <c r="EG232" s="191"/>
      <c r="EH232" s="9"/>
      <c r="EI232" s="486"/>
      <c r="EJ232" s="18"/>
    </row>
    <row r="234" spans="1:140" ht="11.25" customHeight="1" x14ac:dyDescent="0.2">
      <c r="DE234" s="53">
        <v>7.6017021972474581E-3</v>
      </c>
      <c r="DF234" s="53">
        <v>8.6718322777077968E-3</v>
      </c>
      <c r="DG234" s="53">
        <v>9.1094718293578472E-3</v>
      </c>
      <c r="DH234" s="53">
        <v>9.7255087412031899E-3</v>
      </c>
      <c r="DI234" s="53">
        <v>8.7820730584370187E-3</v>
      </c>
      <c r="DK234" s="53">
        <v>8.9674792393247913E-3</v>
      </c>
      <c r="DL234" s="53">
        <v>1.0050427870239418E-2</v>
      </c>
      <c r="DM234" s="53">
        <v>9.9595571966896376E-3</v>
      </c>
      <c r="DN234" s="53">
        <v>1.2370283978499463E-2</v>
      </c>
      <c r="DO234" s="53">
        <v>1.0333742505932914E-2</v>
      </c>
      <c r="DQ234" s="53">
        <v>9.9784041460979928E-3</v>
      </c>
      <c r="DR234" s="53">
        <v>1.1040247195090797E-2</v>
      </c>
      <c r="DS234" s="53">
        <v>1.0791465193931071E-2</v>
      </c>
      <c r="DT234" s="53">
        <v>1.3288258844046897E-2</v>
      </c>
      <c r="DU234" s="53">
        <v>1.1272017911976004E-2</v>
      </c>
      <c r="DW234" s="53">
        <v>1.0967989949872203E-2</v>
      </c>
      <c r="DX234" s="53">
        <v>1.2081936969056803E-2</v>
      </c>
      <c r="DY234" s="53">
        <v>1.1810168038222612E-2</v>
      </c>
      <c r="DZ234" s="53">
        <v>1.4428354738882597E-2</v>
      </c>
      <c r="EA234" s="53">
        <v>1.2319307455049923E-2</v>
      </c>
      <c r="EC234" s="53">
        <v>1.1946842858954382E-2</v>
      </c>
      <c r="ED234" s="53">
        <v>1.3116870305813235E-2</v>
      </c>
      <c r="EE234" s="53">
        <v>1.2819107487269187E-2</v>
      </c>
      <c r="EF234" s="53">
        <v>1.5507645051647121E-2</v>
      </c>
      <c r="EG234" s="53">
        <v>1.3344482051876704E-2</v>
      </c>
    </row>
    <row r="235" spans="1:140" ht="11.25" customHeight="1" x14ac:dyDescent="0.2">
      <c r="A235" s="45" t="s">
        <v>716</v>
      </c>
      <c r="CQ235" s="45">
        <v>448.9</v>
      </c>
      <c r="CW235" s="45">
        <v>484</v>
      </c>
      <c r="DC235" s="45">
        <v>545</v>
      </c>
    </row>
    <row r="236" spans="1:140" ht="11.25" customHeight="1" x14ac:dyDescent="0.2">
      <c r="A236" s="45" t="s">
        <v>717</v>
      </c>
      <c r="CQ236" s="45">
        <v>269.2</v>
      </c>
      <c r="CW236" s="45">
        <v>396.8</v>
      </c>
      <c r="DC236" s="45">
        <v>583.1</v>
      </c>
    </row>
    <row r="237" spans="1:140" ht="11.25" customHeight="1" x14ac:dyDescent="0.2">
      <c r="A237" s="45" t="s">
        <v>718</v>
      </c>
      <c r="CQ237" s="45">
        <f>+CQ236+CQ235</f>
        <v>718.09999999999991</v>
      </c>
      <c r="CW237" s="45">
        <f>+CW236+CW235</f>
        <v>880.8</v>
      </c>
      <c r="DC237" s="45">
        <f>+DC236+DC235</f>
        <v>1128.0999999999999</v>
      </c>
    </row>
    <row r="238" spans="1:140" customFormat="1" ht="11.25" customHeight="1" x14ac:dyDescent="0.2"/>
  </sheetData>
  <customSheetViews>
    <customSheetView guid="{CBD33D90-1832-48F8-9EEA-47C164B6C11D}" fitToPage="1" hiddenColumns="1" showRuler="0">
      <pane xSplit="4" ySplit="10" topLeftCell="P71" activePane="bottomRight" state="frozen"/>
      <selection pane="bottomRight" activeCell="I47" sqref="I47"/>
      <pageMargins left="0.3" right="0.18" top="0.76" bottom="1" header="0.5" footer="0.5"/>
      <pageSetup scale="31" fitToWidth="2" orientation="landscape"/>
      <headerFooter alignWithMargins="0"/>
    </customSheetView>
    <customSheetView guid="{29130F06-8713-4F7A-8A7E-3EEBD44DBC41}" fitToPage="1" hiddenColumns="1" showRuler="0">
      <pane xSplit="4" ySplit="10" topLeftCell="E11" activePane="bottomRight" state="frozen"/>
      <selection pane="bottomRight" activeCell="M13" sqref="M13"/>
      <pageMargins left="0.3" right="0.18" top="0.76" bottom="1" header="0.5" footer="0.5"/>
      <pageSetup scale="31" fitToWidth="2" orientation="landscape"/>
      <headerFooter alignWithMargins="0"/>
    </customSheetView>
    <customSheetView guid="{6A596D19-A67A-45E1-A417-305CCCF75F6C}" showRuler="0" topLeftCell="B7">
      <pane xSplit="4" ySplit="5" topLeftCell="H45" activePane="bottomRight"/>
      <selection pane="bottomRight" activeCell="L66" sqref="L66"/>
      <pageMargins left="0.75" right="0.75" top="1" bottom="1" header="0.5" footer="0.5"/>
      <headerFooter alignWithMargins="0"/>
    </customSheetView>
    <customSheetView guid="{C255D7AE-A134-46C6-9D19-81AA733EABCD}" hiddenColumns="1" showRuler="0">
      <pane xSplit="8" ySplit="5" topLeftCell="I96" activePane="bottomRight" state="frozen"/>
      <selection pane="bottomRight" activeCell="G111" sqref="G111"/>
      <pageMargins left="0.75" right="0.75" top="1" bottom="1" header="0.5" footer="0.5"/>
      <pageSetup orientation="portrait"/>
      <headerFooter alignWithMargins="0"/>
    </customSheetView>
    <customSheetView guid="{C412A2BA-FBE0-4998-8B10-3950A97D57A1}" fitToPage="1" hiddenColumns="1" showRuler="0">
      <pane xSplit="4" ySplit="10" topLeftCell="E11" activePane="bottomRight" state="frozen"/>
      <selection pane="bottomRight" activeCell="M13" sqref="M13"/>
      <pageMargins left="0.3" right="0.18" top="0.76" bottom="1" header="0.5" footer="0.5"/>
      <pageSetup scale="31" fitToWidth="2" orientation="landscape"/>
      <headerFooter alignWithMargins="0"/>
    </customSheetView>
    <customSheetView guid="{11618B79-45A3-4BD0-BFD2-136A64A7F625}" fitToPage="1" hiddenColumns="1" showRuler="0">
      <pane xSplit="4" ySplit="10" topLeftCell="E11" activePane="bottomRight" state="frozen"/>
      <selection pane="bottomRight" activeCell="M13" sqref="M13"/>
      <pageMargins left="0.3" right="0.18" top="0.76" bottom="1" header="0.5" footer="0.5"/>
      <pageSetup scale="31" fitToWidth="2" orientation="landscape"/>
      <headerFooter alignWithMargins="0"/>
    </customSheetView>
    <customSheetView guid="{7AD3D9DB-726E-4F6D-85C6-FEEDDCFB0EAD}" fitToPage="1" hiddenColumns="1" showRuler="0">
      <pane xSplit="4" ySplit="10" topLeftCell="P71" activePane="bottomRight" state="frozen"/>
      <selection pane="bottomRight" activeCell="I47" sqref="I47"/>
      <pageMargins left="0.3" right="0.18" top="0.76" bottom="1" header="0.5" footer="0.5"/>
      <pageSetup scale="31" fitToWidth="2" orientation="landscape"/>
      <headerFooter alignWithMargins="0"/>
    </customSheetView>
  </customSheetViews>
  <phoneticPr fontId="6" type="noConversion"/>
  <hyperlinks>
    <hyperlink ref="DI4" r:id="rId1" display="nigel.coe@morganstanley.com"/>
    <hyperlink ref="DO4" r:id="rId2" display="nigel.coe@morganstanley.com"/>
    <hyperlink ref="EG4" r:id="rId3"/>
  </hyperlinks>
  <pageMargins left="1" right="1" top="1" bottom="1" header="0.5" footer="0.5"/>
  <pageSetup scale="75" orientation="landscape" r:id="rId4"/>
  <headerFooter alignWithMargins="0"/>
  <ignoredErrors>
    <ignoredError sqref="EJ36:EJ38 EJ110:EJ112 EJ114:EJ117 EJ95:EJ100 EJ46 EJ18 EJ26:EJ30 EJ11:EJ16 EJ24 EJ31:EJ34 EJ39:EJ40 EJ47:EJ54 EJ9:EJ10 EJ55:EJ59 EH114:EH117 EH110:EH112 EH9 CM38:CP40 CG38:CJ40 CA38:CD40 BU38:BX40 BO38:BR40 BI38:BL40 BC38:BF41 AW38:AZ41 CY38:DA40 M96:P99 M95:Q95 S95:W95 S11:U15 Y95:AC95 Y11:AA12 AE11:AG12 AK11:AM12 AQ11:AS12 AW11:AZ12 BC48:BF49 BC11:BF12 BI48:BL49 BI11:BL12 BO48:BR49 BO11:BR12 BU11:BX12 CA11:CD12 CY95:DC95 CS95:CW95 CS38:CW38 CM95:CQ95 CM46:CP49 CG95:CK95 CG46:CJ49 CA95:CE95 CA46:CD49 BU95:BY95 BU46:BX49 BO95:BS95 BI95:BM95 BC95:BG95 AW95:BA95 AQ38:AT38 AQ95:AU95 AK38:AN38 AK95:AO95 AE38:AH38 AE95:AI95 Y38:AB38 B6:DU6 B7:AU8 B24:R24 B46:BR47 B17:CR17 B9:K16 B29:X34 L9:AU10 AV7:CF10 CS46:DA49 EH95:EH100 L11:R16 M37:X38 M48:AZ49 B55:DD60 B113:DD116 R110 B117:P117 R117 B110:E112 F110:P110 B95:L99 R95:R99 B37:L41 CS39:CX40 M39:AV41 B48:L54 F111:DD112 W18:X18 M50:AJ54 AC18:AD18 AI18:AJ18 AO18:AP18 AU18:AV18 BA11:BB16 BG11:BH16 BM11:BN16 BS11:BT16 BY11:BZ16 CE11:CF16 CK13:CL16 CQ13:CR16 CW13:CX16 AC29:AD30 AI29:AJ30 AO29:AP30 AU29:AV30 CX18 CT17:DD17 B27:CR28 CX27:DD27 CX29:CX30 CT28:DD28 CX37:CX38 B44:CR45 CX44:DD44 CT45:DD45 CW31:CX31 CQ24:CR24 CQ37:CR41 CK24:CL24 CK37:CL41 CE24:CF24 CE37:CF41 BY46:BZ54 BY24:BZ24 BY37:BZ41 BS24:BT24 BS37:BT41 BM24:BN24 BM37:BN41 BG24:BH24 BG37:BH41 BA24:BB24 BA37:BB41 AT11:AV16 AU24:AV24 AU37:AV38 AT50:AV54 AN11:AP16 AO24:AP24 AO37:AP38 AH11:AJ16 AI24:AJ24 AI37:AJ38 AB11:AD16 AB24:AD24 AC37:AD38 V11:X16 V24:X24 DJ110:DU110 DD110 CX110 CR110 CL110 CF110 BZ110 BT110 BN110 BH110 BB110 AV110 AP110 AJ110 AD110 X110 DJ117:DU117 DD117 CX117 CR117 CL117 CF117 BZ117 BT117 BN117 BH117 BB117 AV117 AP117 AJ117 AD117 X117 X95:X99 AD95:AD99 AJ95:AJ99 AP95:AP99 AV95:AV99 BB95:BB99 BH95:BH99 BN95:BN99 BT95:BT99 BZ95:BZ99 CF95:CF99 CL95:CL99 CR95:CR99 CX95:CX99 DD95:DD99 DJ96:DU99 CW24:CX24 CW34:CX34 CV32:CX33 CV41:CX41 CW50:CX54 CQ46:CR54 CK46:CL54 CE46:CF54 BS46:BT54 BM48:BN54 BG48:BH54 BA48:BB54 AN50:AP54 CQ29:CR34 CK29:CL34 CE29:CF34 BY29:BZ34 BS29:BT34 BM29:BN34 BG29:BH34 BA29:BB34 AT31:AV34 AN31:AP34 AH31:AJ34 AB31:AD34 B164:DU166 DJ152 DL148:DN148 DJ122 DL122:DP122 B64:DD65 B61:CX61 DC61:DD61 DR122:DU122 DJ126 DL127:DP127 DR127:DU127 DB13:DD16 CK141:DC142 DO40:DP40 DJ40 DU40 DJ21 B25:DD26 DP21 CX168 B75:CK75 CQ75:DD75 B69:DD70 B66:F66 B67:F67 B68:C68 CX66:CX68 DD66:DD68 B174:DU192 BN172:CZ172 DM66:DU67 CR67 DD168:DU172 DA167:DC168 CY169:CZ169 DJ18:DU18 DB29:DD34 B35:DD36 B42:DD43 DB46:DD54 DG63:DU65 B105:DD109 DF111:DU116 B118:DD118 DJ124:DU125 DJ127 DJ129:DU137 DJ163:DU163 DJ150:DU150 B144:DD152 DC24:DD24 DB37:DD41 DJ123 DL123:DP123 B62:L62 R62 X62 AD62 AJ62 AP62 AV62 BB62 BH62 BN62 BT62 BZ62 CF62 CL62 CR62 CX62 DD62 DJ62 B76:DD92 CG10:DD12 DE10:DU10 DJ30:DU30 DJ43:DU46 DG100:DU100 DJ155:DU156 DG118:DU118 DG144:DU145 DG69:DU93 DF96:DF100 B100:DE100 DE29:DF39 DE94:DU95 DE105:DE116 DF105:DU109 B101:DU104 CG7:DU9 DE118:DF139 DH151:DJ151 DL151:DU151 DO126 CK143:CR143 CW143:DC143 DA170:DC172 DA169:DB169 DE167:DI167 DK167:DO167 DJ162:DO162 R167 R168 N169:CX169 B169:L172 N170:CZ171 N172:BL172 DJ22 DB18:DD22 CV19:CX22 V19:X22 AB19:AD22 AH19:AJ22 AN19:AP22 AT19:AV22 BA18:BB22 BG18:BH22 BM18:BN22 BS18:BT22 BY18:BZ22 CE18:CF22 CK18:CL22 CQ18:CR22 B18:R22 EJ19:EJ22 AE224:AE226 AE219:AE221 H68 J68 L68 R68 X68 AD68 AJ68 AP68 AV68 BB68 BH68 BN68 BT68 BZ68 CF68 CL68 CR68 DE69:DF70 DP68 E68:F68 DJ17:DU17 DJ11:DU11 DJ12:DU12 DJ13:DU13 DJ14:DU14 DJ15:DU15 DJ16:DU16 DJ20:DU20 DJ19:DU19 DJ24:DU24 DJ25:DU25 DJ36:DU38 DJ31:DU31 DJ32:DU32 DJ33:DU33 DJ34:DU34 DJ35:DU35 DJ39:DU39 DJ41:DU41 DJ42:DU42 DJ48:DU49 DJ47:DU47 DG56:DU61 DJ50:DU50 DJ51:DU51 DJ52:DU52 DJ53:DU53 DJ54:DU54 DE16:DF16 DE15:DF15 DE14:DF14 DE13:DF13 DE12:DF12 DE11:DF11 DE17:DF17 DE19:DF20 DE24 DE23 DJ55:DU55 DJ68 DI66:DL67 DE68:DI68 DE66:DH67 DK68:DL68 DJ120:DU121 DJ119:DU119 DJ153:DU154 DJ146:DU147 DJ157:DU160 DG146:DG152 DG155:DG156 DG157:DG163 DJ128 DE144:DF152 DE141:DG141 DE22 DE42:DF61 DE41:DF41 DE40:DF40 DK40:DN40 DJ148 DH140:DI140 DH142:DI143 DH141 DJ26:DU28 DE25:DE28 DF22 DF23 DF24 DF25:DF28 DF21 DJ29:DU29 DG29 DG22 DG23 DG25 DG21 DG26:DG28 DG24 DG41 DG40 DH55:DI55 DG15 DG12 DG20 DG18 DG17 DI54 DI53 DI52 DI51 DI50 DI47 DG48:DI49 DI42 DH41:DI41 DI39 DI35 DI34 DI33 DI32 DI31 DG36:DI38 DI19 DI20 DI16 DI15 DI14 DI13 DI12 DI11 DH17:DI17 DG43:DI46 DG30:DI30 DH18:DI18 DI40 DG16:DH16 DG42:DH42 DG19:DH19 DG35:DH35 DG47:DH47 DG11:DH11 DH12 DG13:DH13 DG14:DH14 DH15 DH20 DG39:DH39 DG31:DH31 DG32:DH32 DG33:DH33 DG34:DH34 DG55 DG50:DH50 DG51:DH51 DG52:DH52 DG53:DH53 DG54:DH54 DH119:DI137 DG119:DG137 DE62:DF65 DG62:DI62 DH146:DI150 DH152:DI152 DQ208:DU211 DQ206:DU206 EH207:EI207 DA206:DP206 EH206:EI206 EH212:EI236 CY208:DP211 EH208:EI211 DL128:DO128 DL152:DU152 DR123:DU123 DP62 DK62:DO62 DQ62:DU62 DQ22:DU22 DU21 DQ23:DU23 DQ21:DT21 DP22 DK22:DO22 DO21 DK23:DO23 DK21:DN21 CY235:EA236 DA207:DU207 CY212:DU233 DJ149:DK149 DM149:DU149 CY234:DD234 DJ234 DP234 B63:D63 R63 X63 AD63 AJ63 AP63 AV63 BB63 BH63 BN63 BT63 BZ63 CF63 CL63 CR63:DD63 F63 H63 J63 L63 R66 R67 X66 X67 AD66 AD67 AJ66 AJ67 AP66 AP67 AV66 AV67 BB66 BB67 BH66 BH67 BN66 BN67 BT66 BT67 BZ66 BZ67 CF66 CF67 CL66 CL67 CR66 H66 H67 J66 J67 L66 L67 B71:D71 R71 B72:D72 R72 B73:D73 R73 B74:D74 R74 X71 X72 X73 X74 AD71 AD72 AD73 AD74 AJ71 AJ72 AJ73 AJ74 AP71 AP72 AP73 AP74 AV71 AV72 AV73 AV74 BB71 BB72 BB73 BB74 BH71 BH72 BH73 BH74 BN71 BN72 BN73 BN74 BT71 BT72 BT73 BT74 BZ71 BZ72 BZ73 BZ74 CF71 CF72 CF73 CF74 CR71 CR72 CR73 CR74 CX71 CX72 CX73:DD73 CX74:DD74 DA71:DD71 DA72:DD72 DE73:DF93 F71 F72 F73 F74 H71 H72 H73 H74 J71 J72 J73 J74 L71 L72 L73 L74 B94:DD94 B93:D93 R93 X93 AD93 AJ93 AP93 AV93 BB93 BH93 BN93 BT93 BZ93 CF93 CL93 CR93:DD93 F93 H93 J93 L93 B120:DD124 B119:D119 R119 X119 AD119 AJ119 AP119 AV119 BB119 BH119 BN119 BT119 BZ119 CF119 CL119 CR119:DD119 F119 H119 J119 L119 B126:DD137 B125:D125 R125 X125 AD125 AJ125 AP125 AV125 BB125 BH125 BN125 BT125 BZ125 CF125 CL125 CR125:DD125 F125 H125 J125 L125 B154:DD163 B153:F153 R153 X153 AD153 AJ153 AP153 AU153:AV153 BA153:BB153 BG153:BH153 BM153:BN153 BS153:BT153 BY153:BZ153 CE153:CF153 CK153:CL153 CR153 CX153 DD153 DE154:DF163 DG154 DH154:DI162 H153 J153 L153 X167 X168 AD167 AD168 AJ167 AJ168 AP167 AP168 AV167 AV168 BB167 BB168 BH167 BH168 BN167 BN168 BT167 BT168 BZ167 BZ168 CF167 CF168 CL167 CL168 CR167 CR168 B167:D167 F167 B168:D168 F168 H167 H168 J167 J168 L167 L168" unlockedFormula="1"/>
    <ignoredError sqref="EJ43:EJ45 EJ41 CS41:CU41 CS32:CU33 CS34:CV34 CY96:DC99 CS96:CW99 CM96:CQ99 CG96:CK99 CA96:CE99 BU96:BY99 BO96:BS99 BI96:BM99 BC96:BG99 AW96:BA99 AQ96:AU99 AK96:AO99 AE96:AI99 Y96:AC99 S96:W99 Q96:Q99 Q117 S117:W117 Y117:AC117 AE117:AI117 AK117:AO117 AQ117:AU117 AW117:BA117 BC117:BG117 BI117:BM117 BO117:BS117 BU117:BY117 CA117:CE117 CG117:CK117 CM117:CQ117 CS117:CW117 CY117:DC117 Q110 S110:W110 Y110:AC110 AE110:AI110 AK110:AO110 AQ110:AU110 AW110:BA110 BC110:BG110 BI110:BM110 BO110:BS110 BU110:BY110 CA110:CE110 CG110:CK110 CM110:CQ110 CS110:CW110 CY110:DC110 S24:U24 S16:U16 Y31:AA34 Y37:AB37 Y24:AA24 Y13:AA16 AE31:AG34 AE37:AH37 AE13:AG16 AK50:AM54 AK31:AM34 AK37:AN37 AK13:AM16 AQ50:AS54 AQ31:AS34 AQ37:AT37 AQ13:AS16 AW37:AZ37 AW50:AZ54 AW29:AZ34 BC37:BF37 BC50:BF54 BC29:BF34 BI37:BL37 BI29:BL34 BI50:BL54 BO37:BR37 BO29:BR34 BO50:BR54 BU37:BX37 BU29:BX34 CA37:CD37 CA29:CD34 CA50:CD54 CG37:CJ37 CG29:CJ34 CG50:CJ54 CM37:CP37 CM29:CP34 CM50:CP54 CY37:DA37 CY29:DA34 CS31:CV31 CS45 CS44:CW44 CS37:CW37 CS28 CS29:CW30 CS27:CW27 CS17 CS18:CW18 AQ29:AT30 AK29:AN30 AE29:AH30 Y29:AB30 CS50:CV54 CS13:CV16 CM41:CP41 CM13:CP16 CG41:CJ41 CG13:CJ16 CA41:CD41 CA13:CD16 BU41:BX41 BU50:BX54 BU13:BX16 BO41:BR41 BO13:BR16 BI41:BL41 BI13:BL16 BC13:BF16 AW13:AZ16 AQ18:AT18 AK18:AN18 AE18:AH18 Y18:AB18 CY50:DA54 CY13:DA16 S18:V18 CY41:CZ41 DG96:DI99 DF110:DI110 DE117:DI117 DE96:DE99 DC169 CY18:DA22 CM18:CP22 CG18:CJ22 CA18:CD22 BU18:BX22 BO18:BR22 BI18:BL22 BC18:BF22 AW18:AZ22 AQ19:AS22 AK19:AM22 AE19:AG22 Y19:AA22 S19:U22 CS19:CU22 DE18:DF18 DO148 DI141 DH29:DI29 DH24 DI25 DI24 DI22 DH26:DI28 DH21:DI21 DH25 DH23:DI23 DH22 DH40" formula="1" unlockedFormula="1"/>
    <ignoredError sqref="DK151" formulaRange="1"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S148"/>
  <sheetViews>
    <sheetView zoomScaleNormal="100" zoomScaleSheetLayoutView="70" workbookViewId="0">
      <pane xSplit="4" ySplit="8" topLeftCell="DI9" activePane="bottomRight" state="frozen"/>
      <selection activeCell="CE10" sqref="CE10"/>
      <selection pane="topRight" activeCell="CE10" sqref="CE10"/>
      <selection pane="bottomLeft" activeCell="CE10" sqref="CE10"/>
      <selection pane="bottomRight" sqref="A1:XFD1048576"/>
    </sheetView>
  </sheetViews>
  <sheetFormatPr defaultColWidth="8.7109375" defaultRowHeight="12.75" outlineLevelRow="1" outlineLevelCol="2" x14ac:dyDescent="0.2"/>
  <cols>
    <col min="1" max="1" width="38.7109375" style="45" customWidth="1"/>
    <col min="2" max="3" width="0.85546875" style="45" hidden="1" customWidth="1"/>
    <col min="4" max="4" width="0.85546875" style="45" customWidth="1"/>
    <col min="5" max="5" width="8.140625" style="45" hidden="1" customWidth="1" outlineLevel="1"/>
    <col min="6" max="6" width="0.85546875" style="45" hidden="1" customWidth="1" outlineLevel="1"/>
    <col min="7" max="7" width="8.140625" style="45" hidden="1" customWidth="1" outlineLevel="1"/>
    <col min="8" max="8" width="0.85546875" style="45" hidden="1" customWidth="1" outlineLevel="1"/>
    <col min="9" max="9" width="8.140625" style="45" hidden="1" customWidth="1" outlineLevel="1"/>
    <col min="10" max="10" width="0.85546875" style="45" hidden="1" customWidth="1" outlineLevel="1"/>
    <col min="11" max="11" width="8.140625" style="45" hidden="1" customWidth="1" outlineLevel="1"/>
    <col min="12" max="12" width="0.85546875" style="45" hidden="1" customWidth="1" outlineLevel="1"/>
    <col min="13" max="16" width="8.140625" style="45" hidden="1" customWidth="1" outlineLevel="2"/>
    <col min="17" max="17" width="8.140625" style="45" hidden="1" customWidth="1" outlineLevel="1" collapsed="1"/>
    <col min="18" max="18" width="0.85546875" style="45" hidden="1" customWidth="1" outlineLevel="1"/>
    <col min="19" max="22" width="8.140625" style="45" hidden="1" customWidth="1" outlineLevel="2"/>
    <col min="23" max="23" width="8.140625" style="45" hidden="1" customWidth="1" outlineLevel="1" collapsed="1"/>
    <col min="24" max="24" width="0.85546875" style="45" hidden="1" customWidth="1" outlineLevel="1"/>
    <col min="25" max="28" width="8.140625" style="45" hidden="1" customWidth="1" outlineLevel="2"/>
    <col min="29" max="29" width="8.140625" style="45" hidden="1" customWidth="1" outlineLevel="1" collapsed="1"/>
    <col min="30" max="30" width="0.85546875" style="45" hidden="1" customWidth="1" outlineLevel="1"/>
    <col min="31" max="34" width="8.140625" style="45" hidden="1" customWidth="1" outlineLevel="2"/>
    <col min="35" max="35" width="8.140625" style="45" hidden="1" customWidth="1" outlineLevel="1" collapsed="1"/>
    <col min="36" max="36" width="0.85546875" style="45" hidden="1" customWidth="1" outlineLevel="1"/>
    <col min="37" max="40" width="8.140625" style="45" hidden="1" customWidth="1" outlineLevel="2"/>
    <col min="41" max="41" width="8.140625" style="45" hidden="1" customWidth="1" outlineLevel="1" collapsed="1"/>
    <col min="42" max="42" width="0.85546875" style="45" hidden="1" customWidth="1" outlineLevel="1"/>
    <col min="43" max="46" width="8.140625" style="45" hidden="1" customWidth="1" outlineLevel="2"/>
    <col min="47" max="47" width="8.140625" style="45" hidden="1" customWidth="1" outlineLevel="1" collapsed="1"/>
    <col min="48" max="48" width="0.85546875" style="45" hidden="1" customWidth="1" outlineLevel="1"/>
    <col min="49" max="52" width="8.140625" style="45" hidden="1" customWidth="1" outlineLevel="2"/>
    <col min="53" max="53" width="8.140625" style="45" hidden="1" customWidth="1" outlineLevel="1" collapsed="1"/>
    <col min="54" max="54" width="0.85546875" style="45" hidden="1" customWidth="1" outlineLevel="1"/>
    <col min="55" max="58" width="8.140625" style="45" hidden="1" customWidth="1" outlineLevel="2"/>
    <col min="59" max="59" width="8.140625" style="45" hidden="1" customWidth="1" outlineLevel="1" collapsed="1"/>
    <col min="60" max="60" width="0.85546875" style="45" hidden="1" customWidth="1" outlineLevel="1"/>
    <col min="61" max="64" width="8.140625" style="45" hidden="1" customWidth="1" outlineLevel="2"/>
    <col min="65" max="65" width="8.140625" style="45" hidden="1" customWidth="1" outlineLevel="1" collapsed="1"/>
    <col min="66" max="66" width="0.85546875" style="45" hidden="1" customWidth="1" outlineLevel="1"/>
    <col min="67" max="70" width="8.140625" style="45" hidden="1" customWidth="1" outlineLevel="2"/>
    <col min="71" max="71" width="8.140625" style="45" hidden="1" customWidth="1" outlineLevel="1" collapsed="1"/>
    <col min="72" max="72" width="0.85546875" style="45" hidden="1" customWidth="1" outlineLevel="1"/>
    <col min="73" max="76" width="8.140625" style="45" hidden="1" customWidth="1" outlineLevel="1"/>
    <col min="77" max="77" width="8.140625" style="45" customWidth="1" collapsed="1"/>
    <col min="78" max="78" width="0.85546875" style="45" customWidth="1"/>
    <col min="79" max="82" width="8.140625" style="45" hidden="1" customWidth="1" outlineLevel="1"/>
    <col min="83" max="83" width="8.140625" style="45" customWidth="1" collapsed="1"/>
    <col min="84" max="84" width="0.85546875" style="45" customWidth="1"/>
    <col min="85" max="88" width="8.140625" style="45" hidden="1" customWidth="1" outlineLevel="1"/>
    <col min="89" max="89" width="8.140625" style="45" customWidth="1" collapsed="1"/>
    <col min="90" max="90" width="0.85546875" style="45" customWidth="1"/>
    <col min="91" max="94" width="8.140625" style="45" hidden="1" customWidth="1" outlineLevel="1"/>
    <col min="95" max="95" width="8.140625" style="45" customWidth="1" collapsed="1"/>
    <col min="96" max="96" width="0.85546875" style="45" customWidth="1"/>
    <col min="97" max="100" width="8.140625" style="45" hidden="1" customWidth="1" outlineLevel="1"/>
    <col min="101" max="101" width="8.140625" style="45" customWidth="1" collapsed="1"/>
    <col min="102" max="102" width="0.85546875" style="45" customWidth="1"/>
    <col min="103" max="106" width="8.140625" style="45" customWidth="1" outlineLevel="1"/>
    <col min="107" max="107" width="8.140625" style="45" customWidth="1"/>
    <col min="108" max="108" width="0.85546875" style="45" customWidth="1"/>
    <col min="109" max="112" width="8.140625" style="45" customWidth="1" outlineLevel="1"/>
    <col min="113" max="113" width="8.140625" style="45" customWidth="1"/>
    <col min="114" max="114" width="0.85546875" style="45" customWidth="1"/>
    <col min="115" max="118" width="8.140625" style="45" customWidth="1" outlineLevel="1"/>
    <col min="119" max="119" width="8.140625" style="45" customWidth="1"/>
    <col min="120" max="120" width="0.85546875" style="45" customWidth="1"/>
    <col min="121" max="124" width="8.140625" style="45" hidden="1" customWidth="1" outlineLevel="1"/>
    <col min="125" max="125" width="8.140625" style="45" customWidth="1" collapsed="1"/>
    <col min="126" max="126" width="0.85546875" style="45" customWidth="1"/>
    <col min="127" max="130" width="8.140625" style="45" hidden="1" customWidth="1" outlineLevel="1"/>
    <col min="131" max="131" width="8.140625" style="45" customWidth="1" collapsed="1"/>
    <col min="132" max="132" width="0.85546875" style="45" customWidth="1"/>
    <col min="133" max="136" width="8.140625" style="45" hidden="1" customWidth="1" outlineLevel="1"/>
    <col min="137" max="137" width="8.140625" style="45" customWidth="1" collapsed="1"/>
    <col min="138" max="140" width="8.140625" style="45" customWidth="1"/>
    <col min="141" max="141" width="14" style="45" bestFit="1" customWidth="1"/>
    <col min="142" max="142" width="7.28515625" style="45" customWidth="1"/>
    <col min="143" max="143" width="31.42578125" hidden="1" customWidth="1" outlineLevel="1"/>
    <col min="144" max="148" width="8.7109375" hidden="1" customWidth="1" outlineLevel="1"/>
    <col min="149" max="149" width="8.7109375" style="45" customWidth="1" collapsed="1"/>
    <col min="150" max="16384" width="8.7109375" style="45"/>
  </cols>
  <sheetData>
    <row r="1" spans="1:142" ht="12.75" customHeight="1" x14ac:dyDescent="0.2">
      <c r="A1" s="2"/>
      <c r="B1" s="2"/>
      <c r="C1" s="2"/>
      <c r="D1" s="2"/>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row>
    <row r="2" spans="1:142" ht="12.75" customHeight="1" x14ac:dyDescent="0.2">
      <c r="A2" s="3" t="s">
        <v>41</v>
      </c>
      <c r="B2" s="2"/>
      <c r="C2" s="2"/>
      <c r="D2" s="2"/>
      <c r="E2" s="7"/>
      <c r="F2" s="7"/>
      <c r="G2" s="7"/>
      <c r="H2" s="7"/>
      <c r="I2" s="7"/>
      <c r="J2" s="7"/>
      <c r="K2" s="7"/>
      <c r="L2" s="7"/>
      <c r="M2" s="2"/>
      <c r="N2" s="2"/>
      <c r="O2" s="2"/>
      <c r="P2" s="2"/>
      <c r="Q2" s="2"/>
      <c r="R2" s="2"/>
      <c r="S2" s="2"/>
      <c r="T2" s="2"/>
      <c r="U2" s="2"/>
      <c r="V2" s="2"/>
      <c r="W2" s="2"/>
      <c r="X2" s="2"/>
      <c r="Y2" s="2"/>
      <c r="Z2" s="2"/>
      <c r="AA2" s="2"/>
      <c r="AB2" s="2"/>
      <c r="AC2" s="2"/>
      <c r="AD2" s="2"/>
      <c r="AE2" s="2"/>
      <c r="AF2" s="2"/>
      <c r="AG2" s="2"/>
      <c r="AH2" s="2"/>
      <c r="AI2" s="2"/>
      <c r="AJ2" s="2"/>
      <c r="AK2" s="7"/>
      <c r="AL2" s="7"/>
      <c r="AM2" s="7"/>
      <c r="AN2" s="7"/>
      <c r="AO2" s="2"/>
      <c r="AP2" s="2"/>
      <c r="AQ2" s="7"/>
      <c r="AR2" s="7"/>
      <c r="AS2" s="7"/>
      <c r="AT2" s="7"/>
      <c r="AU2" s="2"/>
      <c r="AV2" s="2"/>
      <c r="AW2" s="2"/>
      <c r="AX2" s="2"/>
      <c r="AY2" s="2"/>
      <c r="AZ2" s="2"/>
      <c r="BA2" s="7"/>
      <c r="BB2" s="7"/>
      <c r="BC2" s="7"/>
      <c r="BD2" s="7"/>
      <c r="BE2" s="7"/>
      <c r="BF2" s="7"/>
      <c r="BG2" s="7"/>
      <c r="BH2" s="7"/>
      <c r="BI2" s="7"/>
      <c r="BJ2" s="7"/>
      <c r="BK2" s="7"/>
      <c r="BL2" s="7"/>
      <c r="BM2" s="7"/>
      <c r="BN2" s="7"/>
      <c r="BO2" s="7"/>
      <c r="BP2" s="7"/>
      <c r="BQ2" s="7"/>
      <c r="BR2" s="7"/>
      <c r="BS2" s="7"/>
      <c r="BT2" s="7"/>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7"/>
      <c r="DV2" s="2"/>
      <c r="DW2" s="2"/>
      <c r="DX2" s="2"/>
      <c r="DY2" s="2"/>
      <c r="DZ2" s="2"/>
      <c r="EA2" s="7"/>
      <c r="EB2" s="2"/>
      <c r="EC2" s="2"/>
      <c r="ED2" s="2"/>
      <c r="EE2" s="2"/>
      <c r="EF2" s="2"/>
      <c r="EG2" s="7" t="s">
        <v>222</v>
      </c>
      <c r="EH2" s="7"/>
      <c r="EI2" s="2"/>
      <c r="EJ2" s="2"/>
      <c r="EK2" s="2"/>
      <c r="EL2" s="2"/>
    </row>
    <row r="3" spans="1:142" ht="12.75" customHeight="1" x14ac:dyDescent="0.2">
      <c r="A3" s="3" t="s">
        <v>230</v>
      </c>
      <c r="B3" s="2"/>
      <c r="C3" s="2"/>
      <c r="D3" s="2"/>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2"/>
      <c r="BV3" s="2"/>
      <c r="BW3" s="2"/>
      <c r="BX3" s="2"/>
      <c r="BY3" s="2"/>
      <c r="BZ3" s="2"/>
      <c r="CA3" s="2"/>
      <c r="CB3" s="2"/>
      <c r="CC3" s="2"/>
      <c r="CD3" s="2"/>
      <c r="CE3" s="2"/>
      <c r="CF3" s="2"/>
      <c r="CG3" s="2"/>
      <c r="CH3" s="2"/>
      <c r="CI3" s="2"/>
      <c r="CJ3" s="2"/>
      <c r="CK3" s="2"/>
      <c r="CL3" s="2"/>
      <c r="CM3" s="2"/>
      <c r="CN3" s="26"/>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7"/>
      <c r="DV3" s="2"/>
      <c r="DW3" s="2"/>
      <c r="DX3" s="2"/>
      <c r="DY3" s="2"/>
      <c r="DZ3" s="2"/>
      <c r="EA3" s="7"/>
      <c r="EB3" s="2"/>
      <c r="EC3" s="2"/>
      <c r="ED3" s="2"/>
      <c r="EE3" s="2"/>
      <c r="EF3" s="2"/>
      <c r="EG3" s="7" t="s">
        <v>223</v>
      </c>
      <c r="EH3" s="7"/>
      <c r="EI3" s="2"/>
      <c r="EJ3" s="2"/>
      <c r="EK3" s="2"/>
      <c r="EL3" s="2"/>
    </row>
    <row r="4" spans="1:142" ht="12.75" customHeight="1" x14ac:dyDescent="0.2">
      <c r="A4" s="2" t="s">
        <v>228</v>
      </c>
      <c r="B4" s="176"/>
      <c r="C4" s="176"/>
      <c r="D4" s="176"/>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64"/>
      <c r="DV4" s="2"/>
      <c r="DW4" s="2"/>
      <c r="DX4" s="2"/>
      <c r="DY4" s="2"/>
      <c r="DZ4" s="2"/>
      <c r="EA4" s="64"/>
      <c r="EB4" s="2"/>
      <c r="EC4" s="2"/>
      <c r="ED4" s="2"/>
      <c r="EE4" s="2"/>
      <c r="EF4" s="2"/>
      <c r="EG4" s="64" t="s">
        <v>232</v>
      </c>
      <c r="EH4" s="64"/>
      <c r="EI4" s="2"/>
      <c r="EJ4" s="2"/>
      <c r="EK4" s="2"/>
      <c r="EL4" s="2"/>
    </row>
    <row r="5" spans="1:142" ht="12.75" customHeight="1" x14ac:dyDescent="0.2">
      <c r="A5" s="2" t="s">
        <v>229</v>
      </c>
      <c r="B5" s="55"/>
      <c r="C5" s="55"/>
      <c r="D5" s="55"/>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7"/>
      <c r="DV5" s="2"/>
      <c r="DW5" s="2"/>
      <c r="DX5" s="2"/>
      <c r="DY5" s="2"/>
      <c r="DZ5" s="2"/>
      <c r="EA5" s="7"/>
      <c r="EB5" s="2"/>
      <c r="EC5" s="2"/>
      <c r="ED5" s="2"/>
      <c r="EE5" s="2"/>
      <c r="EF5" s="2"/>
      <c r="EG5" s="7"/>
      <c r="EH5" s="7"/>
      <c r="EI5" s="2"/>
      <c r="EJ5" s="2"/>
      <c r="EK5" s="2"/>
      <c r="EL5" s="2"/>
    </row>
    <row r="6" spans="1:142" ht="12.75" customHeight="1" x14ac:dyDescent="0.2">
      <c r="A6" s="2"/>
      <c r="B6" s="4"/>
      <c r="C6" s="4"/>
      <c r="D6" s="4"/>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c r="BE6" s="7"/>
      <c r="BF6" s="7"/>
      <c r="BG6" s="7"/>
      <c r="BH6" s="7"/>
      <c r="BI6" s="7"/>
      <c r="BJ6" s="7"/>
      <c r="BK6" s="7"/>
      <c r="BL6" s="7"/>
      <c r="BM6" s="7"/>
      <c r="BN6" s="7"/>
      <c r="BO6" s="2"/>
      <c r="BP6" s="2"/>
      <c r="BQ6" s="2"/>
      <c r="BR6" s="2"/>
      <c r="BS6" s="2"/>
      <c r="BT6" s="2"/>
      <c r="BU6" s="7"/>
      <c r="BV6" s="7"/>
      <c r="BW6" s="7"/>
      <c r="BX6" s="7"/>
      <c r="BY6" s="7"/>
      <c r="BZ6" s="7"/>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338"/>
      <c r="DF6" s="338"/>
      <c r="DG6" s="338"/>
      <c r="DH6" s="338"/>
      <c r="DI6" s="338"/>
      <c r="DJ6" s="338"/>
      <c r="DK6" s="338"/>
      <c r="DL6" s="338"/>
      <c r="DM6" s="338"/>
      <c r="DN6" s="338"/>
      <c r="DO6" s="338"/>
      <c r="DP6" s="338"/>
      <c r="DQ6" s="338"/>
      <c r="DR6" s="338"/>
      <c r="DS6" s="338"/>
      <c r="DT6" s="338"/>
      <c r="DU6" s="338"/>
      <c r="DV6" s="338"/>
      <c r="DW6" s="338"/>
      <c r="DX6" s="338"/>
      <c r="DY6" s="338"/>
      <c r="DZ6" s="338"/>
      <c r="EA6" s="338"/>
      <c r="EB6" s="338"/>
      <c r="EC6" s="338"/>
      <c r="ED6" s="338"/>
      <c r="EE6" s="338"/>
      <c r="EF6" s="338"/>
      <c r="EG6" s="338"/>
      <c r="EH6" s="2"/>
      <c r="EI6" s="2"/>
      <c r="EJ6" s="2"/>
      <c r="EK6" s="2"/>
      <c r="EL6" s="2"/>
    </row>
    <row r="7" spans="1:142" ht="12.75" customHeight="1" x14ac:dyDescent="0.2">
      <c r="A7" s="129" t="s">
        <v>230</v>
      </c>
      <c r="B7" s="6"/>
      <c r="C7" s="6"/>
      <c r="D7" s="6"/>
      <c r="E7" s="46">
        <v>1997</v>
      </c>
      <c r="F7" s="63"/>
      <c r="G7" s="46">
        <v>1998</v>
      </c>
      <c r="H7" s="63"/>
      <c r="I7" s="46">
        <v>1999</v>
      </c>
      <c r="J7" s="63"/>
      <c r="K7" s="46">
        <f>2000</f>
        <v>2000</v>
      </c>
      <c r="L7" s="63"/>
      <c r="M7" s="78">
        <v>2001</v>
      </c>
      <c r="N7" s="48"/>
      <c r="O7" s="48"/>
      <c r="P7" s="48"/>
      <c r="Q7" s="46">
        <f>2000+1</f>
        <v>2001</v>
      </c>
      <c r="R7" s="63"/>
      <c r="S7" s="78">
        <f>M7+1</f>
        <v>2002</v>
      </c>
      <c r="T7" s="48"/>
      <c r="U7" s="48"/>
      <c r="V7" s="48"/>
      <c r="W7" s="46">
        <f>Q7+1</f>
        <v>2002</v>
      </c>
      <c r="X7" s="63"/>
      <c r="Y7" s="78">
        <f>S7+1</f>
        <v>2003</v>
      </c>
      <c r="Z7" s="48"/>
      <c r="AA7" s="48"/>
      <c r="AB7" s="48"/>
      <c r="AC7" s="46">
        <f>W7+1</f>
        <v>2003</v>
      </c>
      <c r="AD7" s="63"/>
      <c r="AE7" s="78">
        <f>Y7+1</f>
        <v>2004</v>
      </c>
      <c r="AF7" s="48"/>
      <c r="AG7" s="48"/>
      <c r="AH7" s="48"/>
      <c r="AI7" s="46">
        <f>AC7+1</f>
        <v>2004</v>
      </c>
      <c r="AJ7" s="63"/>
      <c r="AK7" s="78">
        <f>AE7+1</f>
        <v>2005</v>
      </c>
      <c r="AL7" s="48"/>
      <c r="AM7" s="48"/>
      <c r="AN7" s="48"/>
      <c r="AO7" s="46">
        <f>AI7+1</f>
        <v>2005</v>
      </c>
      <c r="AP7" s="63"/>
      <c r="AQ7" s="78">
        <f>AK7+1</f>
        <v>2006</v>
      </c>
      <c r="AR7" s="48"/>
      <c r="AS7" s="48"/>
      <c r="AT7" s="48"/>
      <c r="AU7" s="46">
        <f>AO7+1</f>
        <v>2006</v>
      </c>
      <c r="AV7" s="63"/>
      <c r="AW7" s="78">
        <f>AQ7+1</f>
        <v>2007</v>
      </c>
      <c r="AX7" s="48"/>
      <c r="AY7" s="48"/>
      <c r="AZ7" s="48"/>
      <c r="BA7" s="46">
        <f>AU7+1</f>
        <v>2007</v>
      </c>
      <c r="BB7" s="63"/>
      <c r="BC7" s="78">
        <f>AW7+1</f>
        <v>2008</v>
      </c>
      <c r="BD7" s="48"/>
      <c r="BE7" s="48"/>
      <c r="BF7" s="48"/>
      <c r="BG7" s="46">
        <f>BA7+1</f>
        <v>2008</v>
      </c>
      <c r="BH7" s="63"/>
      <c r="BI7" s="78">
        <f>BC7+1</f>
        <v>2009</v>
      </c>
      <c r="BJ7" s="48"/>
      <c r="BK7" s="48"/>
      <c r="BL7" s="48"/>
      <c r="BM7" s="46">
        <f>BG7+1</f>
        <v>2009</v>
      </c>
      <c r="BN7" s="63"/>
      <c r="BO7" s="78">
        <f>BI7+1</f>
        <v>2010</v>
      </c>
      <c r="BP7" s="48"/>
      <c r="BQ7" s="48"/>
      <c r="BR7" s="48"/>
      <c r="BS7" s="46">
        <f>BM7+1</f>
        <v>2010</v>
      </c>
      <c r="BT7" s="63"/>
      <c r="BU7" s="78">
        <f>BO7+1</f>
        <v>2011</v>
      </c>
      <c r="BV7" s="48"/>
      <c r="BW7" s="48"/>
      <c r="BX7" s="48"/>
      <c r="BY7" s="46">
        <f>BS7+1</f>
        <v>2011</v>
      </c>
      <c r="BZ7" s="63"/>
      <c r="CA7" s="78">
        <f>BU7+1</f>
        <v>2012</v>
      </c>
      <c r="CB7" s="48"/>
      <c r="CC7" s="48"/>
      <c r="CD7" s="48"/>
      <c r="CE7" s="46">
        <f>BY7+1</f>
        <v>2012</v>
      </c>
      <c r="CF7" s="63"/>
      <c r="CG7" s="78">
        <f>CA7+1</f>
        <v>2013</v>
      </c>
      <c r="CH7" s="48"/>
      <c r="CI7" s="48"/>
      <c r="CJ7" s="48"/>
      <c r="CK7" s="46">
        <f>CE7+1</f>
        <v>2013</v>
      </c>
      <c r="CL7" s="63"/>
      <c r="CM7" s="78">
        <f>CG7+1</f>
        <v>2014</v>
      </c>
      <c r="CN7" s="48"/>
      <c r="CO7" s="48"/>
      <c r="CP7" s="48"/>
      <c r="CQ7" s="46">
        <f>CK7+1</f>
        <v>2014</v>
      </c>
      <c r="CR7" s="63"/>
      <c r="CS7" s="78">
        <f>CM7+1</f>
        <v>2015</v>
      </c>
      <c r="CT7" s="48"/>
      <c r="CU7" s="48"/>
      <c r="CV7" s="48"/>
      <c r="CW7" s="46">
        <f>CQ7+1</f>
        <v>2015</v>
      </c>
      <c r="CX7" s="63"/>
      <c r="CY7" s="78">
        <f>CS7+1</f>
        <v>2016</v>
      </c>
      <c r="CZ7" s="48"/>
      <c r="DA7" s="48"/>
      <c r="DB7" s="48"/>
      <c r="DC7" s="46">
        <f>CW7+1</f>
        <v>2016</v>
      </c>
      <c r="DD7" s="63"/>
      <c r="DE7" s="78">
        <f>CY7+1</f>
        <v>2017</v>
      </c>
      <c r="DF7" s="48"/>
      <c r="DG7" s="48"/>
      <c r="DH7" s="48"/>
      <c r="DI7" s="46">
        <f>DC7+1</f>
        <v>2017</v>
      </c>
      <c r="DJ7" s="63"/>
      <c r="DK7" s="88">
        <f>DE7+1</f>
        <v>2018</v>
      </c>
      <c r="DL7" s="48"/>
      <c r="DM7" s="48"/>
      <c r="DN7" s="48"/>
      <c r="DO7" s="98">
        <f>DI7+1</f>
        <v>2018</v>
      </c>
      <c r="DP7" s="63"/>
      <c r="DQ7" s="88">
        <f>DK7+1</f>
        <v>2019</v>
      </c>
      <c r="DR7" s="48"/>
      <c r="DS7" s="48"/>
      <c r="DT7" s="48"/>
      <c r="DU7" s="98">
        <f>DO7+1</f>
        <v>2019</v>
      </c>
      <c r="DV7" s="63"/>
      <c r="DW7" s="88">
        <f>DQ7+1</f>
        <v>2020</v>
      </c>
      <c r="DX7" s="48"/>
      <c r="DY7" s="48"/>
      <c r="DZ7" s="48"/>
      <c r="EA7" s="98">
        <f>DU7+1</f>
        <v>2020</v>
      </c>
      <c r="EB7" s="63"/>
      <c r="EC7" s="88">
        <f>DW7+1</f>
        <v>2021</v>
      </c>
      <c r="ED7" s="48"/>
      <c r="EE7" s="48"/>
      <c r="EF7" s="48"/>
      <c r="EG7" s="98">
        <f>EA7+1</f>
        <v>2021</v>
      </c>
      <c r="EH7" s="49"/>
      <c r="EI7" s="6"/>
      <c r="EJ7" s="6"/>
      <c r="EK7" s="6"/>
      <c r="EL7" s="6"/>
    </row>
    <row r="8" spans="1:142" ht="12.75" customHeight="1" x14ac:dyDescent="0.2">
      <c r="A8" s="51"/>
      <c r="B8" s="175"/>
      <c r="C8" s="175"/>
      <c r="D8" s="175"/>
      <c r="E8" s="89"/>
      <c r="F8" s="58"/>
      <c r="G8" s="89"/>
      <c r="H8" s="58"/>
      <c r="I8" s="89"/>
      <c r="J8" s="58"/>
      <c r="K8" s="89"/>
      <c r="L8" s="58"/>
      <c r="M8" s="79">
        <v>36981</v>
      </c>
      <c r="N8" s="66">
        <f>M8+FLOOR(365/4,1)</f>
        <v>37072</v>
      </c>
      <c r="O8" s="66">
        <f>N8+FLOOR(365/4,1)+1</f>
        <v>37164</v>
      </c>
      <c r="P8" s="66">
        <f>O8+FLOOR(365/4,1)+1</f>
        <v>37256</v>
      </c>
      <c r="Q8" s="97"/>
      <c r="R8" s="58"/>
      <c r="S8" s="79">
        <f>M8+365</f>
        <v>37346</v>
      </c>
      <c r="T8" s="66">
        <f>S8+FLOOR(365/4,1)</f>
        <v>37437</v>
      </c>
      <c r="U8" s="66">
        <f>T8+FLOOR(365/4,1)+1</f>
        <v>37529</v>
      </c>
      <c r="V8" s="66">
        <f>U8+FLOOR(365/4,1)+1</f>
        <v>37621</v>
      </c>
      <c r="W8" s="97"/>
      <c r="X8" s="58"/>
      <c r="Y8" s="79">
        <f>S8+365</f>
        <v>37711</v>
      </c>
      <c r="Z8" s="66">
        <f>Y8+FLOOR(365/4,1)</f>
        <v>37802</v>
      </c>
      <c r="AA8" s="66">
        <f>Z8+FLOOR(365/4,1)+1</f>
        <v>37894</v>
      </c>
      <c r="AB8" s="66">
        <f>AA8+FLOOR(365/4,1)+1</f>
        <v>37986</v>
      </c>
      <c r="AC8" s="97"/>
      <c r="AD8" s="58"/>
      <c r="AE8" s="79">
        <f>Y8+365</f>
        <v>38076</v>
      </c>
      <c r="AF8" s="66">
        <f>AE8+FLOOR(365/4,1)</f>
        <v>38167</v>
      </c>
      <c r="AG8" s="66">
        <f>AF8+FLOOR(365/4,1)+1</f>
        <v>38259</v>
      </c>
      <c r="AH8" s="66">
        <f>AG8+FLOOR(365/4,1)+1</f>
        <v>38351</v>
      </c>
      <c r="AI8" s="97"/>
      <c r="AJ8" s="58"/>
      <c r="AK8" s="79">
        <f>AE8+365</f>
        <v>38441</v>
      </c>
      <c r="AL8" s="66">
        <f>AK8+FLOOR(365/4,1)</f>
        <v>38532</v>
      </c>
      <c r="AM8" s="66">
        <f>AL8+FLOOR(365/4,1)+1</f>
        <v>38624</v>
      </c>
      <c r="AN8" s="66">
        <f>AM8+FLOOR(365/4,1)+1</f>
        <v>38716</v>
      </c>
      <c r="AO8" s="97"/>
      <c r="AP8" s="58"/>
      <c r="AQ8" s="79">
        <f>AK8+365</f>
        <v>38806</v>
      </c>
      <c r="AR8" s="66">
        <f>AQ8+FLOOR(365/4,1)</f>
        <v>38897</v>
      </c>
      <c r="AS8" s="66">
        <f>AR8+FLOOR(365/4,1)+1</f>
        <v>38989</v>
      </c>
      <c r="AT8" s="66">
        <f>AS8+FLOOR(365/4,1)+1</f>
        <v>39081</v>
      </c>
      <c r="AU8" s="97"/>
      <c r="AV8" s="58"/>
      <c r="AW8" s="79">
        <f>AQ8+365</f>
        <v>39171</v>
      </c>
      <c r="AX8" s="66">
        <f>AW8+FLOOR(365/4,1)</f>
        <v>39262</v>
      </c>
      <c r="AY8" s="66">
        <f>AX8+FLOOR(365/4,1)+1</f>
        <v>39354</v>
      </c>
      <c r="AZ8" s="66">
        <f>AY8+FLOOR(365/4,1)+1</f>
        <v>39446</v>
      </c>
      <c r="BA8" s="97"/>
      <c r="BB8" s="58"/>
      <c r="BC8" s="79">
        <f>AW8+365</f>
        <v>39536</v>
      </c>
      <c r="BD8" s="66">
        <f>BC8+FLOOR(365/4,1)</f>
        <v>39627</v>
      </c>
      <c r="BE8" s="66">
        <f>BD8+FLOOR(365/4,1)+1</f>
        <v>39719</v>
      </c>
      <c r="BF8" s="66">
        <f>BE8+FLOOR(365/4,1)+1</f>
        <v>39811</v>
      </c>
      <c r="BG8" s="97"/>
      <c r="BH8" s="58"/>
      <c r="BI8" s="79">
        <f>BC8+365</f>
        <v>39901</v>
      </c>
      <c r="BJ8" s="66">
        <f>BI8+FLOOR(365/4,1)</f>
        <v>39992</v>
      </c>
      <c r="BK8" s="66">
        <f>BJ8+FLOOR(365/4,1)+1</f>
        <v>40084</v>
      </c>
      <c r="BL8" s="66">
        <f>BK8+FLOOR(365/4,1)+1</f>
        <v>40176</v>
      </c>
      <c r="BM8" s="97"/>
      <c r="BN8" s="58"/>
      <c r="BO8" s="79">
        <f>BI8+365</f>
        <v>40266</v>
      </c>
      <c r="BP8" s="66">
        <f>BO8+FLOOR(365/4,1)</f>
        <v>40357</v>
      </c>
      <c r="BQ8" s="66">
        <f>BP8+FLOOR(365/4,1)+1</f>
        <v>40449</v>
      </c>
      <c r="BR8" s="66">
        <f>BQ8+FLOOR(365/4,1)+1</f>
        <v>40541</v>
      </c>
      <c r="BS8" s="97"/>
      <c r="BT8" s="58"/>
      <c r="BU8" s="79">
        <f>BO8+365</f>
        <v>40631</v>
      </c>
      <c r="BV8" s="66">
        <f>BU8+FLOOR(365/4,1)</f>
        <v>40722</v>
      </c>
      <c r="BW8" s="66">
        <f>BV8+FLOOR(365/4,1)+1</f>
        <v>40814</v>
      </c>
      <c r="BX8" s="66">
        <f>BW8+FLOOR(365/4,1)+1</f>
        <v>40906</v>
      </c>
      <c r="BY8" s="97"/>
      <c r="BZ8" s="58"/>
      <c r="CA8" s="79">
        <f>BU8+365</f>
        <v>40996</v>
      </c>
      <c r="CB8" s="66">
        <f>CA8+FLOOR(365/4,1)</f>
        <v>41087</v>
      </c>
      <c r="CC8" s="66">
        <f>CB8+FLOOR(365/4,1)+1</f>
        <v>41179</v>
      </c>
      <c r="CD8" s="66">
        <f>CC8+FLOOR(365/4,1)+1</f>
        <v>41271</v>
      </c>
      <c r="CE8" s="97"/>
      <c r="CF8" s="58"/>
      <c r="CG8" s="79">
        <f>CA8+365</f>
        <v>41361</v>
      </c>
      <c r="CH8" s="66">
        <f>CG8+FLOOR(365/4,1)</f>
        <v>41452</v>
      </c>
      <c r="CI8" s="66">
        <f>CH8+FLOOR(365/4,1)+1</f>
        <v>41544</v>
      </c>
      <c r="CJ8" s="66">
        <f>CI8+FLOOR(365/4,1)+1</f>
        <v>41636</v>
      </c>
      <c r="CK8" s="97"/>
      <c r="CL8" s="58"/>
      <c r="CM8" s="79">
        <f>CG8+365</f>
        <v>41726</v>
      </c>
      <c r="CN8" s="66">
        <f>CM8+FLOOR(365/4,1)</f>
        <v>41817</v>
      </c>
      <c r="CO8" s="66">
        <f>CN8+FLOOR(365/4,1)+1</f>
        <v>41909</v>
      </c>
      <c r="CP8" s="66">
        <f>CO8+FLOOR(365/4,1)+1</f>
        <v>42001</v>
      </c>
      <c r="CQ8" s="97"/>
      <c r="CR8" s="58"/>
      <c r="CS8" s="79">
        <f>CM8+365</f>
        <v>42091</v>
      </c>
      <c r="CT8" s="66">
        <f>CS8+FLOOR(365/4,1)</f>
        <v>42182</v>
      </c>
      <c r="CU8" s="66">
        <f>CT8+FLOOR(365/4,1)+1</f>
        <v>42274</v>
      </c>
      <c r="CV8" s="66">
        <f>CU8+FLOOR(365/4,1)+1</f>
        <v>42366</v>
      </c>
      <c r="CW8" s="97"/>
      <c r="CX8" s="58"/>
      <c r="CY8" s="79">
        <f>CS8+365</f>
        <v>42456</v>
      </c>
      <c r="CZ8" s="66">
        <f>CY8+FLOOR(365/4,1)</f>
        <v>42547</v>
      </c>
      <c r="DA8" s="66">
        <f>CZ8+FLOOR(365/4,1)+1</f>
        <v>42639</v>
      </c>
      <c r="DB8" s="66">
        <f>DA8+FLOOR(365/4,1)+1</f>
        <v>42731</v>
      </c>
      <c r="DC8" s="97"/>
      <c r="DD8" s="58"/>
      <c r="DE8" s="79">
        <v>42825</v>
      </c>
      <c r="DF8" s="66">
        <v>42916</v>
      </c>
      <c r="DG8" s="66">
        <v>43008</v>
      </c>
      <c r="DH8" s="66">
        <v>43100</v>
      </c>
      <c r="DI8" s="97"/>
      <c r="DJ8" s="58"/>
      <c r="DK8" s="130">
        <f>DE8+365</f>
        <v>43190</v>
      </c>
      <c r="DL8" s="131">
        <f>DF8+365</f>
        <v>43281</v>
      </c>
      <c r="DM8" s="131">
        <f>DG8+365</f>
        <v>43373</v>
      </c>
      <c r="DN8" s="131">
        <f>DH8+365</f>
        <v>43465</v>
      </c>
      <c r="DO8" s="97"/>
      <c r="DP8" s="58"/>
      <c r="DQ8" s="130">
        <f>DK8+365</f>
        <v>43555</v>
      </c>
      <c r="DR8" s="131">
        <f>DL8+365</f>
        <v>43646</v>
      </c>
      <c r="DS8" s="131">
        <f>DM8+365</f>
        <v>43738</v>
      </c>
      <c r="DT8" s="131">
        <f>DN8+365</f>
        <v>43830</v>
      </c>
      <c r="DU8" s="97"/>
      <c r="DV8" s="58"/>
      <c r="DW8" s="130">
        <f>DQ8+365</f>
        <v>43920</v>
      </c>
      <c r="DX8" s="131">
        <f>DR8+365</f>
        <v>44011</v>
      </c>
      <c r="DY8" s="131">
        <f>DS8+365</f>
        <v>44103</v>
      </c>
      <c r="DZ8" s="131">
        <f>DT8+365</f>
        <v>44195</v>
      </c>
      <c r="EA8" s="97"/>
      <c r="EB8" s="58"/>
      <c r="EC8" s="130">
        <f>DW8+365</f>
        <v>44285</v>
      </c>
      <c r="ED8" s="131">
        <f>DX8+365</f>
        <v>44376</v>
      </c>
      <c r="EE8" s="131">
        <f>DY8+365</f>
        <v>44468</v>
      </c>
      <c r="EF8" s="131">
        <f>DZ8+365</f>
        <v>44560</v>
      </c>
      <c r="EG8" s="97"/>
      <c r="EH8" s="226"/>
      <c r="EI8" s="174"/>
      <c r="EJ8" s="174"/>
      <c r="EK8" s="174"/>
      <c r="EL8" s="174"/>
    </row>
    <row r="9" spans="1:142" ht="12.75" customHeight="1" outlineLevel="1" x14ac:dyDescent="0.2">
      <c r="A9" s="51"/>
      <c r="B9" s="6"/>
      <c r="C9" s="6"/>
      <c r="D9" s="6"/>
      <c r="E9" s="94"/>
      <c r="F9" s="70"/>
      <c r="G9" s="94"/>
      <c r="H9" s="70"/>
      <c r="I9" s="94"/>
      <c r="J9" s="70"/>
      <c r="K9" s="94"/>
      <c r="L9" s="70"/>
      <c r="M9" s="83"/>
      <c r="N9" s="70"/>
      <c r="O9" s="70"/>
      <c r="P9" s="70"/>
      <c r="Q9" s="94"/>
      <c r="R9" s="70"/>
      <c r="S9" s="83"/>
      <c r="T9" s="70"/>
      <c r="U9" s="70"/>
      <c r="V9" s="70"/>
      <c r="W9" s="94"/>
      <c r="X9" s="70"/>
      <c r="Y9" s="83"/>
      <c r="Z9" s="70"/>
      <c r="AA9" s="70"/>
      <c r="AB9" s="70"/>
      <c r="AC9" s="94"/>
      <c r="AD9" s="70"/>
      <c r="AE9" s="83"/>
      <c r="AF9" s="70"/>
      <c r="AG9" s="70"/>
      <c r="AH9" s="70"/>
      <c r="AI9" s="94"/>
      <c r="AJ9" s="70"/>
      <c r="AK9" s="83"/>
      <c r="AL9" s="70"/>
      <c r="AM9" s="70"/>
      <c r="AN9" s="70"/>
      <c r="AO9" s="94"/>
      <c r="AP9" s="70"/>
      <c r="AQ9" s="83"/>
      <c r="AR9" s="70"/>
      <c r="AS9" s="70"/>
      <c r="AT9" s="70"/>
      <c r="AU9" s="94"/>
      <c r="AV9" s="70"/>
      <c r="AW9" s="83"/>
      <c r="AX9" s="70"/>
      <c r="AY9" s="70"/>
      <c r="AZ9" s="70"/>
      <c r="BA9" s="94"/>
      <c r="BB9" s="70"/>
      <c r="BC9" s="83"/>
      <c r="BD9" s="70"/>
      <c r="BE9" s="70"/>
      <c r="BF9" s="70"/>
      <c r="BG9" s="94"/>
      <c r="BH9" s="70"/>
      <c r="BI9" s="83"/>
      <c r="BJ9" s="70"/>
      <c r="BK9" s="70"/>
      <c r="BL9" s="70"/>
      <c r="BM9" s="94"/>
      <c r="BN9" s="70"/>
      <c r="BO9" s="194"/>
      <c r="BP9" s="177"/>
      <c r="BQ9" s="177"/>
      <c r="BR9" s="177"/>
      <c r="BS9" s="94"/>
      <c r="BT9" s="70"/>
      <c r="BU9" s="194"/>
      <c r="BV9" s="177"/>
      <c r="BW9" s="177"/>
      <c r="BX9" s="177"/>
      <c r="BY9" s="94"/>
      <c r="BZ9" s="70"/>
      <c r="CA9" s="194"/>
      <c r="CB9" s="177"/>
      <c r="CC9" s="177"/>
      <c r="CD9" s="177"/>
      <c r="CE9" s="94"/>
      <c r="CF9" s="70"/>
      <c r="CG9" s="194"/>
      <c r="CH9" s="177"/>
      <c r="CI9" s="177"/>
      <c r="CJ9" s="177"/>
      <c r="CK9" s="94"/>
      <c r="CL9" s="70"/>
      <c r="CM9" s="194"/>
      <c r="CN9" s="177"/>
      <c r="CO9" s="177"/>
      <c r="CP9" s="177"/>
      <c r="CQ9" s="94"/>
      <c r="CR9" s="70"/>
      <c r="CS9" s="194"/>
      <c r="CT9" s="177"/>
      <c r="CU9" s="177"/>
      <c r="CV9" s="177"/>
      <c r="CW9" s="94"/>
      <c r="CX9" s="70"/>
      <c r="CY9" s="194"/>
      <c r="CZ9" s="177"/>
      <c r="DA9" s="177"/>
      <c r="DB9" s="177"/>
      <c r="DC9" s="94"/>
      <c r="DD9" s="70"/>
      <c r="DE9" s="194"/>
      <c r="DF9" s="177"/>
      <c r="DG9" s="177"/>
      <c r="DH9" s="177"/>
      <c r="DI9" s="94"/>
      <c r="DJ9" s="70"/>
      <c r="DK9" s="194"/>
      <c r="DL9" s="177"/>
      <c r="DM9" s="177"/>
      <c r="DN9" s="177"/>
      <c r="DO9" s="94"/>
      <c r="DP9" s="70"/>
      <c r="DQ9" s="194"/>
      <c r="DR9" s="177"/>
      <c r="DS9" s="177"/>
      <c r="DT9" s="177"/>
      <c r="DU9" s="94"/>
      <c r="DV9" s="70"/>
      <c r="DW9" s="194"/>
      <c r="DX9" s="177"/>
      <c r="DY9" s="177"/>
      <c r="DZ9" s="177"/>
      <c r="EA9" s="94"/>
      <c r="EB9" s="70"/>
      <c r="EC9" s="194"/>
      <c r="ED9" s="177"/>
      <c r="EE9" s="177"/>
      <c r="EF9" s="177"/>
      <c r="EG9" s="94"/>
      <c r="EH9" s="70"/>
      <c r="EI9" s="177"/>
      <c r="EJ9" s="6"/>
      <c r="EK9" s="6"/>
      <c r="EL9" s="6"/>
    </row>
    <row r="10" spans="1:142" ht="12.75" customHeight="1" x14ac:dyDescent="0.2">
      <c r="A10" s="51" t="s">
        <v>329</v>
      </c>
      <c r="B10" s="19"/>
      <c r="C10" s="19"/>
      <c r="D10" s="19"/>
      <c r="E10" s="198">
        <v>176.60399999999996</v>
      </c>
      <c r="F10" s="67"/>
      <c r="G10" s="198">
        <v>192.22499999999985</v>
      </c>
      <c r="H10" s="67"/>
      <c r="I10" s="198">
        <v>261.36399999999992</v>
      </c>
      <c r="J10" s="67"/>
      <c r="K10" s="198">
        <v>324.21299999999974</v>
      </c>
      <c r="L10" s="67"/>
      <c r="M10" s="195">
        <v>82.582000000000008</v>
      </c>
      <c r="N10" s="179">
        <v>94.23</v>
      </c>
      <c r="O10" s="179">
        <v>87.789999999999992</v>
      </c>
      <c r="P10" s="179">
        <v>33.06299999999996</v>
      </c>
      <c r="Q10" s="91">
        <v>297.66499999999996</v>
      </c>
      <c r="R10" s="67"/>
      <c r="S10" s="195">
        <v>82.735000000000028</v>
      </c>
      <c r="T10" s="179">
        <v>103.66499999999999</v>
      </c>
      <c r="U10" s="179">
        <v>119.51199999999997</v>
      </c>
      <c r="V10" s="179">
        <v>128.20099999999999</v>
      </c>
      <c r="W10" s="91">
        <v>434.11299999999994</v>
      </c>
      <c r="X10" s="67"/>
      <c r="Y10" s="195">
        <v>103.12599999999989</v>
      </c>
      <c r="Z10" s="179">
        <v>125.14399999999995</v>
      </c>
      <c r="AA10" s="179">
        <v>138.61799999999999</v>
      </c>
      <c r="AB10" s="179">
        <v>169.94599999999991</v>
      </c>
      <c r="AC10" s="91">
        <v>536.83400000000006</v>
      </c>
      <c r="AD10" s="67"/>
      <c r="AE10" s="195">
        <v>145.24400000000011</v>
      </c>
      <c r="AF10" s="179">
        <v>182.23299999999995</v>
      </c>
      <c r="AG10" s="179">
        <v>200.79300000000001</v>
      </c>
      <c r="AH10" s="179">
        <v>217.78899999999936</v>
      </c>
      <c r="AI10" s="91">
        <v>746.05899999999951</v>
      </c>
      <c r="AJ10" s="67"/>
      <c r="AK10" s="195">
        <v>188.25599999999991</v>
      </c>
      <c r="AL10" s="179">
        <v>229.0200000000001</v>
      </c>
      <c r="AM10" s="179">
        <v>228.82100000000017</v>
      </c>
      <c r="AN10" s="179">
        <f>AO10-SUM(AK10:AM10)</f>
        <v>251.70299999999997</v>
      </c>
      <c r="AO10" s="91">
        <v>897.80000000000018</v>
      </c>
      <c r="AP10" s="67"/>
      <c r="AQ10" s="195">
        <v>213.64999999999975</v>
      </c>
      <c r="AR10" s="179">
        <v>311.57100000000025</v>
      </c>
      <c r="AS10" s="179">
        <v>263.97599999999977</v>
      </c>
      <c r="AT10" s="179">
        <v>320.00899999999979</v>
      </c>
      <c r="AU10" s="91">
        <v>1109.2060000000001</v>
      </c>
      <c r="AV10" s="67"/>
      <c r="AW10" s="195">
        <v>251.61699999999996</v>
      </c>
      <c r="AX10" s="179">
        <v>307.65600000000012</v>
      </c>
      <c r="AY10" s="179">
        <v>334.50099999999975</v>
      </c>
      <c r="AZ10" s="179">
        <v>320.22500000000025</v>
      </c>
      <c r="BA10" s="91">
        <v>1213.9989999999998</v>
      </c>
      <c r="BB10" s="67"/>
      <c r="BC10" s="195">
        <v>276.50499999999988</v>
      </c>
      <c r="BD10" s="179">
        <v>363.44800000000038</v>
      </c>
      <c r="BE10" s="179">
        <v>371.99200000000002</v>
      </c>
      <c r="BF10" s="179">
        <v>305.68600000000032</v>
      </c>
      <c r="BG10" s="91">
        <v>1317.6310000000026</v>
      </c>
      <c r="BH10" s="67"/>
      <c r="BI10" s="195">
        <v>237.66799999999984</v>
      </c>
      <c r="BJ10" s="179">
        <v>295.685</v>
      </c>
      <c r="BK10" s="179">
        <v>351.37000000000023</v>
      </c>
      <c r="BL10" s="179">
        <v>266.94299999999953</v>
      </c>
      <c r="BM10" s="91">
        <v>1151.6659999999993</v>
      </c>
      <c r="BN10" s="67"/>
      <c r="BO10" s="84">
        <v>300.233</v>
      </c>
      <c r="BP10" s="71">
        <f>672.709-BO10</f>
        <v>372.47599999999994</v>
      </c>
      <c r="BQ10" s="71">
        <f>1319.144-SUM(BO10:BP10)</f>
        <v>646.43500000000006</v>
      </c>
      <c r="BR10" s="71">
        <f>1793-SUM(BO10:BQ10)</f>
        <v>473.85599999999999</v>
      </c>
      <c r="BS10" s="93">
        <f>SUM(BO10:BR10)</f>
        <v>1793</v>
      </c>
      <c r="BT10" s="67"/>
      <c r="BU10" s="84">
        <v>429.358</v>
      </c>
      <c r="BV10" s="71">
        <f>1078.122-BU10</f>
        <v>648.76400000000012</v>
      </c>
      <c r="BW10" s="71">
        <f>1601.55-SUM(BU10:BV10)</f>
        <v>523.42799999999988</v>
      </c>
      <c r="BX10" s="71">
        <f>2172.3-SUM(BU10:BW10)</f>
        <v>570.75000000000023</v>
      </c>
      <c r="BY10" s="93">
        <f>SUM(BU10:BX10)</f>
        <v>2172.3000000000002</v>
      </c>
      <c r="BZ10" s="67"/>
      <c r="CA10" s="84">
        <v>612.9</v>
      </c>
      <c r="CB10" s="71">
        <f>1213.1-CA10</f>
        <v>600.19999999999993</v>
      </c>
      <c r="CC10" s="71">
        <f>1761.8-SUM(CA10:CB10)</f>
        <v>548.70000000000005</v>
      </c>
      <c r="CD10" s="71">
        <f>2392.2-SUM(CA10:CC10)</f>
        <v>630.39999999999986</v>
      </c>
      <c r="CE10" s="93">
        <f>SUM(CA10:CD10)</f>
        <v>2392.1999999999998</v>
      </c>
      <c r="CF10" s="67"/>
      <c r="CG10" s="84">
        <v>691.9</v>
      </c>
      <c r="CH10" s="71">
        <f>1308.7-CG10</f>
        <v>616.80000000000007</v>
      </c>
      <c r="CI10" s="71">
        <f>1905.7-SUM(CG10:CH10)</f>
        <v>597</v>
      </c>
      <c r="CJ10" s="71">
        <f>2695-SUM(CG10:CI10)</f>
        <v>789.3</v>
      </c>
      <c r="CK10" s="93">
        <f>SUM(CG10:CJ10)</f>
        <v>2695</v>
      </c>
      <c r="CL10" s="67"/>
      <c r="CM10" s="84">
        <v>579.70000000000005</v>
      </c>
      <c r="CN10" s="71">
        <f>1256.1-CM10</f>
        <v>676.39999999999986</v>
      </c>
      <c r="CO10" s="71">
        <f>1936.7-SUM(CM10:CN10)</f>
        <v>680.60000000000014</v>
      </c>
      <c r="CP10" s="71">
        <f>2598.4-SUM(CM10:CO10)</f>
        <v>661.7</v>
      </c>
      <c r="CQ10" s="93">
        <f>SUM(CM10:CP10)</f>
        <v>2598.4</v>
      </c>
      <c r="CR10" s="67"/>
      <c r="CS10" s="84">
        <v>569.79999999999995</v>
      </c>
      <c r="CT10" s="71">
        <f>1265.5-CS10</f>
        <v>695.7</v>
      </c>
      <c r="CU10" s="71">
        <f>2668.8-SUM(CS10:CT10)</f>
        <v>1403.3000000000002</v>
      </c>
      <c r="CV10" s="71">
        <f>3357.4-SUM(CS10:CU10)</f>
        <v>688.59999999999991</v>
      </c>
      <c r="CW10" s="93">
        <f>SUM(CS10:CV10)</f>
        <v>3357.4</v>
      </c>
      <c r="CX10" s="67"/>
      <c r="CY10" s="84">
        <v>758.4</v>
      </c>
      <c r="CZ10" s="71">
        <f>1415.1-CY10</f>
        <v>656.69999999999993</v>
      </c>
      <c r="DA10" s="71">
        <f>1806.7-SUM(CY10:CZ10)</f>
        <v>391.60000000000014</v>
      </c>
      <c r="DB10" s="71">
        <f>2553.7-SUM(CY10:DA10)</f>
        <v>746.99999999999977</v>
      </c>
      <c r="DC10" s="93">
        <f>SUM(CY10:DB10)</f>
        <v>2553.6999999999998</v>
      </c>
      <c r="DD10" s="67"/>
      <c r="DE10" s="84">
        <v>506.1</v>
      </c>
      <c r="DF10" s="71">
        <f>1063.4-DE10</f>
        <v>557.30000000000007</v>
      </c>
      <c r="DG10" s="71">
        <f>1635.5-SUM(DE10:DF10)</f>
        <v>572.09999999999991</v>
      </c>
      <c r="DH10" s="71">
        <f>2492.1-SUM(DE10:DG10)</f>
        <v>856.59999999999991</v>
      </c>
      <c r="DI10" s="93">
        <f>SUM(DE10:DH10)</f>
        <v>2492.1</v>
      </c>
      <c r="DJ10" s="67"/>
      <c r="DK10" s="392">
        <f>+'Pro Forma IS'!DK29</f>
        <v>566.59999999999923</v>
      </c>
      <c r="DL10" s="374">
        <f>+'Pro Forma IS'!DL29</f>
        <v>647.26435095528939</v>
      </c>
      <c r="DM10" s="374">
        <f>+'Pro Forma IS'!DM29</f>
        <v>642.79560939416604</v>
      </c>
      <c r="DN10" s="374">
        <f>+'Pro Forma IS'!DN29</f>
        <v>839.00718358858717</v>
      </c>
      <c r="DO10" s="93">
        <f>SUM(DK10:DN10)</f>
        <v>2695.6671439380416</v>
      </c>
      <c r="DP10" s="67"/>
      <c r="DQ10" s="392">
        <f>+'Pro Forma IS'!DQ29</f>
        <v>644.63929238681601</v>
      </c>
      <c r="DR10" s="374">
        <f>+'Pro Forma IS'!DR29</f>
        <v>731.35608977110451</v>
      </c>
      <c r="DS10" s="374">
        <f>+'Pro Forma IS'!DS29</f>
        <v>715.57976040132803</v>
      </c>
      <c r="DT10" s="374">
        <f>+'Pro Forma IS'!DT29</f>
        <v>917.79164119385155</v>
      </c>
      <c r="DU10" s="93">
        <f>SUM(DQ10:DT10)</f>
        <v>3009.3667837531002</v>
      </c>
      <c r="DV10" s="67"/>
      <c r="DW10" s="392">
        <f>+'Pro Forma IS'!DW29</f>
        <v>723.14271767990522</v>
      </c>
      <c r="DX10" s="374">
        <f>+'Pro Forma IS'!DX29</f>
        <v>812.98647620690917</v>
      </c>
      <c r="DY10" s="374">
        <f>+'Pro Forma IS'!DY29</f>
        <v>796.19008222696857</v>
      </c>
      <c r="DZ10" s="374">
        <f>+'Pro Forma IS'!DZ29</f>
        <v>1153.1524415894901</v>
      </c>
      <c r="EA10" s="93">
        <f>SUM(DW10:DZ10)</f>
        <v>3485.471717703273</v>
      </c>
      <c r="EB10" s="67"/>
      <c r="EC10" s="392">
        <f>+'Pro Forma IS'!EC29</f>
        <v>966.64893880287173</v>
      </c>
      <c r="ED10" s="374">
        <f>+'Pro Forma IS'!ED29</f>
        <v>1077.3817515046885</v>
      </c>
      <c r="EE10" s="374">
        <f>+'Pro Forma IS'!EE29</f>
        <v>1079.6925375314727</v>
      </c>
      <c r="EF10" s="374">
        <f>+'Pro Forma IS'!EF29</f>
        <v>1304.9789051722405</v>
      </c>
      <c r="EG10" s="93">
        <f t="shared" ref="EG10:EG11" si="0">SUM(EC10:EF10)</f>
        <v>4428.702133011273</v>
      </c>
      <c r="EH10" s="69"/>
      <c r="EI10" s="177"/>
      <c r="EJ10" s="36"/>
      <c r="EK10" s="27"/>
      <c r="EL10" s="27"/>
    </row>
    <row r="11" spans="1:142" ht="12.75" customHeight="1" x14ac:dyDescent="0.2">
      <c r="A11" s="51" t="s">
        <v>330</v>
      </c>
      <c r="B11" s="19"/>
      <c r="C11" s="19"/>
      <c r="D11" s="19"/>
      <c r="E11" s="198"/>
      <c r="F11" s="67"/>
      <c r="G11" s="198"/>
      <c r="H11" s="67"/>
      <c r="I11" s="198"/>
      <c r="J11" s="67"/>
      <c r="K11" s="198"/>
      <c r="L11" s="67"/>
      <c r="M11" s="195"/>
      <c r="N11" s="179"/>
      <c r="O11" s="179"/>
      <c r="P11" s="179"/>
      <c r="Q11" s="91"/>
      <c r="R11" s="67"/>
      <c r="S11" s="195"/>
      <c r="T11" s="179"/>
      <c r="U11" s="179"/>
      <c r="V11" s="179"/>
      <c r="W11" s="91"/>
      <c r="X11" s="67"/>
      <c r="Y11" s="195"/>
      <c r="Z11" s="179"/>
      <c r="AA11" s="179"/>
      <c r="AB11" s="179"/>
      <c r="AC11" s="91"/>
      <c r="AD11" s="67"/>
      <c r="AE11" s="195"/>
      <c r="AF11" s="179"/>
      <c r="AG11" s="179"/>
      <c r="AH11" s="179"/>
      <c r="AI11" s="91"/>
      <c r="AJ11" s="67"/>
      <c r="AK11" s="195"/>
      <c r="AL11" s="179"/>
      <c r="AM11" s="179"/>
      <c r="AN11" s="179"/>
      <c r="AO11" s="91"/>
      <c r="AP11" s="67"/>
      <c r="AQ11" s="195"/>
      <c r="AR11" s="179"/>
      <c r="AS11" s="179"/>
      <c r="AT11" s="179"/>
      <c r="AU11" s="91"/>
      <c r="AV11" s="67"/>
      <c r="AW11" s="195"/>
      <c r="AX11" s="179"/>
      <c r="AY11" s="179"/>
      <c r="AZ11" s="179"/>
      <c r="BA11" s="91"/>
      <c r="BB11" s="67"/>
      <c r="BC11" s="195"/>
      <c r="BD11" s="179"/>
      <c r="BE11" s="179"/>
      <c r="BF11" s="179"/>
      <c r="BG11" s="91"/>
      <c r="BH11" s="67"/>
      <c r="BI11" s="195"/>
      <c r="BJ11" s="179"/>
      <c r="BK11" s="179"/>
      <c r="BL11" s="179"/>
      <c r="BM11" s="91"/>
      <c r="BN11" s="67"/>
      <c r="BO11" s="84">
        <v>-7.4859999999999998</v>
      </c>
      <c r="BP11" s="71">
        <f>-17.84-BO11</f>
        <v>-10.353999999999999</v>
      </c>
      <c r="BQ11" s="71">
        <f>-30.471-SUM(BO11:BP11)</f>
        <v>-12.631</v>
      </c>
      <c r="BR11" s="71">
        <f>-74.817-SUM(BO11:BQ11)</f>
        <v>-44.345999999999989</v>
      </c>
      <c r="BS11" s="93">
        <f>SUM(BO11:BR11)</f>
        <v>-74.816999999999993</v>
      </c>
      <c r="BT11" s="67"/>
      <c r="BU11" s="84">
        <v>-12.583</v>
      </c>
      <c r="BV11" s="71">
        <f>-221.797-BU11</f>
        <v>-209.214</v>
      </c>
      <c r="BW11" s="71">
        <f>-229.817-SUM(BU11:BV11)</f>
        <v>-8.0200000000000102</v>
      </c>
      <c r="BX11" s="71">
        <f>-237-SUM(BU11:BW11)</f>
        <v>-7.1829999999999927</v>
      </c>
      <c r="BY11" s="93">
        <f>SUM(BU11:BX11)</f>
        <v>-237</v>
      </c>
      <c r="BZ11" s="67"/>
      <c r="CA11" s="84">
        <v>-92.9</v>
      </c>
      <c r="CB11" s="71">
        <f>-92.9-CA11</f>
        <v>0</v>
      </c>
      <c r="CC11" s="71">
        <f>-92.9-SUM(CA11:CB11)</f>
        <v>0</v>
      </c>
      <c r="CD11" s="71">
        <f>-92.9-SUM(CA11:CC11)</f>
        <v>0</v>
      </c>
      <c r="CE11" s="93">
        <f>SUM(CA11:CD11)</f>
        <v>-92.9</v>
      </c>
      <c r="CF11" s="67"/>
      <c r="CG11" s="84">
        <v>0</v>
      </c>
      <c r="CH11" s="71">
        <f>0-CG11</f>
        <v>0</v>
      </c>
      <c r="CI11" s="71">
        <f>0-SUM(CG11:CH11)</f>
        <v>0</v>
      </c>
      <c r="CJ11" s="71">
        <f>0-SUM(CG11:CI11)</f>
        <v>0</v>
      </c>
      <c r="CK11" s="93">
        <f>SUM(CG11:CJ11)</f>
        <v>0</v>
      </c>
      <c r="CL11" s="67"/>
      <c r="CM11" s="84">
        <v>0</v>
      </c>
      <c r="CN11" s="71">
        <f>0-CM11</f>
        <v>0</v>
      </c>
      <c r="CO11" s="71">
        <f>-43.1-SUM(CM11:CN11)</f>
        <v>-43.1</v>
      </c>
      <c r="CP11" s="71">
        <f>-55.3-SUM(CM11:CO11)</f>
        <v>-12.199999999999996</v>
      </c>
      <c r="CQ11" s="93">
        <f>SUM(CM11:CP11)</f>
        <v>-55.3</v>
      </c>
      <c r="CR11" s="67"/>
      <c r="CS11" s="84">
        <v>-11.8</v>
      </c>
      <c r="CT11" s="71">
        <f>8-CS11</f>
        <v>19.8</v>
      </c>
      <c r="CU11" s="71">
        <f>-1443.1-SUM(CS11:CT11)</f>
        <v>-1451.1</v>
      </c>
      <c r="CV11" s="71">
        <f>-1610.7-SUM(CS11:CU11)</f>
        <v>-167.60000000000014</v>
      </c>
      <c r="CW11" s="93">
        <f>SUM(CS11:CV11)</f>
        <v>-1610.7</v>
      </c>
      <c r="CX11" s="67"/>
      <c r="CY11" s="84">
        <v>0</v>
      </c>
      <c r="CZ11" s="71">
        <f>0-CY11</f>
        <v>0</v>
      </c>
      <c r="DA11" s="71">
        <f>-400.3-SUM(CY11:CZ11)</f>
        <v>-400.3</v>
      </c>
      <c r="DB11" s="71">
        <f>-400.3-SUM(CY11:DA11)</f>
        <v>0</v>
      </c>
      <c r="DC11" s="93">
        <f>SUM(CY11:DB11)</f>
        <v>-400.3</v>
      </c>
      <c r="DD11" s="67"/>
      <c r="DE11" s="84">
        <v>-22.3</v>
      </c>
      <c r="DF11" s="71">
        <f>-22.3-DE11</f>
        <v>0</v>
      </c>
      <c r="DG11" s="71">
        <f>-22.3-SUM(DE11:DF11)</f>
        <v>0</v>
      </c>
      <c r="DH11" s="71">
        <f>-22.3-SUM(DE11:DG11)</f>
        <v>0</v>
      </c>
      <c r="DI11" s="93">
        <f>SUM(DE11:DH11)</f>
        <v>-22.3</v>
      </c>
      <c r="DJ11" s="67"/>
      <c r="DK11" s="392">
        <f>+'Pro Forma IS'!DK30+'Pro Forma IS'!DK31</f>
        <v>0</v>
      </c>
      <c r="DL11" s="374">
        <f>+'Pro Forma IS'!DL30+'Pro Forma IS'!DL31</f>
        <v>0</v>
      </c>
      <c r="DM11" s="374">
        <f>+'Pro Forma IS'!DM30+'Pro Forma IS'!DM31</f>
        <v>0</v>
      </c>
      <c r="DN11" s="374">
        <f>+'Pro Forma IS'!DN30+'Pro Forma IS'!DN31</f>
        <v>0</v>
      </c>
      <c r="DO11" s="93">
        <f>SUM(DK11:DN11)</f>
        <v>0</v>
      </c>
      <c r="DP11" s="67"/>
      <c r="DQ11" s="392">
        <f>+'Pro Forma IS'!DQ30+'Pro Forma IS'!DQ31</f>
        <v>0</v>
      </c>
      <c r="DR11" s="374">
        <f>+'Pro Forma IS'!DR30+'Pro Forma IS'!DR31</f>
        <v>0</v>
      </c>
      <c r="DS11" s="374">
        <f>+'Pro Forma IS'!DS30+'Pro Forma IS'!DS31</f>
        <v>0</v>
      </c>
      <c r="DT11" s="374">
        <f>+'Pro Forma IS'!DT30+'Pro Forma IS'!DT31</f>
        <v>0</v>
      </c>
      <c r="DU11" s="93">
        <f>SUM(DQ11:DT11)</f>
        <v>0</v>
      </c>
      <c r="DV11" s="67"/>
      <c r="DW11" s="392">
        <f>+'Pro Forma IS'!DW30+'Pro Forma IS'!DW31</f>
        <v>0</v>
      </c>
      <c r="DX11" s="374">
        <f>+'Pro Forma IS'!DX30+'Pro Forma IS'!DX31</f>
        <v>0</v>
      </c>
      <c r="DY11" s="374">
        <f>+'Pro Forma IS'!DY30+'Pro Forma IS'!DY31</f>
        <v>0</v>
      </c>
      <c r="DZ11" s="374">
        <f>+'Pro Forma IS'!DZ30+'Pro Forma IS'!DZ31</f>
        <v>0</v>
      </c>
      <c r="EA11" s="93">
        <f>SUM(DW11:DZ11)</f>
        <v>0</v>
      </c>
      <c r="EB11" s="67"/>
      <c r="EC11" s="392">
        <f>+'Pro Forma IS'!EC30+'Pro Forma IS'!EC31</f>
        <v>0</v>
      </c>
      <c r="ED11" s="374">
        <f>+'Pro Forma IS'!ED30+'Pro Forma IS'!ED31</f>
        <v>0</v>
      </c>
      <c r="EE11" s="374">
        <f>+'Pro Forma IS'!EE30+'Pro Forma IS'!EE31</f>
        <v>0</v>
      </c>
      <c r="EF11" s="374">
        <f>+'Pro Forma IS'!EF30+'Pro Forma IS'!EF31</f>
        <v>0</v>
      </c>
      <c r="EG11" s="93">
        <f t="shared" si="0"/>
        <v>0</v>
      </c>
      <c r="EH11" s="69"/>
      <c r="EI11" s="177"/>
      <c r="EJ11" s="36"/>
      <c r="EK11" s="27"/>
      <c r="EL11" s="27"/>
    </row>
    <row r="12" spans="1:142" ht="12.75" customHeight="1" x14ac:dyDescent="0.2">
      <c r="A12" s="51" t="s">
        <v>331</v>
      </c>
      <c r="B12" s="19"/>
      <c r="C12" s="19"/>
      <c r="D12" s="19"/>
      <c r="E12" s="92"/>
      <c r="F12" s="67"/>
      <c r="G12" s="92"/>
      <c r="H12" s="67"/>
      <c r="I12" s="92"/>
      <c r="J12" s="67"/>
      <c r="K12" s="92"/>
      <c r="L12" s="67"/>
      <c r="M12" s="84"/>
      <c r="N12" s="71"/>
      <c r="O12" s="71"/>
      <c r="P12" s="71"/>
      <c r="Q12" s="93"/>
      <c r="R12" s="67"/>
      <c r="S12" s="84"/>
      <c r="T12" s="71"/>
      <c r="U12" s="71"/>
      <c r="V12" s="71"/>
      <c r="W12" s="93"/>
      <c r="X12" s="67"/>
      <c r="Y12" s="84"/>
      <c r="Z12" s="71"/>
      <c r="AA12" s="71"/>
      <c r="AB12" s="71"/>
      <c r="AC12" s="93"/>
      <c r="AD12" s="67"/>
      <c r="AE12" s="84"/>
      <c r="AF12" s="71"/>
      <c r="AG12" s="71"/>
      <c r="AH12" s="71"/>
      <c r="AI12" s="93"/>
      <c r="AJ12" s="67"/>
      <c r="AK12" s="84"/>
      <c r="AL12" s="71"/>
      <c r="AM12" s="71"/>
      <c r="AN12" s="71"/>
      <c r="AO12" s="93"/>
      <c r="AP12" s="67"/>
      <c r="AQ12" s="84"/>
      <c r="AR12" s="71"/>
      <c r="AS12" s="71"/>
      <c r="AT12" s="71"/>
      <c r="AU12" s="93"/>
      <c r="AV12" s="67"/>
      <c r="AW12" s="84"/>
      <c r="AX12" s="71"/>
      <c r="AY12" s="71"/>
      <c r="AZ12" s="71"/>
      <c r="BA12" s="93"/>
      <c r="BB12" s="67"/>
      <c r="BC12" s="84"/>
      <c r="BD12" s="71"/>
      <c r="BE12" s="71"/>
      <c r="BF12" s="71"/>
      <c r="BG12" s="93"/>
      <c r="BH12" s="67"/>
      <c r="BI12" s="84"/>
      <c r="BJ12" s="71"/>
      <c r="BK12" s="71"/>
      <c r="BL12" s="71"/>
      <c r="BM12" s="93"/>
      <c r="BN12" s="67"/>
      <c r="BO12" s="82">
        <f>+BO10+BO11</f>
        <v>292.74700000000001</v>
      </c>
      <c r="BP12" s="67">
        <f>+BP10+BP11</f>
        <v>362.12199999999996</v>
      </c>
      <c r="BQ12" s="67">
        <f>+BQ10+BQ11</f>
        <v>633.80400000000009</v>
      </c>
      <c r="BR12" s="67">
        <f>+BR10+BR11</f>
        <v>429.51</v>
      </c>
      <c r="BS12" s="93">
        <f>+BS10+BS11</f>
        <v>1718.183</v>
      </c>
      <c r="BT12" s="67"/>
      <c r="BU12" s="82">
        <f>+BU10+BU11</f>
        <v>416.77499999999998</v>
      </c>
      <c r="BV12" s="67">
        <f>+BV10+BV11</f>
        <v>439.55000000000013</v>
      </c>
      <c r="BW12" s="67">
        <f>+BW10+BW11</f>
        <v>515.4079999999999</v>
      </c>
      <c r="BX12" s="67">
        <f>+BX10+BX11</f>
        <v>563.56700000000023</v>
      </c>
      <c r="BY12" s="93">
        <f>+BY10+BY11</f>
        <v>1935.3000000000002</v>
      </c>
      <c r="BZ12" s="67"/>
      <c r="CA12" s="82">
        <f>+CA10+CA11</f>
        <v>520</v>
      </c>
      <c r="CB12" s="67">
        <f>+CB10+CB11</f>
        <v>600.19999999999993</v>
      </c>
      <c r="CC12" s="67">
        <f>+CC10+CC11</f>
        <v>548.70000000000005</v>
      </c>
      <c r="CD12" s="67">
        <f>+CD10+CD11</f>
        <v>630.39999999999986</v>
      </c>
      <c r="CE12" s="93">
        <f>+CE10+CE11</f>
        <v>2299.2999999999997</v>
      </c>
      <c r="CF12" s="67"/>
      <c r="CG12" s="82">
        <f>+CG10+CG11</f>
        <v>691.9</v>
      </c>
      <c r="CH12" s="67">
        <f>+CH10+CH11</f>
        <v>616.80000000000007</v>
      </c>
      <c r="CI12" s="67">
        <f>+CI10+CI11</f>
        <v>597</v>
      </c>
      <c r="CJ12" s="67">
        <f>+CJ10+CJ11</f>
        <v>789.3</v>
      </c>
      <c r="CK12" s="93">
        <f>+CK10+CK11</f>
        <v>2695</v>
      </c>
      <c r="CL12" s="67"/>
      <c r="CM12" s="82">
        <f>+CM10+CM11</f>
        <v>579.70000000000005</v>
      </c>
      <c r="CN12" s="67">
        <f>+CN10+CN11</f>
        <v>676.39999999999986</v>
      </c>
      <c r="CO12" s="67">
        <f>+CO10+CO11</f>
        <v>637.50000000000011</v>
      </c>
      <c r="CP12" s="67">
        <f>+CP10+CP11</f>
        <v>649.5</v>
      </c>
      <c r="CQ12" s="93">
        <f>+CQ10+CQ11</f>
        <v>2543.1</v>
      </c>
      <c r="CR12" s="67"/>
      <c r="CS12" s="82">
        <f>+CS10+CS11</f>
        <v>558</v>
      </c>
      <c r="CT12" s="67">
        <f>+CT10+CT11</f>
        <v>715.5</v>
      </c>
      <c r="CU12" s="67">
        <f>+CU10+CU11</f>
        <v>-47.799999999999727</v>
      </c>
      <c r="CV12" s="67">
        <f>+CV10+CV11</f>
        <v>520.99999999999977</v>
      </c>
      <c r="CW12" s="93">
        <f>+CW10+CW11</f>
        <v>1746.7</v>
      </c>
      <c r="CX12" s="67"/>
      <c r="CY12" s="82">
        <f>+CY10+CY11</f>
        <v>758.4</v>
      </c>
      <c r="CZ12" s="67">
        <f>+CZ10+CZ11</f>
        <v>656.69999999999993</v>
      </c>
      <c r="DA12" s="67">
        <f>+DA10+DA11</f>
        <v>-8.6999999999998749</v>
      </c>
      <c r="DB12" s="67">
        <f>+DB10+DB11</f>
        <v>746.99999999999977</v>
      </c>
      <c r="DC12" s="93">
        <f>+DC10+DC11</f>
        <v>2153.3999999999996</v>
      </c>
      <c r="DD12" s="67"/>
      <c r="DE12" s="82">
        <f>+DE10+DE11</f>
        <v>483.8</v>
      </c>
      <c r="DF12" s="67">
        <f>+DF10+DF11</f>
        <v>557.30000000000007</v>
      </c>
      <c r="DG12" s="67">
        <f>+DG10+DG11</f>
        <v>572.09999999999991</v>
      </c>
      <c r="DH12" s="67">
        <f>+DH10+DH11</f>
        <v>856.59999999999991</v>
      </c>
      <c r="DI12" s="93">
        <f>+DI10+DI11</f>
        <v>2469.7999999999997</v>
      </c>
      <c r="DJ12" s="67"/>
      <c r="DK12" s="82">
        <f>+DK10+DK11</f>
        <v>566.59999999999923</v>
      </c>
      <c r="DL12" s="67">
        <f>+DL10+DL11</f>
        <v>647.26435095528939</v>
      </c>
      <c r="DM12" s="67">
        <f>+DM10+DM11</f>
        <v>642.79560939416604</v>
      </c>
      <c r="DN12" s="67">
        <f>+DN10+DN11</f>
        <v>839.00718358858717</v>
      </c>
      <c r="DO12" s="93">
        <f>+DO10+DO11</f>
        <v>2695.6671439380416</v>
      </c>
      <c r="DP12" s="67"/>
      <c r="DQ12" s="82">
        <f>+DQ10+DQ11</f>
        <v>644.63929238681601</v>
      </c>
      <c r="DR12" s="67">
        <f>+DR10+DR11</f>
        <v>731.35608977110451</v>
      </c>
      <c r="DS12" s="67">
        <f>+DS10+DS11</f>
        <v>715.57976040132803</v>
      </c>
      <c r="DT12" s="67">
        <f>+DT10+DT11</f>
        <v>917.79164119385155</v>
      </c>
      <c r="DU12" s="93">
        <f>+DU10+DU11</f>
        <v>3009.3667837531002</v>
      </c>
      <c r="DV12" s="67"/>
      <c r="DW12" s="82">
        <f>+DW10+DW11</f>
        <v>723.14271767990522</v>
      </c>
      <c r="DX12" s="67">
        <f>+DX10+DX11</f>
        <v>812.98647620690917</v>
      </c>
      <c r="DY12" s="67">
        <f>+DY10+DY11</f>
        <v>796.19008222696857</v>
      </c>
      <c r="DZ12" s="67">
        <f>+DZ10+DZ11</f>
        <v>1153.1524415894901</v>
      </c>
      <c r="EA12" s="93">
        <f>+EA10+EA11</f>
        <v>3485.471717703273</v>
      </c>
      <c r="EB12" s="67"/>
      <c r="EC12" s="82">
        <f t="shared" ref="EC12:EG12" si="1">+EC10+EC11</f>
        <v>966.64893880287173</v>
      </c>
      <c r="ED12" s="67">
        <f t="shared" si="1"/>
        <v>1077.3817515046885</v>
      </c>
      <c r="EE12" s="67">
        <f t="shared" si="1"/>
        <v>1079.6925375314727</v>
      </c>
      <c r="EF12" s="67">
        <f t="shared" si="1"/>
        <v>1304.9789051722405</v>
      </c>
      <c r="EG12" s="93">
        <f t="shared" si="1"/>
        <v>4428.702133011273</v>
      </c>
      <c r="EH12" s="69"/>
      <c r="EI12" s="177"/>
      <c r="EJ12" s="36"/>
      <c r="EK12" s="27"/>
      <c r="EL12" s="27"/>
    </row>
    <row r="13" spans="1:142" ht="12.75" customHeight="1" x14ac:dyDescent="0.2">
      <c r="A13" s="51"/>
      <c r="B13" s="19"/>
      <c r="C13" s="19"/>
      <c r="D13" s="19"/>
      <c r="E13" s="198"/>
      <c r="F13" s="67"/>
      <c r="G13" s="198"/>
      <c r="H13" s="67"/>
      <c r="I13" s="198"/>
      <c r="J13" s="67"/>
      <c r="K13" s="198"/>
      <c r="L13" s="67"/>
      <c r="M13" s="195"/>
      <c r="N13" s="179"/>
      <c r="O13" s="179"/>
      <c r="P13" s="179"/>
      <c r="Q13" s="91"/>
      <c r="R13" s="67"/>
      <c r="S13" s="195"/>
      <c r="T13" s="179"/>
      <c r="U13" s="179"/>
      <c r="V13" s="179"/>
      <c r="W13" s="91"/>
      <c r="X13" s="67"/>
      <c r="Y13" s="195"/>
      <c r="Z13" s="179"/>
      <c r="AA13" s="179"/>
      <c r="AB13" s="179"/>
      <c r="AC13" s="91"/>
      <c r="AD13" s="67"/>
      <c r="AE13" s="195"/>
      <c r="AF13" s="179"/>
      <c r="AG13" s="179"/>
      <c r="AH13" s="179"/>
      <c r="AI13" s="91"/>
      <c r="AJ13" s="67"/>
      <c r="AK13" s="195"/>
      <c r="AL13" s="179"/>
      <c r="AM13" s="179"/>
      <c r="AN13" s="179"/>
      <c r="AO13" s="91"/>
      <c r="AP13" s="67"/>
      <c r="AQ13" s="195"/>
      <c r="AR13" s="179"/>
      <c r="AS13" s="179"/>
      <c r="AT13" s="179"/>
      <c r="AU13" s="91"/>
      <c r="AV13" s="67"/>
      <c r="AW13" s="195"/>
      <c r="AX13" s="179"/>
      <c r="AY13" s="179"/>
      <c r="AZ13" s="179"/>
      <c r="BA13" s="91"/>
      <c r="BB13" s="67"/>
      <c r="BC13" s="195"/>
      <c r="BD13" s="179"/>
      <c r="BE13" s="179"/>
      <c r="BF13" s="179"/>
      <c r="BG13" s="91"/>
      <c r="BH13" s="67"/>
      <c r="BI13" s="195"/>
      <c r="BJ13" s="179"/>
      <c r="BK13" s="179"/>
      <c r="BL13" s="179"/>
      <c r="BM13" s="91"/>
      <c r="BN13" s="67"/>
      <c r="BO13" s="195"/>
      <c r="BP13" s="179"/>
      <c r="BQ13" s="179"/>
      <c r="BR13" s="179"/>
      <c r="BS13" s="91"/>
      <c r="BT13" s="67"/>
      <c r="BU13" s="195"/>
      <c r="BV13" s="179"/>
      <c r="BW13" s="179"/>
      <c r="BX13" s="179"/>
      <c r="BY13" s="91"/>
      <c r="BZ13" s="67"/>
      <c r="CA13" s="195"/>
      <c r="CB13" s="179"/>
      <c r="CC13" s="179"/>
      <c r="CD13" s="179"/>
      <c r="CE13" s="91"/>
      <c r="CF13" s="67"/>
      <c r="CG13" s="195"/>
      <c r="CH13" s="179"/>
      <c r="CI13" s="179"/>
      <c r="CJ13" s="179"/>
      <c r="CK13" s="91"/>
      <c r="CL13" s="67"/>
      <c r="CM13" s="195"/>
      <c r="CN13" s="179"/>
      <c r="CO13" s="179"/>
      <c r="CP13" s="179"/>
      <c r="CQ13" s="91"/>
      <c r="CR13" s="67"/>
      <c r="CS13" s="195"/>
      <c r="CT13" s="179"/>
      <c r="CU13" s="179"/>
      <c r="CV13" s="179"/>
      <c r="CW13" s="91"/>
      <c r="CX13" s="67"/>
      <c r="CY13" s="195"/>
      <c r="CZ13" s="179"/>
      <c r="DA13" s="179"/>
      <c r="DB13" s="179"/>
      <c r="DC13" s="91"/>
      <c r="DD13" s="67"/>
      <c r="DE13" s="195"/>
      <c r="DF13" s="179"/>
      <c r="DG13" s="179"/>
      <c r="DH13" s="179"/>
      <c r="DI13" s="91"/>
      <c r="DJ13" s="67"/>
      <c r="DK13" s="195"/>
      <c r="DL13" s="179"/>
      <c r="DM13" s="179"/>
      <c r="DN13" s="179"/>
      <c r="DO13" s="91"/>
      <c r="DP13" s="67"/>
      <c r="DQ13" s="195"/>
      <c r="DR13" s="179"/>
      <c r="DS13" s="179"/>
      <c r="DT13" s="179"/>
      <c r="DU13" s="91"/>
      <c r="DV13" s="67"/>
      <c r="DW13" s="195"/>
      <c r="DX13" s="179"/>
      <c r="DY13" s="179"/>
      <c r="DZ13" s="179"/>
      <c r="EA13" s="91"/>
      <c r="EB13" s="67"/>
      <c r="EC13" s="195"/>
      <c r="ED13" s="179"/>
      <c r="EE13" s="179"/>
      <c r="EF13" s="179"/>
      <c r="EG13" s="91"/>
      <c r="EH13" s="69"/>
      <c r="EI13" s="177"/>
      <c r="EJ13" s="36"/>
      <c r="EK13" s="27"/>
      <c r="EL13" s="27"/>
    </row>
    <row r="14" spans="1:142" ht="12.75" customHeight="1" x14ac:dyDescent="0.2">
      <c r="A14" s="51" t="s">
        <v>114</v>
      </c>
      <c r="B14" s="19"/>
      <c r="C14" s="19"/>
      <c r="D14" s="19"/>
      <c r="E14" s="92">
        <v>91.701999999999998</v>
      </c>
      <c r="F14" s="67"/>
      <c r="G14" s="92">
        <v>114.527</v>
      </c>
      <c r="H14" s="67"/>
      <c r="I14" s="92">
        <f>89.151+5</f>
        <v>94.150999999999996</v>
      </c>
      <c r="J14" s="67"/>
      <c r="K14" s="92">
        <v>149.721</v>
      </c>
      <c r="L14" s="67"/>
      <c r="M14" s="84">
        <v>43.631999999999998</v>
      </c>
      <c r="N14" s="71">
        <f>86.117-M14</f>
        <v>42.485000000000007</v>
      </c>
      <c r="O14" s="71">
        <f>129.954-N14-M14</f>
        <v>43.836999999999996</v>
      </c>
      <c r="P14" s="71">
        <f>178.39-M14-N14-O14</f>
        <v>48.435999999999972</v>
      </c>
      <c r="Q14" s="93">
        <f>SUM(M14:P14)</f>
        <v>178.39</v>
      </c>
      <c r="R14" s="67"/>
      <c r="S14" s="84">
        <v>32.777000000000001</v>
      </c>
      <c r="T14" s="71">
        <f>65.684-S14</f>
        <v>32.906999999999996</v>
      </c>
      <c r="U14" s="71">
        <f>98.209-T14-S14</f>
        <v>32.525000000000006</v>
      </c>
      <c r="V14" s="71">
        <f>129.565-S14-T14-U14</f>
        <v>31.355999999999995</v>
      </c>
      <c r="W14" s="93">
        <f>SUM(S14:V14)</f>
        <v>129.565</v>
      </c>
      <c r="X14" s="67"/>
      <c r="Y14" s="84">
        <v>35.463000000000001</v>
      </c>
      <c r="Z14" s="71">
        <f>69.618-Y14</f>
        <v>34.154999999999994</v>
      </c>
      <c r="AA14" s="71">
        <f>102.281-Z14-Y14</f>
        <v>32.663000000000004</v>
      </c>
      <c r="AB14" s="71">
        <f>156.128-Y14-Z14-AA14</f>
        <v>53.846999999999987</v>
      </c>
      <c r="AC14" s="93">
        <f>SUM(Y14:AB14)</f>
        <v>156.12799999999999</v>
      </c>
      <c r="AD14" s="67"/>
      <c r="AE14" s="84">
        <v>37.908999999999999</v>
      </c>
      <c r="AF14" s="71">
        <f>76.159-37.909</f>
        <v>38.250000000000007</v>
      </c>
      <c r="AG14" s="71">
        <f>117.238-76.159</f>
        <v>41.078999999999994</v>
      </c>
      <c r="AH14" s="71">
        <f>156.128-SUM(AE14:AG14)</f>
        <v>38.889999999999986</v>
      </c>
      <c r="AI14" s="93">
        <f>SUM(AE14:AH14)</f>
        <v>156.12799999999999</v>
      </c>
      <c r="AJ14" s="67"/>
      <c r="AK14" s="84">
        <f>BS!AK153+BS!AK162</f>
        <v>45.734999999999999</v>
      </c>
      <c r="AL14" s="71">
        <f>BS!AL153+BS!AL162</f>
        <v>44.393000000000001</v>
      </c>
      <c r="AM14" s="71">
        <f>BS!AM153+BS!AM162</f>
        <v>43.499000000000009</v>
      </c>
      <c r="AN14" s="71">
        <f>176.972-AK14-AL14-AM14</f>
        <v>43.345000000000013</v>
      </c>
      <c r="AO14" s="93">
        <f>SUM(AK14:AN14)</f>
        <v>176.97200000000004</v>
      </c>
      <c r="AP14" s="67"/>
      <c r="AQ14" s="84">
        <f>BS!AQ153+BS!AQ162</f>
        <v>45.991</v>
      </c>
      <c r="AR14" s="71">
        <f>BS!AR153+BS!AR162</f>
        <v>51.524000000000001</v>
      </c>
      <c r="AS14" s="71">
        <f>BS!AS153+BS!AS162</f>
        <v>55.054000000000002</v>
      </c>
      <c r="AT14" s="71">
        <f>BS!AT153+BS!AT162</f>
        <v>63.128000000000014</v>
      </c>
      <c r="AU14" s="93">
        <f>SUM(AQ14:AT14)</f>
        <v>215.69700000000003</v>
      </c>
      <c r="AV14" s="67"/>
      <c r="AW14" s="84">
        <f>BS!AW153+BS!AW162</f>
        <v>63.048000000000002</v>
      </c>
      <c r="AX14" s="71">
        <f>127.385-AW14</f>
        <v>64.337000000000003</v>
      </c>
      <c r="AY14" s="71">
        <f>190.411-AX14-AW14</f>
        <v>63.025999999999996</v>
      </c>
      <c r="AZ14" s="71">
        <v>78.081000000000031</v>
      </c>
      <c r="BA14" s="93">
        <f>SUM(AW14:AZ14)</f>
        <v>268.49200000000002</v>
      </c>
      <c r="BB14" s="67"/>
      <c r="BC14" s="84">
        <f>BS!BC153+BS!BC162</f>
        <v>87.093999999999994</v>
      </c>
      <c r="BD14" s="71">
        <f>BS!BD153+BS!BD162</f>
        <v>83.436000000000007</v>
      </c>
      <c r="BE14" s="71">
        <f>BS!BE153+BS!BE162</f>
        <v>84.525999999999982</v>
      </c>
      <c r="BF14" s="71">
        <f>BS!BF153+BS!BF162</f>
        <v>84.231000000000051</v>
      </c>
      <c r="BG14" s="93">
        <f>SUM(BC14:BF14)</f>
        <v>339.28700000000003</v>
      </c>
      <c r="BH14" s="67"/>
      <c r="BI14" s="84">
        <f>BS!BI153+BS!BI162</f>
        <v>80.795999999999992</v>
      </c>
      <c r="BJ14" s="71">
        <f>BS!BJ153+BS!BJ162</f>
        <v>85.949999999999989</v>
      </c>
      <c r="BK14" s="71">
        <f>BS!BK153+BS!BK162</f>
        <v>85.65100000000001</v>
      </c>
      <c r="BL14" s="71">
        <f>BS!BL153+BS!BL162</f>
        <v>89.19</v>
      </c>
      <c r="BM14" s="93">
        <f>SUM(BI14:BL14)</f>
        <v>341.58699999999999</v>
      </c>
      <c r="BN14" s="67"/>
      <c r="BO14" s="84">
        <v>47.026000000000003</v>
      </c>
      <c r="BP14" s="71">
        <f>96.364-BO14</f>
        <v>49.338000000000001</v>
      </c>
      <c r="BQ14" s="71">
        <f>142.19-SUM(BO14:BP14)</f>
        <v>45.825999999999993</v>
      </c>
      <c r="BR14" s="71">
        <f>189.67-SUM(BO14:BQ14)</f>
        <v>47.47999999999999</v>
      </c>
      <c r="BS14" s="93">
        <f t="shared" ref="BS14:BS25" si="2">SUM(BO14:BR14)</f>
        <v>189.67</v>
      </c>
      <c r="BT14" s="67"/>
      <c r="BU14" s="84">
        <v>48.56</v>
      </c>
      <c r="BV14" s="71">
        <f>104.971-BU14</f>
        <v>56.411000000000001</v>
      </c>
      <c r="BW14" s="71">
        <f>229.567-SUM(BU14:BV14)</f>
        <v>124.596</v>
      </c>
      <c r="BX14" s="71">
        <f>350.7-SUM(BU14:BW14)</f>
        <v>121.13299999999998</v>
      </c>
      <c r="BY14" s="93">
        <f t="shared" ref="BY14:BY25" si="3">SUM(BU14:BX14)</f>
        <v>350.7</v>
      </c>
      <c r="BZ14" s="67"/>
      <c r="CA14" s="84">
        <v>121</v>
      </c>
      <c r="CB14" s="71">
        <f>244.8-CA14</f>
        <v>123.80000000000001</v>
      </c>
      <c r="CC14" s="71">
        <f>368.5-SUM(CA14:CB14)</f>
        <v>123.69999999999999</v>
      </c>
      <c r="CD14" s="71">
        <f>497.8-SUM(CA14:CC14)</f>
        <v>129.30000000000001</v>
      </c>
      <c r="CE14" s="93">
        <f t="shared" ref="CE14:CE25" si="4">SUM(CA14:CD14)</f>
        <v>497.8</v>
      </c>
      <c r="CF14" s="67"/>
      <c r="CG14" s="84">
        <v>127.5</v>
      </c>
      <c r="CH14" s="71">
        <f>257-CG14</f>
        <v>129.5</v>
      </c>
      <c r="CI14" s="71">
        <f>390.4-SUM(CG14:CH14)</f>
        <v>133.39999999999998</v>
      </c>
      <c r="CJ14" s="71">
        <f>529.9-SUM(CG14:CI14)</f>
        <v>139.5</v>
      </c>
      <c r="CK14" s="93">
        <f t="shared" ref="CK14:CK25" si="5">SUM(CG14:CJ14)</f>
        <v>529.9</v>
      </c>
      <c r="CL14" s="67"/>
      <c r="CM14" s="84">
        <v>132.19999999999999</v>
      </c>
      <c r="CN14" s="71">
        <f>272.6-CM14</f>
        <v>140.40000000000003</v>
      </c>
      <c r="CO14" s="71">
        <f>404.6-SUM(CM14:CN14)</f>
        <v>132</v>
      </c>
      <c r="CP14" s="71">
        <f>537.9-SUM(CM14:CO14)</f>
        <v>133.29999999999995</v>
      </c>
      <c r="CQ14" s="93">
        <f t="shared" ref="CQ14:CQ25" si="6">SUM(CM14:CP14)</f>
        <v>537.9</v>
      </c>
      <c r="CR14" s="67"/>
      <c r="CS14" s="84">
        <v>135</v>
      </c>
      <c r="CT14" s="71">
        <f>273-CS14</f>
        <v>138</v>
      </c>
      <c r="CU14" s="71">
        <f>349.4-SUM(CS14:CT14)</f>
        <v>76.399999999999977</v>
      </c>
      <c r="CV14" s="71">
        <f>484-SUM(CS14:CU14)</f>
        <v>134.60000000000002</v>
      </c>
      <c r="CW14" s="93">
        <f t="shared" ref="CW14:CW25" si="7">SUM(CS14:CV14)</f>
        <v>484</v>
      </c>
      <c r="CX14" s="67"/>
      <c r="CY14" s="84">
        <v>150.5</v>
      </c>
      <c r="CZ14" s="71">
        <f>306.5-CY14</f>
        <v>156</v>
      </c>
      <c r="DA14" s="71">
        <f>395.9-SUM(CY14:CZ14)</f>
        <v>89.399999999999977</v>
      </c>
      <c r="DB14" s="71">
        <f>545-SUM(CY14:DA14)</f>
        <v>149.10000000000002</v>
      </c>
      <c r="DC14" s="93">
        <f t="shared" ref="DC14:DC25" si="8">SUM(CY14:DB14)</f>
        <v>545</v>
      </c>
      <c r="DD14" s="67"/>
      <c r="DE14" s="84">
        <v>139.5</v>
      </c>
      <c r="DF14" s="71">
        <f>282.4-DE14</f>
        <v>142.89999999999998</v>
      </c>
      <c r="DG14" s="71">
        <f>427.3-SUM(DE14:DF14)</f>
        <v>144.90000000000003</v>
      </c>
      <c r="DH14" s="71">
        <f>577.8-SUM(DE14:DG14)</f>
        <v>150.49999999999994</v>
      </c>
      <c r="DI14" s="93">
        <f t="shared" ref="DI14:DI25" si="9">SUM(DE14:DH14)</f>
        <v>577.79999999999995</v>
      </c>
      <c r="DJ14" s="67"/>
      <c r="DK14" s="354">
        <f>BS!DK153</f>
        <v>149.77903599999999</v>
      </c>
      <c r="DL14" s="355">
        <f>BS!DL153</f>
        <v>150.23829563000001</v>
      </c>
      <c r="DM14" s="355">
        <f>BS!DM153</f>
        <v>150.52462955127501</v>
      </c>
      <c r="DN14" s="355">
        <f>BS!DN153</f>
        <v>151.87593811207665</v>
      </c>
      <c r="DO14" s="93">
        <f t="shared" ref="DO14:DO25" si="10">SUM(DK14:DN14)</f>
        <v>602.41789929335164</v>
      </c>
      <c r="DP14" s="67"/>
      <c r="DQ14" s="354">
        <f>BS!DQ153</f>
        <v>152.18423597063224</v>
      </c>
      <c r="DR14" s="355">
        <f>BS!DR153</f>
        <v>152.94358105512089</v>
      </c>
      <c r="DS14" s="355">
        <f>BS!DS153</f>
        <v>153.42500541165143</v>
      </c>
      <c r="DT14" s="355">
        <f>BS!DT153</f>
        <v>155.00069808888148</v>
      </c>
      <c r="DU14" s="93">
        <f t="shared" ref="DU14:DU25" si="11">SUM(DQ14:DT14)</f>
        <v>613.55352052628598</v>
      </c>
      <c r="DV14" s="67"/>
      <c r="DW14" s="354">
        <f>BS!DW153</f>
        <v>155.51617684147081</v>
      </c>
      <c r="DX14" s="355">
        <f>BS!DX153</f>
        <v>156.49086814321024</v>
      </c>
      <c r="DY14" s="355">
        <f>BS!DY153</f>
        <v>157.16532775653164</v>
      </c>
      <c r="DZ14" s="355">
        <f>BS!DZ153</f>
        <v>158.97033217264911</v>
      </c>
      <c r="EA14" s="93">
        <f t="shared" ref="EA14:EA25" si="12">SUM(DW14:DZ14)</f>
        <v>628.14270491386185</v>
      </c>
      <c r="EB14" s="67"/>
      <c r="EC14" s="354">
        <f>BS!EC153</f>
        <v>159.66135112188928</v>
      </c>
      <c r="ED14" s="355">
        <f>BS!ED153</f>
        <v>160.82245458087962</v>
      </c>
      <c r="EE14" s="355">
        <f>BS!EE153</f>
        <v>161.66224478235614</v>
      </c>
      <c r="EF14" s="355">
        <f>BS!EF153</f>
        <v>163.67249924652634</v>
      </c>
      <c r="EG14" s="93">
        <f t="shared" ref="EG14:EG25" si="13">SUM(EC14:EF14)</f>
        <v>645.81854973165139</v>
      </c>
      <c r="EH14" s="67"/>
      <c r="EI14" s="177"/>
      <c r="EJ14" s="19"/>
      <c r="EK14" s="19"/>
      <c r="EL14" s="19"/>
    </row>
    <row r="15" spans="1:142" ht="12.75" customHeight="1" x14ac:dyDescent="0.2">
      <c r="A15" s="51" t="s">
        <v>129</v>
      </c>
      <c r="B15" s="19"/>
      <c r="C15" s="19"/>
      <c r="D15" s="19"/>
      <c r="E15" s="92"/>
      <c r="F15" s="67"/>
      <c r="G15" s="92"/>
      <c r="H15" s="67"/>
      <c r="I15" s="92"/>
      <c r="J15" s="67"/>
      <c r="K15" s="92"/>
      <c r="L15" s="67"/>
      <c r="M15" s="84"/>
      <c r="N15" s="71"/>
      <c r="O15" s="71"/>
      <c r="P15" s="71"/>
      <c r="Q15" s="93"/>
      <c r="R15" s="67"/>
      <c r="S15" s="84"/>
      <c r="T15" s="71"/>
      <c r="U15" s="71"/>
      <c r="V15" s="71"/>
      <c r="W15" s="93"/>
      <c r="X15" s="67"/>
      <c r="Y15" s="84"/>
      <c r="Z15" s="71"/>
      <c r="AA15" s="71"/>
      <c r="AB15" s="71"/>
      <c r="AC15" s="93"/>
      <c r="AD15" s="67"/>
      <c r="AE15" s="84"/>
      <c r="AF15" s="71"/>
      <c r="AG15" s="71"/>
      <c r="AH15" s="71"/>
      <c r="AI15" s="93"/>
      <c r="AJ15" s="67"/>
      <c r="AK15" s="84"/>
      <c r="AL15" s="71"/>
      <c r="AM15" s="71"/>
      <c r="AN15" s="71"/>
      <c r="AO15" s="93"/>
      <c r="AP15" s="67"/>
      <c r="AQ15" s="84"/>
      <c r="AR15" s="71"/>
      <c r="AS15" s="71"/>
      <c r="AT15" s="71"/>
      <c r="AU15" s="93"/>
      <c r="AV15" s="67"/>
      <c r="AW15" s="84"/>
      <c r="AX15" s="71"/>
      <c r="AY15" s="71"/>
      <c r="AZ15" s="71"/>
      <c r="BA15" s="93"/>
      <c r="BB15" s="67"/>
      <c r="BC15" s="84"/>
      <c r="BD15" s="71"/>
      <c r="BE15" s="71"/>
      <c r="BF15" s="71"/>
      <c r="BG15" s="93"/>
      <c r="BH15" s="67"/>
      <c r="BI15" s="84"/>
      <c r="BJ15" s="71"/>
      <c r="BK15" s="71"/>
      <c r="BL15" s="71"/>
      <c r="BM15" s="93"/>
      <c r="BN15" s="67"/>
      <c r="BO15" s="84">
        <v>45.966999999999999</v>
      </c>
      <c r="BP15" s="71">
        <f>94.362-BO15</f>
        <v>48.394999999999996</v>
      </c>
      <c r="BQ15" s="71">
        <f>144.411-SUM(BO15:BP15)</f>
        <v>50.049000000000007</v>
      </c>
      <c r="BR15" s="71">
        <f>198.592-SUM(BO15:BQ15)</f>
        <v>54.181000000000012</v>
      </c>
      <c r="BS15" s="93">
        <f t="shared" si="2"/>
        <v>198.59200000000001</v>
      </c>
      <c r="BT15" s="67"/>
      <c r="BU15" s="84">
        <v>55.563000000000002</v>
      </c>
      <c r="BV15" s="71">
        <f>118.639-BU15</f>
        <v>63.075999999999993</v>
      </c>
      <c r="BW15" s="71">
        <f>201.735-SUM(BU15:BV15)</f>
        <v>83.096000000000018</v>
      </c>
      <c r="BX15" s="71">
        <f>284.3-SUM(BU15:BW15)</f>
        <v>82.564999999999998</v>
      </c>
      <c r="BY15" s="93">
        <f t="shared" si="3"/>
        <v>284.3</v>
      </c>
      <c r="BZ15" s="67"/>
      <c r="CA15" s="84">
        <v>81.3</v>
      </c>
      <c r="CB15" s="71">
        <f>165-CA15</f>
        <v>83.7</v>
      </c>
      <c r="CC15" s="71">
        <f>251.9-SUM(CA15:CB15)</f>
        <v>86.9</v>
      </c>
      <c r="CD15" s="71">
        <f>342-SUM(CA15:CC15)</f>
        <v>90.1</v>
      </c>
      <c r="CE15" s="93">
        <f t="shared" si="4"/>
        <v>342</v>
      </c>
      <c r="CF15" s="67"/>
      <c r="CG15" s="84">
        <v>89.3</v>
      </c>
      <c r="CH15" s="71">
        <f>179.4-CG15</f>
        <v>90.100000000000009</v>
      </c>
      <c r="CI15" s="71">
        <f>271.3-SUM(CG15:CH15)</f>
        <v>91.9</v>
      </c>
      <c r="CJ15" s="71">
        <f>365.1-SUM(CG15:CI15)</f>
        <v>93.800000000000011</v>
      </c>
      <c r="CK15" s="93">
        <f t="shared" si="5"/>
        <v>365.1</v>
      </c>
      <c r="CL15" s="67"/>
      <c r="CM15" s="84">
        <v>92.5</v>
      </c>
      <c r="CN15" s="71">
        <f>187.5-CM15</f>
        <v>95</v>
      </c>
      <c r="CO15" s="71">
        <f>259.9-SUM(CM15:CN15)</f>
        <v>72.399999999999977</v>
      </c>
      <c r="CP15" s="71">
        <f>351.6-SUM(CM15:CO15)</f>
        <v>91.700000000000045</v>
      </c>
      <c r="CQ15" s="93">
        <f t="shared" si="6"/>
        <v>351.6</v>
      </c>
      <c r="CR15" s="67"/>
      <c r="CS15" s="84">
        <v>100.5</v>
      </c>
      <c r="CT15" s="71">
        <f>199.5-CS15</f>
        <v>99</v>
      </c>
      <c r="CU15" s="71">
        <f>259.4-SUM(CS15:CT15)</f>
        <v>59.899999999999977</v>
      </c>
      <c r="CV15" s="71">
        <f>396.8-SUM(CS15:CU15)</f>
        <v>137.40000000000003</v>
      </c>
      <c r="CW15" s="93">
        <f t="shared" si="7"/>
        <v>396.8</v>
      </c>
      <c r="CX15" s="67"/>
      <c r="CY15" s="84">
        <v>159.6</v>
      </c>
      <c r="CZ15" s="71">
        <f>324.4-CY15</f>
        <v>164.79999999999998</v>
      </c>
      <c r="DA15" s="71">
        <f>426.6-SUM(CY15:CZ15)</f>
        <v>102.20000000000005</v>
      </c>
      <c r="DB15" s="71">
        <f>583.1-SUM(CY15:DA15)</f>
        <v>156.5</v>
      </c>
      <c r="DC15" s="93">
        <f t="shared" si="8"/>
        <v>583.1</v>
      </c>
      <c r="DD15" s="67"/>
      <c r="DE15" s="84">
        <v>166.1</v>
      </c>
      <c r="DF15" s="71">
        <f>326.4-DE15</f>
        <v>160.29999999999998</v>
      </c>
      <c r="DG15" s="71">
        <f>492.9-SUM(DE15:DF15)</f>
        <v>166.5</v>
      </c>
      <c r="DH15" s="71">
        <f>660.5-SUM(DE15:DG15)</f>
        <v>167.60000000000002</v>
      </c>
      <c r="DI15" s="93">
        <f t="shared" si="9"/>
        <v>660.5</v>
      </c>
      <c r="DJ15" s="67"/>
      <c r="DK15" s="354">
        <f>+BS!DK162</f>
        <v>173.52555000000001</v>
      </c>
      <c r="DL15" s="355">
        <f>+BS!DL162</f>
        <v>174.54106884375003</v>
      </c>
      <c r="DM15" s="355">
        <f>+BS!DM162</f>
        <v>171.59568830701176</v>
      </c>
      <c r="DN15" s="355">
        <f>+BS!DN162</f>
        <v>168.70001106683091</v>
      </c>
      <c r="DO15" s="93">
        <f t="shared" si="10"/>
        <v>688.3623182175927</v>
      </c>
      <c r="DP15" s="67"/>
      <c r="DQ15" s="354">
        <f>+BS!DQ162</f>
        <v>174.45299385163776</v>
      </c>
      <c r="DR15" s="355">
        <f>+BS!DR162</f>
        <v>171.35645321077121</v>
      </c>
      <c r="DS15" s="355">
        <f>+BS!DS162</f>
        <v>168.31487616628002</v>
      </c>
      <c r="DT15" s="355">
        <f>+BS!DT162</f>
        <v>165.32728711432853</v>
      </c>
      <c r="DU15" s="93">
        <f t="shared" si="11"/>
        <v>679.45161034301748</v>
      </c>
      <c r="DV15" s="67"/>
      <c r="DW15" s="354">
        <f>+BS!DW162</f>
        <v>173.82883535734845</v>
      </c>
      <c r="DX15" s="355">
        <f>+BS!DX162</f>
        <v>170.52608748555883</v>
      </c>
      <c r="DY15" s="355">
        <f>+BS!DY162</f>
        <v>167.28609182333321</v>
      </c>
      <c r="DZ15" s="355">
        <f>+BS!DZ162</f>
        <v>164.10765607868987</v>
      </c>
      <c r="EA15" s="93">
        <f t="shared" si="12"/>
        <v>675.74867074493034</v>
      </c>
      <c r="EB15" s="67"/>
      <c r="EC15" s="354">
        <f>+BS!EC162</f>
        <v>171.58103236406285</v>
      </c>
      <c r="ED15" s="355">
        <f>+BS!ED162</f>
        <v>168.10651645869058</v>
      </c>
      <c r="EE15" s="355">
        <f>+BS!EE162</f>
        <v>164.70235950040208</v>
      </c>
      <c r="EF15" s="355">
        <f>+BS!EF162</f>
        <v>161.36713672051894</v>
      </c>
      <c r="EG15" s="93">
        <f t="shared" si="13"/>
        <v>665.75704504367445</v>
      </c>
      <c r="EH15" s="67"/>
      <c r="EI15" s="177"/>
      <c r="EJ15" s="19"/>
      <c r="EK15" s="19"/>
      <c r="EL15" s="19"/>
    </row>
    <row r="16" spans="1:142" ht="12.75" customHeight="1" x14ac:dyDescent="0.2">
      <c r="A16" s="51" t="s">
        <v>324</v>
      </c>
      <c r="B16" s="19"/>
      <c r="C16" s="19"/>
      <c r="D16" s="19"/>
      <c r="E16" s="92"/>
      <c r="F16" s="67"/>
      <c r="G16" s="92"/>
      <c r="H16" s="67"/>
      <c r="I16" s="92"/>
      <c r="J16" s="67"/>
      <c r="K16" s="92"/>
      <c r="L16" s="67"/>
      <c r="M16" s="84"/>
      <c r="N16" s="71"/>
      <c r="O16" s="71"/>
      <c r="P16" s="71"/>
      <c r="Q16" s="93"/>
      <c r="R16" s="67"/>
      <c r="S16" s="84"/>
      <c r="T16" s="71"/>
      <c r="U16" s="71"/>
      <c r="V16" s="71"/>
      <c r="W16" s="93"/>
      <c r="X16" s="67"/>
      <c r="Y16" s="84"/>
      <c r="Z16" s="71"/>
      <c r="AA16" s="71"/>
      <c r="AB16" s="71"/>
      <c r="AC16" s="93"/>
      <c r="AD16" s="67"/>
      <c r="AE16" s="84"/>
      <c r="AF16" s="71"/>
      <c r="AG16" s="71"/>
      <c r="AH16" s="71"/>
      <c r="AI16" s="93"/>
      <c r="AJ16" s="67"/>
      <c r="AK16" s="84"/>
      <c r="AL16" s="71"/>
      <c r="AM16" s="71"/>
      <c r="AN16" s="71"/>
      <c r="AO16" s="93"/>
      <c r="AP16" s="67"/>
      <c r="AQ16" s="84"/>
      <c r="AR16" s="71"/>
      <c r="AS16" s="71"/>
      <c r="AT16" s="71"/>
      <c r="AU16" s="93"/>
      <c r="AV16" s="67"/>
      <c r="AW16" s="84"/>
      <c r="AX16" s="71"/>
      <c r="AY16" s="71"/>
      <c r="AZ16" s="71"/>
      <c r="BA16" s="93"/>
      <c r="BB16" s="67"/>
      <c r="BC16" s="84"/>
      <c r="BD16" s="71"/>
      <c r="BE16" s="71"/>
      <c r="BF16" s="71"/>
      <c r="BG16" s="93"/>
      <c r="BH16" s="67"/>
      <c r="BI16" s="84"/>
      <c r="BJ16" s="71"/>
      <c r="BK16" s="71"/>
      <c r="BL16" s="71"/>
      <c r="BM16" s="93"/>
      <c r="BN16" s="67"/>
      <c r="BO16" s="84">
        <v>16.481999999999999</v>
      </c>
      <c r="BP16" s="71">
        <f>40.882-BO16</f>
        <v>24.4</v>
      </c>
      <c r="BQ16" s="71">
        <f>65.954-SUM(BO16:BP16)</f>
        <v>25.071999999999996</v>
      </c>
      <c r="BR16" s="71">
        <f>88.122-SUM(BO16:BQ16)</f>
        <v>22.168000000000006</v>
      </c>
      <c r="BS16" s="93">
        <f t="shared" si="2"/>
        <v>88.122</v>
      </c>
      <c r="BT16" s="67"/>
      <c r="BU16" s="84">
        <v>22.776</v>
      </c>
      <c r="BV16" s="71">
        <f>45.966-BU16</f>
        <v>23.19</v>
      </c>
      <c r="BW16" s="71">
        <f>71.616-SUM(BU16:BV16)</f>
        <v>25.65</v>
      </c>
      <c r="BX16" s="71">
        <f>95.6-SUM(BU16:BW16)</f>
        <v>23.983999999999995</v>
      </c>
      <c r="BY16" s="93">
        <f t="shared" si="3"/>
        <v>95.6</v>
      </c>
      <c r="BZ16" s="67"/>
      <c r="CA16" s="84">
        <v>23.7</v>
      </c>
      <c r="CB16" s="71">
        <f>50.4-CA16</f>
        <v>26.7</v>
      </c>
      <c r="CC16" s="71">
        <f>79.4-SUM(CA16:CB16)</f>
        <v>29.000000000000007</v>
      </c>
      <c r="CD16" s="71">
        <f>109.9-SUM(CA16:CC16)</f>
        <v>30.5</v>
      </c>
      <c r="CE16" s="93">
        <f t="shared" si="4"/>
        <v>109.9</v>
      </c>
      <c r="CF16" s="67"/>
      <c r="CG16" s="84">
        <v>27.8</v>
      </c>
      <c r="CH16" s="71">
        <f>56.1-CG16</f>
        <v>28.3</v>
      </c>
      <c r="CI16" s="71">
        <f>85.7-SUM(CG16:CH16)</f>
        <v>29.6</v>
      </c>
      <c r="CJ16" s="71">
        <f>117.7-SUM(CG16:CI16)</f>
        <v>32</v>
      </c>
      <c r="CK16" s="93">
        <f t="shared" si="5"/>
        <v>117.7</v>
      </c>
      <c r="CL16" s="67"/>
      <c r="CM16" s="84">
        <v>29</v>
      </c>
      <c r="CN16" s="71">
        <f>55-CM16</f>
        <v>26</v>
      </c>
      <c r="CO16" s="71">
        <f>83-SUM(CM16:CN16)</f>
        <v>28</v>
      </c>
      <c r="CP16" s="71">
        <f>115.5-SUM(CM16:CO16)</f>
        <v>32.5</v>
      </c>
      <c r="CQ16" s="93">
        <f t="shared" si="6"/>
        <v>115.5</v>
      </c>
      <c r="CR16" s="67"/>
      <c r="CS16" s="84">
        <v>30.3</v>
      </c>
      <c r="CT16" s="71">
        <f>58.5-CS16</f>
        <v>28.2</v>
      </c>
      <c r="CU16" s="71">
        <f>76.9-SUM(CS16:CT16)</f>
        <v>18.400000000000006</v>
      </c>
      <c r="CV16" s="71">
        <f>103.8-SUM(CS16:CU16)</f>
        <v>26.899999999999991</v>
      </c>
      <c r="CW16" s="93">
        <f t="shared" si="7"/>
        <v>103.8</v>
      </c>
      <c r="CX16" s="67"/>
      <c r="CY16" s="84">
        <v>41.1</v>
      </c>
      <c r="CZ16" s="71">
        <f>87.3-CY16</f>
        <v>46.199999999999996</v>
      </c>
      <c r="DA16" s="71">
        <f>96.3-SUM(CY16:CZ16)</f>
        <v>9</v>
      </c>
      <c r="DB16" s="71">
        <f>129.8-SUM(CY16:DA16)</f>
        <v>33.500000000000014</v>
      </c>
      <c r="DC16" s="93">
        <f t="shared" si="8"/>
        <v>129.80000000000001</v>
      </c>
      <c r="DD16" s="67"/>
      <c r="DE16" s="84">
        <v>33.6</v>
      </c>
      <c r="DF16" s="71">
        <f>71.4-DE16</f>
        <v>37.800000000000004</v>
      </c>
      <c r="DG16" s="71">
        <f>104.8-SUM(DE16:DF16)</f>
        <v>33.399999999999991</v>
      </c>
      <c r="DH16" s="71">
        <f>139.4-SUM(DE16:DG16)</f>
        <v>34.600000000000009</v>
      </c>
      <c r="DI16" s="93">
        <f t="shared" si="9"/>
        <v>139.4</v>
      </c>
      <c r="DJ16" s="67"/>
      <c r="DK16" s="82">
        <f t="shared" ref="DK16:DT16" si="14">+DK123</f>
        <v>35.571600000000004</v>
      </c>
      <c r="DL16" s="67">
        <f t="shared" si="14"/>
        <v>36.751667839872667</v>
      </c>
      <c r="DM16" s="67">
        <f t="shared" si="14"/>
        <v>36.109843466727838</v>
      </c>
      <c r="DN16" s="67">
        <f t="shared" si="14"/>
        <v>39.191420855726989</v>
      </c>
      <c r="DO16" s="93">
        <f t="shared" si="10"/>
        <v>147.62453216232751</v>
      </c>
      <c r="DP16" s="67"/>
      <c r="DQ16" s="82">
        <f t="shared" ref="DQ16" si="15">+DQ123</f>
        <v>36.743970546767621</v>
      </c>
      <c r="DR16" s="67">
        <f t="shared" si="14"/>
        <v>38.085753764197548</v>
      </c>
      <c r="DS16" s="67">
        <f t="shared" si="14"/>
        <v>37.158145128121504</v>
      </c>
      <c r="DT16" s="67">
        <f t="shared" si="14"/>
        <v>40.379684910084528</v>
      </c>
      <c r="DU16" s="93">
        <f t="shared" si="11"/>
        <v>152.3675543491712</v>
      </c>
      <c r="DV16" s="67"/>
      <c r="DW16" s="82">
        <f t="shared" ref="DW16:DZ16" si="16">+DW123</f>
        <v>37.879100954763814</v>
      </c>
      <c r="DX16" s="67">
        <f t="shared" si="16"/>
        <v>39.290432029146224</v>
      </c>
      <c r="DY16" s="67">
        <f t="shared" si="16"/>
        <v>38.328799861242544</v>
      </c>
      <c r="DZ16" s="67">
        <f t="shared" si="16"/>
        <v>41.709466846509379</v>
      </c>
      <c r="EA16" s="93">
        <f t="shared" si="12"/>
        <v>157.20779969166196</v>
      </c>
      <c r="EB16" s="67"/>
      <c r="EC16" s="82">
        <f t="shared" ref="EC16:EF16" si="17">+EC123</f>
        <v>39.115817484352831</v>
      </c>
      <c r="ED16" s="67">
        <f t="shared" si="17"/>
        <v>40.599407035644859</v>
      </c>
      <c r="EE16" s="67">
        <f t="shared" si="17"/>
        <v>39.602991937984569</v>
      </c>
      <c r="EF16" s="67">
        <f t="shared" si="17"/>
        <v>43.204254459045522</v>
      </c>
      <c r="EG16" s="93">
        <f t="shared" si="13"/>
        <v>162.52247091702779</v>
      </c>
      <c r="EH16" s="67"/>
      <c r="EI16" s="177"/>
      <c r="EJ16" s="19"/>
      <c r="EK16" s="19"/>
      <c r="EL16" s="19"/>
    </row>
    <row r="17" spans="1:148" ht="12.75" customHeight="1" x14ac:dyDescent="0.2">
      <c r="A17" s="51" t="s">
        <v>325</v>
      </c>
      <c r="B17" s="19"/>
      <c r="C17" s="19"/>
      <c r="D17" s="19"/>
      <c r="E17" s="92">
        <v>0</v>
      </c>
      <c r="F17" s="67"/>
      <c r="G17" s="92">
        <v>0</v>
      </c>
      <c r="H17" s="67"/>
      <c r="I17" s="92">
        <v>0</v>
      </c>
      <c r="J17" s="67"/>
      <c r="K17" s="92">
        <v>0</v>
      </c>
      <c r="L17" s="67"/>
      <c r="M17" s="84">
        <v>0</v>
      </c>
      <c r="N17" s="71">
        <v>0</v>
      </c>
      <c r="O17" s="71">
        <v>0</v>
      </c>
      <c r="P17" s="71">
        <f>0-M17-N17-O17</f>
        <v>0</v>
      </c>
      <c r="Q17" s="93">
        <f>SUM(M17:P17)</f>
        <v>0</v>
      </c>
      <c r="R17" s="67"/>
      <c r="S17" s="84">
        <v>0</v>
      </c>
      <c r="T17" s="71">
        <v>0</v>
      </c>
      <c r="U17" s="71">
        <v>0</v>
      </c>
      <c r="V17" s="71">
        <f>0-S17-T17-U17</f>
        <v>0</v>
      </c>
      <c r="W17" s="93">
        <f>SUM(S17:V17)</f>
        <v>0</v>
      </c>
      <c r="X17" s="67"/>
      <c r="Y17" s="84">
        <v>0</v>
      </c>
      <c r="Z17" s="71">
        <v>0</v>
      </c>
      <c r="AA17" s="71">
        <v>0</v>
      </c>
      <c r="AB17" s="71">
        <f>0-Y17-Z17-AA17</f>
        <v>0</v>
      </c>
      <c r="AC17" s="93">
        <f>SUM(Y17:AB17)</f>
        <v>0</v>
      </c>
      <c r="AD17" s="67"/>
      <c r="AE17" s="84">
        <v>0</v>
      </c>
      <c r="AF17" s="71">
        <v>0</v>
      </c>
      <c r="AG17" s="71">
        <v>0</v>
      </c>
      <c r="AH17" s="71">
        <f>0-SUM(AE17:AG17)</f>
        <v>0</v>
      </c>
      <c r="AI17" s="93">
        <f>SUM(AE17:AH17)</f>
        <v>0</v>
      </c>
      <c r="AJ17" s="67"/>
      <c r="AK17" s="84">
        <v>0</v>
      </c>
      <c r="AL17" s="71">
        <v>0</v>
      </c>
      <c r="AM17" s="71">
        <v>0</v>
      </c>
      <c r="AN17" s="71">
        <f>0-AK17-AL17-AM17</f>
        <v>0</v>
      </c>
      <c r="AO17" s="93">
        <f>SUM(AK17:AN17)</f>
        <v>0</v>
      </c>
      <c r="AP17" s="67"/>
      <c r="AQ17" s="84">
        <v>0</v>
      </c>
      <c r="AR17" s="71">
        <v>0</v>
      </c>
      <c r="AS17" s="71">
        <v>0</v>
      </c>
      <c r="AT17" s="71">
        <f>0-SUM(AQ17:AS17)</f>
        <v>0</v>
      </c>
      <c r="AU17" s="93">
        <f>SUM(AQ17:AT17)</f>
        <v>0</v>
      </c>
      <c r="AV17" s="67"/>
      <c r="AW17" s="84">
        <v>0</v>
      </c>
      <c r="AX17" s="71">
        <v>0</v>
      </c>
      <c r="AY17" s="71">
        <v>0</v>
      </c>
      <c r="AZ17" s="71">
        <f>0-AW17-AX17-AY17</f>
        <v>0</v>
      </c>
      <c r="BA17" s="93">
        <f>SUM(AW17:AZ17)</f>
        <v>0</v>
      </c>
      <c r="BB17" s="67"/>
      <c r="BC17" s="84">
        <v>0</v>
      </c>
      <c r="BD17" s="71">
        <v>0</v>
      </c>
      <c r="BE17" s="71">
        <v>0</v>
      </c>
      <c r="BF17" s="71">
        <v>0</v>
      </c>
      <c r="BG17" s="93">
        <f>SUM(BC17:BF17)</f>
        <v>0</v>
      </c>
      <c r="BH17" s="67"/>
      <c r="BI17" s="84">
        <v>0</v>
      </c>
      <c r="BJ17" s="71">
        <v>0</v>
      </c>
      <c r="BK17" s="71">
        <v>0</v>
      </c>
      <c r="BL17" s="71">
        <f>0-BI17-BJ17-BK17</f>
        <v>0</v>
      </c>
      <c r="BM17" s="93">
        <f>SUM(BI17:BL17)</f>
        <v>0</v>
      </c>
      <c r="BN17" s="67"/>
      <c r="BO17" s="84">
        <v>0</v>
      </c>
      <c r="BP17" s="71">
        <f>0-BO17</f>
        <v>0</v>
      </c>
      <c r="BQ17" s="71">
        <f>-10.55-SUM(BO17:BP17)</f>
        <v>-10.55</v>
      </c>
      <c r="BR17" s="71">
        <f>-22.768-SUM(BO17:BQ17)</f>
        <v>-12.218</v>
      </c>
      <c r="BS17" s="93">
        <f t="shared" si="2"/>
        <v>-22.768000000000001</v>
      </c>
      <c r="BT17" s="67"/>
      <c r="BU17" s="84">
        <v>-14.475</v>
      </c>
      <c r="BV17" s="71">
        <f>-16.586-BU17</f>
        <v>-2.1109999999999989</v>
      </c>
      <c r="BW17" s="71">
        <f>-24.059-SUM(BU17:BV17)</f>
        <v>-7.4730000000000025</v>
      </c>
      <c r="BX17" s="71">
        <f>-18.4-SUM(BU17:BW17)</f>
        <v>5.6590000000000025</v>
      </c>
      <c r="BY17" s="93">
        <f t="shared" si="3"/>
        <v>-18.399999999999999</v>
      </c>
      <c r="BZ17" s="67"/>
      <c r="CA17" s="84">
        <v>-9.3000000000000007</v>
      </c>
      <c r="CB17" s="71">
        <f>-25.4-CA17</f>
        <v>-16.099999999999998</v>
      </c>
      <c r="CC17" s="71">
        <f>-31.5-SUM(CA17:CB17)</f>
        <v>-6.1000000000000014</v>
      </c>
      <c r="CD17" s="71">
        <f>-25.4-SUM(CA17:CC17)</f>
        <v>6.1000000000000014</v>
      </c>
      <c r="CE17" s="93">
        <f t="shared" si="4"/>
        <v>-25.4</v>
      </c>
      <c r="CF17" s="67"/>
      <c r="CG17" s="84">
        <v>66.599999999999994</v>
      </c>
      <c r="CH17" s="71">
        <f>66.6-CG17</f>
        <v>0</v>
      </c>
      <c r="CI17" s="71">
        <f>66.6-SUM(CG17:CH17)</f>
        <v>0</v>
      </c>
      <c r="CJ17" s="71">
        <f>66.6-SUM(CG17:CI17)</f>
        <v>0</v>
      </c>
      <c r="CK17" s="93">
        <f t="shared" si="5"/>
        <v>66.599999999999994</v>
      </c>
      <c r="CL17" s="67"/>
      <c r="CM17" s="84">
        <v>0</v>
      </c>
      <c r="CN17" s="71">
        <f>0-CM17</f>
        <v>0</v>
      </c>
      <c r="CO17" s="71">
        <f>0-SUM(CM17:CN17)</f>
        <v>0</v>
      </c>
      <c r="CP17" s="71">
        <f>0-SUM(CM17:CO17)</f>
        <v>0</v>
      </c>
      <c r="CQ17" s="93">
        <f t="shared" si="6"/>
        <v>0</v>
      </c>
      <c r="CR17" s="67"/>
      <c r="CS17" s="84">
        <v>0</v>
      </c>
      <c r="CT17" s="71">
        <f>0-CS17</f>
        <v>0</v>
      </c>
      <c r="CU17" s="71">
        <f>0-SUM(CS17:CT17)</f>
        <v>0</v>
      </c>
      <c r="CV17" s="71">
        <f>0-SUM(CS17:CU17)</f>
        <v>0</v>
      </c>
      <c r="CW17" s="93">
        <f t="shared" si="7"/>
        <v>0</v>
      </c>
      <c r="CX17" s="67"/>
      <c r="CY17" s="84">
        <v>0</v>
      </c>
      <c r="CZ17" s="71">
        <f>0-CY17</f>
        <v>0</v>
      </c>
      <c r="DA17" s="71">
        <f>0-SUM(CY17:CZ17)</f>
        <v>0</v>
      </c>
      <c r="DB17" s="71">
        <f>0-SUM(CY17:DA17)</f>
        <v>0</v>
      </c>
      <c r="DC17" s="93">
        <f t="shared" si="8"/>
        <v>0</v>
      </c>
      <c r="DD17" s="67"/>
      <c r="DE17" s="84">
        <v>0</v>
      </c>
      <c r="DF17" s="71">
        <f t="shared" ref="DF17:DF20" si="18">0-DE17</f>
        <v>0</v>
      </c>
      <c r="DG17" s="71">
        <f t="shared" ref="DG17:DG20" si="19">0-SUM(DE17:DF17)</f>
        <v>0</v>
      </c>
      <c r="DH17" s="71">
        <f t="shared" ref="DH17" si="20">0-SUM(DE17:DG17)</f>
        <v>0</v>
      </c>
      <c r="DI17" s="93">
        <f t="shared" si="9"/>
        <v>0</v>
      </c>
      <c r="DJ17" s="67"/>
      <c r="DK17" s="81">
        <v>0</v>
      </c>
      <c r="DL17" s="69">
        <v>0</v>
      </c>
      <c r="DM17" s="69">
        <v>0</v>
      </c>
      <c r="DN17" s="69">
        <v>0</v>
      </c>
      <c r="DO17" s="93">
        <f t="shared" si="10"/>
        <v>0</v>
      </c>
      <c r="DP17" s="67"/>
      <c r="DQ17" s="81">
        <v>0</v>
      </c>
      <c r="DR17" s="69">
        <v>0</v>
      </c>
      <c r="DS17" s="69">
        <v>0</v>
      </c>
      <c r="DT17" s="69">
        <v>0</v>
      </c>
      <c r="DU17" s="93">
        <f t="shared" si="11"/>
        <v>0</v>
      </c>
      <c r="DV17" s="67"/>
      <c r="DW17" s="81">
        <v>0</v>
      </c>
      <c r="DX17" s="69">
        <v>0</v>
      </c>
      <c r="DY17" s="69">
        <v>0</v>
      </c>
      <c r="DZ17" s="69">
        <v>0</v>
      </c>
      <c r="EA17" s="93">
        <f t="shared" si="12"/>
        <v>0</v>
      </c>
      <c r="EB17" s="67"/>
      <c r="EC17" s="81">
        <v>0</v>
      </c>
      <c r="ED17" s="69">
        <v>0</v>
      </c>
      <c r="EE17" s="69">
        <v>0</v>
      </c>
      <c r="EF17" s="69">
        <v>0</v>
      </c>
      <c r="EG17" s="93">
        <f t="shared" si="13"/>
        <v>0</v>
      </c>
      <c r="EH17" s="67"/>
      <c r="EI17" s="177"/>
      <c r="EJ17" s="19"/>
      <c r="EK17" s="19"/>
      <c r="EL17" s="19"/>
    </row>
    <row r="18" spans="1:148" ht="12.75" customHeight="1" x14ac:dyDescent="0.2">
      <c r="A18" s="51" t="s">
        <v>326</v>
      </c>
      <c r="B18" s="19"/>
      <c r="C18" s="19"/>
      <c r="D18" s="19"/>
      <c r="E18" s="92">
        <v>0</v>
      </c>
      <c r="F18" s="67"/>
      <c r="G18" s="92">
        <v>0</v>
      </c>
      <c r="H18" s="67"/>
      <c r="I18" s="92">
        <v>0</v>
      </c>
      <c r="J18" s="67"/>
      <c r="K18" s="92">
        <v>0</v>
      </c>
      <c r="L18" s="67"/>
      <c r="M18" s="84">
        <v>0</v>
      </c>
      <c r="N18" s="71">
        <v>0</v>
      </c>
      <c r="O18" s="71">
        <v>0</v>
      </c>
      <c r="P18" s="71">
        <f>0-M18-N18-O18</f>
        <v>0</v>
      </c>
      <c r="Q18" s="93">
        <f>SUM(M18:P18)</f>
        <v>0</v>
      </c>
      <c r="R18" s="67"/>
      <c r="S18" s="84">
        <v>0</v>
      </c>
      <c r="T18" s="71">
        <v>0</v>
      </c>
      <c r="U18" s="71">
        <v>0</v>
      </c>
      <c r="V18" s="71">
        <f>0-S18-T18-U18</f>
        <v>0</v>
      </c>
      <c r="W18" s="93">
        <f>SUM(S18:V18)</f>
        <v>0</v>
      </c>
      <c r="X18" s="67"/>
      <c r="Y18" s="84">
        <v>0</v>
      </c>
      <c r="Z18" s="71">
        <v>0</v>
      </c>
      <c r="AA18" s="71">
        <v>0</v>
      </c>
      <c r="AB18" s="71">
        <f>0-Y18-Z18-AA18</f>
        <v>0</v>
      </c>
      <c r="AC18" s="93">
        <f>SUM(Y18:AB18)</f>
        <v>0</v>
      </c>
      <c r="AD18" s="67"/>
      <c r="AE18" s="84">
        <v>0</v>
      </c>
      <c r="AF18" s="71">
        <v>0</v>
      </c>
      <c r="AG18" s="71">
        <v>0</v>
      </c>
      <c r="AH18" s="71">
        <f>0-SUM(AE18:AG18)</f>
        <v>0</v>
      </c>
      <c r="AI18" s="93">
        <f>SUM(AE18:AH18)</f>
        <v>0</v>
      </c>
      <c r="AJ18" s="67"/>
      <c r="AK18" s="84">
        <v>0</v>
      </c>
      <c r="AL18" s="71">
        <v>0</v>
      </c>
      <c r="AM18" s="71">
        <v>0</v>
      </c>
      <c r="AN18" s="71">
        <f>0-AK18-AL18-AM18</f>
        <v>0</v>
      </c>
      <c r="AO18" s="93">
        <f>SUM(AK18:AN18)</f>
        <v>0</v>
      </c>
      <c r="AP18" s="67"/>
      <c r="AQ18" s="84">
        <v>0</v>
      </c>
      <c r="AR18" s="71">
        <v>0</v>
      </c>
      <c r="AS18" s="71">
        <v>0</v>
      </c>
      <c r="AT18" s="71">
        <f>0-SUM(AQ18:AS18)</f>
        <v>0</v>
      </c>
      <c r="AU18" s="93">
        <f>SUM(AQ18:AT18)</f>
        <v>0</v>
      </c>
      <c r="AV18" s="67"/>
      <c r="AW18" s="84">
        <v>0</v>
      </c>
      <c r="AX18" s="71">
        <v>0</v>
      </c>
      <c r="AY18" s="71">
        <v>0</v>
      </c>
      <c r="AZ18" s="71">
        <f>0-AW18-AX18-AY18</f>
        <v>0</v>
      </c>
      <c r="BA18" s="93">
        <f>SUM(AW18:AZ18)</f>
        <v>0</v>
      </c>
      <c r="BB18" s="67"/>
      <c r="BC18" s="84">
        <v>0</v>
      </c>
      <c r="BD18" s="71">
        <v>0</v>
      </c>
      <c r="BE18" s="71">
        <v>0</v>
      </c>
      <c r="BF18" s="71">
        <v>0</v>
      </c>
      <c r="BG18" s="93">
        <f>SUM(BC18:BF18)</f>
        <v>0</v>
      </c>
      <c r="BH18" s="67"/>
      <c r="BI18" s="84">
        <v>0</v>
      </c>
      <c r="BJ18" s="71">
        <v>0</v>
      </c>
      <c r="BK18" s="71">
        <v>0</v>
      </c>
      <c r="BL18" s="71">
        <f>0-BI18-BJ18-BK18</f>
        <v>0</v>
      </c>
      <c r="BM18" s="93">
        <f>SUM(BI18:BL18)</f>
        <v>0</v>
      </c>
      <c r="BN18" s="67"/>
      <c r="BO18" s="84">
        <v>0</v>
      </c>
      <c r="BP18" s="71">
        <f>0-BO18</f>
        <v>0</v>
      </c>
      <c r="BQ18" s="71">
        <f>0-SUM(BO18:BP18)</f>
        <v>0</v>
      </c>
      <c r="BR18" s="71">
        <f>0-SUM(BO18:BQ18)</f>
        <v>0</v>
      </c>
      <c r="BS18" s="93">
        <f t="shared" si="2"/>
        <v>0</v>
      </c>
      <c r="BT18" s="67"/>
      <c r="BU18" s="84">
        <v>0</v>
      </c>
      <c r="BV18" s="71">
        <f>0-BU18</f>
        <v>0</v>
      </c>
      <c r="BW18" s="71">
        <f>0-SUM(BU18:BV18)</f>
        <v>0</v>
      </c>
      <c r="BX18" s="71">
        <f>0-SUM(BU18:BW18)</f>
        <v>0</v>
      </c>
      <c r="BY18" s="93">
        <f t="shared" si="3"/>
        <v>0</v>
      </c>
      <c r="BZ18" s="67"/>
      <c r="CA18" s="84">
        <v>0</v>
      </c>
      <c r="CB18" s="71">
        <f>0-CA18</f>
        <v>0</v>
      </c>
      <c r="CC18" s="71">
        <f>0-SUM(CA18:CB18)</f>
        <v>0</v>
      </c>
      <c r="CD18" s="71">
        <f>0-SUM(CA18:CC18)</f>
        <v>0</v>
      </c>
      <c r="CE18" s="93">
        <f t="shared" si="4"/>
        <v>0</v>
      </c>
      <c r="CF18" s="67"/>
      <c r="CG18" s="84">
        <v>0</v>
      </c>
      <c r="CH18" s="71">
        <f>0-CG18</f>
        <v>0</v>
      </c>
      <c r="CI18" s="71">
        <f>0-SUM(CG18:CH18)</f>
        <v>0</v>
      </c>
      <c r="CJ18" s="71">
        <f>0-SUM(CG18:CI18)</f>
        <v>0</v>
      </c>
      <c r="CK18" s="93">
        <f t="shared" si="5"/>
        <v>0</v>
      </c>
      <c r="CL18" s="67"/>
      <c r="CM18" s="84">
        <v>0</v>
      </c>
      <c r="CN18" s="71">
        <f>0-CM18</f>
        <v>0</v>
      </c>
      <c r="CO18" s="71">
        <f>0-SUM(CM18:CN18)</f>
        <v>0</v>
      </c>
      <c r="CP18" s="71">
        <f>0-SUM(CM18:CO18)</f>
        <v>0</v>
      </c>
      <c r="CQ18" s="93">
        <f t="shared" si="6"/>
        <v>0</v>
      </c>
      <c r="CR18" s="67"/>
      <c r="CS18" s="84">
        <v>0</v>
      </c>
      <c r="CT18" s="71">
        <f>0-CS18</f>
        <v>0</v>
      </c>
      <c r="CU18" s="71">
        <f>0-SUM(CS18:CT18)</f>
        <v>0</v>
      </c>
      <c r="CV18" s="71">
        <f>0-SUM(CS18:CU18)</f>
        <v>0</v>
      </c>
      <c r="CW18" s="93">
        <f t="shared" si="7"/>
        <v>0</v>
      </c>
      <c r="CX18" s="67"/>
      <c r="CY18" s="84">
        <v>0</v>
      </c>
      <c r="CZ18" s="71">
        <f>0-CY18</f>
        <v>0</v>
      </c>
      <c r="DA18" s="71">
        <f>178.8-SUM(CY18:CZ18)</f>
        <v>178.8</v>
      </c>
      <c r="DB18" s="71">
        <f>178.8-SUM(CY18:DA18)</f>
        <v>0</v>
      </c>
      <c r="DC18" s="93">
        <f t="shared" si="8"/>
        <v>178.8</v>
      </c>
      <c r="DD18" s="67"/>
      <c r="DE18" s="84">
        <v>0</v>
      </c>
      <c r="DF18" s="71">
        <f>49.3-DE18</f>
        <v>49.3</v>
      </c>
      <c r="DG18" s="71">
        <f>49.3-SUM(DE18:DF18)</f>
        <v>0</v>
      </c>
      <c r="DH18" s="71">
        <f>56.1-SUM(DE18:DG18)</f>
        <v>6.8000000000000043</v>
      </c>
      <c r="DI18" s="93">
        <f t="shared" si="9"/>
        <v>56.1</v>
      </c>
      <c r="DJ18" s="67"/>
      <c r="DK18" s="81">
        <v>0</v>
      </c>
      <c r="DL18" s="69">
        <v>0</v>
      </c>
      <c r="DM18" s="69">
        <v>0</v>
      </c>
      <c r="DN18" s="69">
        <v>0</v>
      </c>
      <c r="DO18" s="93">
        <f t="shared" si="10"/>
        <v>0</v>
      </c>
      <c r="DP18" s="67"/>
      <c r="DQ18" s="81">
        <v>0</v>
      </c>
      <c r="DR18" s="69">
        <v>0</v>
      </c>
      <c r="DS18" s="69">
        <v>0</v>
      </c>
      <c r="DT18" s="69">
        <v>0</v>
      </c>
      <c r="DU18" s="93">
        <f t="shared" si="11"/>
        <v>0</v>
      </c>
      <c r="DV18" s="67"/>
      <c r="DW18" s="81">
        <v>0</v>
      </c>
      <c r="DX18" s="69">
        <v>0</v>
      </c>
      <c r="DY18" s="69">
        <v>0</v>
      </c>
      <c r="DZ18" s="69">
        <v>0</v>
      </c>
      <c r="EA18" s="93">
        <f t="shared" si="12"/>
        <v>0</v>
      </c>
      <c r="EB18" s="67"/>
      <c r="EC18" s="81">
        <v>0</v>
      </c>
      <c r="ED18" s="69">
        <v>0</v>
      </c>
      <c r="EE18" s="69">
        <v>0</v>
      </c>
      <c r="EF18" s="69">
        <v>0</v>
      </c>
      <c r="EG18" s="93">
        <f t="shared" si="13"/>
        <v>0</v>
      </c>
      <c r="EH18" s="67"/>
      <c r="EI18" s="177"/>
      <c r="EJ18" s="19"/>
      <c r="EK18" s="19"/>
      <c r="EL18" s="19"/>
    </row>
    <row r="19" spans="1:148" ht="12.75" customHeight="1" x14ac:dyDescent="0.2">
      <c r="A19" s="51" t="s">
        <v>327</v>
      </c>
      <c r="B19" s="19"/>
      <c r="C19" s="19"/>
      <c r="D19" s="19"/>
      <c r="E19" s="92">
        <v>0</v>
      </c>
      <c r="F19" s="67"/>
      <c r="G19" s="92">
        <v>0</v>
      </c>
      <c r="H19" s="67"/>
      <c r="I19" s="92">
        <v>0</v>
      </c>
      <c r="J19" s="67"/>
      <c r="K19" s="92">
        <v>0</v>
      </c>
      <c r="L19" s="67"/>
      <c r="M19" s="84">
        <v>0</v>
      </c>
      <c r="N19" s="71">
        <v>0</v>
      </c>
      <c r="O19" s="71">
        <v>0</v>
      </c>
      <c r="P19" s="71">
        <f>0-M19-N19-O19</f>
        <v>0</v>
      </c>
      <c r="Q19" s="93">
        <f>SUM(M19:P19)</f>
        <v>0</v>
      </c>
      <c r="R19" s="67"/>
      <c r="S19" s="84">
        <v>0</v>
      </c>
      <c r="T19" s="71">
        <v>0</v>
      </c>
      <c r="U19" s="71">
        <v>0</v>
      </c>
      <c r="V19" s="71">
        <f>0-S19-T19-U19</f>
        <v>0</v>
      </c>
      <c r="W19" s="93">
        <f>SUM(S19:V19)</f>
        <v>0</v>
      </c>
      <c r="X19" s="67"/>
      <c r="Y19" s="84">
        <v>0</v>
      </c>
      <c r="Z19" s="71">
        <v>0</v>
      </c>
      <c r="AA19" s="71">
        <v>0</v>
      </c>
      <c r="AB19" s="71">
        <f>0-Y19-Z19-AA19</f>
        <v>0</v>
      </c>
      <c r="AC19" s="93">
        <f>SUM(Y19:AB19)</f>
        <v>0</v>
      </c>
      <c r="AD19" s="67"/>
      <c r="AE19" s="84">
        <v>0</v>
      </c>
      <c r="AF19" s="71">
        <v>0</v>
      </c>
      <c r="AG19" s="71">
        <v>0</v>
      </c>
      <c r="AH19" s="71">
        <f>0-SUM(AE19:AG19)</f>
        <v>0</v>
      </c>
      <c r="AI19" s="93">
        <f>SUM(AE19:AH19)</f>
        <v>0</v>
      </c>
      <c r="AJ19" s="67"/>
      <c r="AK19" s="84">
        <v>0</v>
      </c>
      <c r="AL19" s="71">
        <v>0</v>
      </c>
      <c r="AM19" s="71">
        <v>0</v>
      </c>
      <c r="AN19" s="71">
        <f>0-AK19-AL19-AM19</f>
        <v>0</v>
      </c>
      <c r="AO19" s="93">
        <f>SUM(AK19:AN19)</f>
        <v>0</v>
      </c>
      <c r="AP19" s="67"/>
      <c r="AQ19" s="84">
        <v>0</v>
      </c>
      <c r="AR19" s="71">
        <v>0</v>
      </c>
      <c r="AS19" s="71">
        <v>0</v>
      </c>
      <c r="AT19" s="71">
        <f>0-SUM(AQ19:AS19)</f>
        <v>0</v>
      </c>
      <c r="AU19" s="93">
        <f>SUM(AQ19:AT19)</f>
        <v>0</v>
      </c>
      <c r="AV19" s="67"/>
      <c r="AW19" s="84">
        <v>0</v>
      </c>
      <c r="AX19" s="71">
        <v>0</v>
      </c>
      <c r="AY19" s="71">
        <v>0</v>
      </c>
      <c r="AZ19" s="71">
        <f>0-AW19-AX19-AY19</f>
        <v>0</v>
      </c>
      <c r="BA19" s="93">
        <f>SUM(AW19:AZ19)</f>
        <v>0</v>
      </c>
      <c r="BB19" s="67"/>
      <c r="BC19" s="84">
        <v>0</v>
      </c>
      <c r="BD19" s="71">
        <v>0</v>
      </c>
      <c r="BE19" s="71">
        <v>0</v>
      </c>
      <c r="BF19" s="71">
        <v>0</v>
      </c>
      <c r="BG19" s="93">
        <f>SUM(BC19:BF19)</f>
        <v>0</v>
      </c>
      <c r="BH19" s="67"/>
      <c r="BI19" s="84">
        <v>0</v>
      </c>
      <c r="BJ19" s="71">
        <v>0</v>
      </c>
      <c r="BK19" s="71">
        <v>0</v>
      </c>
      <c r="BL19" s="71">
        <f>0-BI19-BJ19-BK19</f>
        <v>0</v>
      </c>
      <c r="BM19" s="93">
        <f>SUM(BI19:BL19)</f>
        <v>0</v>
      </c>
      <c r="BN19" s="67"/>
      <c r="BO19" s="84">
        <v>0</v>
      </c>
      <c r="BP19" s="71">
        <f>0-BO19</f>
        <v>0</v>
      </c>
      <c r="BQ19" s="71">
        <f>-291.037-SUM(BO19:BP19)</f>
        <v>-291.03699999999998</v>
      </c>
      <c r="BR19" s="71">
        <f>-291.037-SUM(BO19:BQ19)</f>
        <v>0</v>
      </c>
      <c r="BS19" s="93">
        <f t="shared" si="2"/>
        <v>-291.03699999999998</v>
      </c>
      <c r="BT19" s="67"/>
      <c r="BU19" s="84">
        <v>0</v>
      </c>
      <c r="BV19" s="71">
        <f>0-BU19</f>
        <v>0</v>
      </c>
      <c r="BW19" s="71">
        <f>0-SUM(BU19:BV19)</f>
        <v>0</v>
      </c>
      <c r="BX19" s="71">
        <f>0-SUM(BU19:BW19)</f>
        <v>0</v>
      </c>
      <c r="BY19" s="93">
        <f t="shared" si="3"/>
        <v>0</v>
      </c>
      <c r="BZ19" s="67"/>
      <c r="CA19" s="84">
        <v>0</v>
      </c>
      <c r="CB19" s="71">
        <f>0-CA19</f>
        <v>0</v>
      </c>
      <c r="CC19" s="71">
        <f>0-SUM(CA19:CB19)</f>
        <v>0</v>
      </c>
      <c r="CD19" s="71">
        <f>0-SUM(CA19:CC19)</f>
        <v>0</v>
      </c>
      <c r="CE19" s="93">
        <f t="shared" si="4"/>
        <v>0</v>
      </c>
      <c r="CF19" s="67"/>
      <c r="CG19" s="84">
        <v>-229.8</v>
      </c>
      <c r="CH19" s="71">
        <f>-229.8-CG19</f>
        <v>0</v>
      </c>
      <c r="CI19" s="71">
        <f>-229.8-SUM(CG19:CH19)</f>
        <v>0</v>
      </c>
      <c r="CJ19" s="71">
        <f>-431.3-SUM(CG19:CI19)</f>
        <v>-201.5</v>
      </c>
      <c r="CK19" s="93">
        <f t="shared" si="5"/>
        <v>-431.3</v>
      </c>
      <c r="CL19" s="67"/>
      <c r="CM19" s="84">
        <v>0</v>
      </c>
      <c r="CN19" s="71">
        <f>-19.2-CM19</f>
        <v>-19.2</v>
      </c>
      <c r="CO19" s="71">
        <f>-57.4-SUM(CM19:CN19)</f>
        <v>-38.200000000000003</v>
      </c>
      <c r="CP19" s="71">
        <f>-156.5-SUM(CM19:CO19)</f>
        <v>-99.1</v>
      </c>
      <c r="CQ19" s="93">
        <f t="shared" si="6"/>
        <v>-156.5</v>
      </c>
      <c r="CR19" s="67"/>
      <c r="CS19" s="84">
        <v>0</v>
      </c>
      <c r="CT19" s="71">
        <f>0-CS19</f>
        <v>0</v>
      </c>
      <c r="CU19" s="71">
        <f>-12.4-SUM(CS19:CT19)</f>
        <v>-12.4</v>
      </c>
      <c r="CV19" s="71">
        <f>-12.4-SUM(CS19:CU19)</f>
        <v>0</v>
      </c>
      <c r="CW19" s="93">
        <f t="shared" si="7"/>
        <v>-12.4</v>
      </c>
      <c r="CX19" s="67"/>
      <c r="CY19" s="84">
        <v>-223.4</v>
      </c>
      <c r="CZ19" s="71">
        <f>-223.4-CY19</f>
        <v>0</v>
      </c>
      <c r="DA19" s="71">
        <f>-223.4-SUM(CY19:CZ19)</f>
        <v>0</v>
      </c>
      <c r="DB19" s="71">
        <f>-223.4-SUM(CY19:DA19)</f>
        <v>0</v>
      </c>
      <c r="DC19" s="93">
        <f t="shared" si="8"/>
        <v>-223.4</v>
      </c>
      <c r="DD19" s="67"/>
      <c r="DE19" s="84">
        <v>0</v>
      </c>
      <c r="DF19" s="71">
        <f t="shared" si="18"/>
        <v>0</v>
      </c>
      <c r="DG19" s="71">
        <f t="shared" si="19"/>
        <v>0</v>
      </c>
      <c r="DH19" s="71">
        <f>-72.8-SUM(DE19:DG19)</f>
        <v>-72.8</v>
      </c>
      <c r="DI19" s="93">
        <f t="shared" si="9"/>
        <v>-72.8</v>
      </c>
      <c r="DJ19" s="67"/>
      <c r="DK19" s="81">
        <v>0</v>
      </c>
      <c r="DL19" s="69">
        <v>0</v>
      </c>
      <c r="DM19" s="69">
        <v>0</v>
      </c>
      <c r="DN19" s="69">
        <v>0</v>
      </c>
      <c r="DO19" s="93">
        <f t="shared" si="10"/>
        <v>0</v>
      </c>
      <c r="DP19" s="67"/>
      <c r="DQ19" s="81">
        <v>0</v>
      </c>
      <c r="DR19" s="69">
        <v>0</v>
      </c>
      <c r="DS19" s="69">
        <v>0</v>
      </c>
      <c r="DT19" s="69">
        <v>0</v>
      </c>
      <c r="DU19" s="93">
        <f t="shared" si="11"/>
        <v>0</v>
      </c>
      <c r="DV19" s="67"/>
      <c r="DW19" s="81">
        <v>0</v>
      </c>
      <c r="DX19" s="69">
        <v>0</v>
      </c>
      <c r="DY19" s="69">
        <v>0</v>
      </c>
      <c r="DZ19" s="69">
        <v>0</v>
      </c>
      <c r="EA19" s="93">
        <f t="shared" si="12"/>
        <v>0</v>
      </c>
      <c r="EB19" s="67"/>
      <c r="EC19" s="81">
        <v>0</v>
      </c>
      <c r="ED19" s="69">
        <v>0</v>
      </c>
      <c r="EE19" s="69">
        <v>0</v>
      </c>
      <c r="EF19" s="69">
        <v>0</v>
      </c>
      <c r="EG19" s="93">
        <f t="shared" si="13"/>
        <v>0</v>
      </c>
      <c r="EH19" s="67"/>
      <c r="EI19" s="177"/>
      <c r="EJ19" s="19"/>
      <c r="EK19" s="19"/>
      <c r="EL19" s="19"/>
    </row>
    <row r="20" spans="1:148" ht="12.75" customHeight="1" outlineLevel="1" x14ac:dyDescent="0.2">
      <c r="A20" s="104" t="s">
        <v>328</v>
      </c>
      <c r="B20" s="19"/>
      <c r="C20" s="19"/>
      <c r="D20" s="19"/>
      <c r="E20" s="92">
        <v>0</v>
      </c>
      <c r="F20" s="67"/>
      <c r="G20" s="92">
        <v>0</v>
      </c>
      <c r="H20" s="67"/>
      <c r="I20" s="92">
        <v>0</v>
      </c>
      <c r="J20" s="67"/>
      <c r="K20" s="92">
        <v>0</v>
      </c>
      <c r="L20" s="67"/>
      <c r="M20" s="84">
        <v>0</v>
      </c>
      <c r="N20" s="71">
        <v>0</v>
      </c>
      <c r="O20" s="71">
        <v>0</v>
      </c>
      <c r="P20" s="71">
        <f>0-M20-N20-O20</f>
        <v>0</v>
      </c>
      <c r="Q20" s="93">
        <f>SUM(M20:P20)</f>
        <v>0</v>
      </c>
      <c r="R20" s="67"/>
      <c r="S20" s="84">
        <v>0</v>
      </c>
      <c r="T20" s="71">
        <v>0</v>
      </c>
      <c r="U20" s="71">
        <v>0</v>
      </c>
      <c r="V20" s="71">
        <f>0-S20-T20-U20</f>
        <v>0</v>
      </c>
      <c r="W20" s="93">
        <f>SUM(S20:V20)</f>
        <v>0</v>
      </c>
      <c r="X20" s="67"/>
      <c r="Y20" s="84">
        <v>0</v>
      </c>
      <c r="Z20" s="71">
        <v>0</v>
      </c>
      <c r="AA20" s="71">
        <v>0</v>
      </c>
      <c r="AB20" s="71">
        <f>0-Y20-Z20-AA20</f>
        <v>0</v>
      </c>
      <c r="AC20" s="93">
        <f>SUM(Y20:AB20)</f>
        <v>0</v>
      </c>
      <c r="AD20" s="67"/>
      <c r="AE20" s="84">
        <v>0</v>
      </c>
      <c r="AF20" s="71">
        <v>0</v>
      </c>
      <c r="AG20" s="71">
        <v>0</v>
      </c>
      <c r="AH20" s="71">
        <f>0-SUM(AE20:AG20)</f>
        <v>0</v>
      </c>
      <c r="AI20" s="93">
        <f>SUM(AE20:AH20)</f>
        <v>0</v>
      </c>
      <c r="AJ20" s="67"/>
      <c r="AK20" s="84">
        <f>(BS!AI15+BS!AI21-BS!AI40)-(BS!AK15+BS!AK21-BS!AK40)</f>
        <v>0</v>
      </c>
      <c r="AL20" s="71">
        <f>(BS!AK15+BS!AK21-BS!AK40)-(BS!AL15+BS!AL21-BS!AL40)</f>
        <v>0</v>
      </c>
      <c r="AM20" s="71">
        <f>(BS!AL15+BS!AL21-BS!AL40)-(BS!AM15+BS!AM21-BS!AM40)</f>
        <v>0</v>
      </c>
      <c r="AN20" s="71">
        <f>0-AK20-AL20-AM20</f>
        <v>0</v>
      </c>
      <c r="AO20" s="93">
        <f>SUM(AK20:AN20)</f>
        <v>0</v>
      </c>
      <c r="AP20" s="67"/>
      <c r="AQ20" s="84">
        <v>0</v>
      </c>
      <c r="AR20" s="71">
        <v>0</v>
      </c>
      <c r="AS20" s="71">
        <v>0</v>
      </c>
      <c r="AT20" s="71">
        <f>0-SUM(AQ20:AS20)</f>
        <v>0</v>
      </c>
      <c r="AU20" s="93">
        <f>SUM(AQ20:AT20)</f>
        <v>0</v>
      </c>
      <c r="AV20" s="67"/>
      <c r="AW20" s="84">
        <f>(BS!AU15+BS!AU21-BS!AU40)-(BS!AW15+BS!AW21-BS!AW40)</f>
        <v>0</v>
      </c>
      <c r="AX20" s="71">
        <f>(BS!AW15+BS!AW21-BS!AW40)-(BS!AX15+BS!AX21-BS!AX40)</f>
        <v>0</v>
      </c>
      <c r="AY20" s="71">
        <f>(BS!AX15+BS!AX21-BS!AX40)-(BS!AY15+BS!AY21-BS!AY40)</f>
        <v>0</v>
      </c>
      <c r="AZ20" s="71">
        <f>0-AW20-AX20-AY20</f>
        <v>0</v>
      </c>
      <c r="BA20" s="93">
        <f>SUM(AW20:AZ20)</f>
        <v>0</v>
      </c>
      <c r="BB20" s="67"/>
      <c r="BC20" s="84">
        <f>(BS!AZ15+BS!AZ21-BS!AZ40)-(BS!BC15+BS!BC21-BS!BC40)</f>
        <v>0</v>
      </c>
      <c r="BD20" s="71">
        <f>(BS!BC15+BS!BC21-BS!BC40)-(BS!BD15+BS!BD21-BS!BD40)</f>
        <v>0</v>
      </c>
      <c r="BE20" s="71">
        <v>0</v>
      </c>
      <c r="BF20" s="71">
        <v>0</v>
      </c>
      <c r="BG20" s="93">
        <f>SUM(BC20:BF20)</f>
        <v>0</v>
      </c>
      <c r="BH20" s="67"/>
      <c r="BI20" s="84">
        <v>0</v>
      </c>
      <c r="BJ20" s="71">
        <v>0</v>
      </c>
      <c r="BK20" s="71">
        <v>0</v>
      </c>
      <c r="BL20" s="71">
        <f>0-BI20-BJ20-BK20</f>
        <v>0</v>
      </c>
      <c r="BM20" s="93">
        <f>SUM(BI20:BL20)</f>
        <v>0</v>
      </c>
      <c r="BN20" s="67"/>
      <c r="BO20" s="84">
        <v>0</v>
      </c>
      <c r="BP20" s="71">
        <f>0-BO20</f>
        <v>0</v>
      </c>
      <c r="BQ20" s="71">
        <f>0-SUM(BO20:BP20)</f>
        <v>0</v>
      </c>
      <c r="BR20" s="71">
        <f>37.632-SUM(BO20:BQ20)</f>
        <v>37.631999999999998</v>
      </c>
      <c r="BS20" s="93">
        <f t="shared" si="2"/>
        <v>37.631999999999998</v>
      </c>
      <c r="BT20" s="67"/>
      <c r="BU20" s="84">
        <v>0</v>
      </c>
      <c r="BV20" s="71">
        <f>0-BU20</f>
        <v>0</v>
      </c>
      <c r="BW20" s="71">
        <f>0-SUM(BU20:BV20)</f>
        <v>0</v>
      </c>
      <c r="BX20" s="71">
        <f>271.4-SUM(BU20:BW20)</f>
        <v>271.39999999999998</v>
      </c>
      <c r="BY20" s="93">
        <f t="shared" si="3"/>
        <v>271.39999999999998</v>
      </c>
      <c r="BZ20" s="67"/>
      <c r="CA20" s="84">
        <v>0</v>
      </c>
      <c r="CB20" s="71">
        <f>0-CA20</f>
        <v>0</v>
      </c>
      <c r="CC20" s="71">
        <f>0-SUM(CA20:CB20)</f>
        <v>0</v>
      </c>
      <c r="CD20" s="71">
        <f>184.9-SUM(CA20:CC20)</f>
        <v>184.9</v>
      </c>
      <c r="CE20" s="93">
        <f t="shared" si="4"/>
        <v>184.9</v>
      </c>
      <c r="CF20" s="67"/>
      <c r="CG20" s="84">
        <v>0</v>
      </c>
      <c r="CH20" s="71">
        <f>0-CG20</f>
        <v>0</v>
      </c>
      <c r="CI20" s="71">
        <f>0-SUM(CG20:CH20)</f>
        <v>0</v>
      </c>
      <c r="CJ20" s="71">
        <f>254.6-SUM(CG20:CI20)</f>
        <v>254.6</v>
      </c>
      <c r="CK20" s="93">
        <f t="shared" si="5"/>
        <v>254.6</v>
      </c>
      <c r="CL20" s="67"/>
      <c r="CM20" s="84">
        <v>0</v>
      </c>
      <c r="CN20" s="71">
        <f>0-CM20</f>
        <v>0</v>
      </c>
      <c r="CO20" s="71">
        <f>0-SUM(CM20:CN20)</f>
        <v>0</v>
      </c>
      <c r="CP20" s="71">
        <f>199.8-SUM(CM20:CO20)</f>
        <v>199.8</v>
      </c>
      <c r="CQ20" s="93">
        <f t="shared" si="6"/>
        <v>199.8</v>
      </c>
      <c r="CR20" s="67"/>
      <c r="CS20" s="84">
        <v>0</v>
      </c>
      <c r="CT20" s="71">
        <f>0-CS20</f>
        <v>0</v>
      </c>
      <c r="CU20" s="71">
        <f>0-SUM(CS20:CT20)</f>
        <v>0</v>
      </c>
      <c r="CV20" s="71">
        <f>-184.2-SUM(CS20:CU20)</f>
        <v>-184.2</v>
      </c>
      <c r="CW20" s="93">
        <f t="shared" si="7"/>
        <v>-184.2</v>
      </c>
      <c r="CX20" s="67"/>
      <c r="CY20" s="84">
        <v>0</v>
      </c>
      <c r="CZ20" s="71">
        <f>0-CY20</f>
        <v>0</v>
      </c>
      <c r="DA20" s="71">
        <f>0-SUM(CY20:CZ20)</f>
        <v>0</v>
      </c>
      <c r="DB20" s="71">
        <f>-383.9-SUM(CY20:DA20)</f>
        <v>-383.9</v>
      </c>
      <c r="DC20" s="93">
        <f t="shared" si="8"/>
        <v>-383.9</v>
      </c>
      <c r="DD20" s="67"/>
      <c r="DE20" s="84">
        <v>0</v>
      </c>
      <c r="DF20" s="71">
        <f t="shared" si="18"/>
        <v>0</v>
      </c>
      <c r="DG20" s="71">
        <f t="shared" si="19"/>
        <v>0</v>
      </c>
      <c r="DH20" s="71">
        <f>-426.9-SUM(DE20:DG20)</f>
        <v>-426.9</v>
      </c>
      <c r="DI20" s="93">
        <f t="shared" si="9"/>
        <v>-426.9</v>
      </c>
      <c r="DJ20" s="67"/>
      <c r="DK20" s="82">
        <f>BS!DH15-BS!DK15+BS!DH21-BS!DK21+BS!DK40-BS!DH40</f>
        <v>202.21600000000035</v>
      </c>
      <c r="DL20" s="67">
        <f>BS!DK15-BS!DL15+BS!DK21-BS!DL21+BS!DL40-BS!DK40</f>
        <v>146.50872000000072</v>
      </c>
      <c r="DM20" s="67">
        <f>BS!DL15-BS!DM15+BS!DL21-BS!DM21+BS!DM40-BS!DL40</f>
        <v>-23.916196000000127</v>
      </c>
      <c r="DN20" s="67">
        <f>BS!DM15-BS!DN15+BS!DM21-BS!DN21+BS!DN40-BS!DM40</f>
        <v>-91.230216000000382</v>
      </c>
      <c r="DO20" s="93">
        <f t="shared" si="10"/>
        <v>233.57830800000056</v>
      </c>
      <c r="DP20" s="67"/>
      <c r="DQ20" s="82">
        <f>BS!DN15-BS!DQ15+BS!DN21-BS!DQ21+BS!DQ40-BS!DN40</f>
        <v>86.506867000000511</v>
      </c>
      <c r="DR20" s="67">
        <f>BS!DQ15-BS!DR15+BS!DQ21-BS!DR21+BS!DR40-BS!DQ40</f>
        <v>137.57508179999968</v>
      </c>
      <c r="DS20" s="67">
        <f>BS!DR15-BS!DS15+BS!DR21-BS!DS21+BS!DS40-BS!DR40</f>
        <v>-68.74974359999942</v>
      </c>
      <c r="DT20" s="67">
        <f>BS!DS15-BS!DT15+BS!DS21-BS!DT21+BS!DT40-BS!DS40</f>
        <v>-122.80289110000058</v>
      </c>
      <c r="DU20" s="93">
        <f t="shared" si="11"/>
        <v>32.529314100000192</v>
      </c>
      <c r="DV20" s="67"/>
      <c r="DW20" s="82">
        <f>BS!DT15-BS!DW15+BS!DT21-BS!DW21+BS!DW40-BS!DT40</f>
        <v>147.01527273000011</v>
      </c>
      <c r="DX20" s="67">
        <f>BS!DW15-BS!DX15+BS!DW21-BS!DX21+BS!DX40-BS!DW40</f>
        <v>142.40488124959938</v>
      </c>
      <c r="DY20" s="67">
        <f>BS!DX15-BS!DY15+BS!DX21-BS!DY21+BS!DY40-BS!DX40</f>
        <v>-71.132716887199422</v>
      </c>
      <c r="DZ20" s="67">
        <f>BS!DY15-BS!DZ15+BS!DY21-BS!DZ21+BS!DZ40-BS!DY40</f>
        <v>-130.76195727619961</v>
      </c>
      <c r="EA20" s="93">
        <f t="shared" si="12"/>
        <v>87.525479816200459</v>
      </c>
      <c r="EB20" s="67"/>
      <c r="EC20" s="82">
        <f>BS!DZ15-BS!EC15+BS!DZ21-BS!EC21+BS!EC40-BS!DZ40</f>
        <v>155.74327969092428</v>
      </c>
      <c r="ED20" s="67">
        <f>BS!EC15-BS!ED15+BS!EC21-BS!ED21+BS!ED40-BS!EC40</f>
        <v>147.40392871975382</v>
      </c>
      <c r="EE20" s="67">
        <f>BS!ED15-BS!EE15+BS!ED21-BS!EE21+BS!EE40-BS!ED40</f>
        <v>-73.598096840673861</v>
      </c>
      <c r="EF20" s="67">
        <f>BS!EE15-BS!EF15+BS!EE21-BS!EF21+BS!EF40-BS!EE40</f>
        <v>-139.17962669361623</v>
      </c>
      <c r="EG20" s="93">
        <f t="shared" si="13"/>
        <v>90.369484876388015</v>
      </c>
      <c r="EH20" s="67"/>
      <c r="EI20" s="177"/>
      <c r="EJ20" s="19"/>
      <c r="EK20" s="19"/>
      <c r="EL20" s="19"/>
    </row>
    <row r="21" spans="1:148" ht="12.75" customHeight="1" outlineLevel="1" x14ac:dyDescent="0.2">
      <c r="A21" s="104" t="s">
        <v>332</v>
      </c>
      <c r="B21" s="19"/>
      <c r="C21" s="19"/>
      <c r="D21" s="19"/>
      <c r="E21" s="92"/>
      <c r="F21" s="67"/>
      <c r="G21" s="92"/>
      <c r="H21" s="67"/>
      <c r="I21" s="92"/>
      <c r="J21" s="67"/>
      <c r="K21" s="92"/>
      <c r="L21" s="67"/>
      <c r="M21" s="84"/>
      <c r="N21" s="71"/>
      <c r="O21" s="71"/>
      <c r="P21" s="71"/>
      <c r="Q21" s="93"/>
      <c r="R21" s="67"/>
      <c r="S21" s="84"/>
      <c r="T21" s="71"/>
      <c r="U21" s="71"/>
      <c r="V21" s="71"/>
      <c r="W21" s="93"/>
      <c r="X21" s="67"/>
      <c r="Y21" s="84"/>
      <c r="Z21" s="71"/>
      <c r="AA21" s="71"/>
      <c r="AB21" s="71"/>
      <c r="AC21" s="93"/>
      <c r="AD21" s="67"/>
      <c r="AE21" s="84"/>
      <c r="AF21" s="71"/>
      <c r="AG21" s="71"/>
      <c r="AH21" s="71"/>
      <c r="AI21" s="93"/>
      <c r="AJ21" s="67"/>
      <c r="AK21" s="84"/>
      <c r="AL21" s="71"/>
      <c r="AM21" s="71"/>
      <c r="AN21" s="71"/>
      <c r="AO21" s="93"/>
      <c r="AP21" s="67"/>
      <c r="AQ21" s="84"/>
      <c r="AR21" s="71"/>
      <c r="AS21" s="71"/>
      <c r="AT21" s="71"/>
      <c r="AU21" s="93"/>
      <c r="AV21" s="67"/>
      <c r="AW21" s="84"/>
      <c r="AX21" s="71"/>
      <c r="AY21" s="71"/>
      <c r="AZ21" s="71"/>
      <c r="BA21" s="93"/>
      <c r="BB21" s="67"/>
      <c r="BC21" s="84"/>
      <c r="BD21" s="71"/>
      <c r="BE21" s="71"/>
      <c r="BF21" s="71"/>
      <c r="BG21" s="93"/>
      <c r="BH21" s="67"/>
      <c r="BI21" s="84"/>
      <c r="BJ21" s="71"/>
      <c r="BK21" s="71"/>
      <c r="BL21" s="71"/>
      <c r="BM21" s="93"/>
      <c r="BN21" s="67"/>
      <c r="BO21" s="84">
        <v>38.345999999999997</v>
      </c>
      <c r="BP21" s="71">
        <f>-63.664-BO21</f>
        <v>-102.00999999999999</v>
      </c>
      <c r="BQ21" s="71">
        <f>-80.004-SUM(BO21:BP21)</f>
        <v>-16.340000000000011</v>
      </c>
      <c r="BR21" s="71">
        <f>-250.946-SUM(BO21:BQ21)</f>
        <v>-170.94200000000001</v>
      </c>
      <c r="BS21" s="93">
        <f t="shared" si="2"/>
        <v>-250.94600000000003</v>
      </c>
      <c r="BT21" s="67"/>
      <c r="BU21" s="84">
        <v>53.755000000000003</v>
      </c>
      <c r="BV21" s="71">
        <f>-20.669-BU21</f>
        <v>-74.424000000000007</v>
      </c>
      <c r="BW21" s="71">
        <f>0.551-SUM(BU21:BV21)</f>
        <v>21.220000000000002</v>
      </c>
      <c r="BX21" s="71">
        <f>-135.3-SUM(BU21:BW21)</f>
        <v>-135.851</v>
      </c>
      <c r="BY21" s="93">
        <f t="shared" si="3"/>
        <v>-135.30000000000001</v>
      </c>
      <c r="BZ21" s="67"/>
      <c r="CA21" s="84">
        <v>97.7</v>
      </c>
      <c r="CB21" s="71">
        <f>-6.7-CA21</f>
        <v>-104.4</v>
      </c>
      <c r="CC21" s="71">
        <f>134.5-SUM(CA21:CB21)</f>
        <v>141.19999999999999</v>
      </c>
      <c r="CD21" s="71">
        <f>-79.7-SUM(CA21:CC21)</f>
        <v>-214.2</v>
      </c>
      <c r="CE21" s="93">
        <f t="shared" si="4"/>
        <v>-79.699999999999989</v>
      </c>
      <c r="CF21" s="67"/>
      <c r="CG21" s="84">
        <v>105.9</v>
      </c>
      <c r="CH21" s="71">
        <f>-28.9-CG21</f>
        <v>-134.80000000000001</v>
      </c>
      <c r="CI21" s="71">
        <f>-5.4-SUM(CG21:CH21)</f>
        <v>23.500000000000007</v>
      </c>
      <c r="CJ21" s="71">
        <f>-48.7-SUM(CG21:CI21)</f>
        <v>-43.300000000000004</v>
      </c>
      <c r="CK21" s="93">
        <f t="shared" si="5"/>
        <v>-48.7</v>
      </c>
      <c r="CL21" s="67"/>
      <c r="CM21" s="84">
        <v>-5.9</v>
      </c>
      <c r="CN21" s="71">
        <f>-158.7-CM21</f>
        <v>-152.79999999999998</v>
      </c>
      <c r="CO21" s="71">
        <f>-106.5-SUM(CM21:CN21)</f>
        <v>52.199999999999989</v>
      </c>
      <c r="CP21" s="71">
        <f>-113.4-SUM(CM21:CO21)</f>
        <v>-6.9000000000000057</v>
      </c>
      <c r="CQ21" s="93">
        <f t="shared" si="6"/>
        <v>-113.4</v>
      </c>
      <c r="CR21" s="67"/>
      <c r="CS21" s="84">
        <v>104.2</v>
      </c>
      <c r="CT21" s="71">
        <f>1.3-CS21</f>
        <v>-102.9</v>
      </c>
      <c r="CU21" s="71">
        <f>85.1-SUM(CS21:CT21)</f>
        <v>83.8</v>
      </c>
      <c r="CV21" s="71">
        <f>0.8-SUM(CS21:CU21)</f>
        <v>-84.3</v>
      </c>
      <c r="CW21" s="93">
        <f t="shared" si="7"/>
        <v>0.79999999999999716</v>
      </c>
      <c r="CX21" s="67"/>
      <c r="CY21" s="84">
        <v>144.19999999999999</v>
      </c>
      <c r="CZ21" s="71">
        <f>-31.9-CY21</f>
        <v>-176.1</v>
      </c>
      <c r="DA21" s="71">
        <f>-94.8-SUM(CY21:CZ21)</f>
        <v>-62.899999999999991</v>
      </c>
      <c r="DB21" s="71">
        <f>-183.1-SUM(CY21:DA21)</f>
        <v>-88.3</v>
      </c>
      <c r="DC21" s="93">
        <f t="shared" si="8"/>
        <v>-183.1</v>
      </c>
      <c r="DD21" s="67"/>
      <c r="DE21" s="84">
        <v>168.3</v>
      </c>
      <c r="DF21" s="71">
        <f>72.1-DE21</f>
        <v>-96.200000000000017</v>
      </c>
      <c r="DG21" s="71">
        <f>74.6-SUM(DE21:DF21)</f>
        <v>2.5</v>
      </c>
      <c r="DH21" s="71">
        <f>-161.4-SUM(DE21:DG21)</f>
        <v>-236</v>
      </c>
      <c r="DI21" s="93">
        <f t="shared" si="9"/>
        <v>-161.4</v>
      </c>
      <c r="DJ21" s="67"/>
      <c r="DK21" s="82">
        <f>+BS!DH13-BS!DK13</f>
        <v>328.92800000000034</v>
      </c>
      <c r="DL21" s="67">
        <f>+BS!DK13-BS!DL13</f>
        <v>-159.65890000000036</v>
      </c>
      <c r="DM21" s="67">
        <f>+BS!DL13-BS!DM13</f>
        <v>54.148059999999987</v>
      </c>
      <c r="DN21" s="67">
        <f>+BS!DM13-BS!DN13</f>
        <v>-399.66217999999981</v>
      </c>
      <c r="DO21" s="93">
        <f t="shared" si="10"/>
        <v>-176.24501999999984</v>
      </c>
      <c r="DP21" s="67"/>
      <c r="DQ21" s="82">
        <f>+BS!DN13-BS!DQ13</f>
        <v>405.88193249999949</v>
      </c>
      <c r="DR21" s="67">
        <f>+BS!DQ13-BS!DR13</f>
        <v>-170.69500889999972</v>
      </c>
      <c r="DS21" s="67">
        <f>+BS!DR13-BS!DS13</f>
        <v>85.300607799999398</v>
      </c>
      <c r="DT21" s="67">
        <f>+BS!DS13-BS!DT13</f>
        <v>-408.53622184999995</v>
      </c>
      <c r="DU21" s="93">
        <f t="shared" si="11"/>
        <v>-88.048690450000777</v>
      </c>
      <c r="DV21" s="67"/>
      <c r="DW21" s="82">
        <f>+BS!DT13-BS!DW13</f>
        <v>404.30432502500071</v>
      </c>
      <c r="DX21" s="67">
        <f>+BS!DW13-BS!DX13</f>
        <v>-175.34929407600021</v>
      </c>
      <c r="DY21" s="67">
        <f>+BS!DX13-BS!DY13</f>
        <v>87.58879318199979</v>
      </c>
      <c r="DZ21" s="67">
        <f>+BS!DY13-BS!DZ13</f>
        <v>-419.43223487550085</v>
      </c>
      <c r="EA21" s="93">
        <f t="shared" si="12"/>
        <v>-102.88841074450056</v>
      </c>
      <c r="EB21" s="67"/>
      <c r="EC21" s="82">
        <f>+BS!DZ13-BS!EC13</f>
        <v>415.78729404293881</v>
      </c>
      <c r="ED21" s="67">
        <f>+BS!EC13-BS!ED13</f>
        <v>-180.09878508992551</v>
      </c>
      <c r="EE21" s="67">
        <f>+BS!ED13-BS!EE13</f>
        <v>89.922486741425473</v>
      </c>
      <c r="EF21" s="67">
        <f>+BS!EE13-BS!EF13</f>
        <v>-430.53746170166914</v>
      </c>
      <c r="EG21" s="93">
        <f t="shared" si="13"/>
        <v>-104.92646600723037</v>
      </c>
      <c r="EH21" s="67"/>
      <c r="EI21" s="177"/>
      <c r="EJ21" s="19"/>
      <c r="EK21" s="19"/>
      <c r="EL21" s="19"/>
    </row>
    <row r="22" spans="1:148" ht="12.75" customHeight="1" outlineLevel="1" x14ac:dyDescent="0.2">
      <c r="A22" s="104" t="s">
        <v>333</v>
      </c>
      <c r="B22" s="19"/>
      <c r="C22" s="19"/>
      <c r="D22" s="19"/>
      <c r="E22" s="92"/>
      <c r="F22" s="67"/>
      <c r="G22" s="92"/>
      <c r="H22" s="67"/>
      <c r="I22" s="92"/>
      <c r="J22" s="67"/>
      <c r="K22" s="92"/>
      <c r="L22" s="67"/>
      <c r="M22" s="84"/>
      <c r="N22" s="71"/>
      <c r="O22" s="71"/>
      <c r="P22" s="71"/>
      <c r="Q22" s="93"/>
      <c r="R22" s="67"/>
      <c r="S22" s="84"/>
      <c r="T22" s="71"/>
      <c r="U22" s="71"/>
      <c r="V22" s="71"/>
      <c r="W22" s="93"/>
      <c r="X22" s="67"/>
      <c r="Y22" s="84"/>
      <c r="Z22" s="71"/>
      <c r="AA22" s="71"/>
      <c r="AB22" s="71"/>
      <c r="AC22" s="93"/>
      <c r="AD22" s="67"/>
      <c r="AE22" s="84"/>
      <c r="AF22" s="71"/>
      <c r="AG22" s="71"/>
      <c r="AH22" s="71"/>
      <c r="AI22" s="93"/>
      <c r="AJ22" s="67"/>
      <c r="AK22" s="84"/>
      <c r="AL22" s="71"/>
      <c r="AM22" s="71"/>
      <c r="AN22" s="71"/>
      <c r="AO22" s="93"/>
      <c r="AP22" s="67"/>
      <c r="AQ22" s="84"/>
      <c r="AR22" s="71"/>
      <c r="AS22" s="71"/>
      <c r="AT22" s="71"/>
      <c r="AU22" s="93"/>
      <c r="AV22" s="67"/>
      <c r="AW22" s="84"/>
      <c r="AX22" s="71"/>
      <c r="AY22" s="71"/>
      <c r="AZ22" s="71"/>
      <c r="BA22" s="93"/>
      <c r="BB22" s="67"/>
      <c r="BC22" s="84"/>
      <c r="BD22" s="71"/>
      <c r="BE22" s="71"/>
      <c r="BF22" s="71"/>
      <c r="BG22" s="93"/>
      <c r="BH22" s="67"/>
      <c r="BI22" s="84"/>
      <c r="BJ22" s="71"/>
      <c r="BK22" s="71"/>
      <c r="BL22" s="71"/>
      <c r="BM22" s="93"/>
      <c r="BN22" s="67"/>
      <c r="BO22" s="84">
        <v>-73.878</v>
      </c>
      <c r="BP22" s="71">
        <f>-157.413-BO22</f>
        <v>-83.535000000000011</v>
      </c>
      <c r="BQ22" s="71">
        <f>-200.909-SUM(BO22:BP22)</f>
        <v>-43.495999999999981</v>
      </c>
      <c r="BR22" s="71">
        <f>-161.699-SUM(BO22:BQ22)</f>
        <v>39.20999999999998</v>
      </c>
      <c r="BS22" s="93">
        <f t="shared" si="2"/>
        <v>-161.69900000000001</v>
      </c>
      <c r="BT22" s="67"/>
      <c r="BU22" s="84">
        <v>-39.484000000000002</v>
      </c>
      <c r="BV22" s="71">
        <f>-27.668-BU22</f>
        <v>11.816000000000003</v>
      </c>
      <c r="BW22" s="71">
        <f>13.592-SUM(BU22:BV22)</f>
        <v>41.26</v>
      </c>
      <c r="BX22" s="71">
        <f>162-SUM(BU22:BW22)</f>
        <v>148.40800000000002</v>
      </c>
      <c r="BY22" s="93">
        <f t="shared" si="3"/>
        <v>162</v>
      </c>
      <c r="BZ22" s="67"/>
      <c r="CA22" s="84">
        <v>-76.099999999999994</v>
      </c>
      <c r="CB22" s="71">
        <f>-26.6-CA22</f>
        <v>49.499999999999993</v>
      </c>
      <c r="CC22" s="71">
        <f>-53.5-SUM(CA22:CB22)</f>
        <v>-26.9</v>
      </c>
      <c r="CD22" s="71">
        <f>69.8-SUM(CA22:CC22)</f>
        <v>123.3</v>
      </c>
      <c r="CE22" s="93">
        <f t="shared" si="4"/>
        <v>69.8</v>
      </c>
      <c r="CF22" s="67"/>
      <c r="CG22" s="84">
        <v>-89.4</v>
      </c>
      <c r="CH22" s="71">
        <f>-112.5-CG22</f>
        <v>-23.099999999999994</v>
      </c>
      <c r="CI22" s="71">
        <f>-119-SUM(CG22:CH22)</f>
        <v>-6.5</v>
      </c>
      <c r="CJ22" s="71">
        <f>62.9-SUM(CG22:CI22)</f>
        <v>181.9</v>
      </c>
      <c r="CK22" s="93">
        <f t="shared" si="5"/>
        <v>62.900000000000006</v>
      </c>
      <c r="CL22" s="67"/>
      <c r="CM22" s="84">
        <v>-67</v>
      </c>
      <c r="CN22" s="71">
        <f>-58.8-CM22</f>
        <v>8.2000000000000028</v>
      </c>
      <c r="CO22" s="71">
        <f>-89.1-SUM(CM22:CN22)</f>
        <v>-30.299999999999997</v>
      </c>
      <c r="CP22" s="71">
        <f>49.9-SUM(CM22:CO22)</f>
        <v>139</v>
      </c>
      <c r="CQ22" s="93">
        <f t="shared" si="6"/>
        <v>49.900000000000006</v>
      </c>
      <c r="CR22" s="67"/>
      <c r="CS22" s="84">
        <v>-111.1</v>
      </c>
      <c r="CT22" s="71">
        <f>-102.6-CS22</f>
        <v>8.5</v>
      </c>
      <c r="CU22" s="71">
        <f>-40.8-SUM(CS22:CT22)</f>
        <v>61.8</v>
      </c>
      <c r="CV22" s="71">
        <f>146.5-SUM(CS22:CU22)</f>
        <v>187.3</v>
      </c>
      <c r="CW22" s="93">
        <f t="shared" si="7"/>
        <v>146.5</v>
      </c>
      <c r="CX22" s="67"/>
      <c r="CY22" s="84">
        <v>-110.6</v>
      </c>
      <c r="CZ22" s="71">
        <f>-141.8-CY22</f>
        <v>-31.200000000000017</v>
      </c>
      <c r="DA22" s="71">
        <f>-138.5-SUM(CY22:CZ22)</f>
        <v>3.3000000000000114</v>
      </c>
      <c r="DB22" s="71">
        <f>9.4-SUM(CY22:DA22)</f>
        <v>147.9</v>
      </c>
      <c r="DC22" s="93">
        <f t="shared" si="8"/>
        <v>9.4000000000000057</v>
      </c>
      <c r="DD22" s="67"/>
      <c r="DE22" s="84">
        <v>-56.9</v>
      </c>
      <c r="DF22" s="71">
        <f>-45.4-DE22</f>
        <v>11.5</v>
      </c>
      <c r="DG22" s="71">
        <f>-98.2-SUM(DE22:DF22)</f>
        <v>-52.800000000000004</v>
      </c>
      <c r="DH22" s="71">
        <f>-27.4-SUM(DE22:DG22)</f>
        <v>70.800000000000011</v>
      </c>
      <c r="DI22" s="93">
        <f t="shared" si="9"/>
        <v>-27.399999999999991</v>
      </c>
      <c r="DJ22" s="67"/>
      <c r="DK22" s="82">
        <f>+BS!DH14-BS!DK14</f>
        <v>-12.161568451426774</v>
      </c>
      <c r="DL22" s="67">
        <f>+BS!DK14-BS!DL14</f>
        <v>-11.309400937690498</v>
      </c>
      <c r="DM22" s="67">
        <f>+BS!DL14-BS!DM14</f>
        <v>-71.279314022997596</v>
      </c>
      <c r="DN22" s="67">
        <f>+BS!DM14-BS!DN14</f>
        <v>111.16917022700659</v>
      </c>
      <c r="DO22" s="93">
        <f t="shared" si="10"/>
        <v>16.418886814891721</v>
      </c>
      <c r="DP22" s="67"/>
      <c r="DQ22" s="82">
        <f>+BS!DN14-BS!DQ14</f>
        <v>2.476334079263097</v>
      </c>
      <c r="DR22" s="67">
        <f>+BS!DQ14-BS!DR14</f>
        <v>-15.581154224678585</v>
      </c>
      <c r="DS22" s="67">
        <f>+BS!DR14-BS!DS14</f>
        <v>-65.251020563315706</v>
      </c>
      <c r="DT22" s="67">
        <f>+BS!DS14-BS!DT14</f>
        <v>117.94951931333549</v>
      </c>
      <c r="DU22" s="93">
        <f t="shared" si="11"/>
        <v>39.593678604604293</v>
      </c>
      <c r="DV22" s="67"/>
      <c r="DW22" s="82">
        <f>+BS!DT14-BS!DW14</f>
        <v>41.599362803887971</v>
      </c>
      <c r="DX22" s="67">
        <f>+BS!DW14-BS!DX14</f>
        <v>-10.131025775065609</v>
      </c>
      <c r="DY22" s="67">
        <f>+BS!DX14-BS!DY14</f>
        <v>-71.174024335329023</v>
      </c>
      <c r="DZ22" s="67">
        <f>+BS!DY14-BS!DZ14</f>
        <v>130.33255206343642</v>
      </c>
      <c r="EA22" s="93">
        <f t="shared" si="12"/>
        <v>90.626864756929763</v>
      </c>
      <c r="EB22" s="67"/>
      <c r="EC22" s="82">
        <f>+BS!DZ14-BS!EC14</f>
        <v>30.068347552205068</v>
      </c>
      <c r="ED22" s="67">
        <f>+BS!EC14-BS!ED14</f>
        <v>-3.4436544629184027</v>
      </c>
      <c r="EE22" s="67">
        <f>+BS!ED14-BS!EE14</f>
        <v>-77.953540576304022</v>
      </c>
      <c r="EF22" s="67">
        <f>+BS!EE14-BS!EF14</f>
        <v>141.48287926175294</v>
      </c>
      <c r="EG22" s="93">
        <f t="shared" si="13"/>
        <v>90.154031774735586</v>
      </c>
      <c r="EH22" s="67"/>
      <c r="EI22" s="177"/>
      <c r="EJ22" s="19"/>
      <c r="EK22" s="19"/>
      <c r="EL22" s="19"/>
    </row>
    <row r="23" spans="1:148" ht="12.75" customHeight="1" outlineLevel="1" x14ac:dyDescent="0.2">
      <c r="A23" s="104" t="s">
        <v>334</v>
      </c>
      <c r="B23" s="19"/>
      <c r="C23" s="19"/>
      <c r="D23" s="19"/>
      <c r="E23" s="92"/>
      <c r="F23" s="67"/>
      <c r="G23" s="92"/>
      <c r="H23" s="67"/>
      <c r="I23" s="92"/>
      <c r="J23" s="67"/>
      <c r="K23" s="92"/>
      <c r="L23" s="67"/>
      <c r="M23" s="84"/>
      <c r="N23" s="71"/>
      <c r="O23" s="71"/>
      <c r="P23" s="71"/>
      <c r="Q23" s="93"/>
      <c r="R23" s="67"/>
      <c r="S23" s="84"/>
      <c r="T23" s="71"/>
      <c r="U23" s="71"/>
      <c r="V23" s="71"/>
      <c r="W23" s="93"/>
      <c r="X23" s="67"/>
      <c r="Y23" s="84"/>
      <c r="Z23" s="71"/>
      <c r="AA23" s="71"/>
      <c r="AB23" s="71"/>
      <c r="AC23" s="93"/>
      <c r="AD23" s="67"/>
      <c r="AE23" s="84"/>
      <c r="AF23" s="71"/>
      <c r="AG23" s="71"/>
      <c r="AH23" s="71"/>
      <c r="AI23" s="93"/>
      <c r="AJ23" s="67"/>
      <c r="AK23" s="84"/>
      <c r="AL23" s="71"/>
      <c r="AM23" s="71"/>
      <c r="AN23" s="71"/>
      <c r="AO23" s="93"/>
      <c r="AP23" s="67"/>
      <c r="AQ23" s="84"/>
      <c r="AR23" s="71"/>
      <c r="AS23" s="71"/>
      <c r="AT23" s="71"/>
      <c r="AU23" s="93"/>
      <c r="AV23" s="67"/>
      <c r="AW23" s="84"/>
      <c r="AX23" s="71"/>
      <c r="AY23" s="71"/>
      <c r="AZ23" s="71"/>
      <c r="BA23" s="93"/>
      <c r="BB23" s="67"/>
      <c r="BC23" s="84"/>
      <c r="BD23" s="71"/>
      <c r="BE23" s="71"/>
      <c r="BF23" s="71"/>
      <c r="BG23" s="93"/>
      <c r="BH23" s="67"/>
      <c r="BI23" s="84"/>
      <c r="BJ23" s="71"/>
      <c r="BK23" s="71"/>
      <c r="BL23" s="71"/>
      <c r="BM23" s="93"/>
      <c r="BN23" s="67"/>
      <c r="BO23" s="84">
        <v>90.453999999999994</v>
      </c>
      <c r="BP23" s="71">
        <f>174.265-BO23</f>
        <v>83.810999999999993</v>
      </c>
      <c r="BQ23" s="71">
        <f>185.381-SUM(BO23:BP23)</f>
        <v>11.116000000000014</v>
      </c>
      <c r="BR23" s="71">
        <f>217.23-SUM(BO23:BQ23)</f>
        <v>31.84899999999999</v>
      </c>
      <c r="BS23" s="93">
        <f t="shared" si="2"/>
        <v>217.23</v>
      </c>
      <c r="BT23" s="67"/>
      <c r="BU23" s="84">
        <v>35.499000000000002</v>
      </c>
      <c r="BV23" s="71">
        <f>43.753-BU23</f>
        <v>8.2539999999999978</v>
      </c>
      <c r="BW23" s="71">
        <f>27.483-SUM(BU23:BV23)</f>
        <v>-16.27</v>
      </c>
      <c r="BX23" s="71">
        <f>36.6-SUM(BU23:BW23)</f>
        <v>9.1170000000000009</v>
      </c>
      <c r="BY23" s="93">
        <f t="shared" si="3"/>
        <v>36.6</v>
      </c>
      <c r="BZ23" s="67"/>
      <c r="CA23" s="84">
        <v>23.5</v>
      </c>
      <c r="CB23" s="71">
        <f>71.4-CA23</f>
        <v>47.900000000000006</v>
      </c>
      <c r="CC23" s="71">
        <f>38.5-SUM(CA23:CB23)</f>
        <v>-32.900000000000006</v>
      </c>
      <c r="CD23" s="71">
        <f>57-SUM(CA23:CC23)</f>
        <v>18.5</v>
      </c>
      <c r="CE23" s="93">
        <f t="shared" si="4"/>
        <v>57</v>
      </c>
      <c r="CF23" s="67"/>
      <c r="CG23" s="84">
        <v>10.1</v>
      </c>
      <c r="CH23" s="71">
        <f>82-CG23</f>
        <v>71.900000000000006</v>
      </c>
      <c r="CI23" s="71">
        <f>99.7-SUM(CG23:CH23)</f>
        <v>17.700000000000003</v>
      </c>
      <c r="CJ23" s="71">
        <f>182.6-SUM(CG23:CI23)</f>
        <v>82.899999999999991</v>
      </c>
      <c r="CK23" s="93">
        <f t="shared" si="5"/>
        <v>182.6</v>
      </c>
      <c r="CL23" s="67"/>
      <c r="CM23" s="84">
        <v>-96.8</v>
      </c>
      <c r="CN23" s="71">
        <f>-51-CM23</f>
        <v>45.8</v>
      </c>
      <c r="CO23" s="71">
        <f>-62.8-SUM(CM23:CN23)</f>
        <v>-11.799999999999997</v>
      </c>
      <c r="CP23" s="71">
        <f>108.5-SUM(CM23:CO23)</f>
        <v>171.3</v>
      </c>
      <c r="CQ23" s="93">
        <f t="shared" si="6"/>
        <v>108.50000000000001</v>
      </c>
      <c r="CR23" s="67"/>
      <c r="CS23" s="84">
        <v>-84.8</v>
      </c>
      <c r="CT23" s="71">
        <f>-74.8-CS23</f>
        <v>10</v>
      </c>
      <c r="CU23" s="71">
        <f>-142.2-SUM(CS23:CT23)</f>
        <v>-67.399999999999991</v>
      </c>
      <c r="CV23" s="71">
        <f>50.3-SUM(CS23:CU23)</f>
        <v>192.5</v>
      </c>
      <c r="CW23" s="93">
        <f t="shared" si="7"/>
        <v>50.300000000000011</v>
      </c>
      <c r="CX23" s="67"/>
      <c r="CY23" s="84">
        <v>-155</v>
      </c>
      <c r="CZ23" s="71">
        <f>-54.7-CY23</f>
        <v>100.3</v>
      </c>
      <c r="DA23" s="71">
        <f>-38.1-SUM(CY23:CZ23)</f>
        <v>16.600000000000001</v>
      </c>
      <c r="DB23" s="71">
        <f>78.1-SUM(CY23:DA23)</f>
        <v>116.19999999999999</v>
      </c>
      <c r="DC23" s="93">
        <f t="shared" si="8"/>
        <v>78.099999999999994</v>
      </c>
      <c r="DD23" s="67"/>
      <c r="DE23" s="84">
        <v>-90.9</v>
      </c>
      <c r="DF23" s="71">
        <f>-104.1-DE23</f>
        <v>-13.199999999999989</v>
      </c>
      <c r="DG23" s="71">
        <f>-48.5-SUM(DE23:DF23)</f>
        <v>55.599999999999994</v>
      </c>
      <c r="DH23" s="71">
        <f>-54.4-SUM(DE23:DG23)</f>
        <v>-5.8999999999999986</v>
      </c>
      <c r="DI23" s="93">
        <f t="shared" si="9"/>
        <v>-54.4</v>
      </c>
      <c r="DJ23" s="67"/>
      <c r="DK23" s="82">
        <f>+BS!DK32-BS!DH32</f>
        <v>-114.67599999999993</v>
      </c>
      <c r="DL23" s="67">
        <f>+BS!DL32-BS!DK32</f>
        <v>91.270849524288906</v>
      </c>
      <c r="DM23" s="67">
        <f>+BS!DM32-BS!DL32</f>
        <v>-40.524605293716149</v>
      </c>
      <c r="DN23" s="67">
        <f>+BS!DN32-BS!DM32</f>
        <v>145.79846350033904</v>
      </c>
      <c r="DO23" s="93">
        <f t="shared" si="10"/>
        <v>81.868707730911865</v>
      </c>
      <c r="DP23" s="67"/>
      <c r="DQ23" s="82">
        <f>+BS!DQ32-BS!DN32</f>
        <v>-156.35154857624912</v>
      </c>
      <c r="DR23" s="67">
        <f>+BS!DR32-BS!DQ32</f>
        <v>101.82232271294106</v>
      </c>
      <c r="DS23" s="67">
        <f>+BS!DS32-BS!DR32</f>
        <v>-50.446121735132692</v>
      </c>
      <c r="DT23" s="67">
        <f>+BS!DT32-BS!DS32</f>
        <v>154.67573112872719</v>
      </c>
      <c r="DU23" s="93">
        <f t="shared" si="11"/>
        <v>49.700383530286445</v>
      </c>
      <c r="DV23" s="67"/>
      <c r="DW23" s="82">
        <f>+BS!DW32-BS!DT32</f>
        <v>-165.46166356423532</v>
      </c>
      <c r="DX23" s="67">
        <f>+BS!DX32-BS!DW32</f>
        <v>107.72547823927925</v>
      </c>
      <c r="DY23" s="67">
        <f>+BS!DY32-BS!DX32</f>
        <v>-52.505831203524167</v>
      </c>
      <c r="DZ23" s="67">
        <f>+BS!DZ32-BS!DY32</f>
        <v>164.50080973420449</v>
      </c>
      <c r="EA23" s="93">
        <f t="shared" si="12"/>
        <v>54.25879320572426</v>
      </c>
      <c r="EB23" s="67"/>
      <c r="EC23" s="82">
        <f>+BS!EC32-BS!DZ32</f>
        <v>-172.92231167501996</v>
      </c>
      <c r="ED23" s="67">
        <f>+BS!ED32-BS!EC32</f>
        <v>113.8872349045248</v>
      </c>
      <c r="EE23" s="67">
        <f>+BS!EE32-BS!ED32</f>
        <v>-54.613594948289574</v>
      </c>
      <c r="EF23" s="67">
        <f>+BS!EF32-BS!EE32</f>
        <v>178.93894065597465</v>
      </c>
      <c r="EG23" s="93">
        <f t="shared" si="13"/>
        <v>65.290268937189921</v>
      </c>
      <c r="EH23" s="67"/>
      <c r="EI23" s="177"/>
      <c r="EJ23" s="19"/>
      <c r="EK23" s="19"/>
      <c r="EL23" s="19"/>
    </row>
    <row r="24" spans="1:148" ht="12.75" customHeight="1" outlineLevel="1" x14ac:dyDescent="0.2">
      <c r="A24" s="104" t="s">
        <v>335</v>
      </c>
      <c r="B24" s="19"/>
      <c r="C24" s="19"/>
      <c r="D24" s="19"/>
      <c r="E24" s="92"/>
      <c r="F24" s="67"/>
      <c r="G24" s="92"/>
      <c r="H24" s="67"/>
      <c r="I24" s="92"/>
      <c r="J24" s="67"/>
      <c r="K24" s="92"/>
      <c r="L24" s="67"/>
      <c r="M24" s="84"/>
      <c r="N24" s="71"/>
      <c r="O24" s="71"/>
      <c r="P24" s="71"/>
      <c r="Q24" s="93"/>
      <c r="R24" s="67"/>
      <c r="S24" s="84"/>
      <c r="T24" s="71"/>
      <c r="U24" s="71"/>
      <c r="V24" s="71"/>
      <c r="W24" s="93"/>
      <c r="X24" s="67"/>
      <c r="Y24" s="84"/>
      <c r="Z24" s="71"/>
      <c r="AA24" s="71"/>
      <c r="AB24" s="71"/>
      <c r="AC24" s="93"/>
      <c r="AD24" s="67"/>
      <c r="AE24" s="84"/>
      <c r="AF24" s="71"/>
      <c r="AG24" s="71"/>
      <c r="AH24" s="71"/>
      <c r="AI24" s="93"/>
      <c r="AJ24" s="67"/>
      <c r="AK24" s="84"/>
      <c r="AL24" s="71"/>
      <c r="AM24" s="71"/>
      <c r="AN24" s="71"/>
      <c r="AO24" s="93"/>
      <c r="AP24" s="67"/>
      <c r="AQ24" s="84"/>
      <c r="AR24" s="71"/>
      <c r="AS24" s="71"/>
      <c r="AT24" s="71"/>
      <c r="AU24" s="93"/>
      <c r="AV24" s="67"/>
      <c r="AW24" s="84"/>
      <c r="AX24" s="71"/>
      <c r="AY24" s="71"/>
      <c r="AZ24" s="71"/>
      <c r="BA24" s="93"/>
      <c r="BB24" s="67"/>
      <c r="BC24" s="84"/>
      <c r="BD24" s="71"/>
      <c r="BE24" s="71"/>
      <c r="BF24" s="71"/>
      <c r="BG24" s="93"/>
      <c r="BH24" s="67"/>
      <c r="BI24" s="84"/>
      <c r="BJ24" s="71"/>
      <c r="BK24" s="71"/>
      <c r="BL24" s="71"/>
      <c r="BM24" s="93"/>
      <c r="BN24" s="67"/>
      <c r="BO24" s="84">
        <v>41.606000000000002</v>
      </c>
      <c r="BP24" s="71">
        <f>123.737-BO24</f>
        <v>82.131</v>
      </c>
      <c r="BQ24" s="71">
        <f>122.648-SUM(BO24:BP24)</f>
        <v>-1.0889999999999986</v>
      </c>
      <c r="BR24" s="71">
        <f>67.55-SUM(BO24:BQ24)</f>
        <v>-55.097999999999999</v>
      </c>
      <c r="BS24" s="93">
        <f t="shared" si="2"/>
        <v>67.55</v>
      </c>
      <c r="BT24" s="67"/>
      <c r="BU24" s="84">
        <v>29.608000000000001</v>
      </c>
      <c r="BV24" s="71">
        <f>43.304-BU24</f>
        <v>13.696000000000002</v>
      </c>
      <c r="BW24" s="71">
        <f>60.903-SUM(BU24:BV24)</f>
        <v>17.598999999999997</v>
      </c>
      <c r="BX24" s="71">
        <f>-111-SUM(BU24:BW24)</f>
        <v>-171.90299999999999</v>
      </c>
      <c r="BY24" s="93">
        <f t="shared" si="3"/>
        <v>-111</v>
      </c>
      <c r="BZ24" s="67"/>
      <c r="CA24" s="84">
        <v>84.6</v>
      </c>
      <c r="CB24" s="71">
        <f>76.3-CA24</f>
        <v>-8.2999999999999972</v>
      </c>
      <c r="CC24" s="71">
        <f>110.1-SUM(CA24:CB24)</f>
        <v>33.799999999999997</v>
      </c>
      <c r="CD24" s="71">
        <f>-100.3-SUM(CA24:CC24)</f>
        <v>-210.39999999999998</v>
      </c>
      <c r="CE24" s="93">
        <f t="shared" si="4"/>
        <v>-100.29999999999998</v>
      </c>
      <c r="CF24" s="67"/>
      <c r="CG24" s="84">
        <v>43.6</v>
      </c>
      <c r="CH24" s="71">
        <f>113.4-CG24</f>
        <v>69.800000000000011</v>
      </c>
      <c r="CI24" s="71">
        <f>157.3-SUM(CG24:CH24)</f>
        <v>43.900000000000006</v>
      </c>
      <c r="CJ24" s="71">
        <f>-120.2-SUM(CG24:CI24)</f>
        <v>-277.5</v>
      </c>
      <c r="CK24" s="93">
        <f t="shared" si="5"/>
        <v>-120.19999999999999</v>
      </c>
      <c r="CL24" s="67"/>
      <c r="CM24" s="84">
        <v>36.200000000000003</v>
      </c>
      <c r="CN24" s="71">
        <f>81.4-CM24</f>
        <v>45.2</v>
      </c>
      <c r="CO24" s="71">
        <f>108.5-SUM(CM24:CN24)</f>
        <v>27.099999999999994</v>
      </c>
      <c r="CP24" s="71">
        <f>-136.9-SUM(CM24:CO24)</f>
        <v>-245.4</v>
      </c>
      <c r="CQ24" s="93">
        <f t="shared" si="6"/>
        <v>-136.9</v>
      </c>
      <c r="CR24" s="67"/>
      <c r="CS24" s="84">
        <v>26.8</v>
      </c>
      <c r="CT24" s="71">
        <f>97.3-CS24</f>
        <v>70.5</v>
      </c>
      <c r="CU24" s="71">
        <f>214.6-SUM(CS24:CT24)</f>
        <v>117.3</v>
      </c>
      <c r="CV24" s="71">
        <f>-68.9-SUM(CS24:CU24)</f>
        <v>-283.5</v>
      </c>
      <c r="CW24" s="93">
        <f t="shared" si="7"/>
        <v>-68.900000000000006</v>
      </c>
      <c r="CX24" s="67"/>
      <c r="CY24" s="84">
        <v>47.3</v>
      </c>
      <c r="CZ24" s="71">
        <f>85.7-CY24</f>
        <v>38.400000000000006</v>
      </c>
      <c r="DA24" s="71">
        <f>171.9-SUM(CY24:CZ24)</f>
        <v>86.2</v>
      </c>
      <c r="DB24" s="71">
        <f>-62.4-SUM(CY24:DA24)</f>
        <v>-234.3</v>
      </c>
      <c r="DC24" s="93">
        <f t="shared" si="8"/>
        <v>-62.400000000000006</v>
      </c>
      <c r="DD24" s="67"/>
      <c r="DE24" s="84">
        <v>59.4</v>
      </c>
      <c r="DF24" s="71">
        <f>186.2-DE24</f>
        <v>126.79999999999998</v>
      </c>
      <c r="DG24" s="71">
        <f>242.3-SUM(DE24:DF24)</f>
        <v>56.100000000000023</v>
      </c>
      <c r="DH24" s="71">
        <f>4.4-SUM(DE24:DG24)</f>
        <v>-237.9</v>
      </c>
      <c r="DI24" s="93">
        <f t="shared" si="9"/>
        <v>4.4000000000000057</v>
      </c>
      <c r="DJ24" s="67"/>
      <c r="DK24" s="82">
        <f>+BS!DH16-BS!DK16+BS!DH22-BS!DK22</f>
        <v>68.272800000000075</v>
      </c>
      <c r="DL24" s="67">
        <f>+BS!DK16-BS!DL16+BS!DK22-BS!DL22</f>
        <v>-39.445140000000151</v>
      </c>
      <c r="DM24" s="67">
        <f>+BS!DL16-BS!DM16+BS!DL22-BS!DM22</f>
        <v>13.377755999999977</v>
      </c>
      <c r="DN24" s="67">
        <f>+BS!DM16-BS!DN16+BS!DM22-BS!DN22</f>
        <v>-98.740067999999837</v>
      </c>
      <c r="DO24" s="93">
        <f t="shared" si="10"/>
        <v>-56.534651999999937</v>
      </c>
      <c r="DP24" s="67"/>
      <c r="DQ24" s="82">
        <f>+BS!DN16-BS!DQ16+BS!DN22-BS!DQ22</f>
        <v>29.172926999999959</v>
      </c>
      <c r="DR24" s="67">
        <f>+BS!DQ16-BS!DR16+BS!DQ22-BS!DR22</f>
        <v>-45.858360599999969</v>
      </c>
      <c r="DS24" s="67">
        <f>+BS!DR16-BS!DS16+BS!DR22-BS!DS22</f>
        <v>22.916581199999882</v>
      </c>
      <c r="DT24" s="67">
        <f>+BS!DS16-BS!DT16+BS!DS22-BS!DT22</f>
        <v>-109.75599990000001</v>
      </c>
      <c r="DU24" s="93">
        <f t="shared" si="11"/>
        <v>-103.52485230000013</v>
      </c>
      <c r="DV24" s="67"/>
      <c r="DW24" s="82">
        <f>+BS!DT16-BS!DW16+BS!DT22-BS!DW22</f>
        <v>94.853308275000245</v>
      </c>
      <c r="DX24" s="67">
        <f>+BS!DW16-BS!DX16+BS!DW22-BS!DX22</f>
        <v>-47.82253474800018</v>
      </c>
      <c r="DY24" s="67">
        <f>+BS!DX16-BS!DY16+BS!DX22-BS!DY22</f>
        <v>23.887852685999974</v>
      </c>
      <c r="DZ24" s="67">
        <f>+BS!DY16-BS!DZ16+BS!DY22-BS!DZ22</f>
        <v>-114.39060951150009</v>
      </c>
      <c r="EA24" s="93">
        <f t="shared" si="12"/>
        <v>-43.471983298500049</v>
      </c>
      <c r="EB24" s="67"/>
      <c r="EC24" s="82">
        <f>+BS!DZ16-BS!EC16+BS!DZ22-BS!EC22</f>
        <v>98.82368931037513</v>
      </c>
      <c r="ED24" s="67">
        <f>+BS!EC16-BS!ED16+BS!EC22-BS!ED22</f>
        <v>-49.873509717210027</v>
      </c>
      <c r="EE24" s="67">
        <f>+BS!ED16-BS!EE16+BS!ED22-BS!EE22</f>
        <v>24.901611713010084</v>
      </c>
      <c r="EF24" s="67">
        <f>+BS!EE16-BS!EF16+BS!EE22-BS!EF22</f>
        <v>-119.22575862507767</v>
      </c>
      <c r="EG24" s="93">
        <f t="shared" si="13"/>
        <v>-45.373967318902487</v>
      </c>
      <c r="EH24" s="67"/>
      <c r="EI24" s="177"/>
      <c r="EJ24" s="19"/>
      <c r="EK24" s="19"/>
      <c r="EL24" s="19"/>
    </row>
    <row r="25" spans="1:148" ht="12.75" customHeight="1" outlineLevel="1" x14ac:dyDescent="0.2">
      <c r="A25" s="104" t="s">
        <v>336</v>
      </c>
      <c r="B25" s="19"/>
      <c r="C25" s="19"/>
      <c r="D25" s="19"/>
      <c r="E25" s="92"/>
      <c r="F25" s="67"/>
      <c r="G25" s="92"/>
      <c r="H25" s="67"/>
      <c r="I25" s="92"/>
      <c r="J25" s="67"/>
      <c r="K25" s="92"/>
      <c r="L25" s="67"/>
      <c r="M25" s="84"/>
      <c r="N25" s="71"/>
      <c r="O25" s="71"/>
      <c r="P25" s="71"/>
      <c r="Q25" s="93"/>
      <c r="R25" s="67"/>
      <c r="S25" s="84"/>
      <c r="T25" s="71"/>
      <c r="U25" s="71"/>
      <c r="V25" s="71"/>
      <c r="W25" s="93"/>
      <c r="X25" s="67"/>
      <c r="Y25" s="84"/>
      <c r="Z25" s="71"/>
      <c r="AA25" s="71"/>
      <c r="AB25" s="71"/>
      <c r="AC25" s="93"/>
      <c r="AD25" s="67"/>
      <c r="AE25" s="84"/>
      <c r="AF25" s="71"/>
      <c r="AG25" s="71"/>
      <c r="AH25" s="71"/>
      <c r="AI25" s="93"/>
      <c r="AJ25" s="67"/>
      <c r="AK25" s="84"/>
      <c r="AL25" s="71"/>
      <c r="AM25" s="71"/>
      <c r="AN25" s="71"/>
      <c r="AO25" s="93"/>
      <c r="AP25" s="67"/>
      <c r="AQ25" s="84"/>
      <c r="AR25" s="71"/>
      <c r="AS25" s="71"/>
      <c r="AT25" s="71"/>
      <c r="AU25" s="93"/>
      <c r="AV25" s="67"/>
      <c r="AW25" s="84"/>
      <c r="AX25" s="71"/>
      <c r="AY25" s="71"/>
      <c r="AZ25" s="71"/>
      <c r="BA25" s="93"/>
      <c r="BB25" s="67"/>
      <c r="BC25" s="84"/>
      <c r="BD25" s="71"/>
      <c r="BE25" s="71"/>
      <c r="BF25" s="71"/>
      <c r="BG25" s="93"/>
      <c r="BH25" s="67"/>
      <c r="BI25" s="84"/>
      <c r="BJ25" s="71"/>
      <c r="BK25" s="71"/>
      <c r="BL25" s="71"/>
      <c r="BM25" s="93"/>
      <c r="BN25" s="67"/>
      <c r="BO25" s="84">
        <v>-103.252</v>
      </c>
      <c r="BP25" s="71">
        <f>-47.252-BO25</f>
        <v>55.999999999999993</v>
      </c>
      <c r="BQ25" s="71">
        <f>110.321-SUM(BO25:BP25)</f>
        <v>157.57300000000001</v>
      </c>
      <c r="BR25" s="71">
        <f>228.169-SUM(BO25:BQ25)</f>
        <v>117.84800000000001</v>
      </c>
      <c r="BS25" s="93">
        <f t="shared" si="2"/>
        <v>228.16900000000001</v>
      </c>
      <c r="BT25" s="67"/>
      <c r="BU25" s="84">
        <v>-174.298</v>
      </c>
      <c r="BV25" s="71">
        <f>79.627-BU25</f>
        <v>253.92500000000001</v>
      </c>
      <c r="BW25" s="71">
        <f>-37.278-SUM(BU25:BV25)</f>
        <v>-116.905</v>
      </c>
      <c r="BX25" s="71">
        <f>-139.1-SUM(BU25:BW25)</f>
        <v>-101.822</v>
      </c>
      <c r="BY25" s="93">
        <f t="shared" si="3"/>
        <v>-139.1</v>
      </c>
      <c r="BZ25" s="67"/>
      <c r="CA25" s="84">
        <v>-215</v>
      </c>
      <c r="CB25" s="71">
        <f>26.5-CA25</f>
        <v>241.5</v>
      </c>
      <c r="CC25" s="71">
        <f>104.5-SUM(CA25:CB25)</f>
        <v>78</v>
      </c>
      <c r="CD25" s="71">
        <f>146.8-SUM(CA25:CC25)</f>
        <v>42.300000000000011</v>
      </c>
      <c r="CE25" s="93">
        <f t="shared" si="4"/>
        <v>146.80000000000001</v>
      </c>
      <c r="CF25" s="67"/>
      <c r="CG25" s="84">
        <v>-207</v>
      </c>
      <c r="CH25" s="71">
        <f>-156.3-CG25</f>
        <v>50.699999999999989</v>
      </c>
      <c r="CI25" s="71">
        <f>-115.4-SUM(CG25:CH25)</f>
        <v>40.900000000000006</v>
      </c>
      <c r="CJ25" s="71">
        <f>-88.9-SUM(CG25:CI25)</f>
        <v>26.5</v>
      </c>
      <c r="CK25" s="93">
        <f t="shared" si="5"/>
        <v>-88.9</v>
      </c>
      <c r="CL25" s="67"/>
      <c r="CM25" s="84">
        <v>-188.7</v>
      </c>
      <c r="CN25" s="71">
        <f>-62-CM25</f>
        <v>126.69999999999999</v>
      </c>
      <c r="CO25" s="71">
        <f>17-SUM(CM25:CN25)</f>
        <v>79</v>
      </c>
      <c r="CP25" s="71">
        <f>118.5-SUM(CM25:CO25)</f>
        <v>101.5</v>
      </c>
      <c r="CQ25" s="93">
        <f t="shared" si="6"/>
        <v>118.5</v>
      </c>
      <c r="CR25" s="67"/>
      <c r="CS25" s="84">
        <v>-229.3</v>
      </c>
      <c r="CT25" s="71">
        <f>-94.8-CS25</f>
        <v>134.5</v>
      </c>
      <c r="CU25" s="71">
        <f>-127.2-SUM(CS25:CT25)</f>
        <v>-32.399999999999991</v>
      </c>
      <c r="CV25" s="71">
        <f>168.8-SUM(CS25:CU25)</f>
        <v>296</v>
      </c>
      <c r="CW25" s="93">
        <f t="shared" si="7"/>
        <v>168.8</v>
      </c>
      <c r="CX25" s="67"/>
      <c r="CY25" s="84">
        <v>-39.299999999999997</v>
      </c>
      <c r="CZ25" s="71">
        <f>287.4-CY25</f>
        <v>326.7</v>
      </c>
      <c r="DA25" s="71">
        <f>257.4-SUM(CY25:CZ25)</f>
        <v>-30</v>
      </c>
      <c r="DB25" s="71">
        <f>262.7-SUM(CY25:DA25)</f>
        <v>5.3000000000000114</v>
      </c>
      <c r="DC25" s="93">
        <f t="shared" si="8"/>
        <v>262.7</v>
      </c>
      <c r="DD25" s="67"/>
      <c r="DE25" s="84">
        <v>-342.7</v>
      </c>
      <c r="DF25" s="71">
        <f>-308.7-DE25</f>
        <v>34</v>
      </c>
      <c r="DG25" s="71">
        <f>-214.6-SUM(DE25:DF25)</f>
        <v>94.1</v>
      </c>
      <c r="DH25" s="71">
        <f>312.7-SUM(DE25:DG25)</f>
        <v>527.29999999999995</v>
      </c>
      <c r="DI25" s="93">
        <f t="shared" si="9"/>
        <v>312.69999999999993</v>
      </c>
      <c r="DJ25" s="67"/>
      <c r="DK25" s="82">
        <f>+BS!DK33-BS!DH33+BS!DK34-BS!DH34</f>
        <v>-338.28799999999956</v>
      </c>
      <c r="DL25" s="67">
        <f>+BS!DL33-BS!DK33+BS!DL34-BS!DK34</f>
        <v>179.85726229786314</v>
      </c>
      <c r="DM25" s="67">
        <f>+BS!DM33-BS!DL33+BS!DM34-BS!DL34</f>
        <v>-79.857310431734277</v>
      </c>
      <c r="DN25" s="67">
        <f>+BS!DN33-BS!DM33+BS!DN34-BS!DM34</f>
        <v>287.3087368977267</v>
      </c>
      <c r="DO25" s="93">
        <f t="shared" si="10"/>
        <v>49.020688763856015</v>
      </c>
      <c r="DP25" s="67"/>
      <c r="DQ25" s="82">
        <f>+BS!DQ33-BS!DN33+BS!DQ34-BS!DN34</f>
        <v>-308.1045221943732</v>
      </c>
      <c r="DR25" s="67">
        <f>+BS!DR33-BS!DQ33+BS!DR34-BS!DQ34</f>
        <v>200.64987122844241</v>
      </c>
      <c r="DS25" s="67">
        <f>+BS!DS33-BS!DR33+BS!DS34-BS!DR34</f>
        <v>-99.408534007467097</v>
      </c>
      <c r="DT25" s="67">
        <f>+BS!DT33-BS!DS33+BS!DT34-BS!DS34</f>
        <v>304.80217604778591</v>
      </c>
      <c r="DU25" s="93">
        <f t="shared" si="11"/>
        <v>97.938991074388014</v>
      </c>
      <c r="DV25" s="67"/>
      <c r="DW25" s="82">
        <f>+BS!DW33-BS!DT33+BS!DW34-BS!DT34</f>
        <v>-326.05680761187523</v>
      </c>
      <c r="DX25" s="67">
        <f>+BS!DX33-BS!DW33+BS!DX34-BS!DW34</f>
        <v>212.28256005975618</v>
      </c>
      <c r="DY25" s="67">
        <f>+BS!DY33-BS!DX33+BS!DY34-BS!DX34</f>
        <v>-103.46737325400363</v>
      </c>
      <c r="DZ25" s="67">
        <f>+BS!DZ33-BS!DY33+BS!DZ34-BS!DY34</f>
        <v>324.16336035857921</v>
      </c>
      <c r="EA25" s="93">
        <f t="shared" si="12"/>
        <v>106.92173955245653</v>
      </c>
      <c r="EB25" s="67"/>
      <c r="EC25" s="82">
        <f>+BS!EC33-BS!DZ33+BS!EC34-BS!DZ34</f>
        <v>-340.75867300665686</v>
      </c>
      <c r="ED25" s="67">
        <f>+BS!ED33-BS!EC33+BS!ED34-BS!EC34</f>
        <v>224.42484525303416</v>
      </c>
      <c r="EE25" s="67">
        <f>+BS!EE33-BS!ED33+BS!EE34-BS!ED34</f>
        <v>-107.62090769221777</v>
      </c>
      <c r="EF25" s="67">
        <f>+BS!EF33-BS!EE33+BS!EF34-BS!EE34</f>
        <v>352.61497129265626</v>
      </c>
      <c r="EG25" s="93">
        <f t="shared" si="13"/>
        <v>128.66023584681579</v>
      </c>
      <c r="EH25" s="67"/>
      <c r="EI25" s="177"/>
      <c r="EJ25" s="19"/>
      <c r="EK25" s="19"/>
      <c r="EL25" s="19"/>
    </row>
    <row r="26" spans="1:148" s="384" customFormat="1" ht="12.75" customHeight="1" x14ac:dyDescent="0.2">
      <c r="A26" s="50" t="s">
        <v>589</v>
      </c>
      <c r="B26" s="480"/>
      <c r="C26" s="480"/>
      <c r="D26" s="480"/>
      <c r="E26" s="476"/>
      <c r="F26" s="164"/>
      <c r="G26" s="476"/>
      <c r="H26" s="164"/>
      <c r="I26" s="476"/>
      <c r="J26" s="164"/>
      <c r="K26" s="476"/>
      <c r="L26" s="164"/>
      <c r="M26" s="475"/>
      <c r="N26" s="344"/>
      <c r="O26" s="344"/>
      <c r="P26" s="344"/>
      <c r="Q26" s="163"/>
      <c r="R26" s="164"/>
      <c r="S26" s="475"/>
      <c r="T26" s="344"/>
      <c r="U26" s="344"/>
      <c r="V26" s="344"/>
      <c r="W26" s="163"/>
      <c r="X26" s="164"/>
      <c r="Y26" s="475"/>
      <c r="Z26" s="344"/>
      <c r="AA26" s="344"/>
      <c r="AB26" s="344"/>
      <c r="AC26" s="163"/>
      <c r="AD26" s="164"/>
      <c r="AE26" s="475"/>
      <c r="AF26" s="344"/>
      <c r="AG26" s="344"/>
      <c r="AH26" s="344"/>
      <c r="AI26" s="163"/>
      <c r="AJ26" s="164"/>
      <c r="AK26" s="475"/>
      <c r="AL26" s="344"/>
      <c r="AM26" s="344"/>
      <c r="AN26" s="344"/>
      <c r="AO26" s="163"/>
      <c r="AP26" s="164"/>
      <c r="AQ26" s="475"/>
      <c r="AR26" s="344"/>
      <c r="AS26" s="344"/>
      <c r="AT26" s="344"/>
      <c r="AU26" s="163"/>
      <c r="AV26" s="164"/>
      <c r="AW26" s="475"/>
      <c r="AX26" s="344"/>
      <c r="AY26" s="344"/>
      <c r="AZ26" s="344"/>
      <c r="BA26" s="163"/>
      <c r="BB26" s="164"/>
      <c r="BC26" s="475"/>
      <c r="BD26" s="344"/>
      <c r="BE26" s="344"/>
      <c r="BF26" s="344"/>
      <c r="BG26" s="163"/>
      <c r="BH26" s="164"/>
      <c r="BI26" s="475"/>
      <c r="BJ26" s="344"/>
      <c r="BK26" s="344"/>
      <c r="BL26" s="344"/>
      <c r="BM26" s="163"/>
      <c r="BN26" s="164"/>
      <c r="BO26" s="475"/>
      <c r="BP26" s="344"/>
      <c r="BQ26" s="344"/>
      <c r="BR26" s="344"/>
      <c r="BS26" s="163">
        <f>+SUM(BS20:BS25)</f>
        <v>137.93599999999998</v>
      </c>
      <c r="BT26" s="164"/>
      <c r="BU26" s="165">
        <f>+SUM(BU20:BU25)</f>
        <v>-94.92</v>
      </c>
      <c r="BV26" s="164">
        <f>+SUM(BV20:BV25)</f>
        <v>213.267</v>
      </c>
      <c r="BW26" s="164">
        <f>+SUM(BW20:BW25)</f>
        <v>-53.095999999999997</v>
      </c>
      <c r="BX26" s="164">
        <f>+SUM(BX20:BX25)</f>
        <v>19.349000000000018</v>
      </c>
      <c r="BY26" s="163">
        <f t="shared" ref="BY26" si="21">+SUM(BY20:BY25)</f>
        <v>84.6</v>
      </c>
      <c r="BZ26" s="164"/>
      <c r="CA26" s="165">
        <f t="shared" ref="CA26:CD26" si="22">+SUM(CA20:CA25)</f>
        <v>-85.300000000000011</v>
      </c>
      <c r="CB26" s="164">
        <f t="shared" si="22"/>
        <v>226.2</v>
      </c>
      <c r="CC26" s="164">
        <f t="shared" si="22"/>
        <v>193.2</v>
      </c>
      <c r="CD26" s="164">
        <f t="shared" si="22"/>
        <v>-55.599999999999952</v>
      </c>
      <c r="CE26" s="163">
        <f t="shared" ref="CE26" si="23">+SUM(CE20:CE25)</f>
        <v>278.5</v>
      </c>
      <c r="CF26" s="164"/>
      <c r="CG26" s="165">
        <f t="shared" ref="CG26:CJ26" si="24">+SUM(CG20:CG25)</f>
        <v>-136.80000000000001</v>
      </c>
      <c r="CH26" s="164">
        <f t="shared" si="24"/>
        <v>34.5</v>
      </c>
      <c r="CI26" s="164">
        <f t="shared" si="24"/>
        <v>119.50000000000003</v>
      </c>
      <c r="CJ26" s="164">
        <f t="shared" si="24"/>
        <v>225.09999999999997</v>
      </c>
      <c r="CK26" s="163">
        <f t="shared" ref="CK26" si="25">+SUM(CK20:CK25)</f>
        <v>242.29999999999998</v>
      </c>
      <c r="CL26" s="164"/>
      <c r="CM26" s="165">
        <f t="shared" ref="CM26:CP26" si="26">+SUM(CM20:CM25)</f>
        <v>-322.2</v>
      </c>
      <c r="CN26" s="164">
        <f t="shared" si="26"/>
        <v>73.100000000000023</v>
      </c>
      <c r="CO26" s="164">
        <f t="shared" si="26"/>
        <v>116.19999999999999</v>
      </c>
      <c r="CP26" s="164">
        <f t="shared" si="26"/>
        <v>359.29999999999995</v>
      </c>
      <c r="CQ26" s="163">
        <f t="shared" ref="CQ26" si="27">+SUM(CQ20:CQ25)</f>
        <v>226.4</v>
      </c>
      <c r="CR26" s="164"/>
      <c r="CS26" s="165">
        <f t="shared" ref="CS26:CV26" si="28">+SUM(CS20:CS25)</f>
        <v>-294.2</v>
      </c>
      <c r="CT26" s="164">
        <f t="shared" si="28"/>
        <v>120.6</v>
      </c>
      <c r="CU26" s="164">
        <f t="shared" si="28"/>
        <v>163.10000000000002</v>
      </c>
      <c r="CV26" s="164">
        <f t="shared" si="28"/>
        <v>123.80000000000001</v>
      </c>
      <c r="CW26" s="163">
        <f t="shared" ref="CW26" si="29">+SUM(CW20:CW25)</f>
        <v>113.30000000000004</v>
      </c>
      <c r="CX26" s="164"/>
      <c r="CY26" s="165">
        <f t="shared" ref="CY26:DB26" si="30">+SUM(CY20:CY25)</f>
        <v>-113.4</v>
      </c>
      <c r="CZ26" s="164">
        <f t="shared" si="30"/>
        <v>258.09999999999997</v>
      </c>
      <c r="DA26" s="164">
        <f t="shared" si="30"/>
        <v>13.200000000000024</v>
      </c>
      <c r="DB26" s="164">
        <f t="shared" si="30"/>
        <v>-437.09999999999997</v>
      </c>
      <c r="DC26" s="163">
        <f t="shared" ref="DC26" si="31">+SUM(DC20:DC25)</f>
        <v>-279.2</v>
      </c>
      <c r="DD26" s="164"/>
      <c r="DE26" s="165">
        <f t="shared" ref="DE26:DH26" si="32">+SUM(DE20:DE25)</f>
        <v>-262.79999999999995</v>
      </c>
      <c r="DF26" s="164">
        <f t="shared" si="32"/>
        <v>62.899999999999977</v>
      </c>
      <c r="DG26" s="164">
        <f t="shared" si="32"/>
        <v>155.5</v>
      </c>
      <c r="DH26" s="164">
        <f t="shared" si="32"/>
        <v>-308.59999999999991</v>
      </c>
      <c r="DI26" s="163">
        <f t="shared" ref="DI26" si="33">+SUM(DI20:DI25)</f>
        <v>-353</v>
      </c>
      <c r="DJ26" s="164"/>
      <c r="DK26" s="165">
        <f t="shared" ref="DK26:DN26" si="34">+SUM(DK20:DK25)</f>
        <v>134.2912315485745</v>
      </c>
      <c r="DL26" s="164">
        <f t="shared" si="34"/>
        <v>207.22339088446176</v>
      </c>
      <c r="DM26" s="164">
        <f t="shared" si="34"/>
        <v>-148.05160974844819</v>
      </c>
      <c r="DN26" s="164">
        <f t="shared" si="34"/>
        <v>-45.356093374927696</v>
      </c>
      <c r="DO26" s="163">
        <f t="shared" ref="DO26" si="35">+SUM(DO20:DO25)</f>
        <v>148.10691930966038</v>
      </c>
      <c r="DP26" s="164"/>
      <c r="DQ26" s="165">
        <f t="shared" ref="DQ26:DT26" si="36">+SUM(DQ20:DQ25)</f>
        <v>59.581989808640742</v>
      </c>
      <c r="DR26" s="164">
        <f t="shared" si="36"/>
        <v>207.91275201670487</v>
      </c>
      <c r="DS26" s="164">
        <f t="shared" si="36"/>
        <v>-175.63823090591563</v>
      </c>
      <c r="DT26" s="164">
        <f t="shared" si="36"/>
        <v>-63.667686360151947</v>
      </c>
      <c r="DU26" s="163">
        <f t="shared" ref="DU26" si="37">+SUM(DU20:DU25)</f>
        <v>28.188824559278032</v>
      </c>
      <c r="DV26" s="164"/>
      <c r="DW26" s="165">
        <f t="shared" ref="DW26:EA26" si="38">+SUM(DW20:DW25)</f>
        <v>196.25379765777848</v>
      </c>
      <c r="DX26" s="164">
        <f t="shared" si="38"/>
        <v>229.11006494956882</v>
      </c>
      <c r="DY26" s="164">
        <f t="shared" si="38"/>
        <v>-186.80329981205648</v>
      </c>
      <c r="DZ26" s="164">
        <f t="shared" si="38"/>
        <v>-45.588079506980421</v>
      </c>
      <c r="EA26" s="163">
        <f t="shared" si="38"/>
        <v>192.9724832883104</v>
      </c>
      <c r="EB26" s="164"/>
      <c r="EC26" s="165">
        <f t="shared" ref="EC26:EG26" si="39">+SUM(EC20:EC25)</f>
        <v>186.74162591476647</v>
      </c>
      <c r="ED26" s="164">
        <f t="shared" si="39"/>
        <v>252.30005960725885</v>
      </c>
      <c r="EE26" s="164">
        <f t="shared" si="39"/>
        <v>-198.96204160304967</v>
      </c>
      <c r="EF26" s="164">
        <f t="shared" si="39"/>
        <v>-15.906055809979193</v>
      </c>
      <c r="EG26" s="163">
        <f t="shared" si="39"/>
        <v>224.17358810899646</v>
      </c>
      <c r="EH26" s="164"/>
      <c r="EI26" s="1021"/>
      <c r="EJ26" s="480"/>
      <c r="EK26" s="480"/>
      <c r="EL26" s="480"/>
      <c r="EM26"/>
      <c r="EN26"/>
      <c r="EO26"/>
      <c r="EP26"/>
      <c r="EQ26"/>
      <c r="ER26"/>
    </row>
    <row r="27" spans="1:148" ht="12.75" customHeight="1" x14ac:dyDescent="0.2">
      <c r="A27" s="50" t="s">
        <v>337</v>
      </c>
      <c r="B27" s="480"/>
      <c r="C27" s="480"/>
      <c r="D27" s="480"/>
      <c r="E27" s="476">
        <f>-54.195+9.921+23.842</f>
        <v>-20.432000000000002</v>
      </c>
      <c r="F27" s="164"/>
      <c r="G27" s="476">
        <f>4.409+13.851-13.869</f>
        <v>4.3910000000000018</v>
      </c>
      <c r="H27" s="164"/>
      <c r="I27" s="476">
        <f>-60.327+11.149+45.852</f>
        <v>-3.3260000000000005</v>
      </c>
      <c r="J27" s="164"/>
      <c r="K27" s="476">
        <f>-15.926-38.451-0.081</f>
        <v>-54.458000000000006</v>
      </c>
      <c r="L27" s="164"/>
      <c r="M27" s="475">
        <f>39.127-11.953-9.525</f>
        <v>17.649000000000001</v>
      </c>
      <c r="N27" s="344">
        <f>52.015+10.915-6.365-M27</f>
        <v>38.915999999999997</v>
      </c>
      <c r="O27" s="344">
        <f>78.067+24.171-26.7-N27-M27</f>
        <v>18.972999999999999</v>
      </c>
      <c r="P27" s="344">
        <f>142.308+66.833-38.138-M27-N27-O27</f>
        <v>95.464999999999989</v>
      </c>
      <c r="Q27" s="163">
        <f>SUM(M27:P27)</f>
        <v>171.00299999999999</v>
      </c>
      <c r="R27" s="164"/>
      <c r="S27" s="475">
        <f>53.234+19.398+12.72</f>
        <v>85.352000000000004</v>
      </c>
      <c r="T27" s="344">
        <f>32.916+42.985+29.292-S27</f>
        <v>19.840999999999994</v>
      </c>
      <c r="U27" s="344">
        <f>28.765+44.306+52.986-T27-S27</f>
        <v>20.86399999999999</v>
      </c>
      <c r="V27" s="344">
        <f>129.565+59.03+77.544-S27-T27-U27</f>
        <v>140.08200000000005</v>
      </c>
      <c r="W27" s="163">
        <f>SUM(S27:V27)</f>
        <v>266.13900000000001</v>
      </c>
      <c r="X27" s="164"/>
      <c r="Y27" s="475">
        <f>22.992-15.383+14.103</f>
        <v>21.712000000000003</v>
      </c>
      <c r="Z27" s="344">
        <f>69.618+21.503-6.55-Y27</f>
        <v>62.858999999999995</v>
      </c>
      <c r="AA27" s="344">
        <f>-23.008-15.017+48.952-Z27-Y27</f>
        <v>-73.644000000000005</v>
      </c>
      <c r="AB27" s="344">
        <f>1.505+21.061+58.209-Y27-Z27-AA27</f>
        <v>69.848000000000013</v>
      </c>
      <c r="AC27" s="163">
        <f>SUM(Y27:AB27)</f>
        <v>80.775000000000006</v>
      </c>
      <c r="AD27" s="164"/>
      <c r="AE27" s="475">
        <f>-9.045-30.659+59.189</f>
        <v>19.484999999999999</v>
      </c>
      <c r="AF27" s="344">
        <f>-38.457-45.241+67.446-AE27</f>
        <v>-35.737000000000009</v>
      </c>
      <c r="AG27" s="344">
        <f>-49.765-44.28+57.932-AF27-AE27</f>
        <v>-19.86099999999999</v>
      </c>
      <c r="AH27" s="344">
        <f>-110.007+65.528+65.315-SUM(AE27:AG27)</f>
        <v>56.948999999999998</v>
      </c>
      <c r="AI27" s="163">
        <f>SUM(AE27:AH27)</f>
        <v>20.835999999999999</v>
      </c>
      <c r="AJ27" s="164"/>
      <c r="AK27" s="475">
        <f>70.401-32.141+32.642</f>
        <v>70.902000000000001</v>
      </c>
      <c r="AL27" s="344">
        <f>36.692-54.127+53.93-AK27</f>
        <v>-34.407000000000004</v>
      </c>
      <c r="AM27" s="344">
        <f>-14.144-81.756+71.412-AL27-AK27</f>
        <v>-60.982999999999997</v>
      </c>
      <c r="AN27" s="344">
        <f>-66.611-22.478+138.144-AK27-AL27-AM27</f>
        <v>73.543000000000006</v>
      </c>
      <c r="AO27" s="163">
        <f>SUM(AK27:AN27)</f>
        <v>49.055000000000007</v>
      </c>
      <c r="AP27" s="164"/>
      <c r="AQ27" s="475">
        <f>42.883-46.891+15.304</f>
        <v>11.296000000000005</v>
      </c>
      <c r="AR27" s="344">
        <f>4.855-40.212-19.72-AQ27</f>
        <v>-66.373000000000005</v>
      </c>
      <c r="AS27" s="344">
        <f>-30.033-47.882+4.336-AR27-AQ27</f>
        <v>-18.501999999999995</v>
      </c>
      <c r="AT27" s="344">
        <f>-50.848+3.368+80.758-SUM(AQ27:AS27)</f>
        <v>106.857</v>
      </c>
      <c r="AU27" s="163">
        <f>SUM(AQ27:AT27)</f>
        <v>33.278000000000006</v>
      </c>
      <c r="AV27" s="164"/>
      <c r="AW27" s="475">
        <f>11.567-27.623-14.946</f>
        <v>-31.002000000000002</v>
      </c>
      <c r="AX27" s="344">
        <f>-26.029-17.494+17.018-AW27</f>
        <v>4.497000000000007</v>
      </c>
      <c r="AY27" s="344">
        <f>-73.318-35.774+35.01-AX27-AW27</f>
        <v>-47.577000000000005</v>
      </c>
      <c r="AZ27" s="344">
        <f>-72.555+38.094+103.8-AW27-AX27-AY27</f>
        <v>143.42099999999999</v>
      </c>
      <c r="BA27" s="163">
        <f>SUM(AW27:AZ27)</f>
        <v>69.338999999999999</v>
      </c>
      <c r="BB27" s="164"/>
      <c r="BC27" s="475">
        <f>-55.362-60.258-10.381</f>
        <v>-126.001</v>
      </c>
      <c r="BD27" s="344">
        <f>-37.234-68.148+34.025-BC27</f>
        <v>54.644000000000005</v>
      </c>
      <c r="BE27" s="344">
        <f>-82.293-64.115+14.389-BD27-BC27</f>
        <v>-60.662000000000006</v>
      </c>
      <c r="BF27" s="344">
        <f>27.691+71.403+33.119+3.713-4.773-15.042</f>
        <v>116.11100000000002</v>
      </c>
      <c r="BG27" s="163">
        <f>SUM(BC27:BF27)</f>
        <v>-15.907999999999987</v>
      </c>
      <c r="BH27" s="164"/>
      <c r="BI27" s="475">
        <f>198.886-1.974-150.524</f>
        <v>46.388000000000005</v>
      </c>
      <c r="BJ27" s="344">
        <f>203.806+91.043-198.414-BI27</f>
        <v>50.047000000000054</v>
      </c>
      <c r="BK27" s="344">
        <f>145.814+112.59-146.746-BJ27-BI27</f>
        <v>15.222999999999928</v>
      </c>
      <c r="BL27" s="344">
        <f>106.132+211.595-89.853-BI27-BJ27-BK27</f>
        <v>116.21599999999998</v>
      </c>
      <c r="BM27" s="163">
        <f>SUM(BI27:BL27)</f>
        <v>227.87399999999997</v>
      </c>
      <c r="BN27" s="164"/>
      <c r="BO27" s="165">
        <f>BO12+SUM(BO14:BO25)</f>
        <v>395.49799999999999</v>
      </c>
      <c r="BP27" s="164">
        <f>BP12+SUM(BP14:BP25)</f>
        <v>520.65199999999993</v>
      </c>
      <c r="BQ27" s="164">
        <f>BQ12+SUM(BQ14:BQ25)</f>
        <v>560.92800000000011</v>
      </c>
      <c r="BR27" s="164">
        <f>BR12+SUM(BR14:BR25)</f>
        <v>541.62</v>
      </c>
      <c r="BS27" s="163">
        <f>BS12+SUM(BS14:BS25)</f>
        <v>2018.6979999999999</v>
      </c>
      <c r="BT27" s="164"/>
      <c r="BU27" s="165">
        <f>BU12+SUM(BU14:BU25)</f>
        <v>434.279</v>
      </c>
      <c r="BV27" s="164">
        <f>BV12+SUM(BV14:BV25)</f>
        <v>793.38300000000004</v>
      </c>
      <c r="BW27" s="164">
        <f>BW12+SUM(BW14:BW25)</f>
        <v>688.18099999999993</v>
      </c>
      <c r="BX27" s="164">
        <f>BX12+SUM(BX14:BX25)</f>
        <v>816.25700000000018</v>
      </c>
      <c r="BY27" s="163">
        <f>BY12+SUM(BY14:BY25)</f>
        <v>2732.1</v>
      </c>
      <c r="BZ27" s="164"/>
      <c r="CA27" s="165">
        <f>CA12+SUM(CA14:CA25)</f>
        <v>651.4</v>
      </c>
      <c r="CB27" s="164">
        <f>CB12+SUM(CB14:CB25)</f>
        <v>1044.5</v>
      </c>
      <c r="CC27" s="164">
        <f>CC12+SUM(CC14:CC25)</f>
        <v>975.40000000000009</v>
      </c>
      <c r="CD27" s="164">
        <f>CD12+SUM(CD14:CD25)</f>
        <v>830.8</v>
      </c>
      <c r="CE27" s="163">
        <f>CE12+SUM(CE14:CE25)</f>
        <v>3502.0999999999995</v>
      </c>
      <c r="CF27" s="164"/>
      <c r="CG27" s="165">
        <f>CG12+SUM(CG14:CG25)</f>
        <v>636.5</v>
      </c>
      <c r="CH27" s="164">
        <f>CH12+SUM(CH14:CH25)</f>
        <v>899.2</v>
      </c>
      <c r="CI27" s="164">
        <f>CI12+SUM(CI14:CI25)</f>
        <v>971.4</v>
      </c>
      <c r="CJ27" s="164">
        <f>CJ12+SUM(CJ14:CJ25)</f>
        <v>1078.1999999999998</v>
      </c>
      <c r="CK27" s="163">
        <f>CK12+SUM(CK14:CK25)</f>
        <v>3585.2999999999997</v>
      </c>
      <c r="CL27" s="164"/>
      <c r="CM27" s="165">
        <f>CM12+SUM(CM14:CM25)</f>
        <v>511.20000000000005</v>
      </c>
      <c r="CN27" s="164">
        <f>CN12+SUM(CN14:CN25)</f>
        <v>991.69999999999993</v>
      </c>
      <c r="CO27" s="164">
        <f>CO12+SUM(CO14:CO25)</f>
        <v>947.90000000000009</v>
      </c>
      <c r="CP27" s="164">
        <f>CP12+SUM(CP14:CP25)</f>
        <v>1167.2000000000003</v>
      </c>
      <c r="CQ27" s="163">
        <f>CQ12+SUM(CQ14:CQ25)</f>
        <v>3618</v>
      </c>
      <c r="CR27" s="164"/>
      <c r="CS27" s="165">
        <f>CS12+SUM(CS14:CS25)</f>
        <v>529.59999999999991</v>
      </c>
      <c r="CT27" s="164">
        <f>CT12+SUM(CT14:CT25)</f>
        <v>1101.3</v>
      </c>
      <c r="CU27" s="164">
        <f>CU12+SUM(CU14:CU25)</f>
        <v>257.60000000000031</v>
      </c>
      <c r="CV27" s="164">
        <f>CV12+SUM(CV14:CV25)</f>
        <v>943.69999999999982</v>
      </c>
      <c r="CW27" s="163">
        <f>CW12+SUM(CW14:CW25)</f>
        <v>2832.2</v>
      </c>
      <c r="CX27" s="164"/>
      <c r="CY27" s="165">
        <f>CY12+SUM(CY14:CY25)</f>
        <v>772.8</v>
      </c>
      <c r="CZ27" s="164">
        <f>CZ12+SUM(CZ14:CZ25)</f>
        <v>1281.7999999999997</v>
      </c>
      <c r="DA27" s="164">
        <f>DA12+SUM(DA14:DA25)</f>
        <v>383.9000000000002</v>
      </c>
      <c r="DB27" s="164">
        <f>DB12+SUM(DB14:DB25)</f>
        <v>648.99999999999977</v>
      </c>
      <c r="DC27" s="163">
        <f>DC12+SUM(DC14:DC25)</f>
        <v>3087.4999999999991</v>
      </c>
      <c r="DD27" s="164"/>
      <c r="DE27" s="165">
        <f>DE12+SUM(DE14:DE25)</f>
        <v>560.20000000000005</v>
      </c>
      <c r="DF27" s="164">
        <f>DF12+SUM(DF14:DF25)</f>
        <v>1010.5</v>
      </c>
      <c r="DG27" s="164">
        <f>DG12+SUM(DG14:DG25)</f>
        <v>1072.4000000000001</v>
      </c>
      <c r="DH27" s="164">
        <f>DH12+SUM(DH14:DH25)</f>
        <v>834.69999999999993</v>
      </c>
      <c r="DI27" s="163">
        <f>DI12+SUM(DI14:DI25)</f>
        <v>3477.7999999999997</v>
      </c>
      <c r="DJ27" s="164"/>
      <c r="DK27" s="165">
        <f>DK12+SUM(DK14:DK25)</f>
        <v>1059.7674175485736</v>
      </c>
      <c r="DL27" s="164">
        <f>DL12+SUM(DL14:DL25)</f>
        <v>1216.0187741533737</v>
      </c>
      <c r="DM27" s="164">
        <f>DM12+SUM(DM14:DM25)</f>
        <v>852.97416097073244</v>
      </c>
      <c r="DN27" s="164">
        <f>DN12+SUM(DN14:DN25)</f>
        <v>1153.418460248294</v>
      </c>
      <c r="DO27" s="163">
        <f>DO12+SUM(DO14:DO25)</f>
        <v>4282.1788129209745</v>
      </c>
      <c r="DP27" s="164"/>
      <c r="DQ27" s="165">
        <f>DQ12+SUM(DQ14:DQ25)</f>
        <v>1067.6024825644945</v>
      </c>
      <c r="DR27" s="164">
        <f>DR12+SUM(DR14:DR25)</f>
        <v>1301.6546298178991</v>
      </c>
      <c r="DS27" s="164">
        <f>DS12+SUM(DS14:DS25)</f>
        <v>898.83955620146537</v>
      </c>
      <c r="DT27" s="164">
        <f>DT12+SUM(DT14:DT25)</f>
        <v>1214.831624946994</v>
      </c>
      <c r="DU27" s="163">
        <f>DU12+SUM(DU14:DU25)</f>
        <v>4482.9282935308529</v>
      </c>
      <c r="DV27" s="164"/>
      <c r="DW27" s="165">
        <f>DW12+SUM(DW14:DW25)</f>
        <v>1286.6206284912669</v>
      </c>
      <c r="DX27" s="164">
        <f>DX12+SUM(DX14:DX25)</f>
        <v>1408.4039288143933</v>
      </c>
      <c r="DY27" s="164">
        <f>DY12+SUM(DY14:DY25)</f>
        <v>972.1670018560194</v>
      </c>
      <c r="DZ27" s="164">
        <f>DZ12+SUM(DZ14:DZ25)</f>
        <v>1472.351817180358</v>
      </c>
      <c r="EA27" s="163">
        <f>EA12+SUM(EA14:EA25)</f>
        <v>5139.5433763420369</v>
      </c>
      <c r="EB27" s="164"/>
      <c r="EC27" s="165">
        <f t="shared" ref="EC27:EG27" si="40">EC12+SUM(EC14:EC25)</f>
        <v>1523.7487656879432</v>
      </c>
      <c r="ED27" s="164">
        <f t="shared" si="40"/>
        <v>1699.2101891871625</v>
      </c>
      <c r="EE27" s="164">
        <f t="shared" si="40"/>
        <v>1246.6980921491659</v>
      </c>
      <c r="EF27" s="164">
        <f t="shared" si="40"/>
        <v>1657.3167397883522</v>
      </c>
      <c r="EG27" s="163">
        <f t="shared" si="40"/>
        <v>6126.9737868126231</v>
      </c>
      <c r="EH27" s="67"/>
      <c r="EI27" s="177"/>
      <c r="EJ27" s="19"/>
      <c r="EK27" s="19"/>
      <c r="EL27" s="19"/>
    </row>
    <row r="28" spans="1:148" ht="12.75" customHeight="1" x14ac:dyDescent="0.2">
      <c r="A28" s="51" t="s">
        <v>338</v>
      </c>
      <c r="B28" s="19"/>
      <c r="C28" s="19"/>
      <c r="D28" s="19"/>
      <c r="E28" s="93">
        <f>E29-SUM(E10:E27)</f>
        <v>54.457000000000107</v>
      </c>
      <c r="F28" s="67"/>
      <c r="G28" s="93">
        <f>G29-SUM(G10:G27)</f>
        <v>41.539000000000158</v>
      </c>
      <c r="H28" s="67"/>
      <c r="I28" s="93">
        <f>I29-SUM(I10:I27)</f>
        <v>66.91800000000012</v>
      </c>
      <c r="J28" s="67"/>
      <c r="K28" s="93">
        <f>K29-SUM(K10:K27)</f>
        <v>92.76900000000029</v>
      </c>
      <c r="L28" s="67"/>
      <c r="M28" s="82">
        <f>M29-M27-M14-M10</f>
        <v>29.830999999999975</v>
      </c>
      <c r="N28" s="67">
        <f>N29-N27-N14-N10</f>
        <v>-38.07200000000001</v>
      </c>
      <c r="O28" s="67">
        <f>O29-O27-O14-O10</f>
        <v>-31.523999999999994</v>
      </c>
      <c r="P28" s="67">
        <f>P29-P27-P14-P10</f>
        <v>1.1780000000001607</v>
      </c>
      <c r="Q28" s="93">
        <f>Q29-Q27-Q14-Q10</f>
        <v>-38.586999999999932</v>
      </c>
      <c r="R28" s="67"/>
      <c r="S28" s="82">
        <f>S29-S27-S14-S10</f>
        <v>62.382999999999967</v>
      </c>
      <c r="T28" s="67">
        <f>T29-T27-T14-T10</f>
        <v>-26.21399999999997</v>
      </c>
      <c r="U28" s="67">
        <f>U29-U27-U14-U10</f>
        <v>-0.91800000000000637</v>
      </c>
      <c r="V28" s="67">
        <f>V29-V27-V14-V10</f>
        <v>-154.72100000000003</v>
      </c>
      <c r="W28" s="93">
        <f>W29-W27-W14-W10</f>
        <v>-119.46999999999997</v>
      </c>
      <c r="X28" s="67"/>
      <c r="Y28" s="82">
        <f>Y29-Y27-Y14-Y10</f>
        <v>54.035000000000139</v>
      </c>
      <c r="Z28" s="67">
        <f>Z29-Z27-Z14-Z10</f>
        <v>12.754000000000048</v>
      </c>
      <c r="AA28" s="67">
        <f>AA29-AA27-AA14-AA10</f>
        <v>72.474000000000046</v>
      </c>
      <c r="AB28" s="67">
        <f>AB29-AB27-AB14-AB10</f>
        <v>-51.45599999999996</v>
      </c>
      <c r="AC28" s="93">
        <f>AC29-AC27-AC14-AC10</f>
        <v>87.807000000000016</v>
      </c>
      <c r="AD28" s="67"/>
      <c r="AE28" s="82">
        <f>AE29-AE27-AE14-AE10</f>
        <v>49.237999999999914</v>
      </c>
      <c r="AF28" s="67">
        <f>AF29-AF27-AF14-AF10</f>
        <v>62.123000000000047</v>
      </c>
      <c r="AG28" s="67">
        <f>AG29-AG27-AG14-AG10</f>
        <v>48.339999999999975</v>
      </c>
      <c r="AH28" s="67">
        <f>AH29-AH27-AH14-AH10</f>
        <v>-49.50799999999947</v>
      </c>
      <c r="AI28" s="93">
        <f>AI29-AI27-AI14-AI10</f>
        <v>110.19300000000044</v>
      </c>
      <c r="AJ28" s="67"/>
      <c r="AK28" s="82">
        <f>AK29-AK27-AK14-AK10</f>
        <v>7.09800000000007</v>
      </c>
      <c r="AL28" s="67">
        <f>AL29-AL27-AL14-AL10</f>
        <v>43.591999999999985</v>
      </c>
      <c r="AM28" s="67">
        <f>AM29-AM27-AM14-AM10</f>
        <v>96.525999999999755</v>
      </c>
      <c r="AN28" s="67">
        <f>AN29-AN27-AN14-AN10</f>
        <v>-67.242000000000075</v>
      </c>
      <c r="AO28" s="93">
        <f>AO29-AO27-AO14-AO10</f>
        <v>79.973999999999705</v>
      </c>
      <c r="AP28" s="67"/>
      <c r="AQ28" s="82">
        <f>AQ29-AQ27-AQ14-AQ10</f>
        <v>66.285000000000252</v>
      </c>
      <c r="AR28" s="67">
        <f>AR29-AR27-AR14-AR10</f>
        <v>17.688999999999794</v>
      </c>
      <c r="AS28" s="67">
        <f>AS29-AS27-AS14-AS10</f>
        <v>131.89200000000028</v>
      </c>
      <c r="AT28" s="67">
        <f>AT29-AT27-AT14-AT10</f>
        <v>-26.795999999999935</v>
      </c>
      <c r="AU28" s="93">
        <f>AU29-AU27-AU14-AU10</f>
        <v>189.06999999999971</v>
      </c>
      <c r="AV28" s="67"/>
      <c r="AW28" s="82">
        <f>AW29-AW27-AW14-AW10</f>
        <v>39.23500000000007</v>
      </c>
      <c r="AX28" s="67">
        <f>AX29-AX27-AX14-AX10</f>
        <v>-7.7240000000001601</v>
      </c>
      <c r="AY28" s="67">
        <f>AY29-AY27-AY14-AY10</f>
        <v>32.847000000000264</v>
      </c>
      <c r="AZ28" s="67">
        <f>AZ29-AZ27-AZ14-AZ10</f>
        <v>29.586999999999819</v>
      </c>
      <c r="BA28" s="93">
        <f>BA29-BA27-BA14-BA10</f>
        <v>93.945000000000391</v>
      </c>
      <c r="BB28" s="67"/>
      <c r="BC28" s="82">
        <f>BC29-BC27-BC14-BC10</f>
        <v>95.560000000000116</v>
      </c>
      <c r="BD28" s="67">
        <f>BD29-BD27-BD14-BD10</f>
        <v>79.613999999999521</v>
      </c>
      <c r="BE28" s="67">
        <f>BE29-BE27-BE14-BE10</f>
        <v>39.51700000000011</v>
      </c>
      <c r="BF28" s="67">
        <f>BF29-BF27-BF14-BF10</f>
        <v>3.3279999999997472</v>
      </c>
      <c r="BG28" s="93">
        <f>BG29-BG27-BG14-BG10</f>
        <v>218.01899999999728</v>
      </c>
      <c r="BH28" s="67"/>
      <c r="BI28" s="82">
        <f>BI29-BI27-BI14-BI10</f>
        <v>-48.172999999999888</v>
      </c>
      <c r="BJ28" s="67">
        <f>BJ29-BJ27-BJ14-BJ10</f>
        <v>53.983000000000061</v>
      </c>
      <c r="BK28" s="67">
        <f>BK29-BK27-BK14-BK10</f>
        <v>50.903999999999712</v>
      </c>
      <c r="BL28" s="67">
        <f>BL29-BL27-BL14-BL10</f>
        <v>22.993000000000677</v>
      </c>
      <c r="BM28" s="93">
        <f>BM29-BM27-BM14-BM10</f>
        <v>79.707000000001017</v>
      </c>
      <c r="BN28" s="67"/>
      <c r="BO28" s="84">
        <v>-1.619</v>
      </c>
      <c r="BP28" s="71">
        <f>15.652-BO28</f>
        <v>17.271000000000001</v>
      </c>
      <c r="BQ28" s="71">
        <f>33.991-SUM(BO28:BP28)</f>
        <v>18.338999999999999</v>
      </c>
      <c r="BR28" s="71">
        <f>65.653-SUM(BO28:BQ28)</f>
        <v>31.662000000000006</v>
      </c>
      <c r="BS28" s="93">
        <f>SUM(BO28:BR28)</f>
        <v>65.653000000000006</v>
      </c>
      <c r="BT28" s="67"/>
      <c r="BU28" s="84">
        <v>2.2040000000000002</v>
      </c>
      <c r="BV28" s="71">
        <f>-128.53-BU28</f>
        <v>-130.73400000000001</v>
      </c>
      <c r="BW28" s="71">
        <f>-116.769-SUM(BU28:BV28)</f>
        <v>11.760999999999996</v>
      </c>
      <c r="BX28" s="71">
        <f>-105.8-SUM(BU28:BW28)</f>
        <v>10.969000000000008</v>
      </c>
      <c r="BY28" s="93">
        <f>SUM(BU28:BX28)</f>
        <v>-105.8</v>
      </c>
      <c r="BZ28" s="67"/>
      <c r="CA28" s="84">
        <v>-6.1</v>
      </c>
      <c r="CB28" s="71">
        <f>-41.8-CA28</f>
        <v>-35.699999999999996</v>
      </c>
      <c r="CC28" s="71">
        <f>-56-SUM(CA28:CB28)</f>
        <v>-14.200000000000003</v>
      </c>
      <c r="CD28" s="71">
        <f>-87.1-SUM(CA28:CC28)</f>
        <v>-31.099999999999994</v>
      </c>
      <c r="CE28" s="93">
        <f>SUM(CA28:CD28)</f>
        <v>-87.1</v>
      </c>
      <c r="CF28" s="67"/>
      <c r="CG28" s="84">
        <v>0</v>
      </c>
      <c r="CH28" s="71">
        <f>0-CG28</f>
        <v>0</v>
      </c>
      <c r="CI28" s="71">
        <f>0-SUM(CG28:CH28)</f>
        <v>0</v>
      </c>
      <c r="CJ28" s="71">
        <f>0-SUM(CG28:CI28)</f>
        <v>0</v>
      </c>
      <c r="CK28" s="93">
        <f>SUM(CG28:CJ28)</f>
        <v>0</v>
      </c>
      <c r="CL28" s="67"/>
      <c r="CM28" s="84">
        <v>0</v>
      </c>
      <c r="CN28" s="71">
        <f>0-CM28</f>
        <v>0</v>
      </c>
      <c r="CO28" s="71">
        <f>68.2-SUM(CM28:CN28)</f>
        <v>68.2</v>
      </c>
      <c r="CP28" s="71">
        <f>140.4-SUM(CM28:CO28)</f>
        <v>72.2</v>
      </c>
      <c r="CQ28" s="93">
        <f>SUM(CM28:CP28)</f>
        <v>140.4</v>
      </c>
      <c r="CR28" s="67"/>
      <c r="CS28" s="84">
        <v>-6</v>
      </c>
      <c r="CT28" s="71">
        <f>-13.3-CS28</f>
        <v>-7.3000000000000007</v>
      </c>
      <c r="CU28" s="71">
        <f>681.7-SUM(CS28:CT28)</f>
        <v>695</v>
      </c>
      <c r="CV28" s="71">
        <f>969.6-SUM(CS28:CU28)</f>
        <v>287.89999999999998</v>
      </c>
      <c r="CW28" s="93">
        <f>SUM(CS28:CV28)</f>
        <v>969.6</v>
      </c>
      <c r="CX28" s="67"/>
      <c r="CY28" s="84">
        <v>0</v>
      </c>
      <c r="CZ28" s="71">
        <f>0-CY28</f>
        <v>0</v>
      </c>
      <c r="DA28" s="71">
        <f>434.3-SUM(CY28:CZ28)</f>
        <v>434.3</v>
      </c>
      <c r="DB28" s="71">
        <f>434.3-SUM(CY28:DA28)</f>
        <v>0</v>
      </c>
      <c r="DC28" s="93">
        <f>SUM(CY28:DB28)</f>
        <v>434.3</v>
      </c>
      <c r="DD28" s="67"/>
      <c r="DE28" s="84">
        <v>0</v>
      </c>
      <c r="DF28" s="71">
        <f t="shared" ref="DF28" si="41">0-DE28</f>
        <v>0</v>
      </c>
      <c r="DG28" s="71">
        <f t="shared" ref="DG28" si="42">0-SUM(DE28:DF28)</f>
        <v>0</v>
      </c>
      <c r="DH28" s="71">
        <f t="shared" ref="DH28" si="43">0-SUM(DE28:DG28)</f>
        <v>0</v>
      </c>
      <c r="DI28" s="93">
        <f>SUM(DE28:DH28)</f>
        <v>0</v>
      </c>
      <c r="DJ28" s="67"/>
      <c r="DK28" s="81">
        <v>0</v>
      </c>
      <c r="DL28" s="69">
        <v>0</v>
      </c>
      <c r="DM28" s="69">
        <v>0</v>
      </c>
      <c r="DN28" s="69">
        <v>0</v>
      </c>
      <c r="DO28" s="93">
        <f>SUM(DK28:DN28)</f>
        <v>0</v>
      </c>
      <c r="DP28" s="67"/>
      <c r="DQ28" s="81">
        <v>0</v>
      </c>
      <c r="DR28" s="69">
        <v>0</v>
      </c>
      <c r="DS28" s="69">
        <v>0</v>
      </c>
      <c r="DT28" s="69">
        <v>0</v>
      </c>
      <c r="DU28" s="93">
        <f>SUM(DQ28:DT28)</f>
        <v>0</v>
      </c>
      <c r="DV28" s="67"/>
      <c r="DW28" s="81">
        <v>0</v>
      </c>
      <c r="DX28" s="69">
        <v>0</v>
      </c>
      <c r="DY28" s="69">
        <v>0</v>
      </c>
      <c r="DZ28" s="69">
        <v>0</v>
      </c>
      <c r="EA28" s="93">
        <f>SUM(DW28:DZ28)</f>
        <v>0</v>
      </c>
      <c r="EB28" s="67"/>
      <c r="EC28" s="81">
        <v>0</v>
      </c>
      <c r="ED28" s="69">
        <v>0</v>
      </c>
      <c r="EE28" s="69">
        <v>0</v>
      </c>
      <c r="EF28" s="69">
        <v>0</v>
      </c>
      <c r="EG28" s="93">
        <f t="shared" ref="EG28" si="44">SUM(EC28:EF28)</f>
        <v>0</v>
      </c>
      <c r="EH28" s="67"/>
      <c r="EI28" s="177"/>
      <c r="EJ28" s="19"/>
      <c r="EK28" s="19"/>
      <c r="EL28" s="19"/>
    </row>
    <row r="29" spans="1:148" ht="12.75" customHeight="1" x14ac:dyDescent="0.2">
      <c r="A29" s="200" t="s">
        <v>339</v>
      </c>
      <c r="B29" s="334"/>
      <c r="C29" s="334"/>
      <c r="D29" s="334"/>
      <c r="E29" s="335">
        <v>302.33100000000002</v>
      </c>
      <c r="F29" s="205"/>
      <c r="G29" s="335">
        <v>352.68200000000002</v>
      </c>
      <c r="H29" s="205"/>
      <c r="I29" s="335">
        <v>419.10700000000003</v>
      </c>
      <c r="J29" s="205"/>
      <c r="K29" s="335">
        <v>512.245</v>
      </c>
      <c r="L29" s="205"/>
      <c r="M29" s="336">
        <v>173.69399999999999</v>
      </c>
      <c r="N29" s="337">
        <f>311.253-M29</f>
        <v>137.559</v>
      </c>
      <c r="O29" s="337">
        <f>430.329-N29-M29</f>
        <v>119.07599999999999</v>
      </c>
      <c r="P29" s="337">
        <f>608.471-M29-N29-O29</f>
        <v>178.14200000000008</v>
      </c>
      <c r="Q29" s="202">
        <f>SUM(M29:P29)</f>
        <v>608.471</v>
      </c>
      <c r="R29" s="205"/>
      <c r="S29" s="336">
        <v>263.24700000000001</v>
      </c>
      <c r="T29" s="337">
        <f>393.446-S29</f>
        <v>130.19900000000001</v>
      </c>
      <c r="U29" s="337">
        <f>565.429-T29-S29</f>
        <v>171.98299999999995</v>
      </c>
      <c r="V29" s="337">
        <f>710.347-S29-T29-U29</f>
        <v>144.91800000000001</v>
      </c>
      <c r="W29" s="202">
        <f>SUM(S29:V29)</f>
        <v>710.34699999999998</v>
      </c>
      <c r="X29" s="205"/>
      <c r="Y29" s="336">
        <v>214.33600000000001</v>
      </c>
      <c r="Z29" s="337">
        <f>449.248-Y29</f>
        <v>234.91199999999998</v>
      </c>
      <c r="AA29" s="337">
        <f>619.359-Z29-Y29</f>
        <v>170.11100000000005</v>
      </c>
      <c r="AB29" s="337">
        <f>861.544-Y29-Z29-AA29</f>
        <v>242.18499999999995</v>
      </c>
      <c r="AC29" s="202">
        <f>SUM(Y29:AB29)</f>
        <v>861.54399999999998</v>
      </c>
      <c r="AD29" s="205"/>
      <c r="AE29" s="336">
        <v>251.876</v>
      </c>
      <c r="AF29" s="337">
        <f>498.745-AE29</f>
        <v>246.869</v>
      </c>
      <c r="AG29" s="337">
        <f>769.096-AE29-AF29</f>
        <v>270.351</v>
      </c>
      <c r="AH29" s="337">
        <f>1033.216-SUM(AE29:AG29)</f>
        <v>264.11999999999989</v>
      </c>
      <c r="AI29" s="202">
        <f>SUM(AE29:AH29)</f>
        <v>1033.2159999999999</v>
      </c>
      <c r="AJ29" s="205"/>
      <c r="AK29" s="336">
        <v>311.99099999999999</v>
      </c>
      <c r="AL29" s="337">
        <f>594.589-AK29</f>
        <v>282.59800000000007</v>
      </c>
      <c r="AM29" s="337">
        <f>902.452-AK29-AL29</f>
        <v>307.86299999999994</v>
      </c>
      <c r="AN29" s="337">
        <f>1203.801-AK29-AL29-AM29</f>
        <v>301.34899999999993</v>
      </c>
      <c r="AO29" s="202">
        <f>SUM(AK29:AN29)</f>
        <v>1203.8009999999999</v>
      </c>
      <c r="AP29" s="205"/>
      <c r="AQ29" s="336">
        <v>337.22199999999998</v>
      </c>
      <c r="AR29" s="337">
        <f>651.633-AQ29</f>
        <v>314.41100000000006</v>
      </c>
      <c r="AS29" s="337">
        <f>1084.053-AR29-AQ29</f>
        <v>432.42000000000007</v>
      </c>
      <c r="AT29" s="337">
        <f>1547.251-SUM(AQ29:AS29)</f>
        <v>463.19799999999987</v>
      </c>
      <c r="AU29" s="202">
        <f>SUM(AQ29:AT29)</f>
        <v>1547.251</v>
      </c>
      <c r="AV29" s="205"/>
      <c r="AW29" s="336">
        <v>322.89800000000002</v>
      </c>
      <c r="AX29" s="337">
        <f>691.664-AW29</f>
        <v>368.76599999999996</v>
      </c>
      <c r="AY29" s="337">
        <f>1074.461-AX29-AW29</f>
        <v>382.79700000000003</v>
      </c>
      <c r="AZ29" s="337">
        <f>1645.775-AY29-AX29-AW29</f>
        <v>571.31400000000008</v>
      </c>
      <c r="BA29" s="202">
        <f>SUM(AW29:AZ29)</f>
        <v>1645.7750000000001</v>
      </c>
      <c r="BB29" s="205"/>
      <c r="BC29" s="336">
        <v>333.15800000000002</v>
      </c>
      <c r="BD29" s="337">
        <f>914.3-BC29</f>
        <v>581.14199999999994</v>
      </c>
      <c r="BE29" s="337">
        <f>1349.673-BD29-BC29</f>
        <v>435.37300000000005</v>
      </c>
      <c r="BF29" s="337">
        <f>1859.029-BC29-BD29-BE29</f>
        <v>509.35600000000011</v>
      </c>
      <c r="BG29" s="202">
        <f>SUM(BC29:BF29)</f>
        <v>1859.029</v>
      </c>
      <c r="BH29" s="205"/>
      <c r="BI29" s="336">
        <v>316.67899999999997</v>
      </c>
      <c r="BJ29" s="337">
        <f>802.344-BI29</f>
        <v>485.66500000000008</v>
      </c>
      <c r="BK29" s="337">
        <f>1305.492-BI29-BJ29</f>
        <v>503.14799999999991</v>
      </c>
      <c r="BL29" s="337">
        <f>1800.834-BI29-BJ29-BK29</f>
        <v>495.34200000000021</v>
      </c>
      <c r="BM29" s="202">
        <f>SUM(BI29:BL29)</f>
        <v>1800.8340000000003</v>
      </c>
      <c r="BN29" s="205"/>
      <c r="BO29" s="204">
        <f>BO27+BO28</f>
        <v>393.87899999999996</v>
      </c>
      <c r="BP29" s="205">
        <f>BP27+BP28</f>
        <v>537.92299999999989</v>
      </c>
      <c r="BQ29" s="205">
        <f>BQ27+BQ28</f>
        <v>579.26700000000005</v>
      </c>
      <c r="BR29" s="205">
        <f>BR27+BR28</f>
        <v>573.28200000000004</v>
      </c>
      <c r="BS29" s="202">
        <f>BS27+BS28</f>
        <v>2084.3509999999997</v>
      </c>
      <c r="BT29" s="205"/>
      <c r="BU29" s="204">
        <f>BU27+BU28</f>
        <v>436.483</v>
      </c>
      <c r="BV29" s="205">
        <f>BV27+BV28</f>
        <v>662.649</v>
      </c>
      <c r="BW29" s="205">
        <f>BW27+BW28</f>
        <v>699.94199999999989</v>
      </c>
      <c r="BX29" s="205">
        <f>BX27+BX28</f>
        <v>827.22600000000023</v>
      </c>
      <c r="BY29" s="202">
        <f>BY27+BY28</f>
        <v>2626.2999999999997</v>
      </c>
      <c r="BZ29" s="205"/>
      <c r="CA29" s="204">
        <f>CA27+CA28</f>
        <v>645.29999999999995</v>
      </c>
      <c r="CB29" s="205">
        <f>CB27+CB28</f>
        <v>1008.8</v>
      </c>
      <c r="CC29" s="205">
        <f>CC27+CC28</f>
        <v>961.2</v>
      </c>
      <c r="CD29" s="205">
        <f>CD27+CD28</f>
        <v>799.69999999999993</v>
      </c>
      <c r="CE29" s="202">
        <f>CE27+CE28</f>
        <v>3414.9999999999995</v>
      </c>
      <c r="CF29" s="205"/>
      <c r="CG29" s="204">
        <f>CG27+CG28</f>
        <v>636.5</v>
      </c>
      <c r="CH29" s="205">
        <f>CH27+CH28</f>
        <v>899.2</v>
      </c>
      <c r="CI29" s="205">
        <f>CI27+CI28</f>
        <v>971.4</v>
      </c>
      <c r="CJ29" s="205">
        <f>CJ27+CJ28</f>
        <v>1078.1999999999998</v>
      </c>
      <c r="CK29" s="202">
        <f>CK27+CK28</f>
        <v>3585.2999999999997</v>
      </c>
      <c r="CL29" s="205"/>
      <c r="CM29" s="204">
        <f>CM27+CM28</f>
        <v>511.20000000000005</v>
      </c>
      <c r="CN29" s="205">
        <f>CN27+CN28</f>
        <v>991.69999999999993</v>
      </c>
      <c r="CO29" s="205">
        <f>CO27+CO28</f>
        <v>1016.1000000000001</v>
      </c>
      <c r="CP29" s="205">
        <f>CP27+CP28</f>
        <v>1239.4000000000003</v>
      </c>
      <c r="CQ29" s="202">
        <f>CQ27+CQ28</f>
        <v>3758.4</v>
      </c>
      <c r="CR29" s="205"/>
      <c r="CS29" s="204">
        <f>CS27+CS28</f>
        <v>523.59999999999991</v>
      </c>
      <c r="CT29" s="205">
        <f>CT27+CT28</f>
        <v>1094</v>
      </c>
      <c r="CU29" s="205">
        <f>CU27+CU28</f>
        <v>952.60000000000036</v>
      </c>
      <c r="CV29" s="205">
        <f>CV27+CV28</f>
        <v>1231.5999999999999</v>
      </c>
      <c r="CW29" s="202">
        <f>CW27+CW28</f>
        <v>3801.7999999999997</v>
      </c>
      <c r="CX29" s="205"/>
      <c r="CY29" s="204">
        <f>CY27+CY28</f>
        <v>772.8</v>
      </c>
      <c r="CZ29" s="205">
        <f>CZ27+CZ28</f>
        <v>1281.7999999999997</v>
      </c>
      <c r="DA29" s="205">
        <f>DA27+DA28</f>
        <v>818.20000000000027</v>
      </c>
      <c r="DB29" s="205">
        <f>DB27+DB28</f>
        <v>648.99999999999977</v>
      </c>
      <c r="DC29" s="202">
        <f>DC27+DC28</f>
        <v>3521.7999999999993</v>
      </c>
      <c r="DD29" s="205"/>
      <c r="DE29" s="204">
        <f>DE27+DE28</f>
        <v>560.20000000000005</v>
      </c>
      <c r="DF29" s="205">
        <f>DF27+DF28</f>
        <v>1010.5</v>
      </c>
      <c r="DG29" s="205">
        <f>DG27+DG28</f>
        <v>1072.4000000000001</v>
      </c>
      <c r="DH29" s="205">
        <f>DH27+DH28</f>
        <v>834.69999999999993</v>
      </c>
      <c r="DI29" s="202">
        <f>DI27+DI28</f>
        <v>3477.7999999999997</v>
      </c>
      <c r="DJ29" s="205"/>
      <c r="DK29" s="204">
        <f>DK27+DK28</f>
        <v>1059.7674175485736</v>
      </c>
      <c r="DL29" s="205">
        <f>DL27+DL28</f>
        <v>1216.0187741533737</v>
      </c>
      <c r="DM29" s="205">
        <f>DM27+DM28</f>
        <v>852.97416097073244</v>
      </c>
      <c r="DN29" s="205">
        <f>DN27+DN28</f>
        <v>1153.418460248294</v>
      </c>
      <c r="DO29" s="202">
        <f>DO27+DO28</f>
        <v>4282.1788129209745</v>
      </c>
      <c r="DP29" s="205"/>
      <c r="DQ29" s="204">
        <f>DQ27+DQ28</f>
        <v>1067.6024825644945</v>
      </c>
      <c r="DR29" s="205">
        <f>DR27+DR28</f>
        <v>1301.6546298178991</v>
      </c>
      <c r="DS29" s="205">
        <f>DS27+DS28</f>
        <v>898.83955620146537</v>
      </c>
      <c r="DT29" s="205">
        <f>DT27+DT28</f>
        <v>1214.831624946994</v>
      </c>
      <c r="DU29" s="202">
        <f>DU27+DU28</f>
        <v>4482.9282935308529</v>
      </c>
      <c r="DV29" s="205"/>
      <c r="DW29" s="204">
        <f>DW27+DW28</f>
        <v>1286.6206284912669</v>
      </c>
      <c r="DX29" s="205">
        <f>DX27+DX28</f>
        <v>1408.4039288143933</v>
      </c>
      <c r="DY29" s="205">
        <f>DY27+DY28</f>
        <v>972.1670018560194</v>
      </c>
      <c r="DZ29" s="205">
        <f>DZ27+DZ28</f>
        <v>1472.351817180358</v>
      </c>
      <c r="EA29" s="202">
        <f>EA27+EA28</f>
        <v>5139.5433763420369</v>
      </c>
      <c r="EB29" s="205"/>
      <c r="EC29" s="204">
        <f t="shared" ref="EC29:EG29" si="45">EC27+EC28</f>
        <v>1523.7487656879432</v>
      </c>
      <c r="ED29" s="205">
        <f t="shared" si="45"/>
        <v>1699.2101891871625</v>
      </c>
      <c r="EE29" s="205">
        <f t="shared" si="45"/>
        <v>1246.6980921491659</v>
      </c>
      <c r="EF29" s="205">
        <f t="shared" si="45"/>
        <v>1657.3167397883522</v>
      </c>
      <c r="EG29" s="202">
        <f t="shared" si="45"/>
        <v>6126.9737868126231</v>
      </c>
      <c r="EH29" s="67"/>
      <c r="EI29" s="177"/>
      <c r="EJ29" s="19"/>
      <c r="EK29" s="19"/>
      <c r="EL29" s="19"/>
    </row>
    <row r="30" spans="1:148" ht="12.75" customHeight="1" x14ac:dyDescent="0.2">
      <c r="A30" s="51"/>
      <c r="B30" s="19"/>
      <c r="C30" s="19"/>
      <c r="D30" s="19"/>
      <c r="E30" s="93"/>
      <c r="F30" s="67"/>
      <c r="G30" s="93"/>
      <c r="H30" s="67"/>
      <c r="I30" s="93"/>
      <c r="J30" s="67"/>
      <c r="K30" s="93"/>
      <c r="L30" s="67"/>
      <c r="M30" s="82"/>
      <c r="N30" s="67"/>
      <c r="O30" s="67"/>
      <c r="P30" s="67"/>
      <c r="Q30" s="93"/>
      <c r="R30" s="67"/>
      <c r="S30" s="82"/>
      <c r="T30" s="67"/>
      <c r="U30" s="67"/>
      <c r="V30" s="67"/>
      <c r="W30" s="93"/>
      <c r="X30" s="67"/>
      <c r="Y30" s="82"/>
      <c r="Z30" s="67"/>
      <c r="AA30" s="67"/>
      <c r="AB30" s="67"/>
      <c r="AC30" s="93"/>
      <c r="AD30" s="67"/>
      <c r="AE30" s="82"/>
      <c r="AF30" s="67"/>
      <c r="AG30" s="67"/>
      <c r="AH30" s="67"/>
      <c r="AI30" s="93"/>
      <c r="AJ30" s="67"/>
      <c r="AK30" s="82"/>
      <c r="AL30" s="67"/>
      <c r="AM30" s="67"/>
      <c r="AN30" s="67"/>
      <c r="AO30" s="93"/>
      <c r="AP30" s="67"/>
      <c r="AQ30" s="82"/>
      <c r="AR30" s="67"/>
      <c r="AS30" s="67"/>
      <c r="AT30" s="67"/>
      <c r="AU30" s="93"/>
      <c r="AV30" s="67"/>
      <c r="AW30" s="82"/>
      <c r="AX30" s="67"/>
      <c r="AY30" s="67"/>
      <c r="AZ30" s="67"/>
      <c r="BA30" s="93"/>
      <c r="BB30" s="67"/>
      <c r="BC30" s="82"/>
      <c r="BD30" s="67"/>
      <c r="BE30" s="67"/>
      <c r="BF30" s="67"/>
      <c r="BG30" s="93"/>
      <c r="BH30" s="67"/>
      <c r="BI30" s="82"/>
      <c r="BJ30" s="67"/>
      <c r="BK30" s="67"/>
      <c r="BL30" s="67"/>
      <c r="BM30" s="93"/>
      <c r="BN30" s="67"/>
      <c r="BO30" s="82"/>
      <c r="BP30" s="67"/>
      <c r="BQ30" s="67"/>
      <c r="BR30" s="67"/>
      <c r="BS30" s="93"/>
      <c r="BT30" s="67"/>
      <c r="BU30" s="82"/>
      <c r="BV30" s="67"/>
      <c r="BW30" s="67"/>
      <c r="BX30" s="67"/>
      <c r="BY30" s="93"/>
      <c r="BZ30" s="67"/>
      <c r="CA30" s="82"/>
      <c r="CB30" s="67"/>
      <c r="CC30" s="67"/>
      <c r="CD30" s="67"/>
      <c r="CE30" s="93"/>
      <c r="CF30" s="67"/>
      <c r="CG30" s="82"/>
      <c r="CH30" s="67"/>
      <c r="CI30" s="67"/>
      <c r="CJ30" s="67"/>
      <c r="CK30" s="93"/>
      <c r="CL30" s="67"/>
      <c r="CM30" s="82"/>
      <c r="CN30" s="67"/>
      <c r="CO30" s="67"/>
      <c r="CP30" s="67"/>
      <c r="CQ30" s="93"/>
      <c r="CR30" s="67"/>
      <c r="CS30" s="82"/>
      <c r="CT30" s="67"/>
      <c r="CU30" s="67"/>
      <c r="CV30" s="67"/>
      <c r="CW30" s="93"/>
      <c r="CX30" s="67"/>
      <c r="CY30" s="82"/>
      <c r="CZ30" s="67"/>
      <c r="DA30" s="67"/>
      <c r="DB30" s="67"/>
      <c r="DC30" s="93"/>
      <c r="DD30" s="67"/>
      <c r="DE30" s="82"/>
      <c r="DF30" s="67"/>
      <c r="DG30" s="67"/>
      <c r="DH30" s="67"/>
      <c r="DI30" s="93"/>
      <c r="DJ30" s="67"/>
      <c r="DK30" s="82"/>
      <c r="DL30" s="67"/>
      <c r="DM30" s="67"/>
      <c r="DN30" s="67"/>
      <c r="DO30" s="93"/>
      <c r="DP30" s="67"/>
      <c r="DQ30" s="82"/>
      <c r="DR30" s="67"/>
      <c r="DS30" s="67"/>
      <c r="DT30" s="67"/>
      <c r="DU30" s="93"/>
      <c r="DV30" s="67"/>
      <c r="DW30" s="82"/>
      <c r="DX30" s="67"/>
      <c r="DY30" s="67"/>
      <c r="DZ30" s="67"/>
      <c r="EA30" s="93"/>
      <c r="EB30" s="67"/>
      <c r="EC30" s="82"/>
      <c r="ED30" s="67"/>
      <c r="EE30" s="67"/>
      <c r="EF30" s="67"/>
      <c r="EG30" s="93"/>
      <c r="EH30" s="67"/>
      <c r="EI30" s="177"/>
      <c r="EJ30" s="19"/>
      <c r="EK30" s="19"/>
      <c r="EL30" s="19"/>
    </row>
    <row r="31" spans="1:148" ht="12.75" customHeight="1" x14ac:dyDescent="0.2">
      <c r="A31" s="51" t="s">
        <v>340</v>
      </c>
      <c r="B31" s="19"/>
      <c r="C31" s="19"/>
      <c r="D31" s="19"/>
      <c r="E31" s="92">
        <v>-147.238</v>
      </c>
      <c r="F31" s="67"/>
      <c r="G31" s="92">
        <v>-532.36800000000005</v>
      </c>
      <c r="H31" s="67"/>
      <c r="I31" s="92">
        <v>-64.834000000000003</v>
      </c>
      <c r="J31" s="67"/>
      <c r="K31" s="92">
        <v>-708.59400000000005</v>
      </c>
      <c r="L31" s="67"/>
      <c r="M31" s="84">
        <v>-75.98</v>
      </c>
      <c r="N31" s="71">
        <f>-193.578-M31</f>
        <v>-117.598</v>
      </c>
      <c r="O31" s="71">
        <f>-318.511-N31-M31</f>
        <v>-124.93300000000001</v>
      </c>
      <c r="P31" s="71">
        <f>-439.814-M31-N31-O31</f>
        <v>-121.30299999999998</v>
      </c>
      <c r="Q31" s="93">
        <f t="shared" ref="Q31:Q36" si="46">SUM(M31:P31)</f>
        <v>-439.81400000000002</v>
      </c>
      <c r="R31" s="67"/>
      <c r="S31" s="84">
        <v>-871.74099999999999</v>
      </c>
      <c r="T31" s="71">
        <f>-879.844-S31</f>
        <v>-8.1030000000000655</v>
      </c>
      <c r="U31" s="71">
        <f>-990.312-T31-S31</f>
        <v>-110.46799999999996</v>
      </c>
      <c r="V31" s="71">
        <f>-1158.129-S31-T31-U31</f>
        <v>-167.81699999999989</v>
      </c>
      <c r="W31" s="93">
        <f t="shared" ref="W31:W36" si="47">SUM(S31:V31)</f>
        <v>-1158.1289999999999</v>
      </c>
      <c r="X31" s="67"/>
      <c r="Y31" s="84">
        <v>-122.747</v>
      </c>
      <c r="Z31" s="71">
        <f>-123.217-Y31</f>
        <v>-0.46999999999999886</v>
      </c>
      <c r="AA31" s="71">
        <f>-186.317-Z31-Y31</f>
        <v>-63.100000000000009</v>
      </c>
      <c r="AB31" s="71">
        <f>-312.283-Y31-Z31-AA31</f>
        <v>-125.96599999999999</v>
      </c>
      <c r="AC31" s="93">
        <f t="shared" ref="AC31:AC36" si="48">SUM(Y31:AB31)</f>
        <v>-312.28300000000002</v>
      </c>
      <c r="AD31" s="67"/>
      <c r="AE31" s="84">
        <v>-814.41399999999999</v>
      </c>
      <c r="AF31" s="71">
        <f>-1343.921+814.414</f>
        <v>-529.50700000000006</v>
      </c>
      <c r="AG31" s="71">
        <f>-1373.247+1343.921</f>
        <v>-29.326000000000022</v>
      </c>
      <c r="AH31" s="71">
        <f>-1591.719-SUM(AE31:AG31)</f>
        <v>-218.47199999999998</v>
      </c>
      <c r="AI31" s="93">
        <f t="shared" ref="AI31:AI36" si="49">SUM(AE31:AH31)</f>
        <v>-1591.7190000000001</v>
      </c>
      <c r="AJ31" s="67"/>
      <c r="AK31" s="84">
        <v>-213.876</v>
      </c>
      <c r="AL31" s="71">
        <f>-296.026-AK31</f>
        <v>-82.15</v>
      </c>
      <c r="AM31" s="71">
        <f>-812.29-AK31-AL31</f>
        <v>-516.26400000000001</v>
      </c>
      <c r="AN31" s="71">
        <f>-885.083-AK31-AL31-AM31</f>
        <v>-72.793000000000006</v>
      </c>
      <c r="AO31" s="93">
        <f t="shared" ref="AO31:AO36" si="50">SUM(AK31:AN31)</f>
        <v>-885.08299999999997</v>
      </c>
      <c r="AP31" s="67"/>
      <c r="AQ31" s="84">
        <v>-128.12</v>
      </c>
      <c r="AR31" s="71">
        <f>-2126.923-AQ31</f>
        <v>-1998.8029999999999</v>
      </c>
      <c r="AS31" s="71">
        <f>-2173.18-AQ31-AR31</f>
        <v>-46.257000000000062</v>
      </c>
      <c r="AT31" s="71">
        <f>-2656.035-SUM(AQ31:AS31)</f>
        <v>-482.85500000000002</v>
      </c>
      <c r="AU31" s="93">
        <f t="shared" ref="AU31:AU36" si="51">SUM(AQ31:AT31)</f>
        <v>-2656.0349999999999</v>
      </c>
      <c r="AV31" s="67"/>
      <c r="AW31" s="84">
        <v>-297.02</v>
      </c>
      <c r="AX31" s="71">
        <f>-349.758-AW31</f>
        <v>-52.738</v>
      </c>
      <c r="AY31" s="71">
        <f>-790.598-AX31-AW31</f>
        <v>-440.83999999999992</v>
      </c>
      <c r="AZ31" s="71">
        <f>-3576.562-SUM(AW31:AY31)</f>
        <v>-2785.9639999999999</v>
      </c>
      <c r="BA31" s="93">
        <f t="shared" ref="BA31:BA36" si="52">SUM(AW31:AZ31)</f>
        <v>-3576.5619999999999</v>
      </c>
      <c r="BB31" s="67"/>
      <c r="BC31" s="84">
        <v>-62.566000000000003</v>
      </c>
      <c r="BD31" s="71">
        <f>-101.55-BC31</f>
        <v>-38.983999999999995</v>
      </c>
      <c r="BE31" s="71">
        <f>-241.193-BD31-BC31</f>
        <v>-139.643</v>
      </c>
      <c r="BF31" s="71">
        <f>-423.208-BC31-BD31-BE31</f>
        <v>-182.01500000000007</v>
      </c>
      <c r="BG31" s="93">
        <f t="shared" ref="BG31:BG36" si="53">SUM(BC31:BF31)</f>
        <v>-423.20800000000008</v>
      </c>
      <c r="BH31" s="67"/>
      <c r="BI31" s="84">
        <v>0</v>
      </c>
      <c r="BJ31" s="71">
        <f>-140.368-BI31</f>
        <v>-140.36799999999999</v>
      </c>
      <c r="BK31" s="71">
        <f>-281.369-BI31-BJ31</f>
        <v>-141.00100000000003</v>
      </c>
      <c r="BL31" s="71">
        <f>-703.511-BI31-BJ31-BK31</f>
        <v>-422.142</v>
      </c>
      <c r="BM31" s="93">
        <f t="shared" ref="BM31:BM36" si="54">SUM(BI31:BL31)</f>
        <v>-703.51099999999997</v>
      </c>
      <c r="BN31" s="67"/>
      <c r="BO31" s="84">
        <v>-1263.242</v>
      </c>
      <c r="BP31" s="71">
        <f>-1398.526-BO31</f>
        <v>-135.28400000000011</v>
      </c>
      <c r="BQ31" s="71">
        <f>-1568.068-SUM(BO31:BP31)</f>
        <v>-169.54199999999992</v>
      </c>
      <c r="BR31" s="71">
        <f>-2129.652-SUM(BO31:BQ31)</f>
        <v>-561.58400000000006</v>
      </c>
      <c r="BS31" s="93">
        <f t="shared" ref="BS31:BS37" si="55">SUM(BO31:BR31)</f>
        <v>-2129.652</v>
      </c>
      <c r="BT31" s="67"/>
      <c r="BU31" s="84">
        <v>-517.41999999999996</v>
      </c>
      <c r="BV31" s="71">
        <f>-6056.279-BU31</f>
        <v>-5538.8590000000004</v>
      </c>
      <c r="BW31" s="71">
        <f>-6087.087-SUM(BU31:BV31)</f>
        <v>-30.807999999999993</v>
      </c>
      <c r="BX31" s="71">
        <f>-6210.8-SUM(BU31:BW31)</f>
        <v>-123.71299999999974</v>
      </c>
      <c r="BY31" s="93">
        <f t="shared" ref="BY31:BY37" si="56">SUM(BU31:BX31)</f>
        <v>-6210.8</v>
      </c>
      <c r="BZ31" s="67"/>
      <c r="CA31" s="84">
        <v>-55.7</v>
      </c>
      <c r="CB31" s="71">
        <f>-945.1-CA31</f>
        <v>-889.4</v>
      </c>
      <c r="CC31" s="71">
        <f>-972.8-SUM(CA31:CB31)</f>
        <v>-27.699999999999932</v>
      </c>
      <c r="CD31" s="71">
        <f>-1796.8-SUM(CA31:CC31)</f>
        <v>-824</v>
      </c>
      <c r="CE31" s="93">
        <f t="shared" ref="CE31:CE37" si="57">SUM(CA31:CD31)</f>
        <v>-1796.8</v>
      </c>
      <c r="CF31" s="67"/>
      <c r="CG31" s="84">
        <v>-12.1</v>
      </c>
      <c r="CH31" s="71">
        <f>-322.6-CG31</f>
        <v>-310.5</v>
      </c>
      <c r="CI31" s="71">
        <f>-868.6-SUM(CG31:CH31)</f>
        <v>-546</v>
      </c>
      <c r="CJ31" s="71">
        <f>-957.2-SUM(CG31:CI31)</f>
        <v>-88.600000000000023</v>
      </c>
      <c r="CK31" s="93">
        <f t="shared" ref="CK31:CK37" si="58">SUM(CG31:CJ31)</f>
        <v>-957.2</v>
      </c>
      <c r="CL31" s="67"/>
      <c r="CM31" s="84">
        <v>-162.80000000000001</v>
      </c>
      <c r="CN31" s="71">
        <f>-606.7-CM31</f>
        <v>-443.90000000000003</v>
      </c>
      <c r="CO31" s="71">
        <f>-632.4-SUM(CM31:CN31)</f>
        <v>-25.699999999999932</v>
      </c>
      <c r="CP31" s="71">
        <f>-3128.4-SUM(CM31:CO31)</f>
        <v>-2496</v>
      </c>
      <c r="CQ31" s="93">
        <f t="shared" ref="CQ31:CQ37" si="59">SUM(CM31:CP31)</f>
        <v>-3128.4</v>
      </c>
      <c r="CR31" s="67"/>
      <c r="CS31" s="84">
        <v>-482.6</v>
      </c>
      <c r="CT31" s="71">
        <f>-592.8-CS31</f>
        <v>-110.19999999999993</v>
      </c>
      <c r="CU31" s="71">
        <f>-14207.1-SUM(CS31:CT31)</f>
        <v>-13614.300000000001</v>
      </c>
      <c r="CV31" s="71">
        <f>-14247.8-SUM(CS31:CU31)</f>
        <v>-40.699999999998909</v>
      </c>
      <c r="CW31" s="93">
        <f t="shared" ref="CW31:CW37" si="60">SUM(CS31:CV31)</f>
        <v>-14247.8</v>
      </c>
      <c r="CX31" s="67"/>
      <c r="CY31" s="84">
        <v>-107.5</v>
      </c>
      <c r="CZ31" s="71">
        <f>-105.4-CY31</f>
        <v>2.0999999999999943</v>
      </c>
      <c r="DA31" s="71">
        <f>-99.6-SUM(CY31:CZ31)</f>
        <v>5.8000000000000114</v>
      </c>
      <c r="DB31" s="71">
        <f>-4880.1-SUM(CY31:DA31)</f>
        <v>-4780.5</v>
      </c>
      <c r="DC31" s="93">
        <f t="shared" ref="DC31:DC37" si="61">SUM(CY31:DB31)</f>
        <v>-4880.1000000000004</v>
      </c>
      <c r="DD31" s="67"/>
      <c r="DE31" s="84">
        <v>0</v>
      </c>
      <c r="DF31" s="71">
        <v>-93.9</v>
      </c>
      <c r="DG31" s="71">
        <f>-112-SUM(DE31:DF31)</f>
        <v>-18.099999999999994</v>
      </c>
      <c r="DH31" s="71">
        <f>-385.8-SUM(DE31:DG31)</f>
        <v>-273.8</v>
      </c>
      <c r="DI31" s="93">
        <f t="shared" ref="DI31:DI37" si="62">SUM(DE31:DH31)</f>
        <v>-385.8</v>
      </c>
      <c r="DJ31" s="67"/>
      <c r="DK31" s="354">
        <f>-BS!DK149-BS!DK150-BS!DK158-BS!DK159</f>
        <v>0</v>
      </c>
      <c r="DL31" s="355">
        <f>-BS!DL149-BS!DL150-BS!DL158-BS!DL159</f>
        <v>0</v>
      </c>
      <c r="DM31" s="355">
        <f>-BS!DM149-BS!DM150-BS!DM158-BS!DM159</f>
        <v>0</v>
      </c>
      <c r="DN31" s="355">
        <f>-BS!DN149-BS!DN150-BS!DN158-BS!DN159</f>
        <v>0</v>
      </c>
      <c r="DO31" s="93">
        <f t="shared" ref="DO31:DO37" si="63">SUM(DK31:DN31)</f>
        <v>0</v>
      </c>
      <c r="DP31" s="67"/>
      <c r="DQ31" s="354">
        <f>-BS!DQ149-BS!DQ150-BS!DQ158-BS!DQ159</f>
        <v>0</v>
      </c>
      <c r="DR31" s="355">
        <f>-BS!DR149-BS!DR150-BS!DR158-BS!DR159</f>
        <v>0</v>
      </c>
      <c r="DS31" s="355">
        <f>-BS!DS149-BS!DS150-BS!DS158-BS!DS159</f>
        <v>0</v>
      </c>
      <c r="DT31" s="355">
        <f>-BS!DT149-BS!DT150-BS!DT158-BS!DT159</f>
        <v>0</v>
      </c>
      <c r="DU31" s="93">
        <f t="shared" ref="DU31:DU37" si="64">SUM(DQ31:DT31)</f>
        <v>0</v>
      </c>
      <c r="DV31" s="67"/>
      <c r="DW31" s="354">
        <f>-BS!DW149-BS!DW150-BS!DW158-BS!DW159</f>
        <v>0</v>
      </c>
      <c r="DX31" s="355">
        <f>-BS!DX149-BS!DX150-BS!DX158-BS!DX159</f>
        <v>0</v>
      </c>
      <c r="DY31" s="355">
        <f>-BS!DY149-BS!DY150-BS!DY158-BS!DY159</f>
        <v>0</v>
      </c>
      <c r="DZ31" s="355">
        <f>-BS!DZ149-BS!DZ150-BS!DZ158-BS!DZ159</f>
        <v>0</v>
      </c>
      <c r="EA31" s="93">
        <f t="shared" ref="EA31:EA32" si="65">SUM(DW31:DZ31)</f>
        <v>0</v>
      </c>
      <c r="EB31" s="67"/>
      <c r="EC31" s="354">
        <f>-BS!EC149-BS!EC150-BS!EC158-BS!EC159</f>
        <v>0</v>
      </c>
      <c r="ED31" s="355">
        <f>-BS!ED149-BS!ED150-BS!ED158-BS!ED159</f>
        <v>0</v>
      </c>
      <c r="EE31" s="355">
        <f>-BS!EE149-BS!EE150-BS!EE158-BS!EE159</f>
        <v>0</v>
      </c>
      <c r="EF31" s="355">
        <f>-BS!EF149-BS!EF150-BS!EF158-BS!EF159</f>
        <v>0</v>
      </c>
      <c r="EG31" s="93">
        <f t="shared" ref="EG31:EG33" si="66">SUM(EC31:EF31)</f>
        <v>0</v>
      </c>
      <c r="EH31" s="67"/>
      <c r="EI31" s="177"/>
      <c r="EJ31" s="19"/>
      <c r="EK31" s="19"/>
      <c r="EL31" s="19"/>
    </row>
    <row r="32" spans="1:148" ht="12.75" customHeight="1" x14ac:dyDescent="0.2">
      <c r="A32" s="51" t="s">
        <v>341</v>
      </c>
      <c r="B32" s="19"/>
      <c r="C32" s="19"/>
      <c r="D32" s="19"/>
      <c r="E32" s="92">
        <v>-86.881</v>
      </c>
      <c r="F32" s="67"/>
      <c r="G32" s="92">
        <v>-101.614</v>
      </c>
      <c r="H32" s="67"/>
      <c r="I32" s="92">
        <v>-88.909000000000006</v>
      </c>
      <c r="J32" s="67"/>
      <c r="K32" s="92">
        <v>-103.718</v>
      </c>
      <c r="L32" s="67"/>
      <c r="M32" s="84">
        <v>-21.103999999999999</v>
      </c>
      <c r="N32" s="71">
        <f>-39.418-M32</f>
        <v>-18.314</v>
      </c>
      <c r="O32" s="71">
        <f>-57.224-N32-M32</f>
        <v>-17.805999999999997</v>
      </c>
      <c r="P32" s="71">
        <f>-84.457-M32-N32-O32</f>
        <v>-27.232999999999997</v>
      </c>
      <c r="Q32" s="93">
        <f t="shared" si="46"/>
        <v>-84.456999999999994</v>
      </c>
      <c r="R32" s="67"/>
      <c r="S32" s="84">
        <v>-12.923</v>
      </c>
      <c r="T32" s="71">
        <f>-28.241-S32</f>
        <v>-15.318</v>
      </c>
      <c r="U32" s="71">
        <f>-44.953-T32-S32</f>
        <v>-16.712000000000003</v>
      </c>
      <c r="V32" s="71">
        <f>-65.43-S32-T32-U32</f>
        <v>-20.477000000000004</v>
      </c>
      <c r="W32" s="93">
        <f t="shared" si="47"/>
        <v>-65.430000000000007</v>
      </c>
      <c r="X32" s="67"/>
      <c r="Y32" s="84">
        <v>-15.617000000000001</v>
      </c>
      <c r="Z32" s="71">
        <f>-37.621-Y32</f>
        <v>-22.004000000000001</v>
      </c>
      <c r="AA32" s="71">
        <f>-54.06-Z32-Y32</f>
        <v>-16.438999999999997</v>
      </c>
      <c r="AB32" s="71">
        <f>-80.343-Y32-Z32-AA32</f>
        <v>-26.282999999999998</v>
      </c>
      <c r="AC32" s="93">
        <f t="shared" si="48"/>
        <v>-80.343000000000004</v>
      </c>
      <c r="AD32" s="67"/>
      <c r="AE32" s="84">
        <v>-19.207999999999998</v>
      </c>
      <c r="AF32" s="71">
        <f>-43.16+19.2</f>
        <v>-23.959999999999997</v>
      </c>
      <c r="AG32" s="71">
        <f>-70.118+43.16</f>
        <v>-26.957999999999998</v>
      </c>
      <c r="AH32" s="71">
        <f>-115.906-SUM(AE32:AG32)</f>
        <v>-45.780000000000015</v>
      </c>
      <c r="AI32" s="93">
        <f t="shared" si="49"/>
        <v>-115.90600000000001</v>
      </c>
      <c r="AJ32" s="67"/>
      <c r="AK32" s="84">
        <v>-25.951000000000001</v>
      </c>
      <c r="AL32" s="71">
        <v>-30.97</v>
      </c>
      <c r="AM32" s="71">
        <v>-30.231000000000002</v>
      </c>
      <c r="AN32" s="71">
        <f>-121.206-AK32-AL32-AM32</f>
        <v>-34.053999999999995</v>
      </c>
      <c r="AO32" s="93">
        <f t="shared" si="50"/>
        <v>-121.20599999999999</v>
      </c>
      <c r="AP32" s="67"/>
      <c r="AQ32" s="84">
        <v>-27.582000000000001</v>
      </c>
      <c r="AR32" s="71">
        <v>-31.738</v>
      </c>
      <c r="AS32" s="71">
        <v>-39.969000000000001</v>
      </c>
      <c r="AT32" s="71">
        <f>-137.706-AQ32-AR32-AS32</f>
        <v>-38.416999999999994</v>
      </c>
      <c r="AU32" s="93">
        <f t="shared" si="51"/>
        <v>-137.70599999999999</v>
      </c>
      <c r="AV32" s="67"/>
      <c r="AW32" s="84">
        <v>-31.442</v>
      </c>
      <c r="AX32" s="71">
        <f>-70.381-AW32</f>
        <v>-38.939</v>
      </c>
      <c r="AY32" s="71">
        <f>-100.186-AX32-AW32</f>
        <v>-29.805000000000007</v>
      </c>
      <c r="AZ32" s="71">
        <f>-162.071-SUM(AW32:AY32)</f>
        <v>-61.884999999999991</v>
      </c>
      <c r="BA32" s="93">
        <f t="shared" si="52"/>
        <v>-162.071</v>
      </c>
      <c r="BB32" s="67"/>
      <c r="BC32" s="84">
        <v>-38.96</v>
      </c>
      <c r="BD32" s="71">
        <f>-83.867-BC32</f>
        <v>-44.907000000000004</v>
      </c>
      <c r="BE32" s="71">
        <f>-118.18-BD32-BC32</f>
        <v>-34.312999999999995</v>
      </c>
      <c r="BF32" s="71">
        <f>-193.783-BE32-BD32-BC32</f>
        <v>-75.60299999999998</v>
      </c>
      <c r="BG32" s="93">
        <f t="shared" si="53"/>
        <v>-193.78299999999999</v>
      </c>
      <c r="BH32" s="67"/>
      <c r="BI32" s="84">
        <f>-36.408</f>
        <v>-36.408000000000001</v>
      </c>
      <c r="BJ32" s="71">
        <f>-83.943-BI32</f>
        <v>-47.534999999999997</v>
      </c>
      <c r="BK32" s="71">
        <f>-115.414-BJ32-BI32</f>
        <v>-31.471000000000004</v>
      </c>
      <c r="BL32" s="71">
        <f>-188.547-BI32-BJ32-BK32</f>
        <v>-73.13300000000001</v>
      </c>
      <c r="BM32" s="93">
        <f t="shared" si="54"/>
        <v>-188.54700000000003</v>
      </c>
      <c r="BN32" s="67"/>
      <c r="BO32" s="84">
        <v>-37.284999999999997</v>
      </c>
      <c r="BP32" s="71">
        <f>-89.119-BO32</f>
        <v>-51.834000000000003</v>
      </c>
      <c r="BQ32" s="71">
        <f>-140.181-SUM(BO32:BP32)</f>
        <v>-51.062000000000012</v>
      </c>
      <c r="BR32" s="71">
        <f>-191.11-SUM(BO32:BQ32)</f>
        <v>-50.929000000000002</v>
      </c>
      <c r="BS32" s="93">
        <f t="shared" si="55"/>
        <v>-191.11</v>
      </c>
      <c r="BT32" s="67"/>
      <c r="BU32" s="84">
        <v>-46.305999999999997</v>
      </c>
      <c r="BV32" s="71">
        <f>-105.101-BU32</f>
        <v>-58.795000000000002</v>
      </c>
      <c r="BW32" s="71">
        <f>-214.822-SUM(BU32:BV32)</f>
        <v>-109.721</v>
      </c>
      <c r="BX32" s="71">
        <f>-334.5-SUM(BU32:BW32)</f>
        <v>-119.678</v>
      </c>
      <c r="BY32" s="93">
        <f t="shared" si="56"/>
        <v>-334.5</v>
      </c>
      <c r="BZ32" s="67"/>
      <c r="CA32" s="84">
        <v>-117.8</v>
      </c>
      <c r="CB32" s="71">
        <f>-228.5-CA32</f>
        <v>-110.7</v>
      </c>
      <c r="CC32" s="71">
        <f>-333.4-SUM(CA32:CB32)</f>
        <v>-104.89999999999998</v>
      </c>
      <c r="CD32" s="71">
        <f>-458.3-SUM(CA32:CC32)</f>
        <v>-124.90000000000003</v>
      </c>
      <c r="CE32" s="93">
        <f t="shared" si="57"/>
        <v>-458.3</v>
      </c>
      <c r="CF32" s="67"/>
      <c r="CG32" s="84">
        <v>-116.3</v>
      </c>
      <c r="CH32" s="71">
        <f>-252.5-CG32</f>
        <v>-136.19999999999999</v>
      </c>
      <c r="CI32" s="71">
        <f>-391.8-SUM(CG32:CH32)</f>
        <v>-139.30000000000001</v>
      </c>
      <c r="CJ32" s="71">
        <f>-551.5-SUM(CG32:CI32)</f>
        <v>-159.69999999999999</v>
      </c>
      <c r="CK32" s="93">
        <f t="shared" si="58"/>
        <v>-551.5</v>
      </c>
      <c r="CL32" s="67"/>
      <c r="CM32" s="84">
        <v>-130.9</v>
      </c>
      <c r="CN32" s="71">
        <f>-278.6-CM32</f>
        <v>-147.70000000000002</v>
      </c>
      <c r="CO32" s="71">
        <f>-409.3-SUM(CM32:CN32)</f>
        <v>-130.69999999999999</v>
      </c>
      <c r="CP32" s="71">
        <f>-580.6-SUM(CM32:CO32)</f>
        <v>-171.3</v>
      </c>
      <c r="CQ32" s="93">
        <f t="shared" si="59"/>
        <v>-580.6</v>
      </c>
      <c r="CR32" s="67"/>
      <c r="CS32" s="84">
        <v>-117</v>
      </c>
      <c r="CT32" s="71">
        <f>-253.2-CS32</f>
        <v>-136.19999999999999</v>
      </c>
      <c r="CU32" s="71">
        <f>-351.6-SUM(CS32:CT32)</f>
        <v>-98.400000000000034</v>
      </c>
      <c r="CV32" s="71">
        <f>-512.9-SUM(CS32:CU32)</f>
        <v>-161.29999999999995</v>
      </c>
      <c r="CW32" s="93">
        <f t="shared" si="60"/>
        <v>-512.9</v>
      </c>
      <c r="CX32" s="67"/>
      <c r="CY32" s="84">
        <v>-151</v>
      </c>
      <c r="CZ32" s="71">
        <f>-334.9-CY32</f>
        <v>-183.89999999999998</v>
      </c>
      <c r="DA32" s="71">
        <f>-422.1-SUM(CY32:CZ32)</f>
        <v>-87.200000000000045</v>
      </c>
      <c r="DB32" s="71">
        <f>-589.6-SUM(CY32:DA32)</f>
        <v>-167.5</v>
      </c>
      <c r="DC32" s="93">
        <f t="shared" si="61"/>
        <v>-589.6</v>
      </c>
      <c r="DD32" s="67"/>
      <c r="DE32" s="84">
        <v>-158.6</v>
      </c>
      <c r="DF32" s="71">
        <f>-306.5-DE32</f>
        <v>-147.9</v>
      </c>
      <c r="DG32" s="71">
        <f>-445.8-SUM(DE32:DF32)</f>
        <v>-139.30000000000001</v>
      </c>
      <c r="DH32" s="71">
        <f>-619.6-SUM(DE32:DG32)</f>
        <v>-173.8</v>
      </c>
      <c r="DI32" s="93">
        <f t="shared" si="62"/>
        <v>-619.6</v>
      </c>
      <c r="DJ32" s="67"/>
      <c r="DK32" s="354">
        <f>-BS!DK147</f>
        <v>-150.25279999999998</v>
      </c>
      <c r="DL32" s="355">
        <f>-BS!DL147</f>
        <v>-157.76616000000001</v>
      </c>
      <c r="DM32" s="355">
        <f>-BS!DM147</f>
        <v>-155.21801600000001</v>
      </c>
      <c r="DN32" s="355">
        <f>-BS!DN147</f>
        <v>-174.02564799999999</v>
      </c>
      <c r="DO32" s="93">
        <f t="shared" si="63"/>
        <v>-637.26262399999996</v>
      </c>
      <c r="DP32" s="67"/>
      <c r="DQ32" s="354">
        <f>-BS!DQ147</f>
        <v>-157.23764000000003</v>
      </c>
      <c r="DR32" s="355">
        <f>-BS!DR147</f>
        <v>-165.39023743999999</v>
      </c>
      <c r="DS32" s="355">
        <f>-BS!DS147</f>
        <v>-161.31617856000003</v>
      </c>
      <c r="DT32" s="355">
        <f>-BS!DT147</f>
        <v>-180.82835632000001</v>
      </c>
      <c r="DU32" s="93">
        <f t="shared" si="64"/>
        <v>-664.77241232000006</v>
      </c>
      <c r="DV32" s="67"/>
      <c r="DW32" s="354">
        <f>-BS!DW147</f>
        <v>-163.96554595999999</v>
      </c>
      <c r="DX32" s="355">
        <f>-BS!DX147</f>
        <v>-172.46732991520003</v>
      </c>
      <c r="DY32" s="355">
        <f>-BS!DY147</f>
        <v>-168.22060054880004</v>
      </c>
      <c r="DZ32" s="355">
        <f>-BS!DZ147</f>
        <v>-188.55670890640005</v>
      </c>
      <c r="EA32" s="93">
        <f t="shared" si="65"/>
        <v>-693.21018533040001</v>
      </c>
      <c r="EB32" s="67"/>
      <c r="EC32" s="354">
        <f>-BS!EC147</f>
        <v>-170.98805302900001</v>
      </c>
      <c r="ED32" s="355">
        <f>-BS!ED147</f>
        <v>-179.85445475650403</v>
      </c>
      <c r="EE32" s="355">
        <f>-BS!EE147</f>
        <v>-175.42750156308</v>
      </c>
      <c r="EF32" s="355">
        <f>-BS!EF147</f>
        <v>-196.62319198531603</v>
      </c>
      <c r="EG32" s="93">
        <f t="shared" si="66"/>
        <v>-722.89320133390004</v>
      </c>
      <c r="EH32" s="67"/>
      <c r="EI32" s="177"/>
      <c r="EJ32" s="19"/>
      <c r="EK32" s="19"/>
      <c r="EL32" s="19"/>
    </row>
    <row r="33" spans="1:142" ht="12.75" customHeight="1" x14ac:dyDescent="0.2">
      <c r="A33" s="51" t="s">
        <v>342</v>
      </c>
      <c r="B33" s="19"/>
      <c r="C33" s="19"/>
      <c r="D33" s="19"/>
      <c r="E33" s="92">
        <v>0</v>
      </c>
      <c r="F33" s="67"/>
      <c r="G33" s="92">
        <v>0</v>
      </c>
      <c r="H33" s="67"/>
      <c r="I33" s="92">
        <v>0</v>
      </c>
      <c r="J33" s="67"/>
      <c r="K33" s="92">
        <v>0</v>
      </c>
      <c r="L33" s="67"/>
      <c r="M33" s="84">
        <v>0</v>
      </c>
      <c r="N33" s="71">
        <v>0</v>
      </c>
      <c r="O33" s="71">
        <v>0</v>
      </c>
      <c r="P33" s="71">
        <f>0-M33-N33-O33</f>
        <v>0</v>
      </c>
      <c r="Q33" s="93">
        <f t="shared" si="46"/>
        <v>0</v>
      </c>
      <c r="R33" s="67"/>
      <c r="S33" s="84">
        <v>0</v>
      </c>
      <c r="T33" s="71">
        <v>0</v>
      </c>
      <c r="U33" s="71">
        <v>0</v>
      </c>
      <c r="V33" s="71">
        <f>0-S33-T33-U33</f>
        <v>0</v>
      </c>
      <c r="W33" s="93">
        <f t="shared" si="47"/>
        <v>0</v>
      </c>
      <c r="X33" s="67"/>
      <c r="Y33" s="84">
        <v>0</v>
      </c>
      <c r="Z33" s="71">
        <v>0</v>
      </c>
      <c r="AA33" s="71">
        <v>0</v>
      </c>
      <c r="AB33" s="71">
        <f>0-Y33-Z33-AA33</f>
        <v>0</v>
      </c>
      <c r="AC33" s="93">
        <f t="shared" si="48"/>
        <v>0</v>
      </c>
      <c r="AD33" s="67"/>
      <c r="AE33" s="84">
        <v>0</v>
      </c>
      <c r="AF33" s="71">
        <v>0</v>
      </c>
      <c r="AG33" s="71">
        <v>0</v>
      </c>
      <c r="AH33" s="71">
        <f>0-SUM(AE33:AG33)</f>
        <v>0</v>
      </c>
      <c r="AI33" s="93">
        <f t="shared" si="49"/>
        <v>0</v>
      </c>
      <c r="AJ33" s="67"/>
      <c r="AK33" s="84">
        <v>0</v>
      </c>
      <c r="AL33" s="71">
        <v>0</v>
      </c>
      <c r="AM33" s="71">
        <v>0</v>
      </c>
      <c r="AN33" s="71">
        <f>0-AK33-AL33-AM33</f>
        <v>0</v>
      </c>
      <c r="AO33" s="93">
        <f t="shared" si="50"/>
        <v>0</v>
      </c>
      <c r="AP33" s="67"/>
      <c r="AQ33" s="84">
        <v>0</v>
      </c>
      <c r="AR33" s="71">
        <v>0</v>
      </c>
      <c r="AS33" s="71">
        <v>0</v>
      </c>
      <c r="AT33" s="71">
        <f>0-SUM(AQ33:AS33)</f>
        <v>0</v>
      </c>
      <c r="AU33" s="93">
        <f t="shared" si="51"/>
        <v>0</v>
      </c>
      <c r="AV33" s="67"/>
      <c r="AW33" s="84">
        <v>0</v>
      </c>
      <c r="AX33" s="71">
        <v>0</v>
      </c>
      <c r="AY33" s="71">
        <v>0</v>
      </c>
      <c r="AZ33" s="71">
        <f>0-SUM(AW33:AY33)</f>
        <v>0</v>
      </c>
      <c r="BA33" s="93">
        <f t="shared" si="52"/>
        <v>0</v>
      </c>
      <c r="BB33" s="67"/>
      <c r="BC33" s="84">
        <v>0</v>
      </c>
      <c r="BD33" s="71">
        <f>BC33</f>
        <v>0</v>
      </c>
      <c r="BE33" s="71">
        <v>0</v>
      </c>
      <c r="BF33" s="71">
        <v>0</v>
      </c>
      <c r="BG33" s="93">
        <f t="shared" si="53"/>
        <v>0</v>
      </c>
      <c r="BH33" s="67"/>
      <c r="BI33" s="84">
        <v>0</v>
      </c>
      <c r="BJ33" s="71">
        <v>0</v>
      </c>
      <c r="BK33" s="71">
        <v>0</v>
      </c>
      <c r="BL33" s="71">
        <v>0</v>
      </c>
      <c r="BM33" s="93">
        <f t="shared" si="54"/>
        <v>0</v>
      </c>
      <c r="BN33" s="67"/>
      <c r="BO33" s="84">
        <v>0</v>
      </c>
      <c r="BP33" s="71">
        <f>0-BO33</f>
        <v>0</v>
      </c>
      <c r="BQ33" s="71">
        <f>0-SUM(BO33:BP33)</f>
        <v>0</v>
      </c>
      <c r="BR33" s="71">
        <f>0-SUM(BO33:BQ33)</f>
        <v>0</v>
      </c>
      <c r="BS33" s="93">
        <f t="shared" si="55"/>
        <v>0</v>
      </c>
      <c r="BT33" s="67"/>
      <c r="BU33" s="84"/>
      <c r="BV33" s="71">
        <f>0-BU33</f>
        <v>0</v>
      </c>
      <c r="BW33" s="71">
        <f>0-SUM(BU33:BV33)</f>
        <v>0</v>
      </c>
      <c r="BX33" s="71">
        <f>0-SUM(BU33:BW33)</f>
        <v>0</v>
      </c>
      <c r="BY33" s="93">
        <f t="shared" si="56"/>
        <v>0</v>
      </c>
      <c r="BZ33" s="67"/>
      <c r="CA33" s="84">
        <v>0</v>
      </c>
      <c r="CB33" s="71">
        <f>0-CA33</f>
        <v>0</v>
      </c>
      <c r="CC33" s="71">
        <f>0-SUM(CA33:CB33)</f>
        <v>0</v>
      </c>
      <c r="CD33" s="71">
        <f>0-SUM(CA33:CC33)</f>
        <v>0</v>
      </c>
      <c r="CE33" s="93">
        <f t="shared" si="57"/>
        <v>0</v>
      </c>
      <c r="CF33" s="67"/>
      <c r="CG33" s="84">
        <v>0</v>
      </c>
      <c r="CH33" s="71">
        <f>0-CG33</f>
        <v>0</v>
      </c>
      <c r="CI33" s="71">
        <f>0-SUM(CG33:CH33)</f>
        <v>0</v>
      </c>
      <c r="CJ33" s="71">
        <f>0-SUM(CG33:CI33)</f>
        <v>0</v>
      </c>
      <c r="CK33" s="93">
        <f t="shared" si="58"/>
        <v>0</v>
      </c>
      <c r="CL33" s="67"/>
      <c r="CM33" s="84">
        <v>0</v>
      </c>
      <c r="CN33" s="71">
        <f>0-CM33</f>
        <v>0</v>
      </c>
      <c r="CO33" s="71">
        <f>-80-SUM(CM33:CN33)</f>
        <v>-80</v>
      </c>
      <c r="CP33" s="71">
        <f>0-SUM(CM33:CO33)</f>
        <v>80</v>
      </c>
      <c r="CQ33" s="93">
        <f t="shared" si="59"/>
        <v>0</v>
      </c>
      <c r="CR33" s="67"/>
      <c r="CS33" s="84">
        <v>-87.1</v>
      </c>
      <c r="CT33" s="71">
        <f>-87.1-CS33</f>
        <v>0</v>
      </c>
      <c r="CU33" s="71">
        <f>-87.1-SUM(CS33:CT33)</f>
        <v>0</v>
      </c>
      <c r="CV33" s="71">
        <f>-87.1-SUM(CS33:CU33)</f>
        <v>0</v>
      </c>
      <c r="CW33" s="93">
        <f t="shared" si="60"/>
        <v>-87.1</v>
      </c>
      <c r="CX33" s="67"/>
      <c r="CY33" s="84">
        <v>0</v>
      </c>
      <c r="CZ33" s="71">
        <f>0-CY33</f>
        <v>0</v>
      </c>
      <c r="DA33" s="71">
        <f>0-SUM(CY33:CZ33)</f>
        <v>0</v>
      </c>
      <c r="DB33" s="71">
        <f>0-SUM(CY33:DA33)</f>
        <v>0</v>
      </c>
      <c r="DC33" s="93">
        <f t="shared" si="61"/>
        <v>0</v>
      </c>
      <c r="DD33" s="67"/>
      <c r="DE33" s="84">
        <v>0</v>
      </c>
      <c r="DF33" s="71">
        <f t="shared" ref="DF33:DF37" si="67">0-DE33</f>
        <v>0</v>
      </c>
      <c r="DG33" s="71">
        <f t="shared" ref="DG33:DG37" si="68">0-SUM(DE33:DF33)</f>
        <v>0</v>
      </c>
      <c r="DH33" s="71">
        <f t="shared" ref="DH33:DH37" si="69">0-SUM(DE33:DG33)</f>
        <v>0</v>
      </c>
      <c r="DI33" s="93">
        <f>SUM(DE33:DH33)</f>
        <v>0</v>
      </c>
      <c r="DJ33" s="67"/>
      <c r="DK33" s="81">
        <v>0</v>
      </c>
      <c r="DL33" s="69">
        <v>0</v>
      </c>
      <c r="DM33" s="69">
        <v>0</v>
      </c>
      <c r="DN33" s="69">
        <v>0</v>
      </c>
      <c r="DO33" s="93">
        <f>SUM(DK33:DN33)</f>
        <v>0</v>
      </c>
      <c r="DP33" s="67"/>
      <c r="DQ33" s="81">
        <v>0</v>
      </c>
      <c r="DR33" s="69">
        <v>0</v>
      </c>
      <c r="DS33" s="69">
        <v>0</v>
      </c>
      <c r="DT33" s="69">
        <v>0</v>
      </c>
      <c r="DU33" s="93">
        <f>SUM(DQ33:DT33)</f>
        <v>0</v>
      </c>
      <c r="DV33" s="67"/>
      <c r="DW33" s="81">
        <v>0</v>
      </c>
      <c r="DX33" s="69">
        <v>0</v>
      </c>
      <c r="DY33" s="69">
        <v>0</v>
      </c>
      <c r="DZ33" s="69">
        <v>0</v>
      </c>
      <c r="EA33" s="93">
        <f>SUM(DW33:DZ33)</f>
        <v>0</v>
      </c>
      <c r="EB33" s="67"/>
      <c r="EC33" s="81">
        <v>0</v>
      </c>
      <c r="ED33" s="69">
        <v>0</v>
      </c>
      <c r="EE33" s="69">
        <v>0</v>
      </c>
      <c r="EF33" s="69">
        <v>0</v>
      </c>
      <c r="EG33" s="93">
        <f t="shared" si="66"/>
        <v>0</v>
      </c>
      <c r="EH33" s="67"/>
      <c r="EI33" s="177"/>
      <c r="EJ33" s="19"/>
      <c r="EK33" s="19"/>
      <c r="EL33" s="19"/>
    </row>
    <row r="34" spans="1:142" ht="12.75" customHeight="1" x14ac:dyDescent="0.2">
      <c r="A34" s="51" t="s">
        <v>343</v>
      </c>
      <c r="B34" s="19"/>
      <c r="C34" s="19"/>
      <c r="D34" s="19"/>
      <c r="E34" s="92">
        <v>0</v>
      </c>
      <c r="F34" s="67"/>
      <c r="G34" s="92">
        <v>0</v>
      </c>
      <c r="H34" s="67"/>
      <c r="I34" s="92">
        <v>0</v>
      </c>
      <c r="J34" s="67"/>
      <c r="K34" s="92">
        <v>15.215</v>
      </c>
      <c r="L34" s="67"/>
      <c r="M34" s="84">
        <v>0</v>
      </c>
      <c r="N34" s="71">
        <v>0</v>
      </c>
      <c r="O34" s="71">
        <v>0</v>
      </c>
      <c r="P34" s="71">
        <f>3.872-M34-N34-O34</f>
        <v>3.8719999999999999</v>
      </c>
      <c r="Q34" s="93">
        <f t="shared" si="46"/>
        <v>3.8719999999999999</v>
      </c>
      <c r="R34" s="67"/>
      <c r="S34" s="84">
        <v>2.9089999999999998</v>
      </c>
      <c r="T34" s="71">
        <f>11.735-S34</f>
        <v>8.8260000000000005</v>
      </c>
      <c r="U34" s="71">
        <f>19.295-T34-S34</f>
        <v>7.5600000000000014</v>
      </c>
      <c r="V34" s="71">
        <f>26.466-S34-T34-U34</f>
        <v>7.1710000000000003</v>
      </c>
      <c r="W34" s="93">
        <f t="shared" si="47"/>
        <v>26.466000000000001</v>
      </c>
      <c r="X34" s="67"/>
      <c r="Y34" s="84">
        <v>5.7030000000000003</v>
      </c>
      <c r="Z34" s="71">
        <f>6.806-Y34</f>
        <v>1.1029999999999998</v>
      </c>
      <c r="AA34" s="71">
        <f>9.927-Z34-Y34</f>
        <v>3.1209999999999996</v>
      </c>
      <c r="AB34" s="71">
        <f>12.926-Y34-Z34-AA34</f>
        <v>2.9990000000000006</v>
      </c>
      <c r="AC34" s="93">
        <f t="shared" si="48"/>
        <v>12.926</v>
      </c>
      <c r="AD34" s="67"/>
      <c r="AE34" s="84">
        <v>6.4740000000000002</v>
      </c>
      <c r="AF34" s="71">
        <f>11.249-AE34</f>
        <v>4.7750000000000004</v>
      </c>
      <c r="AG34" s="71">
        <f>20.061-AF34</f>
        <v>15.286</v>
      </c>
      <c r="AH34" s="71">
        <f>30.894-SUM(AE34:AG34)</f>
        <v>4.3589999999999982</v>
      </c>
      <c r="AI34" s="93">
        <f t="shared" si="49"/>
        <v>30.893999999999998</v>
      </c>
      <c r="AJ34" s="67"/>
      <c r="AK34" s="84">
        <v>6.3760000000000003</v>
      </c>
      <c r="AL34" s="71">
        <f>9.013-AK34</f>
        <v>2.6369999999999996</v>
      </c>
      <c r="AM34" s="71">
        <f>15.495-AL34-AK34</f>
        <v>6.4820000000000002</v>
      </c>
      <c r="AN34" s="71">
        <f>18.783-AK34-AL34-AM34</f>
        <v>3.2879999999999994</v>
      </c>
      <c r="AO34" s="93">
        <f t="shared" si="50"/>
        <v>18.783000000000001</v>
      </c>
      <c r="AP34" s="67"/>
      <c r="AQ34" s="84">
        <v>0.65100000000000002</v>
      </c>
      <c r="AR34" s="71">
        <f>3.144-AQ34</f>
        <v>2.4930000000000003</v>
      </c>
      <c r="AS34" s="71">
        <f>7.869-AR34-AQ34</f>
        <v>4.7249999999999996</v>
      </c>
      <c r="AT34" s="71">
        <f>9.988-SUM(AQ34:AS34)</f>
        <v>2.1189999999999998</v>
      </c>
      <c r="AU34" s="93">
        <f t="shared" si="51"/>
        <v>9.9879999999999995</v>
      </c>
      <c r="AV34" s="67"/>
      <c r="AW34" s="84">
        <v>0.24</v>
      </c>
      <c r="AX34" s="71">
        <f>11.738-AW34</f>
        <v>11.497999999999999</v>
      </c>
      <c r="AY34" s="71">
        <f>14.118-AX34-AW34</f>
        <v>2.3800000000000008</v>
      </c>
      <c r="AZ34" s="71">
        <f>15.537-AW34-AX34-AY34</f>
        <v>1.4190000000000005</v>
      </c>
      <c r="BA34" s="93">
        <f t="shared" si="52"/>
        <v>15.537000000000001</v>
      </c>
      <c r="BB34" s="67"/>
      <c r="BC34" s="84">
        <v>0.222</v>
      </c>
      <c r="BD34" s="71">
        <f>0.499-BC34</f>
        <v>0.27700000000000002</v>
      </c>
      <c r="BE34" s="71">
        <f>0.916-BC34-BD34</f>
        <v>0.41700000000000004</v>
      </c>
      <c r="BF34" s="71">
        <f>1.088-BC34-BD34-BE34</f>
        <v>0.17200000000000004</v>
      </c>
      <c r="BG34" s="93">
        <f t="shared" si="53"/>
        <v>1.0880000000000001</v>
      </c>
      <c r="BH34" s="67"/>
      <c r="BI34" s="84">
        <v>0.33400000000000002</v>
      </c>
      <c r="BJ34" s="71">
        <f>2.166-BI34</f>
        <v>1.8319999999999999</v>
      </c>
      <c r="BK34" s="71">
        <f>3.387-BI34-BJ34</f>
        <v>1.2210000000000001</v>
      </c>
      <c r="BL34" s="71">
        <f>6.09-BI34-BJ34-BK34</f>
        <v>2.7030000000000003</v>
      </c>
      <c r="BM34" s="93">
        <f t="shared" si="54"/>
        <v>6.09</v>
      </c>
      <c r="BN34" s="67"/>
      <c r="BO34" s="84">
        <v>0.33100000000000002</v>
      </c>
      <c r="BP34" s="71">
        <f>0.627-BO34</f>
        <v>0.29599999999999999</v>
      </c>
      <c r="BQ34" s="71">
        <f>0.711-SUM(BO34:BP34)</f>
        <v>8.3999999999999964E-2</v>
      </c>
      <c r="BR34" s="71">
        <f>1.551-SUM(BO34:BQ34)</f>
        <v>0.84</v>
      </c>
      <c r="BS34" s="93">
        <f t="shared" si="55"/>
        <v>1.5509999999999999</v>
      </c>
      <c r="BT34" s="67"/>
      <c r="BU34" s="84">
        <v>2.41</v>
      </c>
      <c r="BV34" s="71">
        <f>3.431-BU34</f>
        <v>1.0209999999999999</v>
      </c>
      <c r="BW34" s="71">
        <f>10.285-SUM(BU34:BV34)</f>
        <v>6.8540000000000001</v>
      </c>
      <c r="BX34" s="71">
        <f>8.6-SUM(BU34:BW34)</f>
        <v>-1.6850000000000005</v>
      </c>
      <c r="BY34" s="93">
        <f t="shared" si="56"/>
        <v>8.6</v>
      </c>
      <c r="BZ34" s="67"/>
      <c r="CA34" s="84">
        <v>0</v>
      </c>
      <c r="CB34" s="71">
        <f>0-CA34</f>
        <v>0</v>
      </c>
      <c r="CC34" s="71">
        <f>0-SUM(CA34:CB34)</f>
        <v>0</v>
      </c>
      <c r="CD34" s="71">
        <f>0-SUM(CA34:CC34)</f>
        <v>0</v>
      </c>
      <c r="CE34" s="93">
        <f t="shared" si="57"/>
        <v>0</v>
      </c>
      <c r="CF34" s="67"/>
      <c r="CG34" s="84">
        <v>692</v>
      </c>
      <c r="CH34" s="71">
        <f>692-CG34</f>
        <v>0</v>
      </c>
      <c r="CI34" s="71">
        <f>692-SUM(CG34:CH34)</f>
        <v>0</v>
      </c>
      <c r="CJ34" s="71">
        <f>958.6-SUM(CG34:CI34)</f>
        <v>266.60000000000002</v>
      </c>
      <c r="CK34" s="93">
        <f t="shared" si="58"/>
        <v>958.6</v>
      </c>
      <c r="CL34" s="67"/>
      <c r="CM34" s="84">
        <v>0</v>
      </c>
      <c r="CN34" s="71">
        <f>25-CM34</f>
        <v>25</v>
      </c>
      <c r="CO34" s="71">
        <f>117.4-SUM(CM34:CN34)</f>
        <v>92.4</v>
      </c>
      <c r="CP34" s="71">
        <f>253.8-SUM(CM34:CO34)</f>
        <v>136.4</v>
      </c>
      <c r="CQ34" s="93">
        <f t="shared" si="59"/>
        <v>253.8</v>
      </c>
      <c r="CR34" s="67"/>
      <c r="CS34" s="84">
        <v>0</v>
      </c>
      <c r="CT34" s="71">
        <f>0-CS34</f>
        <v>0</v>
      </c>
      <c r="CU34" s="71">
        <f>43-SUM(CS34:CT34)</f>
        <v>43</v>
      </c>
      <c r="CV34" s="71">
        <f>43-SUM(CS34:CU34)</f>
        <v>0</v>
      </c>
      <c r="CW34" s="93">
        <f t="shared" si="60"/>
        <v>43</v>
      </c>
      <c r="CX34" s="67"/>
      <c r="CY34" s="84">
        <v>264.8</v>
      </c>
      <c r="CZ34" s="71">
        <f>264.8-CY34</f>
        <v>0</v>
      </c>
      <c r="DA34" s="71">
        <f>264.8-SUM(CY34:CZ34)</f>
        <v>0</v>
      </c>
      <c r="DB34" s="71">
        <f>264.8-SUM(CY34:DA34)</f>
        <v>0</v>
      </c>
      <c r="DC34" s="93">
        <f t="shared" si="61"/>
        <v>264.8</v>
      </c>
      <c r="DD34" s="67"/>
      <c r="DE34" s="84">
        <v>0</v>
      </c>
      <c r="DF34" s="71">
        <f>0-DE34</f>
        <v>0</v>
      </c>
      <c r="DG34" s="71">
        <f>32.3-SUM(DE34:DF34)</f>
        <v>32.299999999999997</v>
      </c>
      <c r="DH34" s="71">
        <f>137.9-SUM(DE34:DG34)</f>
        <v>105.60000000000001</v>
      </c>
      <c r="DI34" s="93">
        <f t="shared" si="62"/>
        <v>137.9</v>
      </c>
      <c r="DJ34" s="67"/>
      <c r="DK34" s="81">
        <v>0</v>
      </c>
      <c r="DL34" s="69">
        <v>0</v>
      </c>
      <c r="DM34" s="69">
        <v>0</v>
      </c>
      <c r="DN34" s="69">
        <v>0</v>
      </c>
      <c r="DO34" s="93">
        <f t="shared" si="63"/>
        <v>0</v>
      </c>
      <c r="DP34" s="67"/>
      <c r="DQ34" s="81">
        <v>0</v>
      </c>
      <c r="DR34" s="69">
        <v>0</v>
      </c>
      <c r="DS34" s="69">
        <v>0</v>
      </c>
      <c r="DT34" s="69">
        <v>0</v>
      </c>
      <c r="DU34" s="93">
        <f t="shared" si="64"/>
        <v>0</v>
      </c>
      <c r="DV34" s="67"/>
      <c r="DW34" s="81">
        <v>0</v>
      </c>
      <c r="DX34" s="69">
        <v>0</v>
      </c>
      <c r="DY34" s="69">
        <v>0</v>
      </c>
      <c r="DZ34" s="69">
        <v>0</v>
      </c>
      <c r="EA34" s="93">
        <f t="shared" ref="EA34:EA37" si="70">SUM(DW34:DZ34)</f>
        <v>0</v>
      </c>
      <c r="EB34" s="67"/>
      <c r="EC34" s="81">
        <v>0</v>
      </c>
      <c r="ED34" s="69">
        <v>0</v>
      </c>
      <c r="EE34" s="69">
        <v>0</v>
      </c>
      <c r="EF34" s="69">
        <v>0</v>
      </c>
      <c r="EG34" s="93">
        <f t="shared" ref="EG34:EG37" si="71">SUM(EC34:EF34)</f>
        <v>0</v>
      </c>
      <c r="EH34" s="67"/>
      <c r="EI34" s="177"/>
      <c r="EJ34" s="19"/>
      <c r="EK34" s="19"/>
      <c r="EL34" s="19"/>
    </row>
    <row r="35" spans="1:142" ht="12.75" customHeight="1" x14ac:dyDescent="0.2">
      <c r="A35" s="51" t="s">
        <v>344</v>
      </c>
      <c r="B35" s="19"/>
      <c r="C35" s="19"/>
      <c r="D35" s="19"/>
      <c r="E35" s="92">
        <v>0</v>
      </c>
      <c r="F35" s="67"/>
      <c r="G35" s="92">
        <v>16.25</v>
      </c>
      <c r="H35" s="67"/>
      <c r="I35" s="92">
        <v>0</v>
      </c>
      <c r="J35" s="67"/>
      <c r="K35" s="92">
        <v>1.8</v>
      </c>
      <c r="L35" s="67"/>
      <c r="M35" s="84">
        <v>0</v>
      </c>
      <c r="N35" s="71">
        <v>0</v>
      </c>
      <c r="O35" s="71">
        <v>0</v>
      </c>
      <c r="P35" s="71">
        <f>32.826-M35-N35-O35</f>
        <v>32.826000000000001</v>
      </c>
      <c r="Q35" s="93">
        <f t="shared" si="46"/>
        <v>32.826000000000001</v>
      </c>
      <c r="R35" s="67"/>
      <c r="S35" s="84">
        <v>56</v>
      </c>
      <c r="T35" s="71">
        <f>52.562-S35</f>
        <v>-3.4380000000000024</v>
      </c>
      <c r="U35" s="71">
        <f>52.562-T35-S35</f>
        <v>0</v>
      </c>
      <c r="V35" s="71">
        <f>52.562-S35-T35-U35</f>
        <v>0</v>
      </c>
      <c r="W35" s="93">
        <f t="shared" si="47"/>
        <v>52.561999999999998</v>
      </c>
      <c r="X35" s="67"/>
      <c r="Y35" s="84">
        <v>11.648</v>
      </c>
      <c r="Z35" s="71">
        <f>11.648-Y35</f>
        <v>0</v>
      </c>
      <c r="AA35" s="71">
        <f>11.648-Z35-Y35</f>
        <v>0</v>
      </c>
      <c r="AB35" s="71">
        <f>11.648-Y35-Z35-AA35</f>
        <v>0</v>
      </c>
      <c r="AC35" s="93">
        <f t="shared" si="48"/>
        <v>11.648</v>
      </c>
      <c r="AD35" s="67"/>
      <c r="AE35" s="84">
        <v>0</v>
      </c>
      <c r="AF35" s="71">
        <v>0</v>
      </c>
      <c r="AG35" s="71">
        <v>0</v>
      </c>
      <c r="AH35" s="71">
        <f>43.1-SUM(AE35:AG35)</f>
        <v>43.1</v>
      </c>
      <c r="AI35" s="93">
        <f t="shared" si="49"/>
        <v>43.1</v>
      </c>
      <c r="AJ35" s="67"/>
      <c r="AK35" s="84">
        <v>0</v>
      </c>
      <c r="AL35" s="71">
        <v>22.1</v>
      </c>
      <c r="AM35" s="71">
        <f>22.1-AK35-AL35</f>
        <v>0</v>
      </c>
      <c r="AN35" s="71">
        <f>22.1-AK35-AL35-AM35</f>
        <v>0</v>
      </c>
      <c r="AO35" s="93">
        <f t="shared" si="50"/>
        <v>22.1</v>
      </c>
      <c r="AP35" s="67"/>
      <c r="AQ35" s="84">
        <v>0</v>
      </c>
      <c r="AR35" s="71">
        <f>98.485-AQ35</f>
        <v>98.484999999999999</v>
      </c>
      <c r="AS35" s="71">
        <f>98.485-AR35-AQ35</f>
        <v>0</v>
      </c>
      <c r="AT35" s="71">
        <f>98.485-SUM(AQ35:AS35)</f>
        <v>0</v>
      </c>
      <c r="AU35" s="93">
        <f t="shared" si="51"/>
        <v>98.484999999999999</v>
      </c>
      <c r="AV35" s="67"/>
      <c r="AW35" s="84">
        <v>0</v>
      </c>
      <c r="AX35" s="71">
        <f>AW35</f>
        <v>0</v>
      </c>
      <c r="AY35" s="71">
        <f>299.642-AX35-AW35</f>
        <v>299.642</v>
      </c>
      <c r="AZ35" s="71">
        <f>301.278-SUM(AW35:AY35)</f>
        <v>1.6360000000000241</v>
      </c>
      <c r="BA35" s="93">
        <f t="shared" si="52"/>
        <v>301.27800000000002</v>
      </c>
      <c r="BB35" s="67"/>
      <c r="BC35" s="84">
        <v>0</v>
      </c>
      <c r="BD35" s="71">
        <f>BC35</f>
        <v>0</v>
      </c>
      <c r="BE35" s="71">
        <v>0</v>
      </c>
      <c r="BF35" s="71">
        <v>0</v>
      </c>
      <c r="BG35" s="93">
        <f t="shared" si="53"/>
        <v>0</v>
      </c>
      <c r="BH35" s="67"/>
      <c r="BI35" s="84">
        <v>0</v>
      </c>
      <c r="BJ35" s="71">
        <v>0</v>
      </c>
      <c r="BK35" s="71">
        <v>0</v>
      </c>
      <c r="BL35" s="71">
        <f>9.795-BI35-BJ35-BK35</f>
        <v>9.7949999999999999</v>
      </c>
      <c r="BM35" s="93">
        <f t="shared" si="54"/>
        <v>9.7949999999999999</v>
      </c>
      <c r="BN35" s="67"/>
      <c r="BO35" s="84">
        <v>0</v>
      </c>
      <c r="BP35" s="71">
        <f>0-BO35</f>
        <v>0</v>
      </c>
      <c r="BQ35" s="71">
        <f>45.226-SUM(BO35:BP35)</f>
        <v>45.225999999999999</v>
      </c>
      <c r="BR35" s="71">
        <f>56.542-SUM(BO35:BQ35)</f>
        <v>11.316000000000003</v>
      </c>
      <c r="BS35" s="93">
        <f t="shared" si="55"/>
        <v>56.542000000000002</v>
      </c>
      <c r="BT35" s="67"/>
      <c r="BU35" s="84"/>
      <c r="BV35" s="71">
        <f>0-BU35</f>
        <v>0</v>
      </c>
      <c r="BW35" s="71">
        <f>12.454-SUM(BU35:BV35)</f>
        <v>12.454000000000001</v>
      </c>
      <c r="BX35" s="71">
        <f>14.8-SUM(BU35:BW35)</f>
        <v>2.3460000000000001</v>
      </c>
      <c r="BY35" s="93">
        <f t="shared" si="56"/>
        <v>14.8</v>
      </c>
      <c r="BZ35" s="67"/>
      <c r="CA35" s="84">
        <v>2.7</v>
      </c>
      <c r="CB35" s="71">
        <f>14.1-CA35</f>
        <v>11.399999999999999</v>
      </c>
      <c r="CC35" s="71">
        <f>23.2-SUM(CA35:CB35)</f>
        <v>9.1000000000000014</v>
      </c>
      <c r="CD35" s="71">
        <f>30-SUM(CA35:CC35)</f>
        <v>6.8000000000000007</v>
      </c>
      <c r="CE35" s="93">
        <f t="shared" si="57"/>
        <v>30</v>
      </c>
      <c r="CF35" s="67"/>
      <c r="CG35" s="84">
        <v>-8.9</v>
      </c>
      <c r="CH35" s="71">
        <f>-5.9-CG35</f>
        <v>3</v>
      </c>
      <c r="CI35" s="71">
        <f>-3.6-SUM(CG35:CH35)</f>
        <v>2.3000000000000003</v>
      </c>
      <c r="CJ35" s="71">
        <f>-2.4-SUM(CG35:CI35)</f>
        <v>1.2000000000000002</v>
      </c>
      <c r="CK35" s="93">
        <f t="shared" si="58"/>
        <v>-2.4</v>
      </c>
      <c r="CL35" s="67"/>
      <c r="CM35" s="84">
        <v>9</v>
      </c>
      <c r="CN35" s="71">
        <f>11.2-CM35</f>
        <v>2.1999999999999993</v>
      </c>
      <c r="CO35" s="71">
        <f>20.7-SUM(CM35:CN35)</f>
        <v>9.5</v>
      </c>
      <c r="CP35" s="71">
        <f>30.3-SUM(CM35:CO35)</f>
        <v>9.6000000000000014</v>
      </c>
      <c r="CQ35" s="93">
        <f t="shared" si="59"/>
        <v>30.3</v>
      </c>
      <c r="CR35" s="67"/>
      <c r="CS35" s="84">
        <v>3.2</v>
      </c>
      <c r="CT35" s="71">
        <f>6.5-CS35</f>
        <v>3.3</v>
      </c>
      <c r="CU35" s="71">
        <f>34.9-SUM(CS35:CT35)</f>
        <v>28.4</v>
      </c>
      <c r="CV35" s="71">
        <f>66.3-SUM(CS35:CU35)</f>
        <v>31.4</v>
      </c>
      <c r="CW35" s="93">
        <f t="shared" si="60"/>
        <v>66.3</v>
      </c>
      <c r="CX35" s="67"/>
      <c r="CY35" s="84">
        <v>2</v>
      </c>
      <c r="CZ35" s="71">
        <f>9.6-CY35</f>
        <v>7.6</v>
      </c>
      <c r="DA35" s="71">
        <f>7.2-SUM(CY35:CZ35)</f>
        <v>-2.3999999999999995</v>
      </c>
      <c r="DB35" s="71">
        <f>31.7-SUM(CY35:DA35)</f>
        <v>24.5</v>
      </c>
      <c r="DC35" s="93">
        <f t="shared" si="61"/>
        <v>31.7</v>
      </c>
      <c r="DD35" s="67"/>
      <c r="DE35" s="84">
        <v>-5.0999999999999996</v>
      </c>
      <c r="DF35" s="71">
        <f>-2.5+30-DE35</f>
        <v>32.6</v>
      </c>
      <c r="DG35" s="71">
        <f>-2.4-SUM(DE35:DF35)</f>
        <v>-29.9</v>
      </c>
      <c r="DH35" s="71">
        <f>32.6-8.5-SUM(DE35:DG35)</f>
        <v>26.5</v>
      </c>
      <c r="DI35" s="93">
        <f t="shared" si="62"/>
        <v>24.1</v>
      </c>
      <c r="DJ35" s="67"/>
      <c r="DK35" s="81">
        <v>0</v>
      </c>
      <c r="DL35" s="69">
        <v>0</v>
      </c>
      <c r="DM35" s="69">
        <v>0</v>
      </c>
      <c r="DN35" s="69">
        <v>0</v>
      </c>
      <c r="DO35" s="93">
        <f t="shared" si="63"/>
        <v>0</v>
      </c>
      <c r="DP35" s="67"/>
      <c r="DQ35" s="81">
        <v>0</v>
      </c>
      <c r="DR35" s="69">
        <v>0</v>
      </c>
      <c r="DS35" s="69">
        <v>0</v>
      </c>
      <c r="DT35" s="69">
        <v>0</v>
      </c>
      <c r="DU35" s="93">
        <f t="shared" si="64"/>
        <v>0</v>
      </c>
      <c r="DV35" s="67"/>
      <c r="DW35" s="81">
        <v>0</v>
      </c>
      <c r="DX35" s="69">
        <v>0</v>
      </c>
      <c r="DY35" s="69">
        <v>0</v>
      </c>
      <c r="DZ35" s="69">
        <v>0</v>
      </c>
      <c r="EA35" s="93">
        <f t="shared" si="70"/>
        <v>0</v>
      </c>
      <c r="EB35" s="67"/>
      <c r="EC35" s="81">
        <v>0</v>
      </c>
      <c r="ED35" s="69">
        <v>0</v>
      </c>
      <c r="EE35" s="69">
        <v>0</v>
      </c>
      <c r="EF35" s="69">
        <v>0</v>
      </c>
      <c r="EG35" s="93">
        <f t="shared" si="71"/>
        <v>0</v>
      </c>
      <c r="EH35" s="67"/>
      <c r="EI35" s="177"/>
      <c r="EJ35" s="19"/>
      <c r="EK35" s="19"/>
      <c r="EL35" s="19"/>
    </row>
    <row r="36" spans="1:142" ht="12.75" customHeight="1" x14ac:dyDescent="0.2">
      <c r="A36" s="50" t="s">
        <v>345</v>
      </c>
      <c r="B36" s="480"/>
      <c r="C36" s="480"/>
      <c r="D36" s="480"/>
      <c r="E36" s="476">
        <v>0</v>
      </c>
      <c r="F36" s="164"/>
      <c r="G36" s="476">
        <v>0</v>
      </c>
      <c r="H36" s="164"/>
      <c r="I36" s="476">
        <v>0</v>
      </c>
      <c r="J36" s="164"/>
      <c r="K36" s="476">
        <v>0</v>
      </c>
      <c r="L36" s="164"/>
      <c r="M36" s="475">
        <v>0</v>
      </c>
      <c r="N36" s="344">
        <v>0</v>
      </c>
      <c r="O36" s="344">
        <v>0</v>
      </c>
      <c r="P36" s="344">
        <f>0-M36-N36-O36</f>
        <v>0</v>
      </c>
      <c r="Q36" s="163">
        <f t="shared" si="46"/>
        <v>0</v>
      </c>
      <c r="R36" s="164"/>
      <c r="S36" s="475">
        <v>0</v>
      </c>
      <c r="T36" s="344">
        <v>0</v>
      </c>
      <c r="U36" s="344">
        <v>0</v>
      </c>
      <c r="V36" s="344">
        <f>0-S36-T36-U36</f>
        <v>0</v>
      </c>
      <c r="W36" s="163">
        <f t="shared" si="47"/>
        <v>0</v>
      </c>
      <c r="X36" s="164"/>
      <c r="Y36" s="475">
        <v>0</v>
      </c>
      <c r="Z36" s="344">
        <v>0</v>
      </c>
      <c r="AA36" s="344">
        <v>0</v>
      </c>
      <c r="AB36" s="344">
        <f>0-Y36-Z36-AA36</f>
        <v>0</v>
      </c>
      <c r="AC36" s="163">
        <f t="shared" si="48"/>
        <v>0</v>
      </c>
      <c r="AD36" s="164"/>
      <c r="AE36" s="475">
        <v>0</v>
      </c>
      <c r="AF36" s="344">
        <v>0</v>
      </c>
      <c r="AG36" s="344">
        <v>0</v>
      </c>
      <c r="AH36" s="344">
        <f>0-SUM(AE36:AG36)</f>
        <v>0</v>
      </c>
      <c r="AI36" s="163">
        <f t="shared" si="49"/>
        <v>0</v>
      </c>
      <c r="AJ36" s="164"/>
      <c r="AK36" s="475">
        <v>0</v>
      </c>
      <c r="AL36" s="344">
        <v>0</v>
      </c>
      <c r="AM36" s="344">
        <v>0</v>
      </c>
      <c r="AN36" s="344">
        <f>0-AK36-AL36-AM36</f>
        <v>0</v>
      </c>
      <c r="AO36" s="163">
        <f t="shared" si="50"/>
        <v>0</v>
      </c>
      <c r="AP36" s="164"/>
      <c r="AQ36" s="475">
        <v>-84.102000000000004</v>
      </c>
      <c r="AR36" s="344">
        <v>0</v>
      </c>
      <c r="AS36" s="344">
        <v>0</v>
      </c>
      <c r="AT36" s="344">
        <f>-84.102-SUM(AQ36:AS36)</f>
        <v>0</v>
      </c>
      <c r="AU36" s="163">
        <f t="shared" si="51"/>
        <v>-84.102000000000004</v>
      </c>
      <c r="AV36" s="164"/>
      <c r="AW36" s="475">
        <v>0</v>
      </c>
      <c r="AX36" s="344">
        <v>-23.219000000000001</v>
      </c>
      <c r="AY36" s="344">
        <v>0</v>
      </c>
      <c r="AZ36" s="344">
        <f>+-23.219-SUM(AW36:AY36)</f>
        <v>0</v>
      </c>
      <c r="BA36" s="163">
        <f t="shared" si="52"/>
        <v>-23.219000000000001</v>
      </c>
      <c r="BB36" s="164"/>
      <c r="BC36" s="475">
        <f>48.504</f>
        <v>48.503999999999998</v>
      </c>
      <c r="BD36" s="344">
        <f>48.504-BC36</f>
        <v>0</v>
      </c>
      <c r="BE36" s="344">
        <f>48.504-BC36-BD36</f>
        <v>0</v>
      </c>
      <c r="BF36" s="344">
        <f>48.504-BC36-BD36-BE36</f>
        <v>0</v>
      </c>
      <c r="BG36" s="163">
        <f t="shared" si="53"/>
        <v>48.503999999999998</v>
      </c>
      <c r="BH36" s="164"/>
      <c r="BI36" s="475">
        <v>-33.978000000000002</v>
      </c>
      <c r="BJ36" s="344">
        <f>-50.768-BI36</f>
        <v>-16.79</v>
      </c>
      <c r="BK36" s="344">
        <f>-50.768-BJ36</f>
        <v>-33.978000000000002</v>
      </c>
      <c r="BL36" s="344">
        <f>-66.768-BI36-BJ36-BK36</f>
        <v>17.978000000000002</v>
      </c>
      <c r="BM36" s="163">
        <f t="shared" si="54"/>
        <v>-66.768000000000001</v>
      </c>
      <c r="BN36" s="164"/>
      <c r="BO36" s="165">
        <f>+SUM(BO31:BO35)</f>
        <v>-1300.1960000000001</v>
      </c>
      <c r="BP36" s="164">
        <f>+SUM(BP31:BP35)</f>
        <v>-186.82200000000012</v>
      </c>
      <c r="BQ36" s="164">
        <f>+SUM(BQ31:BQ35)</f>
        <v>-175.29399999999993</v>
      </c>
      <c r="BR36" s="164">
        <f>+SUM(BR31:BR35)</f>
        <v>-600.35699999999997</v>
      </c>
      <c r="BS36" s="163">
        <f t="shared" si="55"/>
        <v>-2262.6689999999999</v>
      </c>
      <c r="BT36" s="164"/>
      <c r="BU36" s="165">
        <f>+SUM(BU31:BU35)</f>
        <v>-561.31600000000003</v>
      </c>
      <c r="BV36" s="164">
        <f>+SUM(BV31:BV35)</f>
        <v>-5596.6330000000007</v>
      </c>
      <c r="BW36" s="164">
        <f>+SUM(BW31:BW35)</f>
        <v>-121.22099999999998</v>
      </c>
      <c r="BX36" s="164">
        <f>+SUM(BX31:BX35)</f>
        <v>-242.72999999999973</v>
      </c>
      <c r="BY36" s="163">
        <f t="shared" si="56"/>
        <v>-6521.9</v>
      </c>
      <c r="BZ36" s="164"/>
      <c r="CA36" s="165">
        <f>+SUM(CA31:CA35)</f>
        <v>-170.8</v>
      </c>
      <c r="CB36" s="164">
        <f>+SUM(CB31:CB35)</f>
        <v>-988.7</v>
      </c>
      <c r="CC36" s="164">
        <f>+SUM(CC31:CC35)</f>
        <v>-123.49999999999991</v>
      </c>
      <c r="CD36" s="164">
        <f>+SUM(CD31:CD35)</f>
        <v>-942.10000000000014</v>
      </c>
      <c r="CE36" s="163">
        <f t="shared" si="57"/>
        <v>-2225.1000000000004</v>
      </c>
      <c r="CF36" s="164"/>
      <c r="CG36" s="165">
        <f>+SUM(CG31:CG35)</f>
        <v>554.70000000000005</v>
      </c>
      <c r="CH36" s="164">
        <f>+SUM(CH31:CH35)</f>
        <v>-443.7</v>
      </c>
      <c r="CI36" s="164">
        <f>+SUM(CI31:CI35)</f>
        <v>-683</v>
      </c>
      <c r="CJ36" s="164">
        <f>+SUM(CJ31:CJ35)</f>
        <v>19.500000000000011</v>
      </c>
      <c r="CK36" s="163">
        <f t="shared" si="58"/>
        <v>-552.5</v>
      </c>
      <c r="CL36" s="164"/>
      <c r="CM36" s="165">
        <f>+SUM(CM31:CM35)</f>
        <v>-284.70000000000005</v>
      </c>
      <c r="CN36" s="164">
        <f>+SUM(CN31:CN35)</f>
        <v>-564.4</v>
      </c>
      <c r="CO36" s="164">
        <f>+SUM(CO31:CO35)</f>
        <v>-134.49999999999991</v>
      </c>
      <c r="CP36" s="164">
        <f>+SUM(CP31:CP35)</f>
        <v>-2441.3000000000002</v>
      </c>
      <c r="CQ36" s="163">
        <f t="shared" si="59"/>
        <v>-3424.9</v>
      </c>
      <c r="CR36" s="164"/>
      <c r="CS36" s="165">
        <f>+SUM(CS31:CS35)</f>
        <v>-683.5</v>
      </c>
      <c r="CT36" s="164">
        <f>+SUM(CT31:CT35)</f>
        <v>-243.09999999999991</v>
      </c>
      <c r="CU36" s="164">
        <f>+SUM(CU31:CU35)</f>
        <v>-13641.300000000001</v>
      </c>
      <c r="CV36" s="164">
        <f>+SUM(CV31:CV35)</f>
        <v>-170.59999999999886</v>
      </c>
      <c r="CW36" s="163">
        <f t="shared" si="60"/>
        <v>-14738.5</v>
      </c>
      <c r="CX36" s="164"/>
      <c r="CY36" s="165">
        <f>+SUM(CY31:CY35)</f>
        <v>8.3000000000000114</v>
      </c>
      <c r="CZ36" s="164">
        <f>+SUM(CZ31:CZ35)</f>
        <v>-174.2</v>
      </c>
      <c r="DA36" s="164">
        <f>+SUM(DA31:DA35)</f>
        <v>-83.80000000000004</v>
      </c>
      <c r="DB36" s="164">
        <f>+SUM(DB31:DB35)</f>
        <v>-4923.5</v>
      </c>
      <c r="DC36" s="163">
        <f t="shared" si="61"/>
        <v>-5173.2</v>
      </c>
      <c r="DD36" s="164"/>
      <c r="DE36" s="165">
        <f>+SUM(DE31:DE35)</f>
        <v>-163.69999999999999</v>
      </c>
      <c r="DF36" s="164">
        <f>+SUM(DF31:DF35)</f>
        <v>-209.20000000000002</v>
      </c>
      <c r="DG36" s="164">
        <f>+SUM(DG31:DG35)</f>
        <v>-155</v>
      </c>
      <c r="DH36" s="164">
        <f>+SUM(DH31:DH35)</f>
        <v>-315.5</v>
      </c>
      <c r="DI36" s="163">
        <f t="shared" si="62"/>
        <v>-843.4</v>
      </c>
      <c r="DJ36" s="164"/>
      <c r="DK36" s="165">
        <f>+SUM(DK31:DK35)</f>
        <v>-150.25279999999998</v>
      </c>
      <c r="DL36" s="164">
        <f>+SUM(DL31:DL35)</f>
        <v>-157.76616000000001</v>
      </c>
      <c r="DM36" s="164">
        <f>+SUM(DM31:DM35)</f>
        <v>-155.21801600000001</v>
      </c>
      <c r="DN36" s="164">
        <f>+SUM(DN31:DN35)</f>
        <v>-174.02564799999999</v>
      </c>
      <c r="DO36" s="163">
        <f t="shared" si="63"/>
        <v>-637.26262399999996</v>
      </c>
      <c r="DP36" s="164"/>
      <c r="DQ36" s="165">
        <f>+SUM(DQ31:DQ35)</f>
        <v>-157.23764000000003</v>
      </c>
      <c r="DR36" s="164">
        <f>+SUM(DR31:DR35)</f>
        <v>-165.39023743999999</v>
      </c>
      <c r="DS36" s="164">
        <f>+SUM(DS31:DS35)</f>
        <v>-161.31617856000003</v>
      </c>
      <c r="DT36" s="164">
        <f>+SUM(DT31:DT35)</f>
        <v>-180.82835632000001</v>
      </c>
      <c r="DU36" s="163">
        <f t="shared" si="64"/>
        <v>-664.77241232000006</v>
      </c>
      <c r="DV36" s="164"/>
      <c r="DW36" s="165">
        <f>+SUM(DW31:DW35)</f>
        <v>-163.96554595999999</v>
      </c>
      <c r="DX36" s="164">
        <f>+SUM(DX31:DX35)</f>
        <v>-172.46732991520003</v>
      </c>
      <c r="DY36" s="164">
        <f>+SUM(DY31:DY35)</f>
        <v>-168.22060054880004</v>
      </c>
      <c r="DZ36" s="164">
        <f>+SUM(DZ31:DZ35)</f>
        <v>-188.55670890640005</v>
      </c>
      <c r="EA36" s="163">
        <f t="shared" si="70"/>
        <v>-693.21018533040001</v>
      </c>
      <c r="EB36" s="164"/>
      <c r="EC36" s="165">
        <f t="shared" ref="EC36:EF36" si="72">+SUM(EC31:EC35)</f>
        <v>-170.98805302900001</v>
      </c>
      <c r="ED36" s="164">
        <f t="shared" si="72"/>
        <v>-179.85445475650403</v>
      </c>
      <c r="EE36" s="164">
        <f t="shared" si="72"/>
        <v>-175.42750156308</v>
      </c>
      <c r="EF36" s="164">
        <f t="shared" si="72"/>
        <v>-196.62319198531603</v>
      </c>
      <c r="EG36" s="163">
        <f t="shared" si="71"/>
        <v>-722.89320133390004</v>
      </c>
      <c r="EH36" s="67"/>
      <c r="EI36" s="177"/>
      <c r="EJ36" s="19"/>
      <c r="EK36" s="19"/>
      <c r="EL36" s="19"/>
    </row>
    <row r="37" spans="1:142" ht="12.75" customHeight="1" x14ac:dyDescent="0.2">
      <c r="A37" s="51" t="s">
        <v>346</v>
      </c>
      <c r="B37" s="19"/>
      <c r="C37" s="19"/>
      <c r="D37" s="19"/>
      <c r="E37" s="92"/>
      <c r="F37" s="67"/>
      <c r="G37" s="92"/>
      <c r="H37" s="67"/>
      <c r="I37" s="92"/>
      <c r="J37" s="67"/>
      <c r="K37" s="92"/>
      <c r="L37" s="67"/>
      <c r="M37" s="84"/>
      <c r="N37" s="71"/>
      <c r="O37" s="71"/>
      <c r="P37" s="71"/>
      <c r="Q37" s="93"/>
      <c r="R37" s="67"/>
      <c r="S37" s="84"/>
      <c r="T37" s="71"/>
      <c r="U37" s="71"/>
      <c r="V37" s="71"/>
      <c r="W37" s="93"/>
      <c r="X37" s="67"/>
      <c r="Y37" s="84"/>
      <c r="Z37" s="71"/>
      <c r="AA37" s="71"/>
      <c r="AB37" s="71"/>
      <c r="AC37" s="93"/>
      <c r="AD37" s="67"/>
      <c r="AE37" s="84"/>
      <c r="AF37" s="71"/>
      <c r="AG37" s="71"/>
      <c r="AH37" s="71"/>
      <c r="AI37" s="93"/>
      <c r="AJ37" s="67"/>
      <c r="AK37" s="84"/>
      <c r="AL37" s="71"/>
      <c r="AM37" s="71"/>
      <c r="AN37" s="71"/>
      <c r="AO37" s="93"/>
      <c r="AP37" s="67"/>
      <c r="AQ37" s="84"/>
      <c r="AR37" s="71"/>
      <c r="AS37" s="71"/>
      <c r="AT37" s="71"/>
      <c r="AU37" s="93"/>
      <c r="AV37" s="67"/>
      <c r="AW37" s="84"/>
      <c r="AX37" s="71"/>
      <c r="AY37" s="71"/>
      <c r="AZ37" s="71"/>
      <c r="BA37" s="93"/>
      <c r="BB37" s="67"/>
      <c r="BC37" s="84"/>
      <c r="BD37" s="71"/>
      <c r="BE37" s="71"/>
      <c r="BF37" s="71"/>
      <c r="BG37" s="93"/>
      <c r="BH37" s="67"/>
      <c r="BI37" s="84"/>
      <c r="BJ37" s="71"/>
      <c r="BK37" s="71"/>
      <c r="BL37" s="71"/>
      <c r="BM37" s="93"/>
      <c r="BN37" s="67"/>
      <c r="BO37" s="84">
        <v>-1.1180000000000001</v>
      </c>
      <c r="BP37" s="71">
        <f>-3.219-BO37</f>
        <v>-2.101</v>
      </c>
      <c r="BQ37" s="71">
        <f>-5.048-SUM(BO37:BP37)</f>
        <v>-1.8289999999999997</v>
      </c>
      <c r="BR37" s="71">
        <f>-26.21-SUM(BO37:BQ37)</f>
        <v>-21.161999999999999</v>
      </c>
      <c r="BS37" s="93">
        <f t="shared" si="55"/>
        <v>-26.21</v>
      </c>
      <c r="BT37" s="67"/>
      <c r="BU37" s="84">
        <v>-3.6389999999999998</v>
      </c>
      <c r="BV37" s="71">
        <f>-4.514+680.105-BU37</f>
        <v>679.23</v>
      </c>
      <c r="BW37" s="71">
        <f>-4.681+680.105-BV37-BU37</f>
        <v>-0.16700000000004023</v>
      </c>
      <c r="BX37" s="71">
        <f>-5.5+680.1-SUM(BU37:BW37)</f>
        <v>-0.82399999999995543</v>
      </c>
      <c r="BY37" s="93">
        <f t="shared" si="56"/>
        <v>674.6</v>
      </c>
      <c r="BZ37" s="67"/>
      <c r="CA37" s="84">
        <v>337.5</v>
      </c>
      <c r="CB37" s="71">
        <f>337.5-CA37</f>
        <v>0</v>
      </c>
      <c r="CC37" s="71">
        <f>337.5-SUM(CA37:CB37)</f>
        <v>0</v>
      </c>
      <c r="CD37" s="71">
        <f>337.5-SUM(CA37:CC37)</f>
        <v>0</v>
      </c>
      <c r="CE37" s="93">
        <f t="shared" si="57"/>
        <v>337.5</v>
      </c>
      <c r="CF37" s="67"/>
      <c r="CG37" s="84">
        <v>0</v>
      </c>
      <c r="CH37" s="71">
        <f>0-CG37</f>
        <v>0</v>
      </c>
      <c r="CI37" s="71">
        <f>0-SUM(CG37:CH37)</f>
        <v>0</v>
      </c>
      <c r="CJ37" s="71">
        <f>0-SUM(CG37:CI37)</f>
        <v>0</v>
      </c>
      <c r="CK37" s="93">
        <f t="shared" si="58"/>
        <v>0</v>
      </c>
      <c r="CL37" s="67"/>
      <c r="CM37" s="84">
        <v>0</v>
      </c>
      <c r="CN37" s="71">
        <f>0-CM37</f>
        <v>0</v>
      </c>
      <c r="CO37" s="71">
        <f>-14.6-SUM(CM37:CN37)</f>
        <v>-14.6</v>
      </c>
      <c r="CP37" s="71">
        <f>-19.4-SUM(CM37:CO37)</f>
        <v>-4.7999999999999989</v>
      </c>
      <c r="CQ37" s="93">
        <f t="shared" si="59"/>
        <v>-19.399999999999999</v>
      </c>
      <c r="CR37" s="67"/>
      <c r="CS37" s="84">
        <v>-7.2</v>
      </c>
      <c r="CT37" s="71">
        <f>-11-CS37</f>
        <v>-3.8</v>
      </c>
      <c r="CU37" s="71">
        <f>-122.7-SUM(CS37:CT37)</f>
        <v>-111.7</v>
      </c>
      <c r="CV37" s="71">
        <f>-212.5-SUM(CS37:CU37)</f>
        <v>-89.8</v>
      </c>
      <c r="CW37" s="93">
        <f t="shared" si="60"/>
        <v>-212.5</v>
      </c>
      <c r="CX37" s="67"/>
      <c r="CY37" s="84">
        <v>0</v>
      </c>
      <c r="CZ37" s="71">
        <f>0-CY37</f>
        <v>0</v>
      </c>
      <c r="DA37" s="71">
        <f>-69.8-SUM(CY37:CZ37)</f>
        <v>-69.8</v>
      </c>
      <c r="DB37" s="71">
        <f>-69.8-SUM(CY37:DA37)</f>
        <v>0</v>
      </c>
      <c r="DC37" s="93">
        <f t="shared" si="61"/>
        <v>-69.8</v>
      </c>
      <c r="DD37" s="67"/>
      <c r="DE37" s="84">
        <v>0</v>
      </c>
      <c r="DF37" s="71">
        <f t="shared" si="67"/>
        <v>0</v>
      </c>
      <c r="DG37" s="71">
        <f t="shared" si="68"/>
        <v>0</v>
      </c>
      <c r="DH37" s="71">
        <f t="shared" si="69"/>
        <v>0</v>
      </c>
      <c r="DI37" s="93">
        <f t="shared" si="62"/>
        <v>0</v>
      </c>
      <c r="DJ37" s="67"/>
      <c r="DK37" s="82">
        <f>+BS!DK35-BS!DH35+BS!DK42-BS!DH42</f>
        <v>0</v>
      </c>
      <c r="DL37" s="67">
        <f>+BS!DL35-BS!DK35+BS!DL42-BS!DK42</f>
        <v>0</v>
      </c>
      <c r="DM37" s="67">
        <f>+BS!DM35-BS!DL35+BS!DM42-BS!DL42</f>
        <v>0</v>
      </c>
      <c r="DN37" s="67">
        <f>+BS!DN35-BS!DM35+BS!DN42-BS!DM42</f>
        <v>0</v>
      </c>
      <c r="DO37" s="93">
        <f t="shared" si="63"/>
        <v>0</v>
      </c>
      <c r="DP37" s="67"/>
      <c r="DQ37" s="82">
        <f>+BS!DQ35-BS!DN35+BS!DQ42-BS!DN42</f>
        <v>0</v>
      </c>
      <c r="DR37" s="67">
        <f>+BS!DR35-BS!DQ35+BS!DR42-BS!DQ42</f>
        <v>0</v>
      </c>
      <c r="DS37" s="67">
        <f>+BS!DS35-BS!DR35+BS!DS42-BS!DR42</f>
        <v>0</v>
      </c>
      <c r="DT37" s="67">
        <f>+BS!DT35-BS!DS35+BS!DT42-BS!DS42</f>
        <v>0</v>
      </c>
      <c r="DU37" s="93">
        <f t="shared" si="64"/>
        <v>0</v>
      </c>
      <c r="DV37" s="67"/>
      <c r="DW37" s="82">
        <f>+BS!DW35-BS!DT35+BS!DW42-BS!DT42</f>
        <v>0</v>
      </c>
      <c r="DX37" s="67">
        <f>+BS!DX35-BS!DW35+BS!DX42-BS!DW42</f>
        <v>0</v>
      </c>
      <c r="DY37" s="67">
        <f>+BS!DY35-BS!DX35+BS!DY42-BS!DX42</f>
        <v>0</v>
      </c>
      <c r="DZ37" s="67">
        <f>+BS!DZ35-BS!DY35+BS!DZ42-BS!DY42</f>
        <v>0</v>
      </c>
      <c r="EA37" s="93">
        <f t="shared" si="70"/>
        <v>0</v>
      </c>
      <c r="EB37" s="67"/>
      <c r="EC37" s="82">
        <f>+BS!EC35-BS!DZ35+BS!EC42-BS!DZ42</f>
        <v>0</v>
      </c>
      <c r="ED37" s="67">
        <f>+BS!ED35-BS!EC35+BS!ED42-BS!EC42</f>
        <v>0</v>
      </c>
      <c r="EE37" s="67">
        <f>+BS!EE35-BS!ED35+BS!EE42-BS!ED42</f>
        <v>0</v>
      </c>
      <c r="EF37" s="67">
        <f>+BS!EF35-BS!EE35+BS!EF42-BS!EE42</f>
        <v>0</v>
      </c>
      <c r="EG37" s="93">
        <f t="shared" si="71"/>
        <v>0</v>
      </c>
      <c r="EH37" s="67"/>
      <c r="EI37" s="177"/>
      <c r="EJ37" s="19"/>
      <c r="EK37" s="19"/>
      <c r="EL37" s="19"/>
    </row>
    <row r="38" spans="1:142" ht="12.75" customHeight="1" x14ac:dyDescent="0.2">
      <c r="A38" s="490" t="s">
        <v>347</v>
      </c>
      <c r="B38" s="491"/>
      <c r="C38" s="491"/>
      <c r="D38" s="491"/>
      <c r="E38" s="492">
        <f>E76+E31+E35+E33+E36</f>
        <v>68.212000000000018</v>
      </c>
      <c r="F38" s="493"/>
      <c r="G38" s="492">
        <f>G76+G31+G35+G33+G36</f>
        <v>-265.05000000000007</v>
      </c>
      <c r="H38" s="493"/>
      <c r="I38" s="492">
        <f>I76+I31+I35+I33+I36</f>
        <v>265.36400000000003</v>
      </c>
      <c r="J38" s="493"/>
      <c r="K38" s="492">
        <f>K76+K31+K35+K33+K36</f>
        <v>-283.05200000000008</v>
      </c>
      <c r="L38" s="493"/>
      <c r="M38" s="494">
        <f>M76+M31+M35+M33+M36</f>
        <v>76.609999999999971</v>
      </c>
      <c r="N38" s="493">
        <f>N76+N31+N35+N33+N36</f>
        <v>1.6470000000000056</v>
      </c>
      <c r="O38" s="493">
        <f>O76+O31+O35+O33+O36</f>
        <v>-23.663000000000011</v>
      </c>
      <c r="P38" s="493">
        <f>P76+P31+P35+P33+P36</f>
        <v>66.304000000000087</v>
      </c>
      <c r="Q38" s="492">
        <f>Q76+Q31+Q35+Q33+Q36</f>
        <v>120.89799999999994</v>
      </c>
      <c r="R38" s="493"/>
      <c r="S38" s="494">
        <f>S76+S31+S35+S33+S36</f>
        <v>-562.50800000000004</v>
      </c>
      <c r="T38" s="493">
        <f>T76+T31+T35+T33+T36</f>
        <v>112.16599999999995</v>
      </c>
      <c r="U38" s="493">
        <f>U76+U31+U35+U33+U36</f>
        <v>52.363</v>
      </c>
      <c r="V38" s="493">
        <f>V76+V31+V35+V33+V36</f>
        <v>-36.204999999999899</v>
      </c>
      <c r="W38" s="492">
        <f>W76+W31+W35+W33+W36</f>
        <v>-434.18399999999997</v>
      </c>
      <c r="X38" s="493"/>
      <c r="Y38" s="494">
        <f>Y76+Y31+Y35+Y33+Y36</f>
        <v>93.323000000000022</v>
      </c>
      <c r="Z38" s="493">
        <f>Z76+Z31+Z35+Z33+Z36</f>
        <v>213.541</v>
      </c>
      <c r="AA38" s="493">
        <f>AA76+AA31+AA35+AA33+AA36</f>
        <v>93.693000000000055</v>
      </c>
      <c r="AB38" s="493">
        <f>AB76+AB31+AB35+AB33+AB36</f>
        <v>92.93499999999996</v>
      </c>
      <c r="AC38" s="492">
        <f>AC76+AC31+AC35+AC33+AC36</f>
        <v>493.49200000000008</v>
      </c>
      <c r="AD38" s="493"/>
      <c r="AE38" s="494">
        <f>AE76+AE31+AE35+AE33+AE36</f>
        <v>-575.27199999999993</v>
      </c>
      <c r="AF38" s="493">
        <f>AF76+AF31+AF35+AF33+AF36</f>
        <v>-301.82300000000009</v>
      </c>
      <c r="AG38" s="493">
        <f>AG76+AG31+AG35+AG33+AG36</f>
        <v>229.35299999999995</v>
      </c>
      <c r="AH38" s="493">
        <f>AH76+AH31+AH35+AH33+AH36</f>
        <v>47.326999999999892</v>
      </c>
      <c r="AI38" s="492">
        <f>AI76+AI31+AI35+AI33+AI36</f>
        <v>-600.41500000000008</v>
      </c>
      <c r="AJ38" s="493"/>
      <c r="AK38" s="494">
        <f>AK76+AK31+AK35+AK33+AK36</f>
        <v>78.539999999999935</v>
      </c>
      <c r="AL38" s="493">
        <f>AL76+AL31+AL35+AL33+AL36</f>
        <v>194.21500000000006</v>
      </c>
      <c r="AM38" s="493">
        <f>AM76+AM31+AM35+AM33+AM36</f>
        <v>-232.15000000000003</v>
      </c>
      <c r="AN38" s="493">
        <f>AN76+AN31+AN35+AN33+AN36</f>
        <v>197.78999999999996</v>
      </c>
      <c r="AO38" s="492">
        <f>AO76+AO31+AO35+AO33+AO36</f>
        <v>238.39499999999995</v>
      </c>
      <c r="AP38" s="493"/>
      <c r="AQ38" s="494">
        <f>AQ76+AQ31+AQ35+AQ33+AQ36</f>
        <v>98.068999999999988</v>
      </c>
      <c r="AR38" s="493">
        <f>AR76+AR31+AR35+AR33+AR36</f>
        <v>-1615.1519999999998</v>
      </c>
      <c r="AS38" s="493">
        <f>AS76+AS31+AS35+AS33+AS36</f>
        <v>350.91900000000004</v>
      </c>
      <c r="AT38" s="493">
        <f>AT76+AT31+AT35+AT33+AT36</f>
        <v>-55.955000000000155</v>
      </c>
      <c r="AU38" s="492">
        <f>AU76+AU31+AU35+AU33+AU36</f>
        <v>-1222.1189999999999</v>
      </c>
      <c r="AV38" s="493"/>
      <c r="AW38" s="494">
        <f>AW76+AW31+AW35+AW33+AW36</f>
        <v>-5.3239999999999554</v>
      </c>
      <c r="AX38" s="493">
        <f>AX76+AX31+AX35+AX33+AX36</f>
        <v>265.36799999999994</v>
      </c>
      <c r="AY38" s="493">
        <f>AY76+AY31+AY35+AY33+AY36</f>
        <v>214.17400000000009</v>
      </c>
      <c r="AZ38" s="493">
        <f>AZ76+AZ31+AZ35+AZ33+AZ36</f>
        <v>-2273.48</v>
      </c>
      <c r="BA38" s="492">
        <f>BA76+BA31+BA35+BA33+BA36</f>
        <v>-1799.2619999999999</v>
      </c>
      <c r="BB38" s="493"/>
      <c r="BC38" s="494">
        <f>BC76+BC31+BC35+BC33+BC36</f>
        <v>280.358</v>
      </c>
      <c r="BD38" s="493">
        <f>BD76+BD31+BD35+BD33+BD36</f>
        <v>497.52799999999996</v>
      </c>
      <c r="BE38" s="493">
        <f>BE76+BE31+BE35+BE33+BE36</f>
        <v>261.83400000000006</v>
      </c>
      <c r="BF38" s="493">
        <f>BF76+BF31+BF35+BF33+BF36</f>
        <v>251.91000000000011</v>
      </c>
      <c r="BG38" s="492">
        <f>BG76+BG31+BG35+BG33+BG36</f>
        <v>1291.6299999999999</v>
      </c>
      <c r="BH38" s="493"/>
      <c r="BI38" s="494">
        <f>BI76+BI31+BI35+BI33+BI36</f>
        <v>246.62699999999995</v>
      </c>
      <c r="BJ38" s="493">
        <f>BJ76+BJ31+BJ35+BJ33+BJ36</f>
        <v>282.80400000000009</v>
      </c>
      <c r="BK38" s="493">
        <f>BK76+BK31+BK35+BK33+BK36</f>
        <v>297.91899999999987</v>
      </c>
      <c r="BL38" s="493">
        <f>BL76+BL31+BL35+BL33+BL36</f>
        <v>30.543000000000156</v>
      </c>
      <c r="BM38" s="492">
        <f>BM76+BM31+BM35+BM33+BM36</f>
        <v>857.89300000000014</v>
      </c>
      <c r="BN38" s="493"/>
      <c r="BO38" s="494">
        <f>+SUM(BO36:BO37)</f>
        <v>-1301.3140000000001</v>
      </c>
      <c r="BP38" s="493">
        <f>+SUM(BP36:BP37)</f>
        <v>-188.92300000000012</v>
      </c>
      <c r="BQ38" s="493">
        <f>+SUM(BQ36:BQ37)</f>
        <v>-177.12299999999993</v>
      </c>
      <c r="BR38" s="493">
        <f>+SUM(BR36:BR37)</f>
        <v>-621.51900000000001</v>
      </c>
      <c r="BS38" s="492">
        <f>+SUM(BS36:BS37)</f>
        <v>-2288.8789999999999</v>
      </c>
      <c r="BT38" s="493"/>
      <c r="BU38" s="494">
        <f>+SUM(BU36:BU37)</f>
        <v>-564.95500000000004</v>
      </c>
      <c r="BV38" s="493">
        <f>+SUM(BV36:BV37)</f>
        <v>-4917.4030000000002</v>
      </c>
      <c r="BW38" s="493">
        <f>+SUM(BW36:BW37)</f>
        <v>-121.38800000000002</v>
      </c>
      <c r="BX38" s="493">
        <f>+SUM(BX36:BX37)</f>
        <v>-243.55399999999969</v>
      </c>
      <c r="BY38" s="492">
        <f>+SUM(BY36:BY37)</f>
        <v>-5847.2999999999993</v>
      </c>
      <c r="BZ38" s="493"/>
      <c r="CA38" s="494">
        <f>+SUM(CA36:CA37)</f>
        <v>166.7</v>
      </c>
      <c r="CB38" s="493">
        <f>+SUM(CB36:CB37)</f>
        <v>-988.7</v>
      </c>
      <c r="CC38" s="493">
        <f>+SUM(CC36:CC37)</f>
        <v>-123.49999999999991</v>
      </c>
      <c r="CD38" s="493">
        <f>+SUM(CD36:CD37)</f>
        <v>-942.10000000000014</v>
      </c>
      <c r="CE38" s="492">
        <f>+SUM(CE36:CE37)</f>
        <v>-1887.6000000000004</v>
      </c>
      <c r="CF38" s="493"/>
      <c r="CG38" s="494">
        <f>+SUM(CG36:CG37)</f>
        <v>554.70000000000005</v>
      </c>
      <c r="CH38" s="493">
        <f>+SUM(CH36:CH37)</f>
        <v>-443.7</v>
      </c>
      <c r="CI38" s="493">
        <f>+SUM(CI36:CI37)</f>
        <v>-683</v>
      </c>
      <c r="CJ38" s="493">
        <f>+SUM(CJ36:CJ37)</f>
        <v>19.500000000000011</v>
      </c>
      <c r="CK38" s="492">
        <f>+SUM(CK36:CK37)</f>
        <v>-552.5</v>
      </c>
      <c r="CL38" s="493"/>
      <c r="CM38" s="494">
        <f>+SUM(CM36:CM37)</f>
        <v>-284.70000000000005</v>
      </c>
      <c r="CN38" s="493">
        <f>+SUM(CN36:CN37)</f>
        <v>-564.4</v>
      </c>
      <c r="CO38" s="493">
        <f>+SUM(CO36:CO37)</f>
        <v>-149.09999999999991</v>
      </c>
      <c r="CP38" s="493">
        <f>+SUM(CP36:CP37)</f>
        <v>-2446.1000000000004</v>
      </c>
      <c r="CQ38" s="492">
        <f>+SUM(CQ36:CQ37)</f>
        <v>-3444.3</v>
      </c>
      <c r="CR38" s="493"/>
      <c r="CS38" s="494">
        <f>+SUM(CS36:CS37)</f>
        <v>-690.7</v>
      </c>
      <c r="CT38" s="493">
        <f>+SUM(CT36:CT37)</f>
        <v>-246.89999999999992</v>
      </c>
      <c r="CU38" s="493">
        <f>+SUM(CU36:CU37)</f>
        <v>-13753.000000000002</v>
      </c>
      <c r="CV38" s="493">
        <f>+SUM(CV36:CV37)</f>
        <v>-260.39999999999884</v>
      </c>
      <c r="CW38" s="492">
        <f>+SUM(CW36:CW37)</f>
        <v>-14951</v>
      </c>
      <c r="CX38" s="493"/>
      <c r="CY38" s="494">
        <f>+SUM(CY36:CY37)</f>
        <v>8.3000000000000114</v>
      </c>
      <c r="CZ38" s="493">
        <f>+SUM(CZ36:CZ37)</f>
        <v>-174.2</v>
      </c>
      <c r="DA38" s="493">
        <f>+SUM(DA36:DA37)</f>
        <v>-153.60000000000002</v>
      </c>
      <c r="DB38" s="493">
        <f>+SUM(DB36:DB37)</f>
        <v>-4923.5</v>
      </c>
      <c r="DC38" s="492">
        <f>+SUM(DC36:DC37)</f>
        <v>-5243</v>
      </c>
      <c r="DD38" s="493"/>
      <c r="DE38" s="494">
        <f>+SUM(DE36:DE37)</f>
        <v>-163.69999999999999</v>
      </c>
      <c r="DF38" s="493">
        <f>+SUM(DF36:DF37)</f>
        <v>-209.20000000000002</v>
      </c>
      <c r="DG38" s="493">
        <f>+SUM(DG36:DG37)</f>
        <v>-155</v>
      </c>
      <c r="DH38" s="493">
        <f>+SUM(DH36:DH37)</f>
        <v>-315.5</v>
      </c>
      <c r="DI38" s="492">
        <f>+SUM(DI36:DI37)</f>
        <v>-843.4</v>
      </c>
      <c r="DJ38" s="493"/>
      <c r="DK38" s="494">
        <f>+SUM(DK36:DK37)</f>
        <v>-150.25279999999998</v>
      </c>
      <c r="DL38" s="493">
        <f>+SUM(DL36:DL37)</f>
        <v>-157.76616000000001</v>
      </c>
      <c r="DM38" s="493">
        <f>+SUM(DM36:DM37)</f>
        <v>-155.21801600000001</v>
      </c>
      <c r="DN38" s="493">
        <f>+SUM(DN36:DN37)</f>
        <v>-174.02564799999999</v>
      </c>
      <c r="DO38" s="492">
        <f>+SUM(DO36:DO37)</f>
        <v>-637.26262399999996</v>
      </c>
      <c r="DP38" s="493"/>
      <c r="DQ38" s="494">
        <f>+SUM(DQ36:DQ37)</f>
        <v>-157.23764000000003</v>
      </c>
      <c r="DR38" s="493">
        <f>+SUM(DR36:DR37)</f>
        <v>-165.39023743999999</v>
      </c>
      <c r="DS38" s="493">
        <f>+SUM(DS36:DS37)</f>
        <v>-161.31617856000003</v>
      </c>
      <c r="DT38" s="493">
        <f>+SUM(DT36:DT37)</f>
        <v>-180.82835632000001</v>
      </c>
      <c r="DU38" s="492">
        <f>+SUM(DU36:DU37)</f>
        <v>-664.77241232000006</v>
      </c>
      <c r="DV38" s="493"/>
      <c r="DW38" s="494">
        <f>+SUM(DW36:DW37)</f>
        <v>-163.96554595999999</v>
      </c>
      <c r="DX38" s="493">
        <f>+SUM(DX36:DX37)</f>
        <v>-172.46732991520003</v>
      </c>
      <c r="DY38" s="493">
        <f>+SUM(DY36:DY37)</f>
        <v>-168.22060054880004</v>
      </c>
      <c r="DZ38" s="493">
        <f>+SUM(DZ36:DZ37)</f>
        <v>-188.55670890640005</v>
      </c>
      <c r="EA38" s="492">
        <f>+SUM(EA36:EA37)</f>
        <v>-693.21018533040001</v>
      </c>
      <c r="EB38" s="493"/>
      <c r="EC38" s="494">
        <f t="shared" ref="EC38:EG38" si="73">+SUM(EC36:EC37)</f>
        <v>-170.98805302900001</v>
      </c>
      <c r="ED38" s="493">
        <f t="shared" si="73"/>
        <v>-179.85445475650403</v>
      </c>
      <c r="EE38" s="493">
        <f t="shared" si="73"/>
        <v>-175.42750156308</v>
      </c>
      <c r="EF38" s="493">
        <f t="shared" si="73"/>
        <v>-196.62319198531603</v>
      </c>
      <c r="EG38" s="492">
        <f t="shared" si="73"/>
        <v>-722.89320133390004</v>
      </c>
      <c r="EH38" s="67"/>
      <c r="EI38" s="177"/>
      <c r="EJ38" s="19"/>
      <c r="EK38" s="19"/>
      <c r="EL38" s="19"/>
    </row>
    <row r="39" spans="1:142" ht="12.75" customHeight="1" x14ac:dyDescent="0.2">
      <c r="A39" s="51"/>
      <c r="B39" s="19"/>
      <c r="C39" s="19"/>
      <c r="D39" s="19"/>
      <c r="E39" s="93"/>
      <c r="F39" s="67"/>
      <c r="G39" s="93"/>
      <c r="H39" s="67"/>
      <c r="I39" s="93"/>
      <c r="J39" s="67"/>
      <c r="K39" s="93"/>
      <c r="L39" s="67"/>
      <c r="M39" s="82"/>
      <c r="N39" s="67"/>
      <c r="O39" s="67"/>
      <c r="P39" s="67"/>
      <c r="Q39" s="93"/>
      <c r="R39" s="67"/>
      <c r="S39" s="82"/>
      <c r="T39" s="67"/>
      <c r="U39" s="67"/>
      <c r="V39" s="67"/>
      <c r="W39" s="93"/>
      <c r="X39" s="67"/>
      <c r="Y39" s="82"/>
      <c r="Z39" s="67"/>
      <c r="AA39" s="67"/>
      <c r="AB39" s="67"/>
      <c r="AC39" s="93"/>
      <c r="AD39" s="67"/>
      <c r="AE39" s="82"/>
      <c r="AF39" s="67"/>
      <c r="AG39" s="67"/>
      <c r="AH39" s="67"/>
      <c r="AI39" s="93"/>
      <c r="AJ39" s="67"/>
      <c r="AK39" s="82"/>
      <c r="AL39" s="67"/>
      <c r="AM39" s="67"/>
      <c r="AN39" s="67"/>
      <c r="AO39" s="93"/>
      <c r="AP39" s="67"/>
      <c r="AQ39" s="82"/>
      <c r="AR39" s="67"/>
      <c r="AS39" s="67"/>
      <c r="AT39" s="67"/>
      <c r="AU39" s="93"/>
      <c r="AV39" s="67"/>
      <c r="AW39" s="82"/>
      <c r="AX39" s="67"/>
      <c r="AY39" s="67"/>
      <c r="AZ39" s="67"/>
      <c r="BA39" s="93"/>
      <c r="BB39" s="67"/>
      <c r="BC39" s="82"/>
      <c r="BD39" s="67"/>
      <c r="BE39" s="67"/>
      <c r="BF39" s="67"/>
      <c r="BG39" s="93"/>
      <c r="BH39" s="67"/>
      <c r="BI39" s="82"/>
      <c r="BJ39" s="67"/>
      <c r="BK39" s="67"/>
      <c r="BL39" s="67"/>
      <c r="BM39" s="93"/>
      <c r="BN39" s="67"/>
      <c r="BO39" s="82"/>
      <c r="BP39" s="67"/>
      <c r="BQ39" s="67"/>
      <c r="BR39" s="67"/>
      <c r="BS39" s="93"/>
      <c r="BT39" s="67"/>
      <c r="BU39" s="82"/>
      <c r="BV39" s="67"/>
      <c r="BW39" s="67"/>
      <c r="BX39" s="67"/>
      <c r="BY39" s="93"/>
      <c r="BZ39" s="67"/>
      <c r="CA39" s="82"/>
      <c r="CB39" s="67"/>
      <c r="CC39" s="67"/>
      <c r="CD39" s="67"/>
      <c r="CE39" s="93"/>
      <c r="CF39" s="67"/>
      <c r="CG39" s="82"/>
      <c r="CH39" s="67"/>
      <c r="CI39" s="67"/>
      <c r="CJ39" s="67"/>
      <c r="CK39" s="93"/>
      <c r="CL39" s="67"/>
      <c r="CM39" s="82"/>
      <c r="CN39" s="67"/>
      <c r="CO39" s="67"/>
      <c r="CP39" s="67"/>
      <c r="CQ39" s="93"/>
      <c r="CR39" s="67"/>
      <c r="CS39" s="82"/>
      <c r="CT39" s="67"/>
      <c r="CU39" s="67"/>
      <c r="CV39" s="67"/>
      <c r="CW39" s="93"/>
      <c r="CX39" s="67"/>
      <c r="CY39" s="82"/>
      <c r="CZ39" s="67"/>
      <c r="DA39" s="67"/>
      <c r="DB39" s="67"/>
      <c r="DC39" s="93"/>
      <c r="DD39" s="67"/>
      <c r="DE39" s="82"/>
      <c r="DF39" s="67"/>
      <c r="DG39" s="67"/>
      <c r="DH39" s="67"/>
      <c r="DI39" s="93"/>
      <c r="DJ39" s="67"/>
      <c r="DK39" s="82"/>
      <c r="DL39" s="67"/>
      <c r="DM39" s="67"/>
      <c r="DN39" s="67"/>
      <c r="DO39" s="93"/>
      <c r="DP39" s="67"/>
      <c r="DQ39" s="82"/>
      <c r="DR39" s="67"/>
      <c r="DS39" s="67"/>
      <c r="DT39" s="67"/>
      <c r="DU39" s="93"/>
      <c r="DV39" s="67"/>
      <c r="DW39" s="82"/>
      <c r="DX39" s="67"/>
      <c r="DY39" s="67"/>
      <c r="DZ39" s="67"/>
      <c r="EA39" s="93"/>
      <c r="EB39" s="67"/>
      <c r="EC39" s="82"/>
      <c r="ED39" s="67"/>
      <c r="EE39" s="67"/>
      <c r="EF39" s="67"/>
      <c r="EG39" s="93"/>
      <c r="EH39" s="67"/>
      <c r="EI39" s="177"/>
      <c r="EJ39" s="19"/>
      <c r="EK39" s="19"/>
      <c r="EL39" s="19"/>
    </row>
    <row r="40" spans="1:142" ht="12.75" customHeight="1" x14ac:dyDescent="0.2">
      <c r="A40" s="51" t="s">
        <v>151</v>
      </c>
      <c r="B40" s="19"/>
      <c r="C40" s="19"/>
      <c r="D40" s="19"/>
      <c r="E40" s="92">
        <f>8.742-19.909</f>
        <v>-11.166999999999998</v>
      </c>
      <c r="F40" s="67"/>
      <c r="G40" s="92">
        <f>30.545-2.066</f>
        <v>28.479000000000003</v>
      </c>
      <c r="H40" s="67"/>
      <c r="I40" s="92">
        <v>87.986000000000004</v>
      </c>
      <c r="J40" s="67"/>
      <c r="K40" s="92">
        <v>26.58</v>
      </c>
      <c r="L40" s="67"/>
      <c r="M40" s="84">
        <v>13.115</v>
      </c>
      <c r="N40" s="71">
        <f>23.449-M40</f>
        <v>10.334000000000001</v>
      </c>
      <c r="O40" s="71">
        <f>26.824-N40-M40</f>
        <v>3.3750000000000018</v>
      </c>
      <c r="P40" s="71">
        <f>28.169-M40-N40-O40</f>
        <v>1.3449999999999971</v>
      </c>
      <c r="Q40" s="93">
        <f t="shared" ref="Q40:Q47" si="74">SUM(M40:P40)</f>
        <v>28.169000000000004</v>
      </c>
      <c r="R40" s="67"/>
      <c r="S40" s="84">
        <v>6.3339999999999996</v>
      </c>
      <c r="T40" s="71">
        <f>487.824-S40</f>
        <v>481.49</v>
      </c>
      <c r="U40" s="71">
        <f>507.42-T40-S40</f>
        <v>19.596000000000007</v>
      </c>
      <c r="V40" s="71">
        <f>512.105-S40-T40-U40</f>
        <v>4.6849999999999987</v>
      </c>
      <c r="W40" s="93">
        <f t="shared" ref="W40:W47" si="75">SUM(S40:V40)</f>
        <v>512.10500000000002</v>
      </c>
      <c r="X40" s="67"/>
      <c r="Y40" s="84">
        <v>6.3339999999999996</v>
      </c>
      <c r="Z40" s="71">
        <f>14.552-Y40</f>
        <v>8.218</v>
      </c>
      <c r="AA40" s="71">
        <f>27.754-Z40-Y40</f>
        <v>13.202000000000002</v>
      </c>
      <c r="AB40" s="71">
        <f>50.497-Y40-Z40-AA40</f>
        <v>22.742999999999991</v>
      </c>
      <c r="AC40" s="93">
        <f t="shared" ref="AC40:AC47" si="76">SUM(Y40:AB40)</f>
        <v>50.496999999999993</v>
      </c>
      <c r="AD40" s="67"/>
      <c r="AE40" s="84">
        <v>11.502000000000001</v>
      </c>
      <c r="AF40" s="71">
        <f>23.226-11.502</f>
        <v>11.723999999999998</v>
      </c>
      <c r="AG40" s="71">
        <f>33.938-23.226</f>
        <v>10.712000000000003</v>
      </c>
      <c r="AH40" s="71">
        <f>45.957-SUM(AE40:AG40)</f>
        <v>12.018999999999998</v>
      </c>
      <c r="AI40" s="93">
        <f t="shared" ref="AI40:AI47" si="77">SUM(AE40:AH40)</f>
        <v>45.957000000000001</v>
      </c>
      <c r="AJ40" s="67"/>
      <c r="AK40" s="84">
        <v>13.083</v>
      </c>
      <c r="AL40" s="71">
        <f>24.229-AK40</f>
        <v>11.145999999999999</v>
      </c>
      <c r="AM40" s="71">
        <f>37.741-AK40-AL40</f>
        <v>13.512000000000002</v>
      </c>
      <c r="AN40" s="71">
        <f>59.931-AK40-AL40-AM40</f>
        <v>22.189999999999998</v>
      </c>
      <c r="AO40" s="93">
        <f t="shared" ref="AO40:AO47" si="78">SUM(AK40:AN40)</f>
        <v>59.930999999999997</v>
      </c>
      <c r="AP40" s="67"/>
      <c r="AQ40" s="84">
        <v>28.454000000000001</v>
      </c>
      <c r="AR40" s="71">
        <f>60.407-AQ40</f>
        <v>31.952999999999996</v>
      </c>
      <c r="AS40" s="71">
        <f>78.274-AR40-AQ40</f>
        <v>17.867000000000004</v>
      </c>
      <c r="AT40" s="71">
        <f>98.415-SUM(AQ40:AS40)</f>
        <v>20.141000000000005</v>
      </c>
      <c r="AU40" s="93">
        <f t="shared" ref="AU40:AU47" si="79">SUM(AQ40:AT40)</f>
        <v>98.415000000000006</v>
      </c>
      <c r="AV40" s="67"/>
      <c r="AW40" s="84">
        <v>36.756999999999998</v>
      </c>
      <c r="AX40" s="71">
        <f>61.846-AW40</f>
        <v>25.088999999999999</v>
      </c>
      <c r="AY40" s="71">
        <f>165.266-AX40-AW40</f>
        <v>103.41999999999999</v>
      </c>
      <c r="AZ40" s="71">
        <f>733.028-SUM(AW40:AY40)</f>
        <v>567.76200000000006</v>
      </c>
      <c r="BA40" s="93">
        <f t="shared" ref="BA40:BA47" si="80">SUM(AW40:AZ40)</f>
        <v>733.02800000000002</v>
      </c>
      <c r="BB40" s="67"/>
      <c r="BC40" s="84">
        <v>27.288</v>
      </c>
      <c r="BD40" s="71">
        <f>42.903-BC40</f>
        <v>15.614999999999998</v>
      </c>
      <c r="BE40" s="71">
        <f>72.193-BD40-BC40</f>
        <v>29.290000000000003</v>
      </c>
      <c r="BF40" s="71">
        <f>82.43-BC40-BD40-BE40</f>
        <v>10.237000000000013</v>
      </c>
      <c r="BG40" s="93">
        <f t="shared" ref="BG40:BG47" si="81">SUM(BC40:BF40)</f>
        <v>82.43</v>
      </c>
      <c r="BH40" s="67"/>
      <c r="BI40" s="84">
        <v>17.198</v>
      </c>
      <c r="BJ40" s="71">
        <f>46.761-BI40</f>
        <v>29.563000000000002</v>
      </c>
      <c r="BK40" s="71">
        <f>96.591-BI40-BJ40</f>
        <v>49.83</v>
      </c>
      <c r="BL40" s="71">
        <f>174.233-BI40-BJ40-BK40</f>
        <v>77.641999999999996</v>
      </c>
      <c r="BM40" s="93">
        <f t="shared" ref="BM40:BM47" si="82">SUM(BI40:BL40)</f>
        <v>174.233</v>
      </c>
      <c r="BN40" s="67"/>
      <c r="BO40" s="84">
        <v>30.312999999999999</v>
      </c>
      <c r="BP40" s="71">
        <f>92.85-BO40</f>
        <v>62.536999999999992</v>
      </c>
      <c r="BQ40" s="71">
        <f>117.2-SUM(BO40:BP40)</f>
        <v>24.350000000000009</v>
      </c>
      <c r="BR40" s="71">
        <f>178.406-SUM(BO40:BQ40)</f>
        <v>61.206000000000003</v>
      </c>
      <c r="BS40" s="93">
        <f t="shared" ref="BS40:BS47" si="83">SUM(BO40:BR40)</f>
        <v>178.40600000000001</v>
      </c>
      <c r="BT40" s="67"/>
      <c r="BU40" s="84">
        <v>50.48</v>
      </c>
      <c r="BV40" s="71">
        <f>1050.322-BU40</f>
        <v>999.84199999999987</v>
      </c>
      <c r="BW40" s="71">
        <f>1060.272-SUM(BU40:BV40)</f>
        <v>9.9500000000000455</v>
      </c>
      <c r="BX40" s="71">
        <f>1112.5-SUM(BU40:BW40)</f>
        <v>52.228000000000065</v>
      </c>
      <c r="BY40" s="93">
        <f t="shared" ref="BY40:BY47" si="84">SUM(BU40:BX40)</f>
        <v>1112.5</v>
      </c>
      <c r="BZ40" s="67"/>
      <c r="CA40" s="84">
        <v>71</v>
      </c>
      <c r="CB40" s="71">
        <f>104.3-CA40</f>
        <v>33.299999999999997</v>
      </c>
      <c r="CC40" s="71">
        <f>143.2-SUM(CA40:CB40)</f>
        <v>38.899999999999991</v>
      </c>
      <c r="CD40" s="71">
        <f>212-SUM(CA40:CC40)</f>
        <v>68.800000000000011</v>
      </c>
      <c r="CE40" s="93">
        <f t="shared" ref="CE40:CE47" si="85">SUM(CA40:CD40)</f>
        <v>212</v>
      </c>
      <c r="CF40" s="67"/>
      <c r="CG40" s="84">
        <v>54.3</v>
      </c>
      <c r="CH40" s="71">
        <f>110-CG40</f>
        <v>55.7</v>
      </c>
      <c r="CI40" s="71">
        <f>148.7-SUM(CG40:CH40)</f>
        <v>38.699999999999989</v>
      </c>
      <c r="CJ40" s="71">
        <f>177.4-SUM(CG40:CI40)</f>
        <v>28.700000000000017</v>
      </c>
      <c r="CK40" s="93">
        <f t="shared" ref="CK40:CK47" si="86">SUM(CG40:CJ40)</f>
        <v>177.4</v>
      </c>
      <c r="CL40" s="67"/>
      <c r="CM40" s="84">
        <v>30</v>
      </c>
      <c r="CN40" s="71">
        <f>60.9-CM40</f>
        <v>30.9</v>
      </c>
      <c r="CO40" s="71">
        <f>75-SUM(CM40:CN40)</f>
        <v>14.100000000000001</v>
      </c>
      <c r="CP40" s="71">
        <f>132.9-SUM(CM40:CO40)</f>
        <v>57.900000000000006</v>
      </c>
      <c r="CQ40" s="93">
        <f t="shared" ref="CQ40:CQ47" si="87">SUM(CM40:CP40)</f>
        <v>132.9</v>
      </c>
      <c r="CR40" s="67"/>
      <c r="CS40" s="84">
        <v>61.6</v>
      </c>
      <c r="CT40" s="71">
        <f>131.5-CS40</f>
        <v>69.900000000000006</v>
      </c>
      <c r="CU40" s="71">
        <f>198.1-SUM(CS40:CT40)</f>
        <v>66.599999999999994</v>
      </c>
      <c r="CV40" s="71">
        <f>249-SUM(CS40:CU40)</f>
        <v>50.900000000000006</v>
      </c>
      <c r="CW40" s="93">
        <f t="shared" ref="CW40:CW47" si="88">SUM(CS40:CV40)</f>
        <v>249</v>
      </c>
      <c r="CX40" s="67"/>
      <c r="CY40" s="84">
        <v>43.9</v>
      </c>
      <c r="CZ40" s="71">
        <f>144.8-CY40</f>
        <v>100.9</v>
      </c>
      <c r="DA40" s="71">
        <f>156.6-SUM(CY40:CZ40)</f>
        <v>11.799999999999983</v>
      </c>
      <c r="DB40" s="71">
        <f>164.5-SUM(CY40:DA40)</f>
        <v>7.9000000000000057</v>
      </c>
      <c r="DC40" s="93">
        <f t="shared" ref="DC40:DC47" si="89">SUM(CY40:DB40)</f>
        <v>164.5</v>
      </c>
      <c r="DD40" s="67"/>
      <c r="DE40" s="84">
        <v>20.5</v>
      </c>
      <c r="DF40" s="71">
        <f>35.8-DE40</f>
        <v>15.299999999999997</v>
      </c>
      <c r="DG40" s="71">
        <f>49-SUM(DE40:DF40)</f>
        <v>13.200000000000003</v>
      </c>
      <c r="DH40" s="71">
        <f>68.8-SUM(DE40:DG40)</f>
        <v>19.799999999999997</v>
      </c>
      <c r="DI40" s="93">
        <f t="shared" ref="DI40:DI47" si="90">SUM(DE40:DH40)</f>
        <v>68.8</v>
      </c>
      <c r="DJ40" s="67"/>
      <c r="DK40" s="82">
        <f t="shared" ref="DK40:DN40" si="91">DK107+DK96</f>
        <v>122.2496</v>
      </c>
      <c r="DL40" s="67">
        <f t="shared" si="91"/>
        <v>121.91449599999999</v>
      </c>
      <c r="DM40" s="67">
        <f t="shared" si="91"/>
        <v>118.45957375999998</v>
      </c>
      <c r="DN40" s="67">
        <f t="shared" si="91"/>
        <v>116.2165814656</v>
      </c>
      <c r="DO40" s="93">
        <f t="shared" ref="DO40:DO41" si="92">SUM(DK40:DN40)</f>
        <v>478.84025122560001</v>
      </c>
      <c r="DP40" s="67"/>
      <c r="DQ40" s="82">
        <f t="shared" ref="DQ40:DT40" si="93">DQ107+DQ96</f>
        <v>145.10828134482685</v>
      </c>
      <c r="DR40" s="67">
        <f t="shared" si="93"/>
        <v>144.578624606255</v>
      </c>
      <c r="DS40" s="67">
        <f t="shared" si="93"/>
        <v>141.25595555569032</v>
      </c>
      <c r="DT40" s="67">
        <f t="shared" si="93"/>
        <v>139.03788399341235</v>
      </c>
      <c r="DU40" s="93">
        <f t="shared" ref="DU40:DU41" si="94">SUM(DQ40:DT40)</f>
        <v>569.98074550018453</v>
      </c>
      <c r="DV40" s="67"/>
      <c r="DW40" s="82">
        <f t="shared" ref="DW40:DZ40" si="95">DW107+DW96</f>
        <v>142.37651508268246</v>
      </c>
      <c r="DX40" s="67">
        <f t="shared" si="95"/>
        <v>141.72552235115</v>
      </c>
      <c r="DY40" s="67">
        <f t="shared" si="95"/>
        <v>138.57214814716716</v>
      </c>
      <c r="DZ40" s="67">
        <f t="shared" si="95"/>
        <v>136.42350486644318</v>
      </c>
      <c r="EA40" s="93">
        <f t="shared" ref="EA40:EA42" si="96">SUM(DW40:DZ40)</f>
        <v>559.0976904474428</v>
      </c>
      <c r="EB40" s="67"/>
      <c r="EC40" s="82">
        <f t="shared" ref="EC40:EF40" si="97">EC107+EC96</f>
        <v>139.28579859896632</v>
      </c>
      <c r="ED40" s="67">
        <f t="shared" si="97"/>
        <v>138.5666917188754</v>
      </c>
      <c r="EE40" s="67">
        <f t="shared" si="97"/>
        <v>135.60410038599039</v>
      </c>
      <c r="EF40" s="67">
        <f t="shared" si="97"/>
        <v>133.55386292974293</v>
      </c>
      <c r="EG40" s="93">
        <f t="shared" ref="EG40:EG42" si="98">SUM(EC40:EF40)</f>
        <v>547.01045363357503</v>
      </c>
      <c r="EH40" s="67"/>
      <c r="EI40" s="177"/>
      <c r="EJ40" s="19"/>
      <c r="EK40" s="19"/>
      <c r="EL40" s="19"/>
    </row>
    <row r="41" spans="1:142" ht="12.75" customHeight="1" x14ac:dyDescent="0.2">
      <c r="A41" s="51" t="s">
        <v>107</v>
      </c>
      <c r="B41" s="19"/>
      <c r="C41" s="19"/>
      <c r="D41" s="19"/>
      <c r="E41" s="92">
        <v>-11.932</v>
      </c>
      <c r="F41" s="67"/>
      <c r="G41" s="92">
        <v>-12.84</v>
      </c>
      <c r="H41" s="67"/>
      <c r="I41" s="92">
        <v>-9.9120000000000008</v>
      </c>
      <c r="J41" s="67"/>
      <c r="K41" s="92">
        <v>-10.015000000000001</v>
      </c>
      <c r="L41" s="67"/>
      <c r="M41" s="84">
        <v>-2.85</v>
      </c>
      <c r="N41" s="71">
        <f>-5.7-M41</f>
        <v>-2.85</v>
      </c>
      <c r="O41" s="71">
        <f>-8.547-N41-M41</f>
        <v>-2.8470000000000009</v>
      </c>
      <c r="P41" s="71">
        <f>-11.676-M41-N41-O41</f>
        <v>-3.129</v>
      </c>
      <c r="Q41" s="93">
        <f t="shared" si="74"/>
        <v>-11.676</v>
      </c>
      <c r="R41" s="67"/>
      <c r="S41" s="84">
        <v>-3.8180000000000001</v>
      </c>
      <c r="T41" s="71">
        <f>-6.043-S41</f>
        <v>-2.2250000000000001</v>
      </c>
      <c r="U41" s="71">
        <f>-9.072-T41-S41</f>
        <v>-3.0289999999999995</v>
      </c>
      <c r="V41" s="71">
        <f>-13.516-S41-T41-U41</f>
        <v>-4.4440000000000008</v>
      </c>
      <c r="W41" s="93">
        <f t="shared" si="75"/>
        <v>-13.516</v>
      </c>
      <c r="X41" s="67"/>
      <c r="Y41" s="84">
        <v>-3.8180000000000001</v>
      </c>
      <c r="Z41" s="71">
        <f>-7.646-Y41</f>
        <v>-3.8279999999999998</v>
      </c>
      <c r="AA41" s="71">
        <f>-11.484-Z41-Y41</f>
        <v>-3.8380000000000005</v>
      </c>
      <c r="AB41" s="71">
        <f>-15.326-Y41-Z41-AA41</f>
        <v>-3.842000000000001</v>
      </c>
      <c r="AC41" s="93">
        <f t="shared" si="76"/>
        <v>-15.326000000000001</v>
      </c>
      <c r="AD41" s="67"/>
      <c r="AE41" s="84">
        <v>-3.847</v>
      </c>
      <c r="AF41" s="71">
        <f>-8.469+3.847</f>
        <v>-4.6219999999999999</v>
      </c>
      <c r="AG41" s="71">
        <f>-13.097+8.469</f>
        <v>-4.6280000000000001</v>
      </c>
      <c r="AH41" s="71">
        <f>-17.731-SUM(AE41:AG41)</f>
        <v>-4.6340000000000021</v>
      </c>
      <c r="AI41" s="93">
        <f t="shared" si="77"/>
        <v>-17.731000000000002</v>
      </c>
      <c r="AJ41" s="67"/>
      <c r="AK41" s="84">
        <v>-4.6340000000000003</v>
      </c>
      <c r="AL41" s="71">
        <f>-9.267-AK41</f>
        <v>-4.6329999999999991</v>
      </c>
      <c r="AM41" s="71">
        <f>-15.442-AK41-AL41</f>
        <v>-6.1750000000000007</v>
      </c>
      <c r="AN41" s="71">
        <f>-21.553-AK41-AL41-AM41</f>
        <v>-6.1110000000000007</v>
      </c>
      <c r="AO41" s="93">
        <f t="shared" si="78"/>
        <v>-21.553000000000001</v>
      </c>
      <c r="AP41" s="67"/>
      <c r="AQ41" s="84">
        <f>-6.123</f>
        <v>-6.1230000000000002</v>
      </c>
      <c r="AR41" s="71">
        <f>-12.27-AQ41</f>
        <v>-6.1469999999999994</v>
      </c>
      <c r="AS41" s="71">
        <f>-18.425-AQ41-AR41</f>
        <v>-6.1550000000000002</v>
      </c>
      <c r="AT41" s="71">
        <f>-24.589-SUM(AQ41:AS41)</f>
        <v>-6.1639999999999979</v>
      </c>
      <c r="AU41" s="93">
        <f t="shared" si="79"/>
        <v>-24.588999999999999</v>
      </c>
      <c r="AV41" s="67"/>
      <c r="AW41" s="84">
        <v>-6.1820000000000004</v>
      </c>
      <c r="AX41" s="71">
        <f>-15.424-AW41</f>
        <v>-9.2419999999999991</v>
      </c>
      <c r="AY41" s="71">
        <f>-24.735-AX41-AW41</f>
        <v>-9.3109999999999999</v>
      </c>
      <c r="AZ41" s="71">
        <f>+-34.275-SUM(AW41:AY41)</f>
        <v>-9.5399999999999991</v>
      </c>
      <c r="BA41" s="93">
        <f t="shared" si="80"/>
        <v>-34.274999999999999</v>
      </c>
      <c r="BB41" s="67"/>
      <c r="BC41" s="84">
        <v>-9.5530000000000008</v>
      </c>
      <c r="BD41" s="71">
        <f>-19.12-BC41</f>
        <v>-9.5670000000000002</v>
      </c>
      <c r="BE41" s="71">
        <f>-28.708-BD41-BC41</f>
        <v>-9.5879999999999974</v>
      </c>
      <c r="BF41" s="71">
        <f>-38.259-BC41-BD41-BE41</f>
        <v>-9.5510000000000019</v>
      </c>
      <c r="BG41" s="93">
        <f t="shared" si="81"/>
        <v>-38.259</v>
      </c>
      <c r="BH41" s="67"/>
      <c r="BI41" s="84">
        <v>-9.5619999999999994</v>
      </c>
      <c r="BJ41" s="71">
        <f>-19.148-BI41</f>
        <v>-9.5860000000000003</v>
      </c>
      <c r="BK41" s="71">
        <f>-28.776-BI41-BJ41</f>
        <v>-9.6279999999999983</v>
      </c>
      <c r="BL41" s="71">
        <f>-41.717-BI41-BJ41-BK41</f>
        <v>-12.941000000000004</v>
      </c>
      <c r="BM41" s="93">
        <f t="shared" si="82"/>
        <v>-41.716999999999999</v>
      </c>
      <c r="BN41" s="67"/>
      <c r="BO41" s="84">
        <v>-12.962</v>
      </c>
      <c r="BP41" s="71">
        <f>-26.012-BO41</f>
        <v>-13.05</v>
      </c>
      <c r="BQ41" s="71">
        <f>-39.087-SUM(BO41:BP41)</f>
        <v>-13.075000000000003</v>
      </c>
      <c r="BR41" s="71">
        <f>-52.214-SUM(BO41:BQ41)</f>
        <v>-13.126999999999995</v>
      </c>
      <c r="BS41" s="93">
        <f t="shared" si="83"/>
        <v>-52.213999999999999</v>
      </c>
      <c r="BT41" s="67"/>
      <c r="BU41" s="84">
        <v>-13.268000000000001</v>
      </c>
      <c r="BV41" s="71">
        <f>-26.973-BU41</f>
        <v>-13.704999999999998</v>
      </c>
      <c r="BW41" s="71">
        <f>-44.129-SUM(BU41:BV41)</f>
        <v>-17.155999999999999</v>
      </c>
      <c r="BX41" s="71">
        <f>-61.3-SUM(BU41:BW41)</f>
        <v>-17.170999999999999</v>
      </c>
      <c r="BY41" s="93">
        <f t="shared" si="84"/>
        <v>-61.3</v>
      </c>
      <c r="BZ41" s="67"/>
      <c r="CA41" s="84">
        <v>-17.3</v>
      </c>
      <c r="CB41" s="71">
        <f>-34.7-CA41</f>
        <v>-17.400000000000002</v>
      </c>
      <c r="CC41" s="71">
        <f>-52-SUM(CA41:CB41)</f>
        <v>-17.299999999999997</v>
      </c>
      <c r="CD41" s="71">
        <f>-86.4-SUM(CA41:CC41)</f>
        <v>-34.400000000000006</v>
      </c>
      <c r="CE41" s="93">
        <f t="shared" si="85"/>
        <v>-86.4</v>
      </c>
      <c r="CF41" s="67"/>
      <c r="CG41" s="84">
        <v>0</v>
      </c>
      <c r="CH41" s="71">
        <f>-17.3-CG41</f>
        <v>-17.3</v>
      </c>
      <c r="CI41" s="71">
        <f>-34.7-SUM(CG41:CH41)</f>
        <v>-17.400000000000002</v>
      </c>
      <c r="CJ41" s="71">
        <f>-52.1-SUM(CG41:CI41)</f>
        <v>-17.399999999999999</v>
      </c>
      <c r="CK41" s="93">
        <f t="shared" si="86"/>
        <v>-52.1</v>
      </c>
      <c r="CL41" s="67"/>
      <c r="CM41" s="84">
        <v>-17.399999999999999</v>
      </c>
      <c r="CN41" s="71">
        <f>-87.4-CM41</f>
        <v>-70</v>
      </c>
      <c r="CO41" s="71">
        <f>-157.4-SUM(CM41:CN41)</f>
        <v>-70</v>
      </c>
      <c r="CP41" s="71">
        <f>-227.7-SUM(CM41:CO41)</f>
        <v>-70.299999999999983</v>
      </c>
      <c r="CQ41" s="93">
        <f t="shared" si="87"/>
        <v>-227.7</v>
      </c>
      <c r="CR41" s="67"/>
      <c r="CS41" s="84">
        <v>-70.400000000000006</v>
      </c>
      <c r="CT41" s="71">
        <f>-165.9-CS41</f>
        <v>-95.5</v>
      </c>
      <c r="CU41" s="71">
        <f>-261.6-SUM(CS41:CT41)</f>
        <v>-95.700000000000017</v>
      </c>
      <c r="CV41" s="71">
        <f>-354.1-SUM(CS41:CU41)</f>
        <v>-92.5</v>
      </c>
      <c r="CW41" s="93">
        <f t="shared" si="88"/>
        <v>-354.1</v>
      </c>
      <c r="CX41" s="67"/>
      <c r="CY41" s="84">
        <v>-92.7</v>
      </c>
      <c r="CZ41" s="71">
        <f>-202.8-CY41</f>
        <v>-110.10000000000001</v>
      </c>
      <c r="DA41" s="71">
        <f>-313.3-SUM(CY41:CZ41)</f>
        <v>-110.5</v>
      </c>
      <c r="DB41" s="71">
        <f>-399.8-SUM(CY41:DA41)</f>
        <v>-86.5</v>
      </c>
      <c r="DC41" s="93">
        <f t="shared" si="89"/>
        <v>-399.8</v>
      </c>
      <c r="DD41" s="67"/>
      <c r="DE41" s="84">
        <v>-86.6</v>
      </c>
      <c r="DF41" s="71">
        <f>-183.9-DE41</f>
        <v>-97.300000000000011</v>
      </c>
      <c r="DG41" s="71">
        <f>-281-SUM(DE41:DF41)</f>
        <v>-97.1</v>
      </c>
      <c r="DH41" s="71">
        <f>-378.3-SUM(DE41:DG41)</f>
        <v>-97.300000000000011</v>
      </c>
      <c r="DI41" s="93">
        <f t="shared" si="90"/>
        <v>-378.3</v>
      </c>
      <c r="DJ41" s="67"/>
      <c r="DK41" s="82">
        <f>-DK127</f>
        <v>-104.82000000000001</v>
      </c>
      <c r="DL41" s="67">
        <f t="shared" ref="DL41:DN41" si="99">-DL127</f>
        <v>-105.15000000000002</v>
      </c>
      <c r="DM41" s="67">
        <f t="shared" si="99"/>
        <v>-105.48000000000002</v>
      </c>
      <c r="DN41" s="67">
        <f t="shared" si="99"/>
        <v>-105.81000000000003</v>
      </c>
      <c r="DO41" s="93">
        <f t="shared" si="92"/>
        <v>-421.2600000000001</v>
      </c>
      <c r="DP41" s="67"/>
      <c r="DQ41" s="82">
        <f>-DQ127</f>
        <v>-113.21600000000001</v>
      </c>
      <c r="DR41" s="67">
        <f t="shared" ref="DR41:DT41" si="100">-DR127</f>
        <v>-113.56800000000001</v>
      </c>
      <c r="DS41" s="67">
        <f t="shared" si="100"/>
        <v>-113.92000000000002</v>
      </c>
      <c r="DT41" s="67">
        <f t="shared" si="100"/>
        <v>-114.27200000000003</v>
      </c>
      <c r="DU41" s="93">
        <f t="shared" si="94"/>
        <v>-454.97600000000011</v>
      </c>
      <c r="DV41" s="67"/>
      <c r="DW41" s="82">
        <f>-DW127</f>
        <v>-121.78800000000004</v>
      </c>
      <c r="DX41" s="67">
        <f t="shared" ref="DX41:DZ41" si="101">-DX127</f>
        <v>-122.16200000000005</v>
      </c>
      <c r="DY41" s="67">
        <f t="shared" si="101"/>
        <v>-122.53600000000006</v>
      </c>
      <c r="DZ41" s="67">
        <f t="shared" si="101"/>
        <v>-122.91000000000007</v>
      </c>
      <c r="EA41" s="93">
        <f t="shared" si="96"/>
        <v>-489.39600000000024</v>
      </c>
      <c r="EB41" s="67"/>
      <c r="EC41" s="82">
        <f t="shared" ref="EC41:EF41" si="102">-EC127</f>
        <v>-130.53600000000003</v>
      </c>
      <c r="ED41" s="67">
        <f t="shared" si="102"/>
        <v>-130.93200000000004</v>
      </c>
      <c r="EE41" s="67">
        <f t="shared" si="102"/>
        <v>-131.32800000000006</v>
      </c>
      <c r="EF41" s="67">
        <f t="shared" si="102"/>
        <v>-131.72400000000007</v>
      </c>
      <c r="EG41" s="93">
        <f t="shared" si="98"/>
        <v>-524.52000000000021</v>
      </c>
      <c r="EH41" s="67"/>
      <c r="EI41" s="177"/>
      <c r="EJ41" s="19"/>
      <c r="EK41" s="19"/>
      <c r="EL41" s="19"/>
    </row>
    <row r="42" spans="1:142" ht="12.75" customHeight="1" x14ac:dyDescent="0.2">
      <c r="A42" s="51" t="s">
        <v>412</v>
      </c>
      <c r="B42" s="19"/>
      <c r="C42" s="19"/>
      <c r="D42" s="19"/>
      <c r="E42" s="92">
        <v>0</v>
      </c>
      <c r="F42" s="67"/>
      <c r="G42" s="92">
        <v>0</v>
      </c>
      <c r="H42" s="67"/>
      <c r="I42" s="92">
        <v>0</v>
      </c>
      <c r="J42" s="67"/>
      <c r="K42" s="92">
        <v>0</v>
      </c>
      <c r="L42" s="67"/>
      <c r="M42" s="84">
        <v>0</v>
      </c>
      <c r="N42" s="71">
        <f>0-M42</f>
        <v>0</v>
      </c>
      <c r="O42" s="71">
        <f>0-SUM(M42:N42)</f>
        <v>0</v>
      </c>
      <c r="P42" s="71">
        <f>0-SUM(M42:O42)</f>
        <v>0</v>
      </c>
      <c r="Q42" s="93">
        <f t="shared" ref="Q42" si="103">SUM(M42:P42)</f>
        <v>0</v>
      </c>
      <c r="R42" s="67"/>
      <c r="S42" s="84">
        <v>0</v>
      </c>
      <c r="T42" s="71">
        <f>0-S42</f>
        <v>0</v>
      </c>
      <c r="U42" s="71">
        <f>0-SUM(S42:T42)</f>
        <v>0</v>
      </c>
      <c r="V42" s="71">
        <f>0-SUM(S42:U42)</f>
        <v>0</v>
      </c>
      <c r="W42" s="93">
        <f t="shared" ref="W42" si="104">SUM(S42:V42)</f>
        <v>0</v>
      </c>
      <c r="X42" s="67"/>
      <c r="Y42" s="84">
        <v>0</v>
      </c>
      <c r="Z42" s="71">
        <f>0-Y42</f>
        <v>0</v>
      </c>
      <c r="AA42" s="71">
        <f>0-SUM(Y42:Z42)</f>
        <v>0</v>
      </c>
      <c r="AB42" s="71">
        <f>0-SUM(Y42:AA42)</f>
        <v>0</v>
      </c>
      <c r="AC42" s="93">
        <f t="shared" ref="AC42" si="105">SUM(Y42:AB42)</f>
        <v>0</v>
      </c>
      <c r="AD42" s="67"/>
      <c r="AE42" s="84">
        <v>0</v>
      </c>
      <c r="AF42" s="71">
        <f>0-AE42</f>
        <v>0</v>
      </c>
      <c r="AG42" s="71">
        <f>0-SUM(AE42:AF42)</f>
        <v>0</v>
      </c>
      <c r="AH42" s="71">
        <f>0-SUM(AE42:AG42)</f>
        <v>0</v>
      </c>
      <c r="AI42" s="93">
        <f t="shared" si="77"/>
        <v>0</v>
      </c>
      <c r="AJ42" s="67"/>
      <c r="AK42" s="84">
        <v>0</v>
      </c>
      <c r="AL42" s="71">
        <f>0-AK42</f>
        <v>0</v>
      </c>
      <c r="AM42" s="71">
        <f>0-SUM(AK42:AL42)</f>
        <v>0</v>
      </c>
      <c r="AN42" s="71">
        <f>0-SUM(AK42:AM42)</f>
        <v>0</v>
      </c>
      <c r="AO42" s="93">
        <f t="shared" ref="AO42" si="106">SUM(AK42:AN42)</f>
        <v>0</v>
      </c>
      <c r="AP42" s="67"/>
      <c r="AQ42" s="84">
        <v>0</v>
      </c>
      <c r="AR42" s="71">
        <f>0-AQ42</f>
        <v>0</v>
      </c>
      <c r="AS42" s="71">
        <f>0-SUM(AQ42:AR42)</f>
        <v>0</v>
      </c>
      <c r="AT42" s="71">
        <f>0-SUM(AQ42:AS42)</f>
        <v>0</v>
      </c>
      <c r="AU42" s="93">
        <f t="shared" si="79"/>
        <v>0</v>
      </c>
      <c r="AV42" s="67"/>
      <c r="AW42" s="84">
        <v>0</v>
      </c>
      <c r="AX42" s="71">
        <f>0-AW42</f>
        <v>0</v>
      </c>
      <c r="AY42" s="71">
        <f>0-SUM(AW42:AX42)</f>
        <v>0</v>
      </c>
      <c r="AZ42" s="71">
        <f>0-SUM(AW42:AY42)</f>
        <v>0</v>
      </c>
      <c r="BA42" s="93">
        <f t="shared" si="80"/>
        <v>0</v>
      </c>
      <c r="BB42" s="67"/>
      <c r="BC42" s="84">
        <v>0</v>
      </c>
      <c r="BD42" s="71">
        <f>0-BC42</f>
        <v>0</v>
      </c>
      <c r="BE42" s="71">
        <f>0-SUM(BC42:BD42)</f>
        <v>0</v>
      </c>
      <c r="BF42" s="71">
        <f>0-SUM(BC42:BE42)</f>
        <v>0</v>
      </c>
      <c r="BG42" s="93">
        <f t="shared" ref="BG42" si="107">SUM(BC42:BF42)</f>
        <v>0</v>
      </c>
      <c r="BH42" s="67"/>
      <c r="BI42" s="84">
        <v>0</v>
      </c>
      <c r="BJ42" s="71">
        <f>0-BI42</f>
        <v>0</v>
      </c>
      <c r="BK42" s="71">
        <f>0-SUM(BI42:BJ42)</f>
        <v>0</v>
      </c>
      <c r="BL42" s="71">
        <f>0-SUM(BI42:BK42)</f>
        <v>0</v>
      </c>
      <c r="BM42" s="93">
        <f t="shared" ref="BM42" si="108">SUM(BI42:BL42)</f>
        <v>0</v>
      </c>
      <c r="BN42" s="67"/>
      <c r="BO42" s="84">
        <v>0</v>
      </c>
      <c r="BP42" s="71">
        <f>0-BO42</f>
        <v>0</v>
      </c>
      <c r="BQ42" s="71">
        <f>0-SUM(BO42:BP42)</f>
        <v>0</v>
      </c>
      <c r="BR42" s="71">
        <f>0-SUM(BO42:BQ42)</f>
        <v>0</v>
      </c>
      <c r="BS42" s="93">
        <f t="shared" si="83"/>
        <v>0</v>
      </c>
      <c r="BT42" s="67"/>
      <c r="BU42" s="84">
        <v>0</v>
      </c>
      <c r="BV42" s="71">
        <f>0-BU42</f>
        <v>0</v>
      </c>
      <c r="BW42" s="71">
        <f>0-SUM(BU42:BV42)</f>
        <v>0</v>
      </c>
      <c r="BX42" s="71">
        <f>0-SUM(BU42:BW42)</f>
        <v>0</v>
      </c>
      <c r="BY42" s="93">
        <f t="shared" si="84"/>
        <v>0</v>
      </c>
      <c r="BZ42" s="67"/>
      <c r="CA42" s="84">
        <v>0</v>
      </c>
      <c r="CB42" s="71">
        <f>0-CA42</f>
        <v>0</v>
      </c>
      <c r="CC42" s="71">
        <f>0-SUM(CA42:CB42)</f>
        <v>0</v>
      </c>
      <c r="CD42" s="71">
        <f>0-SUM(CA42:CC42)</f>
        <v>0</v>
      </c>
      <c r="CE42" s="93">
        <f t="shared" ref="CE42" si="109">SUM(CA42:CD42)</f>
        <v>0</v>
      </c>
      <c r="CF42" s="67"/>
      <c r="CG42" s="84">
        <v>0</v>
      </c>
      <c r="CH42" s="71">
        <f>0-CG42</f>
        <v>0</v>
      </c>
      <c r="CI42" s="71">
        <f>0-SUM(CG42:CH42)</f>
        <v>0</v>
      </c>
      <c r="CJ42" s="71">
        <f>0-SUM(CG42:CI42)</f>
        <v>0</v>
      </c>
      <c r="CK42" s="93">
        <f t="shared" si="86"/>
        <v>0</v>
      </c>
      <c r="CL42" s="67"/>
      <c r="CM42" s="84">
        <v>0</v>
      </c>
      <c r="CN42" s="71">
        <f>0-CM42</f>
        <v>0</v>
      </c>
      <c r="CO42" s="71">
        <f>0-SUM(CM42:CN42)</f>
        <v>0</v>
      </c>
      <c r="CP42" s="71">
        <f>0-SUM(CM42:CO42)</f>
        <v>0</v>
      </c>
      <c r="CQ42" s="93">
        <f t="shared" si="87"/>
        <v>0</v>
      </c>
      <c r="CR42" s="67"/>
      <c r="CS42" s="84">
        <v>0</v>
      </c>
      <c r="CT42" s="71">
        <f>0-CS42</f>
        <v>0</v>
      </c>
      <c r="CU42" s="71">
        <f>0-SUM(CS42:CT42)</f>
        <v>0</v>
      </c>
      <c r="CV42" s="71">
        <f>0-SUM(CS42:CU42)</f>
        <v>0</v>
      </c>
      <c r="CW42" s="93">
        <f t="shared" ref="CW42" si="110">SUM(CS42:CV42)</f>
        <v>0</v>
      </c>
      <c r="CX42" s="67"/>
      <c r="CY42" s="84">
        <v>0</v>
      </c>
      <c r="CZ42" s="71">
        <f>0-CY42</f>
        <v>0</v>
      </c>
      <c r="DA42" s="71">
        <f>0-SUM(CY42:CZ42)</f>
        <v>0</v>
      </c>
      <c r="DB42" s="71">
        <f>-188.1-SUM(CY42:DA42)</f>
        <v>-188.1</v>
      </c>
      <c r="DC42" s="93">
        <f t="shared" ref="DC42" si="111">SUM(CY42:DB42)</f>
        <v>-188.1</v>
      </c>
      <c r="DD42" s="67"/>
      <c r="DE42" s="84">
        <v>0</v>
      </c>
      <c r="DF42" s="71">
        <f t="shared" ref="DF42:DF47" si="112">0-DE42</f>
        <v>0</v>
      </c>
      <c r="DG42" s="71">
        <f t="shared" ref="DG42:DG47" si="113">0-SUM(DE42:DF42)</f>
        <v>0</v>
      </c>
      <c r="DH42" s="71">
        <f t="shared" ref="DH42:DH47" si="114">0-SUM(DE42:DG42)</f>
        <v>0</v>
      </c>
      <c r="DI42" s="93">
        <f t="shared" ref="DI42" si="115">SUM(DE42:DH42)</f>
        <v>0</v>
      </c>
      <c r="DJ42" s="67"/>
      <c r="DK42" s="81">
        <v>0</v>
      </c>
      <c r="DL42" s="69">
        <v>0</v>
      </c>
      <c r="DM42" s="69">
        <v>0</v>
      </c>
      <c r="DN42" s="69">
        <v>0</v>
      </c>
      <c r="DO42" s="93">
        <f t="shared" ref="DO42" si="116">SUM(DK42:DN42)</f>
        <v>0</v>
      </c>
      <c r="DP42" s="67"/>
      <c r="DQ42" s="81">
        <v>0</v>
      </c>
      <c r="DR42" s="69">
        <v>0</v>
      </c>
      <c r="DS42" s="69">
        <v>0</v>
      </c>
      <c r="DT42" s="69">
        <v>0</v>
      </c>
      <c r="DU42" s="93">
        <f t="shared" ref="DU42" si="117">SUM(DQ42:DT42)</f>
        <v>0</v>
      </c>
      <c r="DV42" s="67"/>
      <c r="DW42" s="81">
        <v>0</v>
      </c>
      <c r="DX42" s="69">
        <v>0</v>
      </c>
      <c r="DY42" s="69">
        <v>0</v>
      </c>
      <c r="DZ42" s="69">
        <v>0</v>
      </c>
      <c r="EA42" s="93">
        <f t="shared" si="96"/>
        <v>0</v>
      </c>
      <c r="EB42" s="67"/>
      <c r="EC42" s="81">
        <v>0</v>
      </c>
      <c r="ED42" s="69">
        <v>0</v>
      </c>
      <c r="EE42" s="69">
        <v>0</v>
      </c>
      <c r="EF42" s="69">
        <v>0</v>
      </c>
      <c r="EG42" s="93">
        <f t="shared" si="98"/>
        <v>0</v>
      </c>
      <c r="EH42" s="67"/>
      <c r="EI42" s="177"/>
      <c r="EJ42" s="19"/>
      <c r="EK42" s="19"/>
      <c r="EL42" s="19"/>
    </row>
    <row r="43" spans="1:142" ht="12.75" customHeight="1" x14ac:dyDescent="0.2">
      <c r="A43" s="51" t="s">
        <v>348</v>
      </c>
      <c r="B43" s="19"/>
      <c r="C43" s="19"/>
      <c r="D43" s="19"/>
      <c r="E43" s="92">
        <v>0</v>
      </c>
      <c r="F43" s="67"/>
      <c r="G43" s="92">
        <v>0</v>
      </c>
      <c r="H43" s="67"/>
      <c r="I43" s="92">
        <v>0</v>
      </c>
      <c r="J43" s="67"/>
      <c r="K43" s="92">
        <v>0</v>
      </c>
      <c r="L43" s="67"/>
      <c r="M43" s="84">
        <v>0</v>
      </c>
      <c r="N43" s="71">
        <f>0-M43</f>
        <v>0</v>
      </c>
      <c r="O43" s="71">
        <f>0-N43-M43</f>
        <v>0</v>
      </c>
      <c r="P43" s="71">
        <f>0-M43-N43-O43</f>
        <v>0</v>
      </c>
      <c r="Q43" s="93">
        <f t="shared" si="74"/>
        <v>0</v>
      </c>
      <c r="R43" s="67"/>
      <c r="S43" s="84">
        <v>0</v>
      </c>
      <c r="T43" s="71">
        <f>0-S43</f>
        <v>0</v>
      </c>
      <c r="U43" s="71">
        <f>0-T43-S43</f>
        <v>0</v>
      </c>
      <c r="V43" s="71">
        <f>0-S43-T43-U43</f>
        <v>0</v>
      </c>
      <c r="W43" s="93">
        <f t="shared" si="75"/>
        <v>0</v>
      </c>
      <c r="X43" s="67"/>
      <c r="Y43" s="84">
        <v>0</v>
      </c>
      <c r="Z43" s="71">
        <f>0-Y43</f>
        <v>0</v>
      </c>
      <c r="AA43" s="71">
        <f>0-Z43-Y43</f>
        <v>0</v>
      </c>
      <c r="AB43" s="71">
        <f>0-Y43-Z43-AA43</f>
        <v>0</v>
      </c>
      <c r="AC43" s="93">
        <f t="shared" si="76"/>
        <v>0</v>
      </c>
      <c r="AD43" s="67"/>
      <c r="AE43" s="84">
        <v>0</v>
      </c>
      <c r="AF43" s="71">
        <f>0-AE43</f>
        <v>0</v>
      </c>
      <c r="AG43" s="71">
        <f>0-AF43-AE43</f>
        <v>0</v>
      </c>
      <c r="AH43" s="71">
        <f>0-AE43-AF43-AG43</f>
        <v>0</v>
      </c>
      <c r="AI43" s="93">
        <f t="shared" si="77"/>
        <v>0</v>
      </c>
      <c r="AJ43" s="67"/>
      <c r="AK43" s="84">
        <v>0</v>
      </c>
      <c r="AL43" s="71">
        <f>0-AK43</f>
        <v>0</v>
      </c>
      <c r="AM43" s="71">
        <f>0-AL43-AK43</f>
        <v>0</v>
      </c>
      <c r="AN43" s="71">
        <f>0-AK43-AL43-AM43</f>
        <v>0</v>
      </c>
      <c r="AO43" s="93">
        <f t="shared" si="78"/>
        <v>0</v>
      </c>
      <c r="AP43" s="67"/>
      <c r="AQ43" s="84">
        <v>0</v>
      </c>
      <c r="AR43" s="71">
        <f>0-AQ43</f>
        <v>0</v>
      </c>
      <c r="AS43" s="71">
        <f>0-AR43-AQ43</f>
        <v>0</v>
      </c>
      <c r="AT43" s="71">
        <f>0-AQ43-AR43-AS43</f>
        <v>0</v>
      </c>
      <c r="AU43" s="93">
        <f t="shared" si="79"/>
        <v>0</v>
      </c>
      <c r="AV43" s="67"/>
      <c r="AW43" s="84">
        <v>0</v>
      </c>
      <c r="AX43" s="71">
        <f>0-AW43</f>
        <v>0</v>
      </c>
      <c r="AY43" s="71">
        <f>0-AX43-AW43</f>
        <v>0</v>
      </c>
      <c r="AZ43" s="71">
        <f>0-AW43-AX43-AY43</f>
        <v>0</v>
      </c>
      <c r="BA43" s="93">
        <f t="shared" si="80"/>
        <v>0</v>
      </c>
      <c r="BB43" s="67"/>
      <c r="BC43" s="84">
        <v>0</v>
      </c>
      <c r="BD43" s="71">
        <f>0-BC43</f>
        <v>0</v>
      </c>
      <c r="BE43" s="71">
        <f>0-BD43-BC43</f>
        <v>0</v>
      </c>
      <c r="BF43" s="71">
        <f>0-BC43-BD43-BE43</f>
        <v>0</v>
      </c>
      <c r="BG43" s="93">
        <f t="shared" si="81"/>
        <v>0</v>
      </c>
      <c r="BH43" s="67"/>
      <c r="BI43" s="84">
        <v>0</v>
      </c>
      <c r="BJ43" s="71">
        <f>0-BI43</f>
        <v>0</v>
      </c>
      <c r="BK43" s="71">
        <f>0-BJ43-BI43</f>
        <v>0</v>
      </c>
      <c r="BL43" s="71">
        <f>0-BI43-BJ43-BK43</f>
        <v>0</v>
      </c>
      <c r="BM43" s="93">
        <f t="shared" si="82"/>
        <v>0</v>
      </c>
      <c r="BN43" s="67"/>
      <c r="BO43" s="84">
        <v>-7.5220000000000002</v>
      </c>
      <c r="BP43" s="71">
        <f>21.543-BO43</f>
        <v>29.064999999999998</v>
      </c>
      <c r="BQ43" s="71">
        <f>-9.131-SUM(BO43:BP43)</f>
        <v>-30.673999999999999</v>
      </c>
      <c r="BR43" s="71">
        <f>0-SUM(BO43:BQ43)</f>
        <v>9.1310000000000002</v>
      </c>
      <c r="BS43" s="93">
        <f t="shared" si="83"/>
        <v>0</v>
      </c>
      <c r="BT43" s="67"/>
      <c r="BU43" s="84">
        <v>17.271000000000001</v>
      </c>
      <c r="BV43" s="71">
        <f>462.147-BU43</f>
        <v>444.87599999999998</v>
      </c>
      <c r="BW43" s="71">
        <f>1416.071-SUM(BU43:BV43)</f>
        <v>953.92399999999998</v>
      </c>
      <c r="BX43" s="71">
        <f>854-SUM(BU43:BW43)</f>
        <v>-562.07099999999991</v>
      </c>
      <c r="BY43" s="93">
        <f t="shared" si="84"/>
        <v>854</v>
      </c>
      <c r="BZ43" s="67"/>
      <c r="CA43" s="84">
        <v>-362.9</v>
      </c>
      <c r="CB43" s="71">
        <f>-310-CA43</f>
        <v>52.899999999999977</v>
      </c>
      <c r="CC43" s="71">
        <f>-495-SUM(CA43:CB43)</f>
        <v>-185</v>
      </c>
      <c r="CD43" s="71">
        <f>195.9-SUM(CA43:CC43)</f>
        <v>690.9</v>
      </c>
      <c r="CE43" s="93">
        <f t="shared" si="85"/>
        <v>195.89999999999998</v>
      </c>
      <c r="CF43" s="67"/>
      <c r="CG43" s="84">
        <v>-764.3</v>
      </c>
      <c r="CH43" s="71">
        <f>-768-CG43</f>
        <v>-3.7000000000000455</v>
      </c>
      <c r="CI43" s="71">
        <f>-768-SUM(CG43:CH43)</f>
        <v>0</v>
      </c>
      <c r="CJ43" s="71">
        <f>-763.3-SUM(CG43:CI43)</f>
        <v>4.7000000000000455</v>
      </c>
      <c r="CK43" s="93">
        <f t="shared" si="86"/>
        <v>-763.3</v>
      </c>
      <c r="CL43" s="67"/>
      <c r="CM43" s="84">
        <v>3.1</v>
      </c>
      <c r="CN43" s="71">
        <f>-13.4-CM43</f>
        <v>-16.5</v>
      </c>
      <c r="CO43" s="71">
        <f>-11.3-SUM(CM43:CN43)</f>
        <v>2.0999999999999996</v>
      </c>
      <c r="CP43" s="71">
        <f>312.2-SUM(CM43:CO43)</f>
        <v>323.5</v>
      </c>
      <c r="CQ43" s="93">
        <f t="shared" si="87"/>
        <v>312.2</v>
      </c>
      <c r="CR43" s="67"/>
      <c r="CS43" s="84">
        <v>-247.5</v>
      </c>
      <c r="CT43" s="71">
        <f>-259.9-CS43</f>
        <v>-12.399999999999977</v>
      </c>
      <c r="CU43" s="71">
        <f>6148.4-SUM(CS43:CT43)</f>
        <v>6408.2999999999993</v>
      </c>
      <c r="CV43" s="71">
        <f>3511.2-SUM(CS43:CU43)</f>
        <v>-2637.2</v>
      </c>
      <c r="CW43" s="93">
        <f t="shared" si="88"/>
        <v>3511.2</v>
      </c>
      <c r="CX43" s="67"/>
      <c r="CY43" s="84">
        <v>-1077.0999999999999</v>
      </c>
      <c r="CZ43" s="71">
        <f>-1178-CY43</f>
        <v>-100.90000000000009</v>
      </c>
      <c r="DA43" s="71">
        <f>-2334.2-SUM(CY43:CZ43)</f>
        <v>-1156.1999999999998</v>
      </c>
      <c r="DB43" s="71">
        <f>2218.1-SUM(CY43:DA43)</f>
        <v>4552.2999999999993</v>
      </c>
      <c r="DC43" s="93">
        <f t="shared" si="89"/>
        <v>2218.0999999999995</v>
      </c>
      <c r="DD43" s="67"/>
      <c r="DE43" s="84">
        <f>-434.9</f>
        <v>-434.9</v>
      </c>
      <c r="DF43" s="71">
        <f>-2387.5-DE43</f>
        <v>-1952.6</v>
      </c>
      <c r="DG43" s="71">
        <f>-3319.1-SUM(DE43:DF43)</f>
        <v>-931.59999999999991</v>
      </c>
      <c r="DH43" s="71">
        <f>-3778.5-SUM(DE43:DG43)</f>
        <v>-459.40000000000009</v>
      </c>
      <c r="DI43" s="93">
        <f t="shared" si="90"/>
        <v>-3778.5</v>
      </c>
      <c r="DJ43" s="67"/>
      <c r="DK43" s="82">
        <f>+BS!DK31-BS!DH31-DK42-DK18-DK53</f>
        <v>0</v>
      </c>
      <c r="DL43" s="67">
        <f>+BS!DL31-BS!DK31-DL42-DL18-DL53</f>
        <v>0</v>
      </c>
      <c r="DM43" s="67">
        <f>+BS!DM31-BS!DL31-DM42-DM18-DM53</f>
        <v>0</v>
      </c>
      <c r="DN43" s="67">
        <f>+BS!DN31-BS!DM31-DN42-DN18-DN53</f>
        <v>0</v>
      </c>
      <c r="DO43" s="93">
        <f t="shared" ref="DO43:DO47" si="118">SUM(DK43:DN43)</f>
        <v>0</v>
      </c>
      <c r="DP43" s="67"/>
      <c r="DQ43" s="82">
        <f>+BS!DQ31-BS!DN31-DQ42-DQ18-DQ53</f>
        <v>0</v>
      </c>
      <c r="DR43" s="67">
        <f>+BS!DR31-BS!DQ31-DR42-DR18-DR53</f>
        <v>0</v>
      </c>
      <c r="DS43" s="67">
        <f>+BS!DS31-BS!DR31-DS42-DS18-DS53</f>
        <v>0</v>
      </c>
      <c r="DT43" s="67">
        <f>+BS!DT31-BS!DS31-DT42-DT18-DT53</f>
        <v>0</v>
      </c>
      <c r="DU43" s="93">
        <f t="shared" ref="DU43:DU47" si="119">SUM(DQ43:DT43)</f>
        <v>0</v>
      </c>
      <c r="DV43" s="67"/>
      <c r="DW43" s="82">
        <f>+BS!DW31-BS!DT31-DW42-DW18-DW53</f>
        <v>0</v>
      </c>
      <c r="DX43" s="67">
        <f>+BS!DX31-BS!DW31-DX42-DX18-DX53</f>
        <v>0</v>
      </c>
      <c r="DY43" s="67">
        <f>+BS!DY31-BS!DX31-DY42-DY18-DY53</f>
        <v>0</v>
      </c>
      <c r="DZ43" s="67">
        <f>+BS!DZ31-BS!DY31-DZ42-DZ18-DZ53</f>
        <v>0</v>
      </c>
      <c r="EA43" s="93">
        <f t="shared" ref="EA43:EA47" si="120">SUM(DW43:DZ43)</f>
        <v>0</v>
      </c>
      <c r="EB43" s="67"/>
      <c r="EC43" s="82">
        <f>+BS!EC31-BS!DZ31-EC42-EC18-EC53</f>
        <v>0</v>
      </c>
      <c r="ED43" s="67">
        <f>+BS!ED31-BS!EC31-ED42-ED18-ED53</f>
        <v>0</v>
      </c>
      <c r="EE43" s="67">
        <f>+BS!EE31-BS!ED31-EE42-EE18-EE53</f>
        <v>0</v>
      </c>
      <c r="EF43" s="67">
        <f>+BS!EF31-BS!EE31-EF42-EF18-EF53</f>
        <v>0</v>
      </c>
      <c r="EG43" s="93">
        <f t="shared" ref="EG43:EG47" si="121">SUM(EC43:EF43)</f>
        <v>0</v>
      </c>
      <c r="EH43" s="67"/>
      <c r="EI43" s="177"/>
      <c r="EJ43" s="19"/>
      <c r="EK43" s="19"/>
      <c r="EL43" s="19"/>
    </row>
    <row r="44" spans="1:142" ht="12.75" customHeight="1" x14ac:dyDescent="0.2">
      <c r="A44" s="51" t="s">
        <v>349</v>
      </c>
      <c r="B44" s="19"/>
      <c r="C44" s="19"/>
      <c r="D44" s="19"/>
      <c r="E44" s="92">
        <v>0</v>
      </c>
      <c r="F44" s="67"/>
      <c r="G44" s="92">
        <v>0</v>
      </c>
      <c r="H44" s="67"/>
      <c r="I44" s="92">
        <v>0</v>
      </c>
      <c r="J44" s="67"/>
      <c r="K44" s="92">
        <v>0</v>
      </c>
      <c r="L44" s="67"/>
      <c r="M44" s="84">
        <v>0</v>
      </c>
      <c r="N44" s="71">
        <v>0</v>
      </c>
      <c r="O44" s="71">
        <v>0</v>
      </c>
      <c r="P44" s="71">
        <f>0-M44-N44-O44</f>
        <v>0</v>
      </c>
      <c r="Q44" s="93">
        <f t="shared" si="74"/>
        <v>0</v>
      </c>
      <c r="R44" s="67"/>
      <c r="S44" s="84">
        <v>0</v>
      </c>
      <c r="T44" s="71">
        <v>0</v>
      </c>
      <c r="U44" s="71">
        <v>0</v>
      </c>
      <c r="V44" s="71">
        <f>0-S44-T44-U44</f>
        <v>0</v>
      </c>
      <c r="W44" s="93">
        <f t="shared" si="75"/>
        <v>0</v>
      </c>
      <c r="X44" s="67"/>
      <c r="Y44" s="84">
        <v>0</v>
      </c>
      <c r="Z44" s="71">
        <v>0</v>
      </c>
      <c r="AA44" s="71">
        <v>0</v>
      </c>
      <c r="AB44" s="71">
        <f>0-Y44-Z44-AA44</f>
        <v>0</v>
      </c>
      <c r="AC44" s="93">
        <f t="shared" si="76"/>
        <v>0</v>
      </c>
      <c r="AD44" s="67"/>
      <c r="AE44" s="84">
        <v>0</v>
      </c>
      <c r="AF44" s="71">
        <v>0</v>
      </c>
      <c r="AG44" s="71">
        <v>0</v>
      </c>
      <c r="AH44" s="71">
        <f>0-SUM(AE44:AG44)</f>
        <v>0</v>
      </c>
      <c r="AI44" s="93">
        <f t="shared" si="77"/>
        <v>0</v>
      </c>
      <c r="AJ44" s="67"/>
      <c r="AK44" s="84">
        <v>0</v>
      </c>
      <c r="AL44" s="71">
        <f>0-AK44</f>
        <v>0</v>
      </c>
      <c r="AM44" s="71">
        <f>0-AL44-AK44</f>
        <v>0</v>
      </c>
      <c r="AN44" s="71">
        <f>0-AK44-AL44-AM44</f>
        <v>0</v>
      </c>
      <c r="AO44" s="93">
        <f t="shared" ref="AO44" si="122">SUM(AK44:AN44)</f>
        <v>0</v>
      </c>
      <c r="AP44" s="67"/>
      <c r="AQ44" s="84">
        <v>0</v>
      </c>
      <c r="AR44" s="71">
        <f>0-AQ44</f>
        <v>0</v>
      </c>
      <c r="AS44" s="71">
        <f>0-AR44-AQ44</f>
        <v>0</v>
      </c>
      <c r="AT44" s="71">
        <f>0-AQ44-AR44-AS44</f>
        <v>0</v>
      </c>
      <c r="AU44" s="93">
        <f t="shared" ref="AU44" si="123">SUM(AQ44:AT44)</f>
        <v>0</v>
      </c>
      <c r="AV44" s="67"/>
      <c r="AW44" s="84">
        <v>0</v>
      </c>
      <c r="AX44" s="71">
        <f>0-AW44</f>
        <v>0</v>
      </c>
      <c r="AY44" s="71">
        <f>0-AX44-AW44</f>
        <v>0</v>
      </c>
      <c r="AZ44" s="71">
        <f>0-AW44-AX44-AY44</f>
        <v>0</v>
      </c>
      <c r="BA44" s="93">
        <f t="shared" ref="BA44" si="124">SUM(AW44:AZ44)</f>
        <v>0</v>
      </c>
      <c r="BB44" s="67"/>
      <c r="BC44" s="84">
        <v>0</v>
      </c>
      <c r="BD44" s="71">
        <f>0-BC44</f>
        <v>0</v>
      </c>
      <c r="BE44" s="71">
        <f>0-BD44-BC44</f>
        <v>0</v>
      </c>
      <c r="BF44" s="71">
        <f>0-BC44-BD44-BE44</f>
        <v>0</v>
      </c>
      <c r="BG44" s="93">
        <f t="shared" si="81"/>
        <v>0</v>
      </c>
      <c r="BH44" s="67"/>
      <c r="BI44" s="84">
        <v>0</v>
      </c>
      <c r="BJ44" s="71">
        <v>0</v>
      </c>
      <c r="BK44" s="71">
        <v>0</v>
      </c>
      <c r="BL44" s="71">
        <v>0</v>
      </c>
      <c r="BM44" s="93">
        <f t="shared" si="82"/>
        <v>0</v>
      </c>
      <c r="BN44" s="67"/>
      <c r="BO44" s="84">
        <v>0</v>
      </c>
      <c r="BP44" s="71">
        <f>0-BO44</f>
        <v>0</v>
      </c>
      <c r="BQ44" s="71">
        <f>0-SUM(BO44:BP44)</f>
        <v>0</v>
      </c>
      <c r="BR44" s="71">
        <f>0-SUM(BO44:BQ44)</f>
        <v>0</v>
      </c>
      <c r="BS44" s="93">
        <f t="shared" si="83"/>
        <v>0</v>
      </c>
      <c r="BT44" s="67"/>
      <c r="BU44" s="84">
        <v>0</v>
      </c>
      <c r="BV44" s="71">
        <f>1785.764-BU44</f>
        <v>1785.7639999999999</v>
      </c>
      <c r="BW44" s="71">
        <f>1785.764-SUM(BU44:BV44)</f>
        <v>0</v>
      </c>
      <c r="BX44" s="71">
        <f>1785.8-SUM(BU44:BW44)</f>
        <v>3.6000000000058208E-2</v>
      </c>
      <c r="BY44" s="93">
        <f t="shared" si="84"/>
        <v>1785.8</v>
      </c>
      <c r="BZ44" s="67"/>
      <c r="CA44" s="84">
        <v>0</v>
      </c>
      <c r="CB44" s="71">
        <f>0-CA44</f>
        <v>0</v>
      </c>
      <c r="CC44" s="71">
        <f>0-SUM(CA44:CB44)</f>
        <v>0</v>
      </c>
      <c r="CD44" s="71">
        <f>0-SUM(CA44:CC44)</f>
        <v>0</v>
      </c>
      <c r="CE44" s="93">
        <f t="shared" si="85"/>
        <v>0</v>
      </c>
      <c r="CF44" s="67"/>
      <c r="CG44" s="84">
        <v>0</v>
      </c>
      <c r="CH44" s="71">
        <f>0-CG44</f>
        <v>0</v>
      </c>
      <c r="CI44" s="71">
        <f>0-SUM(CG44:CH44)</f>
        <v>0</v>
      </c>
      <c r="CJ44" s="71">
        <f>0-SUM(CG44:CI44)</f>
        <v>0</v>
      </c>
      <c r="CK44" s="93">
        <f t="shared" si="86"/>
        <v>0</v>
      </c>
      <c r="CL44" s="67"/>
      <c r="CM44" s="84">
        <v>0</v>
      </c>
      <c r="CN44" s="71">
        <f>0-CM44</f>
        <v>0</v>
      </c>
      <c r="CO44" s="71">
        <f>0-SUM(CM44:CN44)</f>
        <v>0</v>
      </c>
      <c r="CP44" s="71">
        <f>0-SUM(CM44:CO44)</f>
        <v>0</v>
      </c>
      <c r="CQ44" s="93">
        <f t="shared" si="87"/>
        <v>0</v>
      </c>
      <c r="CR44" s="67"/>
      <c r="CS44" s="84">
        <v>0</v>
      </c>
      <c r="CT44" s="71">
        <f>0-CS44</f>
        <v>0</v>
      </c>
      <c r="CU44" s="71">
        <f>4950.4-SUM(CS44:CT44)</f>
        <v>4950.3999999999996</v>
      </c>
      <c r="CV44" s="71">
        <f>5682.9-SUM(CS44:CU44)</f>
        <v>732.5</v>
      </c>
      <c r="CW44" s="93">
        <f t="shared" si="88"/>
        <v>5682.9</v>
      </c>
      <c r="CX44" s="67"/>
      <c r="CY44" s="84">
        <v>262.3</v>
      </c>
      <c r="CZ44" s="71">
        <f>3240.9-CY44</f>
        <v>2978.6</v>
      </c>
      <c r="DA44" s="71">
        <f>3240.9-SUM(CY44:CZ44)</f>
        <v>0</v>
      </c>
      <c r="DB44" s="71">
        <f>3240.9-SUM(CY44:DA44)</f>
        <v>0</v>
      </c>
      <c r="DC44" s="93">
        <f t="shared" si="89"/>
        <v>3240.9</v>
      </c>
      <c r="DD44" s="67"/>
      <c r="DE44" s="84">
        <v>0</v>
      </c>
      <c r="DF44" s="71">
        <f>1684-DE44</f>
        <v>1684</v>
      </c>
      <c r="DG44" s="71">
        <f>1684-SUM(DE44:DF44)</f>
        <v>0</v>
      </c>
      <c r="DH44" s="71">
        <f>1782.1-SUM(DE44:DG44)</f>
        <v>98.099999999999909</v>
      </c>
      <c r="DI44" s="93">
        <f t="shared" si="90"/>
        <v>1782.1</v>
      </c>
      <c r="DJ44" s="67"/>
      <c r="DK44" s="82">
        <f>IF((BS!DK39-BS!DH39)&lt;0,0,(BS!DK39-BS!DH39))</f>
        <v>0</v>
      </c>
      <c r="DL44" s="67">
        <f>IF((BS!DL39-BS!DK39)&lt;0,0,(BS!DL39-BS!DK39))</f>
        <v>0</v>
      </c>
      <c r="DM44" s="67">
        <f>IF((BS!DM39-BS!DL39)&lt;0,0,(BS!DM39-BS!DL39))</f>
        <v>0</v>
      </c>
      <c r="DN44" s="67">
        <f>IF((BS!DN39-BS!DM39)&lt;0,0,(BS!DN39-BS!DM39))</f>
        <v>0</v>
      </c>
      <c r="DO44" s="93">
        <f t="shared" si="118"/>
        <v>0</v>
      </c>
      <c r="DP44" s="67"/>
      <c r="DQ44" s="82">
        <f>IF((BS!DQ39-BS!DN39)&lt;0,0,(BS!DQ39-BS!DN39))</f>
        <v>0</v>
      </c>
      <c r="DR44" s="67">
        <f>IF((BS!DR39-BS!DQ39)&lt;0,0,(BS!DR39-BS!DQ39))</f>
        <v>0</v>
      </c>
      <c r="DS44" s="67">
        <f>IF((BS!DS39-BS!DR39)&lt;0,0,(BS!DS39-BS!DR39))</f>
        <v>0</v>
      </c>
      <c r="DT44" s="67">
        <f>IF((BS!DT39-BS!DS39)&lt;0,0,(BS!DT39-BS!DS39))</f>
        <v>0</v>
      </c>
      <c r="DU44" s="93">
        <f t="shared" si="119"/>
        <v>0</v>
      </c>
      <c r="DV44" s="67"/>
      <c r="DW44" s="82">
        <f>IF((BS!DW39-BS!DT39)&lt;0,0,(BS!DW39-BS!DT39))</f>
        <v>0</v>
      </c>
      <c r="DX44" s="67">
        <f>IF((BS!DX39-BS!DW39)&lt;0,0,(BS!DX39-BS!DW39))</f>
        <v>0</v>
      </c>
      <c r="DY44" s="67">
        <f>IF((BS!DY39-BS!DX39)&lt;0,0,(BS!DY39-BS!DX39))</f>
        <v>0</v>
      </c>
      <c r="DZ44" s="67">
        <f>IF((BS!DZ39-BS!DY39)&lt;0,0,(BS!DZ39-BS!DY39))</f>
        <v>0</v>
      </c>
      <c r="EA44" s="93">
        <f t="shared" si="120"/>
        <v>0</v>
      </c>
      <c r="EB44" s="67"/>
      <c r="EC44" s="82">
        <f>IF((BS!EC39-BS!DZ39)&lt;0,0,(BS!EC39-BS!DZ39))</f>
        <v>0</v>
      </c>
      <c r="ED44" s="67">
        <f>IF((BS!ED39-BS!EC39)&lt;0,0,(BS!ED39-BS!EC39))</f>
        <v>0</v>
      </c>
      <c r="EE44" s="67">
        <f>IF((BS!EE39-BS!ED39)&lt;0,0,(BS!EE39-BS!ED39))</f>
        <v>0</v>
      </c>
      <c r="EF44" s="67">
        <f>IF((BS!EF39-BS!EE39)&lt;0,0,(BS!EF39-BS!EE39))</f>
        <v>0</v>
      </c>
      <c r="EG44" s="93">
        <f t="shared" si="121"/>
        <v>0</v>
      </c>
      <c r="EH44" s="67"/>
      <c r="EI44" s="177"/>
      <c r="EJ44" s="19"/>
      <c r="EK44" s="19"/>
      <c r="EL44" s="19"/>
    </row>
    <row r="45" spans="1:142" ht="12.75" customHeight="1" x14ac:dyDescent="0.2">
      <c r="A45" s="51" t="s">
        <v>350</v>
      </c>
      <c r="B45" s="19"/>
      <c r="C45" s="19"/>
      <c r="D45" s="19"/>
      <c r="E45" s="92">
        <v>0</v>
      </c>
      <c r="F45" s="67"/>
      <c r="G45" s="92">
        <v>0</v>
      </c>
      <c r="H45" s="67"/>
      <c r="I45" s="92">
        <v>0</v>
      </c>
      <c r="J45" s="67"/>
      <c r="K45" s="92">
        <v>0</v>
      </c>
      <c r="L45" s="67"/>
      <c r="M45" s="84">
        <v>0</v>
      </c>
      <c r="N45" s="71">
        <v>0</v>
      </c>
      <c r="O45" s="71">
        <v>0</v>
      </c>
      <c r="P45" s="71">
        <f>0-M45-N45-O45</f>
        <v>0</v>
      </c>
      <c r="Q45" s="93">
        <f t="shared" si="74"/>
        <v>0</v>
      </c>
      <c r="R45" s="67"/>
      <c r="S45" s="84">
        <v>0</v>
      </c>
      <c r="T45" s="71">
        <v>0</v>
      </c>
      <c r="U45" s="71">
        <v>0</v>
      </c>
      <c r="V45" s="71">
        <f>0-S45-T45-U45</f>
        <v>0</v>
      </c>
      <c r="W45" s="93">
        <f t="shared" si="75"/>
        <v>0</v>
      </c>
      <c r="X45" s="67"/>
      <c r="Y45" s="84">
        <v>0</v>
      </c>
      <c r="Z45" s="71">
        <v>0</v>
      </c>
      <c r="AA45" s="71">
        <v>0</v>
      </c>
      <c r="AB45" s="71">
        <f>0-Y45-Z45-AA45</f>
        <v>0</v>
      </c>
      <c r="AC45" s="93">
        <f t="shared" si="76"/>
        <v>0</v>
      </c>
      <c r="AD45" s="67"/>
      <c r="AE45" s="84">
        <v>0</v>
      </c>
      <c r="AF45" s="71">
        <v>0</v>
      </c>
      <c r="AG45" s="71">
        <v>0</v>
      </c>
      <c r="AH45" s="71">
        <f>0-SUM(AE45:AG45)</f>
        <v>0</v>
      </c>
      <c r="AI45" s="93">
        <f t="shared" si="77"/>
        <v>0</v>
      </c>
      <c r="AJ45" s="67"/>
      <c r="AK45" s="84">
        <v>0</v>
      </c>
      <c r="AL45" s="71">
        <v>0</v>
      </c>
      <c r="AM45" s="71">
        <v>0</v>
      </c>
      <c r="AN45" s="71">
        <f>0-AK45-AL45-AM45</f>
        <v>0</v>
      </c>
      <c r="AO45" s="93">
        <f t="shared" si="78"/>
        <v>0</v>
      </c>
      <c r="AP45" s="67"/>
      <c r="AQ45" s="84">
        <v>0</v>
      </c>
      <c r="AR45" s="71">
        <v>0</v>
      </c>
      <c r="AS45" s="71">
        <v>0</v>
      </c>
      <c r="AT45" s="71">
        <f>0-SUM(AQ45:AS45)</f>
        <v>0</v>
      </c>
      <c r="AU45" s="93">
        <f t="shared" si="79"/>
        <v>0</v>
      </c>
      <c r="AV45" s="67"/>
      <c r="AW45" s="84">
        <v>0</v>
      </c>
      <c r="AX45" s="71">
        <v>0</v>
      </c>
      <c r="AY45" s="71">
        <v>0</v>
      </c>
      <c r="AZ45" s="71">
        <v>0</v>
      </c>
      <c r="BA45" s="93">
        <f t="shared" si="80"/>
        <v>0</v>
      </c>
      <c r="BB45" s="67"/>
      <c r="BC45" s="84">
        <v>0</v>
      </c>
      <c r="BD45" s="71">
        <v>0</v>
      </c>
      <c r="BE45" s="71">
        <v>0</v>
      </c>
      <c r="BF45" s="71">
        <v>0</v>
      </c>
      <c r="BG45" s="93">
        <f t="shared" si="81"/>
        <v>0</v>
      </c>
      <c r="BH45" s="67"/>
      <c r="BI45" s="84">
        <v>0</v>
      </c>
      <c r="BJ45" s="71">
        <v>0</v>
      </c>
      <c r="BK45" s="71">
        <v>0</v>
      </c>
      <c r="BL45" s="71">
        <v>0</v>
      </c>
      <c r="BM45" s="93">
        <f t="shared" si="82"/>
        <v>0</v>
      </c>
      <c r="BN45" s="67"/>
      <c r="BO45" s="84">
        <v>-2.919</v>
      </c>
      <c r="BP45" s="71">
        <f>0-BO45</f>
        <v>2.919</v>
      </c>
      <c r="BQ45" s="71">
        <f>0-SUM(BO45:BP45)</f>
        <v>0</v>
      </c>
      <c r="BR45" s="71">
        <f>-9.388-SUM(BO45:BQ45)</f>
        <v>-9.3879999999999999</v>
      </c>
      <c r="BS45" s="93">
        <f t="shared" si="83"/>
        <v>-9.3879999999999999</v>
      </c>
      <c r="BT45" s="67"/>
      <c r="BU45" s="84">
        <v>-2.0209999999999999</v>
      </c>
      <c r="BV45" s="71">
        <f>-2.021-BU45</f>
        <v>0</v>
      </c>
      <c r="BW45" s="71">
        <f>-1594.573-SUM(BU45:BV45)</f>
        <v>-1592.5520000000001</v>
      </c>
      <c r="BX45" s="71">
        <f>-1602.4-SUM(BU45:BW45)</f>
        <v>-7.8269999999999982</v>
      </c>
      <c r="BY45" s="93">
        <f t="shared" si="84"/>
        <v>-1602.4</v>
      </c>
      <c r="BZ45" s="67"/>
      <c r="CA45" s="84">
        <v>-1.4</v>
      </c>
      <c r="CB45" s="71">
        <f>-2.2-CA45</f>
        <v>-0.80000000000000027</v>
      </c>
      <c r="CC45" s="71">
        <f>-3.4-SUM(CA45:CB45)</f>
        <v>-1.1999999999999997</v>
      </c>
      <c r="CD45" s="71">
        <f>-61.5-SUM(CA45:CC45)</f>
        <v>-58.1</v>
      </c>
      <c r="CE45" s="93">
        <f t="shared" si="85"/>
        <v>-61.5</v>
      </c>
      <c r="CF45" s="67"/>
      <c r="CG45" s="84">
        <v>-0.5</v>
      </c>
      <c r="CH45" s="71">
        <f>-310.4-CG45</f>
        <v>-309.89999999999998</v>
      </c>
      <c r="CI45" s="71">
        <f>-966.9-SUM(CG45:CH45)</f>
        <v>-656.5</v>
      </c>
      <c r="CJ45" s="71">
        <f>-967.8-SUM(CG45:CI45)</f>
        <v>-0.89999999999997726</v>
      </c>
      <c r="CK45" s="93">
        <f t="shared" si="86"/>
        <v>-967.8</v>
      </c>
      <c r="CL45" s="67"/>
      <c r="CM45" s="84">
        <v>-1</v>
      </c>
      <c r="CN45" s="71">
        <f>-403.6-CM45</f>
        <v>-402.6</v>
      </c>
      <c r="CO45" s="71">
        <f>-404.9-SUM(CM45:CN45)</f>
        <v>-1.2999999999999545</v>
      </c>
      <c r="CP45" s="71">
        <f>-414.7-SUM(CM45:CO45)</f>
        <v>-9.8000000000000114</v>
      </c>
      <c r="CQ45" s="93">
        <f t="shared" si="87"/>
        <v>-414.7</v>
      </c>
      <c r="CR45" s="67"/>
      <c r="CS45" s="84">
        <v>-1.2</v>
      </c>
      <c r="CT45" s="71">
        <f>-1.8-CS45</f>
        <v>-0.60000000000000009</v>
      </c>
      <c r="CU45" s="71">
        <f>-2.1-SUM(CS45:CT45)</f>
        <v>-0.30000000000000004</v>
      </c>
      <c r="CV45" s="71">
        <f>-35.5-SUM(CS45:CU45)</f>
        <v>-33.4</v>
      </c>
      <c r="CW45" s="93">
        <f t="shared" si="88"/>
        <v>-35.5</v>
      </c>
      <c r="CX45" s="67"/>
      <c r="CY45" s="84">
        <v>-0.3</v>
      </c>
      <c r="CZ45" s="71">
        <f>-504.1-CY45</f>
        <v>-503.8</v>
      </c>
      <c r="DA45" s="71">
        <f>-2354.2-SUM(CY45:CZ45)</f>
        <v>-1850.1</v>
      </c>
      <c r="DB45" s="71">
        <f>-2480.6-SUM(CY45:DA45)</f>
        <v>-126.40000000000009</v>
      </c>
      <c r="DC45" s="93">
        <f t="shared" si="89"/>
        <v>-2480.6</v>
      </c>
      <c r="DD45" s="67"/>
      <c r="DE45" s="84">
        <v>0</v>
      </c>
      <c r="DF45" s="71">
        <f>-562.4-DE45</f>
        <v>-562.4</v>
      </c>
      <c r="DG45" s="71">
        <f>-562.4-SUM(DE45:DF45)</f>
        <v>0</v>
      </c>
      <c r="DH45" s="71">
        <f>-668.4-SUM(DE45:DG45)</f>
        <v>-106</v>
      </c>
      <c r="DI45" s="93">
        <f t="shared" si="90"/>
        <v>-668.4</v>
      </c>
      <c r="DJ45" s="67"/>
      <c r="DK45" s="82">
        <f>IF((BS!DK39-BS!DH39)&gt;0,0,(BS!DK39-BS!DH39))</f>
        <v>0</v>
      </c>
      <c r="DL45" s="67">
        <f>IF((BS!DL39-BS!DK39)&gt;0,0,(BS!DL39-BS!DK39))</f>
        <v>0</v>
      </c>
      <c r="DM45" s="67">
        <f>IF((BS!DM39-BS!DL39)&gt;0,0,(BS!DM39-BS!DL39))</f>
        <v>0</v>
      </c>
      <c r="DN45" s="67">
        <f>IF((BS!DN39-BS!DM39)&gt;0,0,(BS!DN39-BS!DM39))</f>
        <v>0</v>
      </c>
      <c r="DO45" s="93">
        <f t="shared" si="118"/>
        <v>0</v>
      </c>
      <c r="DP45" s="67"/>
      <c r="DQ45" s="82">
        <f>IF((BS!DQ39-BS!DN39)&gt;0,0,(BS!DQ39-BS!DN39))</f>
        <v>0</v>
      </c>
      <c r="DR45" s="67">
        <f>IF((BS!DR39-BS!DQ39)&gt;0,0,(BS!DR39-BS!DQ39))</f>
        <v>0</v>
      </c>
      <c r="DS45" s="67">
        <f>IF((BS!DS39-BS!DR39)&gt;0,0,(BS!DS39-BS!DR39))</f>
        <v>0</v>
      </c>
      <c r="DT45" s="67">
        <f>IF((BS!DT39-BS!DS39)&gt;0,0,(BS!DT39-BS!DS39))</f>
        <v>0</v>
      </c>
      <c r="DU45" s="93">
        <f t="shared" si="119"/>
        <v>0</v>
      </c>
      <c r="DV45" s="67"/>
      <c r="DW45" s="82">
        <f>IF((BS!DW39-BS!DT39)&gt;0,0,(BS!DW39-BS!DT39))</f>
        <v>0</v>
      </c>
      <c r="DX45" s="67">
        <f>IF((BS!DX39-BS!DW39)&gt;0,0,(BS!DX39-BS!DW39))</f>
        <v>0</v>
      </c>
      <c r="DY45" s="67">
        <f>IF((BS!DY39-BS!DX39)&gt;0,0,(BS!DY39-BS!DX39))</f>
        <v>0</v>
      </c>
      <c r="DZ45" s="67">
        <f>IF((BS!DZ39-BS!DY39)&gt;0,0,(BS!DZ39-BS!DY39))</f>
        <v>0</v>
      </c>
      <c r="EA45" s="93">
        <f t="shared" si="120"/>
        <v>0</v>
      </c>
      <c r="EB45" s="67"/>
      <c r="EC45" s="82">
        <f>IF((BS!EC39-BS!DZ39)&gt;0,0,(BS!EC39-BS!DZ39))</f>
        <v>0</v>
      </c>
      <c r="ED45" s="67">
        <f>IF((BS!ED39-BS!EC39)&gt;0,0,(BS!ED39-BS!EC39))</f>
        <v>0</v>
      </c>
      <c r="EE45" s="67">
        <f>IF((BS!EE39-BS!ED39)&gt;0,0,(BS!EE39-BS!ED39))</f>
        <v>0</v>
      </c>
      <c r="EF45" s="67">
        <f>IF((BS!EF39-BS!EE39)&gt;0,0,(BS!EF39-BS!EE39))</f>
        <v>0</v>
      </c>
      <c r="EG45" s="93">
        <f t="shared" si="121"/>
        <v>0</v>
      </c>
      <c r="EH45" s="67"/>
      <c r="EI45" s="177"/>
      <c r="EJ45" s="19"/>
      <c r="EK45" s="19"/>
      <c r="EL45" s="19"/>
    </row>
    <row r="46" spans="1:142" ht="12.75" customHeight="1" x14ac:dyDescent="0.2">
      <c r="A46" s="51" t="s">
        <v>351</v>
      </c>
      <c r="B46" s="19"/>
      <c r="C46" s="19"/>
      <c r="D46" s="19"/>
      <c r="E46" s="92">
        <v>0</v>
      </c>
      <c r="F46" s="67"/>
      <c r="G46" s="92">
        <v>0</v>
      </c>
      <c r="H46" s="67"/>
      <c r="I46" s="92">
        <v>0</v>
      </c>
      <c r="J46" s="67"/>
      <c r="K46" s="92">
        <v>0</v>
      </c>
      <c r="L46" s="67"/>
      <c r="M46" s="84">
        <v>0</v>
      </c>
      <c r="N46" s="71">
        <v>0</v>
      </c>
      <c r="O46" s="71">
        <v>0</v>
      </c>
      <c r="P46" s="71">
        <f>0-M46-N46-O46</f>
        <v>0</v>
      </c>
      <c r="Q46" s="93">
        <f t="shared" si="74"/>
        <v>0</v>
      </c>
      <c r="R46" s="67"/>
      <c r="S46" s="84">
        <v>0</v>
      </c>
      <c r="T46" s="71">
        <v>0</v>
      </c>
      <c r="U46" s="71">
        <v>0</v>
      </c>
      <c r="V46" s="71">
        <f>0-S46-T46-U46</f>
        <v>0</v>
      </c>
      <c r="W46" s="93">
        <f t="shared" si="75"/>
        <v>0</v>
      </c>
      <c r="X46" s="67"/>
      <c r="Y46" s="84">
        <v>0</v>
      </c>
      <c r="Z46" s="71">
        <v>0</v>
      </c>
      <c r="AA46" s="71">
        <v>0</v>
      </c>
      <c r="AB46" s="71">
        <f>0-Y46-Z46-AA46</f>
        <v>0</v>
      </c>
      <c r="AC46" s="93">
        <f t="shared" si="76"/>
        <v>0</v>
      </c>
      <c r="AD46" s="67"/>
      <c r="AE46" s="84">
        <v>0</v>
      </c>
      <c r="AF46" s="71">
        <v>0</v>
      </c>
      <c r="AG46" s="71">
        <v>0</v>
      </c>
      <c r="AH46" s="71">
        <f>0-SUM(AE46:AG46)</f>
        <v>0</v>
      </c>
      <c r="AI46" s="93">
        <f t="shared" si="77"/>
        <v>0</v>
      </c>
      <c r="AJ46" s="67"/>
      <c r="AK46" s="84">
        <v>0</v>
      </c>
      <c r="AL46" s="71">
        <v>0</v>
      </c>
      <c r="AM46" s="71">
        <v>0</v>
      </c>
      <c r="AN46" s="71">
        <f>0-AK46-AL46-AM46</f>
        <v>0</v>
      </c>
      <c r="AO46" s="93">
        <f t="shared" si="78"/>
        <v>0</v>
      </c>
      <c r="AP46" s="67"/>
      <c r="AQ46" s="84">
        <v>0</v>
      </c>
      <c r="AR46" s="71">
        <v>0</v>
      </c>
      <c r="AS46" s="71">
        <v>0</v>
      </c>
      <c r="AT46" s="71">
        <v>0</v>
      </c>
      <c r="AU46" s="93">
        <f t="shared" si="79"/>
        <v>0</v>
      </c>
      <c r="AV46" s="67"/>
      <c r="AW46" s="84">
        <v>0</v>
      </c>
      <c r="AX46" s="71">
        <v>0</v>
      </c>
      <c r="AY46" s="71">
        <v>0</v>
      </c>
      <c r="AZ46" s="71">
        <v>0</v>
      </c>
      <c r="BA46" s="93">
        <f t="shared" si="80"/>
        <v>0</v>
      </c>
      <c r="BB46" s="67"/>
      <c r="BC46" s="84">
        <v>0</v>
      </c>
      <c r="BD46" s="71">
        <f>BC46</f>
        <v>0</v>
      </c>
      <c r="BE46" s="71">
        <v>0</v>
      </c>
      <c r="BF46" s="71">
        <v>0</v>
      </c>
      <c r="BG46" s="93">
        <f t="shared" si="81"/>
        <v>0</v>
      </c>
      <c r="BH46" s="67"/>
      <c r="BI46" s="84">
        <v>0</v>
      </c>
      <c r="BJ46" s="71">
        <v>0</v>
      </c>
      <c r="BK46" s="71">
        <v>0</v>
      </c>
      <c r="BL46" s="71">
        <v>0</v>
      </c>
      <c r="BM46" s="93">
        <f t="shared" si="82"/>
        <v>0</v>
      </c>
      <c r="BN46" s="67"/>
      <c r="BO46" s="84">
        <v>0</v>
      </c>
      <c r="BP46" s="71">
        <f>0-BO46</f>
        <v>0</v>
      </c>
      <c r="BQ46" s="71">
        <f>0-SUM(BO46:BP46)</f>
        <v>0</v>
      </c>
      <c r="BR46" s="71">
        <f>0-SUM(BO46:BQ46)</f>
        <v>0</v>
      </c>
      <c r="BS46" s="93">
        <f t="shared" si="83"/>
        <v>0</v>
      </c>
      <c r="BT46" s="67"/>
      <c r="BU46" s="84">
        <v>0</v>
      </c>
      <c r="BV46" s="71">
        <f>0-BU46</f>
        <v>0</v>
      </c>
      <c r="BW46" s="71">
        <f>0-SUM(BU46:BV46)</f>
        <v>0</v>
      </c>
      <c r="BX46" s="71">
        <f>0-SUM(BU46:BW46)</f>
        <v>0</v>
      </c>
      <c r="BY46" s="93">
        <f t="shared" si="84"/>
        <v>0</v>
      </c>
      <c r="BZ46" s="67"/>
      <c r="CA46" s="84">
        <v>0</v>
      </c>
      <c r="CB46" s="71">
        <f>0-CA46</f>
        <v>0</v>
      </c>
      <c r="CC46" s="71">
        <f>0-SUM(CA46:CB46)</f>
        <v>0</v>
      </c>
      <c r="CD46" s="71">
        <f>0-SUM(CA46:CC46)</f>
        <v>0</v>
      </c>
      <c r="CE46" s="93">
        <f t="shared" si="85"/>
        <v>0</v>
      </c>
      <c r="CF46" s="67"/>
      <c r="CG46" s="84">
        <v>0</v>
      </c>
      <c r="CH46" s="71">
        <f>0-CG46</f>
        <v>0</v>
      </c>
      <c r="CI46" s="71">
        <f>0-SUM(CG46:CH46)</f>
        <v>0</v>
      </c>
      <c r="CJ46" s="71">
        <f>0-SUM(CG46:CI46)</f>
        <v>0</v>
      </c>
      <c r="CK46" s="93">
        <f t="shared" si="86"/>
        <v>0</v>
      </c>
      <c r="CL46" s="67"/>
      <c r="CM46" s="84">
        <v>0</v>
      </c>
      <c r="CN46" s="71">
        <f>0-CM46</f>
        <v>0</v>
      </c>
      <c r="CO46" s="71">
        <f>0-SUM(CM46:CN46)</f>
        <v>0</v>
      </c>
      <c r="CP46" s="71">
        <f>-20.9-SUM(CM46:CO46)</f>
        <v>-20.9</v>
      </c>
      <c r="CQ46" s="93">
        <f t="shared" si="87"/>
        <v>-20.9</v>
      </c>
      <c r="CR46" s="67"/>
      <c r="CS46" s="84">
        <v>-3.3</v>
      </c>
      <c r="CT46" s="71">
        <f>-3.3-CS46</f>
        <v>0</v>
      </c>
      <c r="CU46" s="71">
        <f>-3.3-SUM(CS46:CT46)</f>
        <v>0</v>
      </c>
      <c r="CV46" s="71">
        <f>-3.3-SUM(CS46:CU46)</f>
        <v>0</v>
      </c>
      <c r="CW46" s="93">
        <f t="shared" si="88"/>
        <v>-3.3</v>
      </c>
      <c r="CX46" s="67"/>
      <c r="CY46" s="84">
        <v>-26.7</v>
      </c>
      <c r="CZ46" s="71">
        <f>-26.7-CY46</f>
        <v>0</v>
      </c>
      <c r="DA46" s="71">
        <f>-26.7-188.1-485.3-SUM(CY46:CZ46)</f>
        <v>-673.4</v>
      </c>
      <c r="DB46" s="71">
        <f>-27-SUM(CY46:DA46)</f>
        <v>673.1</v>
      </c>
      <c r="DC46" s="93">
        <f t="shared" si="89"/>
        <v>-27</v>
      </c>
      <c r="DD46" s="67"/>
      <c r="DE46" s="84">
        <f>-64.4-25.3</f>
        <v>-89.7</v>
      </c>
      <c r="DF46" s="71">
        <f>-64.4-37.3-DE46</f>
        <v>-12</v>
      </c>
      <c r="DG46" s="71">
        <f>-64.4-50.7-SUM(DE46:DF46)</f>
        <v>-13.400000000000006</v>
      </c>
      <c r="DH46" s="71">
        <f>-64.4-59.8-SUM(DE46:DG46)</f>
        <v>-9.0999999999999943</v>
      </c>
      <c r="DI46" s="93">
        <f t="shared" si="90"/>
        <v>-124.2</v>
      </c>
      <c r="DJ46" s="67"/>
      <c r="DK46" s="82">
        <f>+BS!DK41-BS!DH41+BS!DK47-BS!DH47+BS!DK50-BS!DH50</f>
        <v>0</v>
      </c>
      <c r="DL46" s="67">
        <f>+BS!DL41-BS!DK41+BS!DL47-BS!DK47+BS!DL50-BS!DK50</f>
        <v>0</v>
      </c>
      <c r="DM46" s="67">
        <f>+BS!DM41-BS!DL41+BS!DM47-BS!DL47+BS!DM50-BS!DL50</f>
        <v>0</v>
      </c>
      <c r="DN46" s="67">
        <f>+BS!DN41-BS!DM41+BS!DN47-BS!DM47+BS!DN50-BS!DM50</f>
        <v>0</v>
      </c>
      <c r="DO46" s="93">
        <f t="shared" si="118"/>
        <v>0</v>
      </c>
      <c r="DP46" s="67"/>
      <c r="DQ46" s="82">
        <f>+BS!DQ41-BS!DN41+BS!DQ47-BS!DN47+BS!DQ50-BS!DN50</f>
        <v>0</v>
      </c>
      <c r="DR46" s="67">
        <f>+BS!DR41-BS!DQ41+BS!DR47-BS!DQ47+BS!DR50-BS!DQ50</f>
        <v>0</v>
      </c>
      <c r="DS46" s="67">
        <f>+BS!DS41-BS!DR41+BS!DS47-BS!DR47+BS!DS50-BS!DR50</f>
        <v>0</v>
      </c>
      <c r="DT46" s="67">
        <f>+BS!DT41-BS!DS41+BS!DT47-BS!DS47+BS!DT50-BS!DS50</f>
        <v>0</v>
      </c>
      <c r="DU46" s="93">
        <f t="shared" si="119"/>
        <v>0</v>
      </c>
      <c r="DV46" s="67"/>
      <c r="DW46" s="82">
        <f>+BS!DW41-BS!DT41+BS!DW47-BS!DT47+BS!DW50-BS!DT50</f>
        <v>0</v>
      </c>
      <c r="DX46" s="67">
        <f>+BS!DX41-BS!DW41+BS!DX47-BS!DW47+BS!DX50-BS!DW50</f>
        <v>0</v>
      </c>
      <c r="DY46" s="67">
        <f>+BS!DY41-BS!DX41+BS!DY47-BS!DX47+BS!DY50-BS!DX50</f>
        <v>0</v>
      </c>
      <c r="DZ46" s="67">
        <f>+BS!DZ41-BS!DY41+BS!DZ47-BS!DY47+BS!DZ50-BS!DY50</f>
        <v>0</v>
      </c>
      <c r="EA46" s="93">
        <f t="shared" si="120"/>
        <v>0</v>
      </c>
      <c r="EB46" s="67"/>
      <c r="EC46" s="82">
        <f>+BS!EC41-BS!DZ41+BS!EC47-BS!DZ47+BS!EC50-BS!DZ50</f>
        <v>0</v>
      </c>
      <c r="ED46" s="67">
        <f>+BS!ED41-BS!EC41+BS!ED47-BS!EC47+BS!ED50-BS!EC50</f>
        <v>0</v>
      </c>
      <c r="EE46" s="67">
        <f>+BS!EE41-BS!ED41+BS!EE47-BS!ED47+BS!EE50-BS!ED50</f>
        <v>0</v>
      </c>
      <c r="EF46" s="67">
        <f>+BS!EF41-BS!EE41+BS!EF47-BS!EE47+BS!EF50-BS!EE50</f>
        <v>0</v>
      </c>
      <c r="EG46" s="93">
        <f t="shared" si="121"/>
        <v>0</v>
      </c>
      <c r="EH46" s="67"/>
      <c r="EI46" s="177"/>
      <c r="EJ46" s="19"/>
      <c r="EK46" s="19"/>
      <c r="EL46" s="19"/>
    </row>
    <row r="47" spans="1:142" ht="12.75" customHeight="1" x14ac:dyDescent="0.2">
      <c r="A47" s="51" t="s">
        <v>375</v>
      </c>
      <c r="B47" s="19"/>
      <c r="C47" s="19"/>
      <c r="D47" s="19"/>
      <c r="E47" s="92">
        <v>0</v>
      </c>
      <c r="F47" s="67"/>
      <c r="G47" s="92">
        <v>0</v>
      </c>
      <c r="H47" s="67"/>
      <c r="I47" s="92">
        <v>0</v>
      </c>
      <c r="J47" s="67"/>
      <c r="K47" s="92">
        <v>-82.174000000000007</v>
      </c>
      <c r="L47" s="67"/>
      <c r="M47" s="84">
        <v>0</v>
      </c>
      <c r="N47" s="71">
        <v>0</v>
      </c>
      <c r="O47" s="71">
        <f>-9.168-N47-M47</f>
        <v>-9.1679999999999993</v>
      </c>
      <c r="P47" s="71">
        <f>-17.299-M47-N47-O47</f>
        <v>-8.1310000000000002</v>
      </c>
      <c r="Q47" s="93">
        <f t="shared" si="74"/>
        <v>-17.298999999999999</v>
      </c>
      <c r="R47" s="67"/>
      <c r="S47" s="84">
        <v>0</v>
      </c>
      <c r="T47" s="71">
        <v>0</v>
      </c>
      <c r="U47" s="71">
        <v>0</v>
      </c>
      <c r="V47" s="71">
        <f>0-S47-T47-U47</f>
        <v>0</v>
      </c>
      <c r="W47" s="93">
        <f t="shared" si="75"/>
        <v>0</v>
      </c>
      <c r="X47" s="67"/>
      <c r="Y47" s="84">
        <v>0</v>
      </c>
      <c r="Z47" s="71">
        <v>0</v>
      </c>
      <c r="AA47" s="71">
        <v>0</v>
      </c>
      <c r="AB47" s="71">
        <f>0-Y47-Z47-AA47</f>
        <v>0</v>
      </c>
      <c r="AC47" s="93">
        <f t="shared" si="76"/>
        <v>0</v>
      </c>
      <c r="AD47" s="67"/>
      <c r="AE47" s="84">
        <v>0</v>
      </c>
      <c r="AF47" s="71">
        <v>0</v>
      </c>
      <c r="AG47" s="71">
        <v>0</v>
      </c>
      <c r="AH47" s="71">
        <f>0-SUM(AE47:AG47)</f>
        <v>0</v>
      </c>
      <c r="AI47" s="93">
        <f t="shared" si="77"/>
        <v>0</v>
      </c>
      <c r="AJ47" s="67"/>
      <c r="AK47" s="84">
        <v>0</v>
      </c>
      <c r="AL47" s="71">
        <v>-49.578000000000003</v>
      </c>
      <c r="AM47" s="71">
        <f>-96.704-AK47-AL47</f>
        <v>-47.125999999999991</v>
      </c>
      <c r="AN47" s="71">
        <f>-257.696-AK47-AL47-AM47</f>
        <v>-160.99200000000002</v>
      </c>
      <c r="AO47" s="93">
        <f t="shared" si="78"/>
        <v>-257.69600000000003</v>
      </c>
      <c r="AP47" s="67"/>
      <c r="AQ47" s="84">
        <v>0</v>
      </c>
      <c r="AR47" s="71">
        <v>0</v>
      </c>
      <c r="AS47" s="71">
        <v>0</v>
      </c>
      <c r="AT47" s="71">
        <f>0-SUM(AQ47:AS47)</f>
        <v>0</v>
      </c>
      <c r="AU47" s="93">
        <f t="shared" si="79"/>
        <v>0</v>
      </c>
      <c r="AV47" s="67"/>
      <c r="AW47" s="84">
        <f>-AW144</f>
        <v>0</v>
      </c>
      <c r="AX47" s="71">
        <f>-117.486-AW47</f>
        <v>-117.486</v>
      </c>
      <c r="AY47" s="71">
        <f>-117.486-AX47-AW47</f>
        <v>0</v>
      </c>
      <c r="AZ47" s="71">
        <f>+-117.486-SUM(AW47:AY47)</f>
        <v>0</v>
      </c>
      <c r="BA47" s="93">
        <f t="shared" si="80"/>
        <v>-117.486</v>
      </c>
      <c r="BB47" s="67"/>
      <c r="BC47" s="84">
        <v>0</v>
      </c>
      <c r="BD47" s="71">
        <v>0</v>
      </c>
      <c r="BE47" s="71">
        <v>0</v>
      </c>
      <c r="BF47" s="71">
        <f>-74.165-BC47-BD47-BE47</f>
        <v>-74.165000000000006</v>
      </c>
      <c r="BG47" s="93">
        <f t="shared" si="81"/>
        <v>-74.165000000000006</v>
      </c>
      <c r="BH47" s="67"/>
      <c r="BI47" s="84">
        <v>0</v>
      </c>
      <c r="BJ47" s="71">
        <v>0</v>
      </c>
      <c r="BK47" s="71">
        <v>0</v>
      </c>
      <c r="BL47" s="71">
        <v>0</v>
      </c>
      <c r="BM47" s="93">
        <f t="shared" si="82"/>
        <v>0</v>
      </c>
      <c r="BN47" s="67"/>
      <c r="BO47" s="84">
        <v>0</v>
      </c>
      <c r="BP47" s="71">
        <f>0-BO47</f>
        <v>0</v>
      </c>
      <c r="BQ47" s="71">
        <f>0-SUM(BO47:BP47)</f>
        <v>0</v>
      </c>
      <c r="BR47" s="71">
        <f>0-SUM(BO47:BQ47)</f>
        <v>0</v>
      </c>
      <c r="BS47" s="93">
        <f t="shared" si="83"/>
        <v>0</v>
      </c>
      <c r="BT47" s="67"/>
      <c r="BU47" s="84">
        <v>0</v>
      </c>
      <c r="BV47" s="71">
        <f>0-BU47</f>
        <v>0</v>
      </c>
      <c r="BW47" s="71">
        <f>0-SUM(BU47:BV47)</f>
        <v>0</v>
      </c>
      <c r="BX47" s="71">
        <f>0-SUM(BU47:BW47)</f>
        <v>0</v>
      </c>
      <c r="BY47" s="93">
        <f t="shared" si="84"/>
        <v>0</v>
      </c>
      <c r="BZ47" s="67"/>
      <c r="CA47" s="84">
        <v>0</v>
      </c>
      <c r="CB47" s="71">
        <f>0-CA47</f>
        <v>0</v>
      </c>
      <c r="CC47" s="71">
        <f>-258.5-SUM(CA47:CB47)</f>
        <v>-258.5</v>
      </c>
      <c r="CD47" s="71">
        <f>-648.4-SUM(CA47:CC47)</f>
        <v>-389.9</v>
      </c>
      <c r="CE47" s="93">
        <f t="shared" si="85"/>
        <v>-648.4</v>
      </c>
      <c r="CF47" s="67"/>
      <c r="CG47" s="84">
        <v>0</v>
      </c>
      <c r="CH47" s="71">
        <f>0-CG47</f>
        <v>0</v>
      </c>
      <c r="CI47" s="71">
        <f>0-SUM(CG47:CH47)</f>
        <v>0</v>
      </c>
      <c r="CJ47" s="71">
        <f>0-SUM(CG47:CI47)</f>
        <v>0</v>
      </c>
      <c r="CK47" s="93">
        <f t="shared" si="86"/>
        <v>0</v>
      </c>
      <c r="CL47" s="67"/>
      <c r="CM47" s="84">
        <v>0</v>
      </c>
      <c r="CN47" s="71">
        <f>0-CM47</f>
        <v>0</v>
      </c>
      <c r="CO47" s="71">
        <f>0-SUM(CM47:CN47)</f>
        <v>0</v>
      </c>
      <c r="CP47" s="71">
        <f>0-SUM(CM47:CO47)</f>
        <v>0</v>
      </c>
      <c r="CQ47" s="93">
        <f t="shared" si="87"/>
        <v>0</v>
      </c>
      <c r="CR47" s="67"/>
      <c r="CS47" s="84">
        <v>0</v>
      </c>
      <c r="CT47" s="71">
        <f>0-CS47</f>
        <v>0</v>
      </c>
      <c r="CU47" s="71">
        <f>0-SUM(CS47:CT47)</f>
        <v>0</v>
      </c>
      <c r="CV47" s="71">
        <f>0-SUM(CS47:CU47)</f>
        <v>0</v>
      </c>
      <c r="CW47" s="93">
        <f t="shared" si="88"/>
        <v>0</v>
      </c>
      <c r="CX47" s="67"/>
      <c r="CY47" s="84">
        <v>0</v>
      </c>
      <c r="CZ47" s="71">
        <f>0-CY47</f>
        <v>0</v>
      </c>
      <c r="DA47" s="71">
        <f>0-SUM(CY47:CZ47)</f>
        <v>0</v>
      </c>
      <c r="DB47" s="71">
        <f>0-SUM(CY47:DA47)</f>
        <v>0</v>
      </c>
      <c r="DC47" s="93">
        <f t="shared" si="89"/>
        <v>0</v>
      </c>
      <c r="DD47" s="67"/>
      <c r="DE47" s="84">
        <v>0</v>
      </c>
      <c r="DF47" s="71">
        <f t="shared" si="112"/>
        <v>0</v>
      </c>
      <c r="DG47" s="71">
        <f t="shared" si="113"/>
        <v>0</v>
      </c>
      <c r="DH47" s="71">
        <f t="shared" si="114"/>
        <v>0</v>
      </c>
      <c r="DI47" s="93">
        <f t="shared" si="90"/>
        <v>0</v>
      </c>
      <c r="DJ47" s="67"/>
      <c r="DK47" s="82">
        <f>-DK115</f>
        <v>0</v>
      </c>
      <c r="DL47" s="67">
        <f t="shared" ref="DL47:DN47" si="125">-DL115</f>
        <v>0</v>
      </c>
      <c r="DM47" s="67">
        <f t="shared" si="125"/>
        <v>0</v>
      </c>
      <c r="DN47" s="67">
        <f t="shared" si="125"/>
        <v>0</v>
      </c>
      <c r="DO47" s="93">
        <f t="shared" si="118"/>
        <v>0</v>
      </c>
      <c r="DP47" s="67"/>
      <c r="DQ47" s="82">
        <f>-DQ115</f>
        <v>0</v>
      </c>
      <c r="DR47" s="67">
        <f t="shared" ref="DR47:DT47" si="126">-DR115</f>
        <v>0</v>
      </c>
      <c r="DS47" s="67">
        <f t="shared" si="126"/>
        <v>0</v>
      </c>
      <c r="DT47" s="67">
        <f t="shared" si="126"/>
        <v>0</v>
      </c>
      <c r="DU47" s="93">
        <f t="shared" si="119"/>
        <v>0</v>
      </c>
      <c r="DV47" s="67"/>
      <c r="DW47" s="82">
        <f>-DW115</f>
        <v>0</v>
      </c>
      <c r="DX47" s="67">
        <f t="shared" ref="DX47:DZ47" si="127">-DX115</f>
        <v>0</v>
      </c>
      <c r="DY47" s="67">
        <f t="shared" si="127"/>
        <v>0</v>
      </c>
      <c r="DZ47" s="67">
        <f t="shared" si="127"/>
        <v>0</v>
      </c>
      <c r="EA47" s="93">
        <f t="shared" si="120"/>
        <v>0</v>
      </c>
      <c r="EB47" s="67"/>
      <c r="EC47" s="82">
        <f t="shared" ref="EC47:EF47" si="128">-EC115</f>
        <v>0</v>
      </c>
      <c r="ED47" s="67">
        <f t="shared" si="128"/>
        <v>0</v>
      </c>
      <c r="EE47" s="67">
        <f t="shared" si="128"/>
        <v>0</v>
      </c>
      <c r="EF47" s="67">
        <f t="shared" si="128"/>
        <v>0</v>
      </c>
      <c r="EG47" s="93">
        <f t="shared" si="121"/>
        <v>0</v>
      </c>
      <c r="EH47" s="67"/>
      <c r="EI47" s="177"/>
      <c r="EJ47" s="19"/>
      <c r="EK47" s="19"/>
      <c r="EL47" s="19"/>
    </row>
    <row r="48" spans="1:142" ht="12.75" customHeight="1" x14ac:dyDescent="0.2">
      <c r="A48" s="490" t="s">
        <v>352</v>
      </c>
      <c r="B48" s="491"/>
      <c r="C48" s="491"/>
      <c r="D48" s="491"/>
      <c r="E48" s="492">
        <f>+SUM(E38,E40:E47)</f>
        <v>45.113000000000014</v>
      </c>
      <c r="F48" s="493"/>
      <c r="G48" s="492">
        <f>+SUM(G38,G40:G47)</f>
        <v>-249.41100000000006</v>
      </c>
      <c r="H48" s="493"/>
      <c r="I48" s="492">
        <f>+SUM(I38,I40:I47)</f>
        <v>343.43800000000005</v>
      </c>
      <c r="J48" s="493"/>
      <c r="K48" s="492">
        <f>+SUM(K38,K40:K47)</f>
        <v>-348.66100000000006</v>
      </c>
      <c r="L48" s="493"/>
      <c r="M48" s="494">
        <f>+SUM(M38,M40:M47)</f>
        <v>86.874999999999972</v>
      </c>
      <c r="N48" s="493">
        <f>+SUM(N38,N40:N47)</f>
        <v>9.1310000000000073</v>
      </c>
      <c r="O48" s="493">
        <f>+SUM(O38,O40:O47)</f>
        <v>-32.303000000000011</v>
      </c>
      <c r="P48" s="493">
        <f>+SUM(P38,P40:P47)</f>
        <v>56.389000000000081</v>
      </c>
      <c r="Q48" s="492">
        <f>+SUM(Q38,Q40:Q47)</f>
        <v>120.09199999999996</v>
      </c>
      <c r="R48" s="493"/>
      <c r="S48" s="494">
        <f>+SUM(S38,S40:S47)</f>
        <v>-559.99200000000008</v>
      </c>
      <c r="T48" s="493">
        <f>+SUM(T38,T40:T47)</f>
        <v>591.43099999999993</v>
      </c>
      <c r="U48" s="493">
        <f>+SUM(U38,U40:U47)</f>
        <v>68.930000000000007</v>
      </c>
      <c r="V48" s="493">
        <f>+SUM(V38,V40:V47)</f>
        <v>-35.963999999999899</v>
      </c>
      <c r="W48" s="492">
        <f>+SUM(W38,W40:W47)</f>
        <v>64.405000000000044</v>
      </c>
      <c r="X48" s="493"/>
      <c r="Y48" s="494">
        <f>+SUM(Y38,Y40:Y47)</f>
        <v>95.839000000000027</v>
      </c>
      <c r="Z48" s="493">
        <f>+SUM(Z38,Z40:Z47)</f>
        <v>217.93099999999998</v>
      </c>
      <c r="AA48" s="493">
        <f>+SUM(AA38,AA40:AA47)</f>
        <v>103.05700000000006</v>
      </c>
      <c r="AB48" s="493">
        <f>+SUM(AB38,AB40:AB47)</f>
        <v>111.83599999999996</v>
      </c>
      <c r="AC48" s="492">
        <f>+SUM(AC38,AC40:AC47)</f>
        <v>528.66300000000001</v>
      </c>
      <c r="AD48" s="493"/>
      <c r="AE48" s="494">
        <f>+SUM(AE38,AE40:AE47)</f>
        <v>-567.61699999999996</v>
      </c>
      <c r="AF48" s="493">
        <f>+SUM(AF38,AF40:AF47)</f>
        <v>-294.72100000000012</v>
      </c>
      <c r="AG48" s="493">
        <f>+SUM(AG38,AG40:AG47)</f>
        <v>235.43699999999995</v>
      </c>
      <c r="AH48" s="493">
        <f>+SUM(AH38,AH40:AH47)</f>
        <v>54.71199999999989</v>
      </c>
      <c r="AI48" s="492">
        <f>+SUM(AI38,AI40:AI47)</f>
        <v>-572.18900000000008</v>
      </c>
      <c r="AJ48" s="493"/>
      <c r="AK48" s="494">
        <f>+SUM(AK38,AK40:AK47)</f>
        <v>86.988999999999933</v>
      </c>
      <c r="AL48" s="493">
        <f>+SUM(AL38,AL40:AL47)</f>
        <v>151.15000000000003</v>
      </c>
      <c r="AM48" s="493">
        <f>+SUM(AM38,AM40:AM47)</f>
        <v>-271.93900000000002</v>
      </c>
      <c r="AN48" s="493">
        <f>+SUM(AN38,AN40:AN47)</f>
        <v>52.876999999999953</v>
      </c>
      <c r="AO48" s="492">
        <f>+SUM(AO38,AO40:AO47)</f>
        <v>19.076999999999941</v>
      </c>
      <c r="AP48" s="493"/>
      <c r="AQ48" s="494">
        <f>+SUM(AQ38,AQ40:AQ47)</f>
        <v>120.39999999999999</v>
      </c>
      <c r="AR48" s="493">
        <f>+SUM(AR38,AR40:AR47)</f>
        <v>-1589.3459999999998</v>
      </c>
      <c r="AS48" s="493">
        <f>+SUM(AS38,AS40:AS47)</f>
        <v>362.63100000000009</v>
      </c>
      <c r="AT48" s="493">
        <f>+SUM(AT38,AT40:AT47)</f>
        <v>-41.978000000000151</v>
      </c>
      <c r="AU48" s="492">
        <f>+SUM(AU38,AU40:AU47)</f>
        <v>-1148.2929999999999</v>
      </c>
      <c r="AV48" s="493"/>
      <c r="AW48" s="494">
        <f>+SUM(AW38,AW40:AW47)</f>
        <v>25.25100000000004</v>
      </c>
      <c r="AX48" s="493">
        <f>+SUM(AX38,AX40:AX47)</f>
        <v>163.72899999999993</v>
      </c>
      <c r="AY48" s="493">
        <f>+SUM(AY38,AY40:AY47)</f>
        <v>308.28300000000007</v>
      </c>
      <c r="AZ48" s="493">
        <f>+SUM(AZ38,AZ40:AZ47)</f>
        <v>-1715.2579999999998</v>
      </c>
      <c r="BA48" s="492">
        <f>+SUM(BA38,BA40:BA47)</f>
        <v>-1217.9950000000001</v>
      </c>
      <c r="BB48" s="493"/>
      <c r="BC48" s="494">
        <f>+SUM(BC38,BC40:BC47)</f>
        <v>298.09300000000002</v>
      </c>
      <c r="BD48" s="493">
        <f>+SUM(BD38,BD40:BD47)</f>
        <v>503.57599999999991</v>
      </c>
      <c r="BE48" s="493">
        <f>+SUM(BE38,BE40:BE47)</f>
        <v>281.53600000000006</v>
      </c>
      <c r="BF48" s="493">
        <f>+SUM(BF38,BF40:BF47)</f>
        <v>178.4310000000001</v>
      </c>
      <c r="BG48" s="492">
        <f>+SUM(BG38,BG40:BG47)</f>
        <v>1261.636</v>
      </c>
      <c r="BH48" s="493"/>
      <c r="BI48" s="494">
        <f>+SUM(BI38,BI40:BI47)</f>
        <v>254.26299999999992</v>
      </c>
      <c r="BJ48" s="493">
        <f>+SUM(BJ38,BJ40:BJ47)</f>
        <v>302.78100000000006</v>
      </c>
      <c r="BK48" s="493">
        <f>+SUM(BK38,BK40:BK47)</f>
        <v>338.12099999999987</v>
      </c>
      <c r="BL48" s="493">
        <f>+SUM(BL38,BL40:BL47)</f>
        <v>95.244000000000142</v>
      </c>
      <c r="BM48" s="492">
        <f>+SUM(BM38,BM40:BM47)</f>
        <v>990.40900000000022</v>
      </c>
      <c r="BN48" s="493"/>
      <c r="BO48" s="494">
        <f>+SUM(BO40:BO47)</f>
        <v>6.9099999999999984</v>
      </c>
      <c r="BP48" s="493">
        <f>+SUM(BP40:BP47)</f>
        <v>81.470999999999989</v>
      </c>
      <c r="BQ48" s="493">
        <f>+SUM(BQ40:BQ47)</f>
        <v>-19.398999999999994</v>
      </c>
      <c r="BR48" s="493">
        <f>+SUM(BR40:BR47)</f>
        <v>47.82200000000001</v>
      </c>
      <c r="BS48" s="492">
        <f>+SUM(BS40:BS47)</f>
        <v>116.804</v>
      </c>
      <c r="BT48" s="493"/>
      <c r="BU48" s="494">
        <f>+SUM(BU40:BU47)</f>
        <v>52.461999999999996</v>
      </c>
      <c r="BV48" s="493">
        <f>+SUM(BV40:BV47)</f>
        <v>3216.777</v>
      </c>
      <c r="BW48" s="493">
        <f>+SUM(BW40:BW47)</f>
        <v>-645.83400000000006</v>
      </c>
      <c r="BX48" s="493">
        <f>+SUM(BX40:BX47)</f>
        <v>-534.80499999999984</v>
      </c>
      <c r="BY48" s="492">
        <f>+SUM(BY40:BY47)</f>
        <v>2088.6</v>
      </c>
      <c r="BZ48" s="493"/>
      <c r="CA48" s="494">
        <f>+SUM(CA40:CA47)</f>
        <v>-310.59999999999997</v>
      </c>
      <c r="CB48" s="493">
        <f>+SUM(CB40:CB47)</f>
        <v>67.999999999999972</v>
      </c>
      <c r="CC48" s="493">
        <f>+SUM(CC40:CC47)</f>
        <v>-423.1</v>
      </c>
      <c r="CD48" s="493">
        <f>+SUM(CD40:CD47)</f>
        <v>277.29999999999995</v>
      </c>
      <c r="CE48" s="492">
        <f>+SUM(CE40:CE47)</f>
        <v>-388.4</v>
      </c>
      <c r="CF48" s="493"/>
      <c r="CG48" s="494">
        <f>+SUM(CG40:CG47)</f>
        <v>-710.5</v>
      </c>
      <c r="CH48" s="493">
        <f>+SUM(CH40:CH47)</f>
        <v>-275.20000000000005</v>
      </c>
      <c r="CI48" s="493">
        <f>+SUM(CI40:CI47)</f>
        <v>-635.20000000000005</v>
      </c>
      <c r="CJ48" s="493">
        <f>+SUM(CJ40:CJ47)</f>
        <v>15.100000000000087</v>
      </c>
      <c r="CK48" s="492">
        <f>+SUM(CK40:CK47)</f>
        <v>-1605.8</v>
      </c>
      <c r="CL48" s="493"/>
      <c r="CM48" s="494">
        <f>+SUM(CM40:CM47)</f>
        <v>14.700000000000001</v>
      </c>
      <c r="CN48" s="493">
        <f>+SUM(CN40:CN47)</f>
        <v>-458.20000000000005</v>
      </c>
      <c r="CO48" s="493">
        <f>+SUM(CO40:CO47)</f>
        <v>-55.099999999999952</v>
      </c>
      <c r="CP48" s="493">
        <f>+SUM(CP40:CP47)</f>
        <v>280.40000000000003</v>
      </c>
      <c r="CQ48" s="492">
        <f>+SUM(CQ40:CQ47)</f>
        <v>-218.2</v>
      </c>
      <c r="CR48" s="493"/>
      <c r="CS48" s="494">
        <f>+SUM(CS40:CS47)</f>
        <v>-260.8</v>
      </c>
      <c r="CT48" s="493">
        <f>+SUM(CT40:CT47)</f>
        <v>-38.599999999999973</v>
      </c>
      <c r="CU48" s="493">
        <f>+SUM(CU40:CU47)</f>
        <v>11329.3</v>
      </c>
      <c r="CV48" s="493">
        <f>+SUM(CV40:CV47)</f>
        <v>-1979.6999999999998</v>
      </c>
      <c r="CW48" s="492">
        <f>+SUM(CW40:CW47)</f>
        <v>9050.2000000000007</v>
      </c>
      <c r="CX48" s="493"/>
      <c r="CY48" s="494">
        <f>+SUM(CY40:CY47)</f>
        <v>-890.59999999999991</v>
      </c>
      <c r="CZ48" s="493">
        <f>+SUM(CZ40:CZ47)</f>
        <v>2364.6999999999998</v>
      </c>
      <c r="DA48" s="493">
        <f>+SUM(DA40:DA47)</f>
        <v>-3778.4</v>
      </c>
      <c r="DB48" s="493">
        <f>+SUM(DB40:DB47)</f>
        <v>4832.2999999999993</v>
      </c>
      <c r="DC48" s="492">
        <f>+SUM(DC40:DC47)</f>
        <v>2527.9999999999995</v>
      </c>
      <c r="DD48" s="493"/>
      <c r="DE48" s="494">
        <f>+SUM(DE40:DE47)</f>
        <v>-590.70000000000005</v>
      </c>
      <c r="DF48" s="493">
        <f>+SUM(DF40:DF47)</f>
        <v>-924.99999999999989</v>
      </c>
      <c r="DG48" s="493">
        <f>+SUM(DG40:DG47)</f>
        <v>-1028.8999999999999</v>
      </c>
      <c r="DH48" s="493">
        <f>+SUM(DH40:DH47)</f>
        <v>-553.9000000000002</v>
      </c>
      <c r="DI48" s="492">
        <f>+SUM(DI40:DI47)</f>
        <v>-3098.5</v>
      </c>
      <c r="DJ48" s="493"/>
      <c r="DK48" s="494">
        <f>+SUM(DK40:DK47)</f>
        <v>17.429599999999994</v>
      </c>
      <c r="DL48" s="493">
        <f>+SUM(DL40:DL47)</f>
        <v>16.764495999999966</v>
      </c>
      <c r="DM48" s="493">
        <f>+SUM(DM40:DM47)</f>
        <v>12.979573759999965</v>
      </c>
      <c r="DN48" s="493">
        <f>+SUM(DN40:DN47)</f>
        <v>10.40658146559997</v>
      </c>
      <c r="DO48" s="492">
        <f>+SUM(DO40:DO47)</f>
        <v>57.580251225599909</v>
      </c>
      <c r="DP48" s="493"/>
      <c r="DQ48" s="494">
        <f>+SUM(DQ40:DQ47)</f>
        <v>31.892281344826841</v>
      </c>
      <c r="DR48" s="493">
        <f>+SUM(DR40:DR47)</f>
        <v>31.010624606254993</v>
      </c>
      <c r="DS48" s="493">
        <f>+SUM(DS40:DS47)</f>
        <v>27.335955555690305</v>
      </c>
      <c r="DT48" s="493">
        <f>+SUM(DT40:DT47)</f>
        <v>24.765883993412316</v>
      </c>
      <c r="DU48" s="492">
        <f>+SUM(DU40:DU47)</f>
        <v>115.00474550018441</v>
      </c>
      <c r="DV48" s="493"/>
      <c r="DW48" s="494">
        <f>+SUM(DW40:DW47)</f>
        <v>20.58851508268242</v>
      </c>
      <c r="DX48" s="493">
        <f>+SUM(DX40:DX47)</f>
        <v>19.563522351149956</v>
      </c>
      <c r="DY48" s="493">
        <f>+SUM(DY40:DY47)</f>
        <v>16.036148147167097</v>
      </c>
      <c r="DZ48" s="493">
        <f>+SUM(DZ40:DZ47)</f>
        <v>13.513504866443114</v>
      </c>
      <c r="EA48" s="492">
        <f>+SUM(EA40:EA47)</f>
        <v>69.701690447442559</v>
      </c>
      <c r="EB48" s="493"/>
      <c r="EC48" s="494">
        <f t="shared" ref="EC48:EG48" si="129">+SUM(EC40:EC47)</f>
        <v>8.7497985989662936</v>
      </c>
      <c r="ED48" s="493">
        <f t="shared" si="129"/>
        <v>7.6346917188753594</v>
      </c>
      <c r="EE48" s="493">
        <f t="shared" si="129"/>
        <v>4.2761003859903326</v>
      </c>
      <c r="EF48" s="493">
        <f t="shared" si="129"/>
        <v>1.829862929742859</v>
      </c>
      <c r="EG48" s="492">
        <f t="shared" si="129"/>
        <v>22.490453633574816</v>
      </c>
      <c r="EH48" s="67"/>
      <c r="EI48" s="177"/>
      <c r="EJ48" s="19"/>
      <c r="EK48" s="19"/>
      <c r="EL48" s="19"/>
    </row>
    <row r="49" spans="1:142" ht="12.75" customHeight="1" x14ac:dyDescent="0.2">
      <c r="A49" s="51"/>
      <c r="B49" s="19"/>
      <c r="C49" s="19"/>
      <c r="D49" s="19"/>
      <c r="E49" s="93"/>
      <c r="F49" s="67"/>
      <c r="G49" s="93"/>
      <c r="H49" s="67"/>
      <c r="I49" s="93"/>
      <c r="J49" s="67"/>
      <c r="K49" s="93"/>
      <c r="L49" s="67"/>
      <c r="M49" s="82"/>
      <c r="N49" s="67"/>
      <c r="O49" s="67"/>
      <c r="P49" s="67"/>
      <c r="Q49" s="93"/>
      <c r="R49" s="67"/>
      <c r="S49" s="82"/>
      <c r="T49" s="67"/>
      <c r="U49" s="67"/>
      <c r="V49" s="67"/>
      <c r="W49" s="93"/>
      <c r="X49" s="67"/>
      <c r="Y49" s="82"/>
      <c r="Z49" s="67"/>
      <c r="AA49" s="67"/>
      <c r="AB49" s="67"/>
      <c r="AC49" s="93"/>
      <c r="AD49" s="67"/>
      <c r="AE49" s="82"/>
      <c r="AF49" s="67"/>
      <c r="AG49" s="67"/>
      <c r="AH49" s="67"/>
      <c r="AI49" s="93"/>
      <c r="AJ49" s="67"/>
      <c r="AK49" s="82"/>
      <c r="AL49" s="67"/>
      <c r="AM49" s="67"/>
      <c r="AN49" s="67"/>
      <c r="AO49" s="93"/>
      <c r="AP49" s="67"/>
      <c r="AQ49" s="82"/>
      <c r="AR49" s="67"/>
      <c r="AS49" s="67"/>
      <c r="AT49" s="67"/>
      <c r="AU49" s="93"/>
      <c r="AV49" s="67"/>
      <c r="AW49" s="82"/>
      <c r="AX49" s="67"/>
      <c r="AY49" s="67"/>
      <c r="AZ49" s="67"/>
      <c r="BA49" s="93"/>
      <c r="BB49" s="67"/>
      <c r="BC49" s="82"/>
      <c r="BD49" s="67"/>
      <c r="BE49" s="67"/>
      <c r="BF49" s="67"/>
      <c r="BG49" s="93"/>
      <c r="BH49" s="67"/>
      <c r="BI49" s="82"/>
      <c r="BJ49" s="67"/>
      <c r="BK49" s="67"/>
      <c r="BL49" s="67"/>
      <c r="BM49" s="93"/>
      <c r="BN49" s="67"/>
      <c r="BO49" s="82"/>
      <c r="BP49" s="67"/>
      <c r="BQ49" s="67"/>
      <c r="BR49" s="67"/>
      <c r="BS49" s="93"/>
      <c r="BT49" s="67"/>
      <c r="BU49" s="82"/>
      <c r="BV49" s="67"/>
      <c r="BW49" s="67"/>
      <c r="BX49" s="67"/>
      <c r="BY49" s="93"/>
      <c r="BZ49" s="67"/>
      <c r="CA49" s="82"/>
      <c r="CB49" s="67"/>
      <c r="CC49" s="67"/>
      <c r="CD49" s="67"/>
      <c r="CE49" s="93"/>
      <c r="CF49" s="67"/>
      <c r="CG49" s="82"/>
      <c r="CH49" s="67"/>
      <c r="CI49" s="67"/>
      <c r="CJ49" s="67"/>
      <c r="CK49" s="93"/>
      <c r="CL49" s="67"/>
      <c r="CM49" s="82"/>
      <c r="CN49" s="67"/>
      <c r="CO49" s="67"/>
      <c r="CP49" s="67"/>
      <c r="CQ49" s="93"/>
      <c r="CR49" s="67"/>
      <c r="CS49" s="82"/>
      <c r="CT49" s="67"/>
      <c r="CU49" s="67"/>
      <c r="CV49" s="67"/>
      <c r="CW49" s="93"/>
      <c r="CX49" s="67"/>
      <c r="CY49" s="82"/>
      <c r="CZ49" s="67"/>
      <c r="DA49" s="67"/>
      <c r="DB49" s="67"/>
      <c r="DC49" s="93"/>
      <c r="DD49" s="67"/>
      <c r="DE49" s="82"/>
      <c r="DF49" s="67"/>
      <c r="DG49" s="67"/>
      <c r="DH49" s="67"/>
      <c r="DI49" s="93"/>
      <c r="DJ49" s="67"/>
      <c r="DK49" s="82"/>
      <c r="DL49" s="67"/>
      <c r="DM49" s="67"/>
      <c r="DN49" s="67"/>
      <c r="DO49" s="93"/>
      <c r="DP49" s="67"/>
      <c r="DQ49" s="82"/>
      <c r="DR49" s="67"/>
      <c r="DS49" s="67"/>
      <c r="DT49" s="67"/>
      <c r="DU49" s="93"/>
      <c r="DV49" s="67"/>
      <c r="DW49" s="82"/>
      <c r="DX49" s="67"/>
      <c r="DY49" s="67"/>
      <c r="DZ49" s="67"/>
      <c r="EA49" s="93"/>
      <c r="EB49" s="67"/>
      <c r="EC49" s="82"/>
      <c r="ED49" s="67"/>
      <c r="EE49" s="67"/>
      <c r="EF49" s="67"/>
      <c r="EG49" s="93"/>
      <c r="EH49" s="67"/>
      <c r="EI49" s="177"/>
      <c r="EJ49" s="19"/>
      <c r="EK49" s="19"/>
      <c r="EL49" s="19"/>
    </row>
    <row r="50" spans="1:142" ht="12.75" customHeight="1" x14ac:dyDescent="0.2">
      <c r="A50" s="51" t="s">
        <v>413</v>
      </c>
      <c r="B50" s="19"/>
      <c r="C50" s="19"/>
      <c r="D50" s="19"/>
      <c r="E50" s="92">
        <v>0</v>
      </c>
      <c r="F50" s="67"/>
      <c r="G50" s="92">
        <v>0</v>
      </c>
      <c r="H50" s="67"/>
      <c r="I50" s="92">
        <v>0</v>
      </c>
      <c r="J50" s="67"/>
      <c r="K50" s="92">
        <v>0</v>
      </c>
      <c r="L50" s="67"/>
      <c r="M50" s="84">
        <v>0</v>
      </c>
      <c r="N50" s="71">
        <f>0-M50</f>
        <v>0</v>
      </c>
      <c r="O50" s="71">
        <f>0-SUM(M50:N50)</f>
        <v>0</v>
      </c>
      <c r="P50" s="71">
        <f>0-SUM(M50:O50)</f>
        <v>0</v>
      </c>
      <c r="Q50" s="93">
        <f t="shared" ref="Q50" si="130">SUM(M50:P50)</f>
        <v>0</v>
      </c>
      <c r="R50" s="67"/>
      <c r="S50" s="84">
        <v>0</v>
      </c>
      <c r="T50" s="71">
        <f>0-S50</f>
        <v>0</v>
      </c>
      <c r="U50" s="71">
        <f>0-SUM(S50:T50)</f>
        <v>0</v>
      </c>
      <c r="V50" s="71">
        <f>0-SUM(S50:U50)</f>
        <v>0</v>
      </c>
      <c r="W50" s="93">
        <f t="shared" ref="W50" si="131">SUM(S50:V50)</f>
        <v>0</v>
      </c>
      <c r="X50" s="67"/>
      <c r="Y50" s="84">
        <v>0</v>
      </c>
      <c r="Z50" s="71">
        <f>0-Y50</f>
        <v>0</v>
      </c>
      <c r="AA50" s="71">
        <f>0-SUM(Y50:Z50)</f>
        <v>0</v>
      </c>
      <c r="AB50" s="71">
        <f>0-SUM(Y50:AA50)</f>
        <v>0</v>
      </c>
      <c r="AC50" s="93">
        <f t="shared" ref="AC50" si="132">SUM(Y50:AB50)</f>
        <v>0</v>
      </c>
      <c r="AD50" s="67"/>
      <c r="AE50" s="84">
        <v>0</v>
      </c>
      <c r="AF50" s="71">
        <f>0-AE50</f>
        <v>0</v>
      </c>
      <c r="AG50" s="71">
        <f>0-SUM(AE50:AF50)</f>
        <v>0</v>
      </c>
      <c r="AH50" s="71">
        <f>0-SUM(AE50:AG50)</f>
        <v>0</v>
      </c>
      <c r="AI50" s="93">
        <f t="shared" ref="AI50" si="133">SUM(AE50:AH50)</f>
        <v>0</v>
      </c>
      <c r="AJ50" s="67"/>
      <c r="AK50" s="84">
        <v>0</v>
      </c>
      <c r="AL50" s="71">
        <f>0-AK50</f>
        <v>0</v>
      </c>
      <c r="AM50" s="71">
        <f>0-SUM(AK50:AL50)</f>
        <v>0</v>
      </c>
      <c r="AN50" s="71">
        <f>0-SUM(AK50:AM50)</f>
        <v>0</v>
      </c>
      <c r="AO50" s="93">
        <f t="shared" ref="AO50" si="134">SUM(AK50:AN50)</f>
        <v>0</v>
      </c>
      <c r="AP50" s="67"/>
      <c r="AQ50" s="84">
        <v>0</v>
      </c>
      <c r="AR50" s="71">
        <f>0-AQ50</f>
        <v>0</v>
      </c>
      <c r="AS50" s="71">
        <f>0-SUM(AQ50:AR50)</f>
        <v>0</v>
      </c>
      <c r="AT50" s="71">
        <f>0-SUM(AQ50:AS50)</f>
        <v>0</v>
      </c>
      <c r="AU50" s="93">
        <f t="shared" ref="AU50" si="135">SUM(AQ50:AT50)</f>
        <v>0</v>
      </c>
      <c r="AV50" s="67"/>
      <c r="AW50" s="84">
        <v>0</v>
      </c>
      <c r="AX50" s="71">
        <f>0-AW50</f>
        <v>0</v>
      </c>
      <c r="AY50" s="71">
        <f>0-SUM(AW50:AX50)</f>
        <v>0</v>
      </c>
      <c r="AZ50" s="71">
        <f>0-SUM(AW50:AY50)</f>
        <v>0</v>
      </c>
      <c r="BA50" s="93">
        <f t="shared" ref="BA50" si="136">SUM(AW50:AZ50)</f>
        <v>0</v>
      </c>
      <c r="BB50" s="67"/>
      <c r="BC50" s="84">
        <v>0</v>
      </c>
      <c r="BD50" s="71">
        <f>0-BC50</f>
        <v>0</v>
      </c>
      <c r="BE50" s="71">
        <f>0-SUM(BC50:BD50)</f>
        <v>0</v>
      </c>
      <c r="BF50" s="71">
        <f>0-SUM(BC50:BE50)</f>
        <v>0</v>
      </c>
      <c r="BG50" s="93">
        <f t="shared" ref="BG50" si="137">SUM(BC50:BF50)</f>
        <v>0</v>
      </c>
      <c r="BH50" s="67"/>
      <c r="BI50" s="84">
        <v>0</v>
      </c>
      <c r="BJ50" s="71">
        <f>0-BI50</f>
        <v>0</v>
      </c>
      <c r="BK50" s="71">
        <f>0-SUM(BI50:BJ50)</f>
        <v>0</v>
      </c>
      <c r="BL50" s="71">
        <f>0-SUM(BI50:BK50)</f>
        <v>0</v>
      </c>
      <c r="BM50" s="93">
        <f t="shared" ref="BM50" si="138">SUM(BI50:BL50)</f>
        <v>0</v>
      </c>
      <c r="BN50" s="67"/>
      <c r="BO50" s="84">
        <v>0</v>
      </c>
      <c r="BP50" s="71">
        <f>0-BO50</f>
        <v>0</v>
      </c>
      <c r="BQ50" s="71">
        <f>0-SUM(BO50:BP50)</f>
        <v>0</v>
      </c>
      <c r="BR50" s="71">
        <f>0-SUM(BO50:BQ50)</f>
        <v>0</v>
      </c>
      <c r="BS50" s="93">
        <f t="shared" ref="BS50" si="139">SUM(BO50:BR50)</f>
        <v>0</v>
      </c>
      <c r="BT50" s="67"/>
      <c r="BU50" s="84">
        <v>0</v>
      </c>
      <c r="BV50" s="71">
        <f>0-BU50</f>
        <v>0</v>
      </c>
      <c r="BW50" s="71">
        <f>0-SUM(BU50:BV50)</f>
        <v>0</v>
      </c>
      <c r="BX50" s="71">
        <f>0-SUM(BU50:BW50)</f>
        <v>0</v>
      </c>
      <c r="BY50" s="93">
        <f t="shared" ref="BY50" si="140">SUM(BU50:BX50)</f>
        <v>0</v>
      </c>
      <c r="BZ50" s="67"/>
      <c r="CA50" s="84">
        <v>0</v>
      </c>
      <c r="CB50" s="71">
        <f>0-CA50</f>
        <v>0</v>
      </c>
      <c r="CC50" s="71">
        <f>0-SUM(CA50:CB50)</f>
        <v>0</v>
      </c>
      <c r="CD50" s="71">
        <f>0-SUM(CA50:CC50)</f>
        <v>0</v>
      </c>
      <c r="CE50" s="93">
        <f t="shared" ref="CE50" si="141">SUM(CA50:CD50)</f>
        <v>0</v>
      </c>
      <c r="CF50" s="67"/>
      <c r="CG50" s="84">
        <v>0</v>
      </c>
      <c r="CH50" s="71">
        <f>0-CG50</f>
        <v>0</v>
      </c>
      <c r="CI50" s="71">
        <f>0-SUM(CG50:CH50)</f>
        <v>0</v>
      </c>
      <c r="CJ50" s="71">
        <f>0-SUM(CG50:CI50)</f>
        <v>0</v>
      </c>
      <c r="CK50" s="93">
        <f t="shared" ref="CK50" si="142">SUM(CG50:CJ50)</f>
        <v>0</v>
      </c>
      <c r="CL50" s="67"/>
      <c r="CM50" s="84">
        <v>0</v>
      </c>
      <c r="CN50" s="71">
        <f>0-CM50</f>
        <v>0</v>
      </c>
      <c r="CO50" s="71">
        <f>0-SUM(CM50:CN50)</f>
        <v>0</v>
      </c>
      <c r="CP50" s="71">
        <f>0-SUM(CM50:CO50)</f>
        <v>0</v>
      </c>
      <c r="CQ50" s="93">
        <f t="shared" ref="CQ50" si="143">SUM(CM50:CP50)</f>
        <v>0</v>
      </c>
      <c r="CR50" s="67"/>
      <c r="CS50" s="84">
        <v>0</v>
      </c>
      <c r="CT50" s="71">
        <f>0-CS50</f>
        <v>0</v>
      </c>
      <c r="CU50" s="71">
        <f>0-SUM(CS50:CT50)</f>
        <v>0</v>
      </c>
      <c r="CV50" s="71">
        <f>0-SUM(CS50:CU50)</f>
        <v>0</v>
      </c>
      <c r="CW50" s="93">
        <f t="shared" ref="CW50" si="144">SUM(CS50:CV50)</f>
        <v>0</v>
      </c>
      <c r="CX50" s="67"/>
      <c r="CY50" s="84">
        <v>0</v>
      </c>
      <c r="CZ50" s="71">
        <f>0-CY50</f>
        <v>0</v>
      </c>
      <c r="DA50" s="71">
        <f>0-SUM(CY50:CZ50)</f>
        <v>0</v>
      </c>
      <c r="DB50" s="71">
        <f>-485.3-SUM(CY50:DA50)</f>
        <v>-485.3</v>
      </c>
      <c r="DC50" s="93">
        <f t="shared" ref="DC50" si="145">SUM(CY50:DB50)</f>
        <v>-485.3</v>
      </c>
      <c r="DD50" s="67"/>
      <c r="DE50" s="84">
        <v>0</v>
      </c>
      <c r="DF50" s="71">
        <f t="shared" ref="DF50:DF53" si="146">0-DE50</f>
        <v>0</v>
      </c>
      <c r="DG50" s="71">
        <f t="shared" ref="DG50:DG53" si="147">0-SUM(DE50:DF50)</f>
        <v>0</v>
      </c>
      <c r="DH50" s="71">
        <f t="shared" ref="DH50:DH53" si="148">0-SUM(DE50:DG50)</f>
        <v>0</v>
      </c>
      <c r="DI50" s="93">
        <f t="shared" ref="DI50" si="149">SUM(DE50:DH50)</f>
        <v>0</v>
      </c>
      <c r="DJ50" s="67"/>
      <c r="DK50" s="81">
        <v>0</v>
      </c>
      <c r="DL50" s="69">
        <v>0</v>
      </c>
      <c r="DM50" s="69">
        <v>0</v>
      </c>
      <c r="DN50" s="69">
        <v>0</v>
      </c>
      <c r="DO50" s="93">
        <f t="shared" ref="DO50" si="150">SUM(DK50:DN50)</f>
        <v>0</v>
      </c>
      <c r="DP50" s="67"/>
      <c r="DQ50" s="81">
        <v>0</v>
      </c>
      <c r="DR50" s="69">
        <v>0</v>
      </c>
      <c r="DS50" s="69">
        <v>0</v>
      </c>
      <c r="DT50" s="69">
        <v>0</v>
      </c>
      <c r="DU50" s="93">
        <f t="shared" ref="DU50" si="151">SUM(DQ50:DT50)</f>
        <v>0</v>
      </c>
      <c r="DV50" s="67"/>
      <c r="DW50" s="81">
        <v>0</v>
      </c>
      <c r="DX50" s="69">
        <v>0</v>
      </c>
      <c r="DY50" s="69">
        <v>0</v>
      </c>
      <c r="DZ50" s="69">
        <v>0</v>
      </c>
      <c r="EA50" s="93">
        <f t="shared" ref="EA50" si="152">SUM(DW50:DZ50)</f>
        <v>0</v>
      </c>
      <c r="EB50" s="67"/>
      <c r="EC50" s="81">
        <v>0</v>
      </c>
      <c r="ED50" s="69">
        <v>0</v>
      </c>
      <c r="EE50" s="69">
        <v>0</v>
      </c>
      <c r="EF50" s="69">
        <v>0</v>
      </c>
      <c r="EG50" s="93">
        <f t="shared" ref="EG50:EG53" si="153">SUM(EC50:EF50)</f>
        <v>0</v>
      </c>
      <c r="EH50" s="67"/>
      <c r="EI50" s="177"/>
      <c r="EJ50" s="19"/>
      <c r="EK50" s="19"/>
      <c r="EL50" s="19"/>
    </row>
    <row r="51" spans="1:142" ht="12.75" customHeight="1" x14ac:dyDescent="0.2">
      <c r="A51" s="51" t="s">
        <v>353</v>
      </c>
      <c r="B51" s="19"/>
      <c r="C51" s="19"/>
      <c r="D51" s="19"/>
      <c r="E51" s="92">
        <v>0</v>
      </c>
      <c r="F51" s="67"/>
      <c r="G51" s="92">
        <v>0</v>
      </c>
      <c r="H51" s="67"/>
      <c r="I51" s="92">
        <v>0</v>
      </c>
      <c r="J51" s="67"/>
      <c r="K51" s="92">
        <v>0</v>
      </c>
      <c r="L51" s="67"/>
      <c r="M51" s="84">
        <v>0</v>
      </c>
      <c r="N51" s="71">
        <f t="shared" ref="N51:N52" si="154">0-M51</f>
        <v>0</v>
      </c>
      <c r="O51" s="71">
        <f t="shared" ref="O51:O52" si="155">0-SUM(M51:N51)</f>
        <v>0</v>
      </c>
      <c r="P51" s="71">
        <f t="shared" ref="P51:P52" si="156">0-SUM(M51:O51)</f>
        <v>0</v>
      </c>
      <c r="Q51" s="93">
        <f t="shared" ref="Q51:Q52" si="157">SUM(M51:P51)</f>
        <v>0</v>
      </c>
      <c r="R51" s="67"/>
      <c r="S51" s="84">
        <v>0</v>
      </c>
      <c r="T51" s="71">
        <f t="shared" ref="T51:T52" si="158">0-S51</f>
        <v>0</v>
      </c>
      <c r="U51" s="71">
        <f t="shared" ref="U51:U52" si="159">0-SUM(S51:T51)</f>
        <v>0</v>
      </c>
      <c r="V51" s="71">
        <f t="shared" ref="V51:V52" si="160">0-SUM(S51:U51)</f>
        <v>0</v>
      </c>
      <c r="W51" s="93">
        <f t="shared" ref="W51:W52" si="161">SUM(S51:V51)</f>
        <v>0</v>
      </c>
      <c r="X51" s="67"/>
      <c r="Y51" s="84">
        <v>0</v>
      </c>
      <c r="Z51" s="71">
        <f t="shared" ref="Z51:Z52" si="162">0-Y51</f>
        <v>0</v>
      </c>
      <c r="AA51" s="71">
        <f t="shared" ref="AA51:AA52" si="163">0-SUM(Y51:Z51)</f>
        <v>0</v>
      </c>
      <c r="AB51" s="71">
        <f t="shared" ref="AB51:AB52" si="164">0-SUM(Y51:AA51)</f>
        <v>0</v>
      </c>
      <c r="AC51" s="93">
        <f t="shared" ref="AC51:AC52" si="165">SUM(Y51:AB51)</f>
        <v>0</v>
      </c>
      <c r="AD51" s="67"/>
      <c r="AE51" s="84">
        <v>0</v>
      </c>
      <c r="AF51" s="71">
        <f t="shared" ref="AF51:AF52" si="166">0-AE51</f>
        <v>0</v>
      </c>
      <c r="AG51" s="71">
        <f t="shared" ref="AG51:AG52" si="167">0-SUM(AE51:AF51)</f>
        <v>0</v>
      </c>
      <c r="AH51" s="71">
        <f t="shared" ref="AH51:AH52" si="168">0-SUM(AE51:AG51)</f>
        <v>0</v>
      </c>
      <c r="AI51" s="93">
        <f t="shared" ref="AI51:AI52" si="169">SUM(AE51:AH51)</f>
        <v>0</v>
      </c>
      <c r="AJ51" s="67"/>
      <c r="AK51" s="84">
        <v>0</v>
      </c>
      <c r="AL51" s="71">
        <f t="shared" ref="AL51:AL52" si="170">0-AK51</f>
        <v>0</v>
      </c>
      <c r="AM51" s="71">
        <f t="shared" ref="AM51:AM52" si="171">0-SUM(AK51:AL51)</f>
        <v>0</v>
      </c>
      <c r="AN51" s="71">
        <f t="shared" ref="AN51:AN52" si="172">0-SUM(AK51:AM51)</f>
        <v>0</v>
      </c>
      <c r="AO51" s="93">
        <f t="shared" ref="AO51:AO52" si="173">SUM(AK51:AN51)</f>
        <v>0</v>
      </c>
      <c r="AP51" s="67"/>
      <c r="AQ51" s="84">
        <v>0</v>
      </c>
      <c r="AR51" s="71">
        <f t="shared" ref="AR51:AR52" si="174">0-AQ51</f>
        <v>0</v>
      </c>
      <c r="AS51" s="71">
        <f t="shared" ref="AS51:AS52" si="175">0-SUM(AQ51:AR51)</f>
        <v>0</v>
      </c>
      <c r="AT51" s="71">
        <f t="shared" ref="AT51:AT52" si="176">0-SUM(AQ51:AS51)</f>
        <v>0</v>
      </c>
      <c r="AU51" s="93">
        <f t="shared" ref="AU51:AU52" si="177">SUM(AQ51:AT51)</f>
        <v>0</v>
      </c>
      <c r="AV51" s="67"/>
      <c r="AW51" s="84">
        <v>0</v>
      </c>
      <c r="AX51" s="71">
        <f t="shared" ref="AX51:AX52" si="178">0-AW51</f>
        <v>0</v>
      </c>
      <c r="AY51" s="71">
        <f t="shared" ref="AY51:AY52" si="179">0-SUM(AW51:AX51)</f>
        <v>0</v>
      </c>
      <c r="AZ51" s="71">
        <f t="shared" ref="AZ51:AZ52" si="180">0-SUM(AW51:AY51)</f>
        <v>0</v>
      </c>
      <c r="BA51" s="93">
        <f t="shared" ref="BA51:BA52" si="181">SUM(AW51:AZ51)</f>
        <v>0</v>
      </c>
      <c r="BB51" s="67"/>
      <c r="BC51" s="84">
        <v>0</v>
      </c>
      <c r="BD51" s="71">
        <f t="shared" ref="BD51:BD52" si="182">0-BC51</f>
        <v>0</v>
      </c>
      <c r="BE51" s="71">
        <f t="shared" ref="BE51:BE52" si="183">0-SUM(BC51:BD51)</f>
        <v>0</v>
      </c>
      <c r="BF51" s="71">
        <f t="shared" ref="BF51:BF52" si="184">0-SUM(BC51:BE51)</f>
        <v>0</v>
      </c>
      <c r="BG51" s="93">
        <f t="shared" ref="BG51:BG52" si="185">SUM(BC51:BF51)</f>
        <v>0</v>
      </c>
      <c r="BH51" s="67"/>
      <c r="BI51" s="84">
        <v>0</v>
      </c>
      <c r="BJ51" s="71">
        <f t="shared" ref="BJ51:BJ52" si="186">0-BI51</f>
        <v>0</v>
      </c>
      <c r="BK51" s="71">
        <f t="shared" ref="BK51:BK52" si="187">0-SUM(BI51:BJ51)</f>
        <v>0</v>
      </c>
      <c r="BL51" s="71">
        <f t="shared" ref="BL51:BL52" si="188">0-SUM(BI51:BK51)</f>
        <v>0</v>
      </c>
      <c r="BM51" s="93">
        <f t="shared" ref="BM51:BM52" si="189">SUM(BI51:BL51)</f>
        <v>0</v>
      </c>
      <c r="BN51" s="67"/>
      <c r="BO51" s="84">
        <v>-15.026999999999999</v>
      </c>
      <c r="BP51" s="71">
        <f>-18.93-BO51</f>
        <v>-3.9030000000000005</v>
      </c>
      <c r="BQ51" s="71">
        <f>0.43-SUM(BO51:BP51)</f>
        <v>19.36</v>
      </c>
      <c r="BR51" s="71">
        <f>-1.216-SUM(BO51:BQ51)</f>
        <v>-1.6459999999999997</v>
      </c>
      <c r="BS51" s="93">
        <f>SUM(BO51:BR51)</f>
        <v>-1.216</v>
      </c>
      <c r="BT51" s="67"/>
      <c r="BU51" s="84">
        <v>36.588999999999999</v>
      </c>
      <c r="BV51" s="71">
        <f>32.59-BU51</f>
        <v>-3.9989999999999952</v>
      </c>
      <c r="BW51" s="71">
        <f>32.655-SUM(BU51:BV51)</f>
        <v>6.4999999999997726E-2</v>
      </c>
      <c r="BX51" s="71">
        <f>36.4-SUM(BU51:BW51)</f>
        <v>3.7449999999999974</v>
      </c>
      <c r="BY51" s="93">
        <f>SUM(BU51:BX51)</f>
        <v>36.4</v>
      </c>
      <c r="BZ51" s="67"/>
      <c r="CA51" s="84">
        <v>4.9000000000000004</v>
      </c>
      <c r="CB51" s="71">
        <f>-8.3-CA51</f>
        <v>-13.200000000000001</v>
      </c>
      <c r="CC51" s="71">
        <f>0.002-SUM(CA51:CB51)</f>
        <v>8.3020000000000014</v>
      </c>
      <c r="CD51" s="71">
        <f>2.7-SUM(CA51:CC51)</f>
        <v>2.6979999999999995</v>
      </c>
      <c r="CE51" s="93">
        <f>SUM(CA51:CD51)</f>
        <v>2.7</v>
      </c>
      <c r="CF51" s="67"/>
      <c r="CG51" s="84">
        <v>-8.6999999999999993</v>
      </c>
      <c r="CH51" s="71">
        <f>-14.8-CG51</f>
        <v>-6.1000000000000014</v>
      </c>
      <c r="CI51" s="71">
        <f>2.7-SUM(CG51:CH51)</f>
        <v>17.5</v>
      </c>
      <c r="CJ51" s="71">
        <f>9.5-SUM(CG51:CI51)</f>
        <v>6.8000000000000007</v>
      </c>
      <c r="CK51" s="93">
        <f>SUM(CG51:CJ51)</f>
        <v>9.5</v>
      </c>
      <c r="CL51" s="67"/>
      <c r="CM51" s="84">
        <v>-9.9</v>
      </c>
      <c r="CN51" s="71">
        <f>-4.4-CM51</f>
        <v>5.5</v>
      </c>
      <c r="CO51" s="71">
        <f>-112.1-SUM(CM51:CN51)</f>
        <v>-107.69999999999999</v>
      </c>
      <c r="CP51" s="71">
        <f>-205.5-SUM(CM51:CO51)</f>
        <v>-93.4</v>
      </c>
      <c r="CQ51" s="93">
        <f>SUM(CM51:CP51)</f>
        <v>-205.5</v>
      </c>
      <c r="CR51" s="67"/>
      <c r="CS51" s="84">
        <v>-66.7</v>
      </c>
      <c r="CT51" s="71">
        <f>-44.2-CS51</f>
        <v>22.5</v>
      </c>
      <c r="CU51" s="71">
        <f>-81.6-SUM(CS51:CT51)</f>
        <v>-37.399999999999991</v>
      </c>
      <c r="CV51" s="71">
        <f>-115.8-SUM(CS51:CU51)</f>
        <v>-34.200000000000003</v>
      </c>
      <c r="CW51" s="93">
        <f>SUM(CS51:CV51)</f>
        <v>-115.8</v>
      </c>
      <c r="CX51" s="67"/>
      <c r="CY51" s="84">
        <v>-17</v>
      </c>
      <c r="CZ51" s="71">
        <f>-56-CY51</f>
        <v>-39</v>
      </c>
      <c r="DA51" s="71">
        <f>-68.4-SUM(CY51:CZ51)</f>
        <v>-12.400000000000006</v>
      </c>
      <c r="DB51" s="71">
        <f>-148.6-SUM(CY51:DA51)</f>
        <v>-80.199999999999989</v>
      </c>
      <c r="DC51" s="93">
        <f>SUM(CY51:DB51)</f>
        <v>-148.6</v>
      </c>
      <c r="DD51" s="67"/>
      <c r="DE51" s="84">
        <v>34.4</v>
      </c>
      <c r="DF51" s="71">
        <f>80.6-DE51</f>
        <v>46.199999999999996</v>
      </c>
      <c r="DG51" s="71">
        <f>114.3-SUM(DE51:DF51)</f>
        <v>33.700000000000003</v>
      </c>
      <c r="DH51" s="71">
        <f>130.7-SUM(DE51:DG51)</f>
        <v>16.399999999999991</v>
      </c>
      <c r="DI51" s="93">
        <f>SUM(DE51:DH51)</f>
        <v>130.69999999999999</v>
      </c>
      <c r="DJ51" s="67"/>
      <c r="DK51" s="81">
        <v>0</v>
      </c>
      <c r="DL51" s="69">
        <v>0</v>
      </c>
      <c r="DM51" s="69">
        <v>0</v>
      </c>
      <c r="DN51" s="69">
        <v>0</v>
      </c>
      <c r="DO51" s="93">
        <f>SUM(DK51:DN51)</f>
        <v>0</v>
      </c>
      <c r="DP51" s="67"/>
      <c r="DQ51" s="81">
        <v>0</v>
      </c>
      <c r="DR51" s="69">
        <v>0</v>
      </c>
      <c r="DS51" s="69">
        <v>0</v>
      </c>
      <c r="DT51" s="69">
        <v>0</v>
      </c>
      <c r="DU51" s="93">
        <f>SUM(DQ51:DT51)</f>
        <v>0</v>
      </c>
      <c r="DV51" s="67"/>
      <c r="DW51" s="81">
        <v>0</v>
      </c>
      <c r="DX51" s="69">
        <v>0</v>
      </c>
      <c r="DY51" s="69">
        <v>0</v>
      </c>
      <c r="DZ51" s="69">
        <v>0</v>
      </c>
      <c r="EA51" s="93">
        <f>SUM(DW51:DZ51)</f>
        <v>0</v>
      </c>
      <c r="EB51" s="67"/>
      <c r="EC51" s="81">
        <v>0</v>
      </c>
      <c r="ED51" s="69">
        <v>0</v>
      </c>
      <c r="EE51" s="69">
        <v>0</v>
      </c>
      <c r="EF51" s="69">
        <v>0</v>
      </c>
      <c r="EG51" s="93">
        <f t="shared" si="153"/>
        <v>0</v>
      </c>
      <c r="EH51" s="67"/>
      <c r="EI51" s="177"/>
      <c r="EJ51" s="19"/>
      <c r="EK51" s="19"/>
      <c r="EL51" s="19"/>
    </row>
    <row r="52" spans="1:142" ht="12.75" customHeight="1" x14ac:dyDescent="0.2">
      <c r="A52" s="51" t="s">
        <v>357</v>
      </c>
      <c r="B52" s="19"/>
      <c r="C52" s="19"/>
      <c r="D52" s="19"/>
      <c r="E52" s="92">
        <v>0</v>
      </c>
      <c r="F52" s="67"/>
      <c r="G52" s="92">
        <v>0</v>
      </c>
      <c r="H52" s="67"/>
      <c r="I52" s="92">
        <v>0</v>
      </c>
      <c r="J52" s="67"/>
      <c r="K52" s="92">
        <v>0</v>
      </c>
      <c r="L52" s="67"/>
      <c r="M52" s="84">
        <v>0</v>
      </c>
      <c r="N52" s="71">
        <f t="shared" si="154"/>
        <v>0</v>
      </c>
      <c r="O52" s="71">
        <f t="shared" si="155"/>
        <v>0</v>
      </c>
      <c r="P52" s="71">
        <f t="shared" si="156"/>
        <v>0</v>
      </c>
      <c r="Q52" s="93">
        <f t="shared" si="157"/>
        <v>0</v>
      </c>
      <c r="R52" s="67"/>
      <c r="S52" s="84">
        <v>0</v>
      </c>
      <c r="T52" s="71">
        <f t="shared" si="158"/>
        <v>0</v>
      </c>
      <c r="U52" s="71">
        <f t="shared" si="159"/>
        <v>0</v>
      </c>
      <c r="V52" s="71">
        <f t="shared" si="160"/>
        <v>0</v>
      </c>
      <c r="W52" s="93">
        <f t="shared" si="161"/>
        <v>0</v>
      </c>
      <c r="X52" s="67"/>
      <c r="Y52" s="84">
        <v>0</v>
      </c>
      <c r="Z52" s="71">
        <f t="shared" si="162"/>
        <v>0</v>
      </c>
      <c r="AA52" s="71">
        <f t="shared" si="163"/>
        <v>0</v>
      </c>
      <c r="AB52" s="71">
        <f t="shared" si="164"/>
        <v>0</v>
      </c>
      <c r="AC52" s="93">
        <f t="shared" si="165"/>
        <v>0</v>
      </c>
      <c r="AD52" s="67"/>
      <c r="AE52" s="84">
        <v>0</v>
      </c>
      <c r="AF52" s="71">
        <f t="shared" si="166"/>
        <v>0</v>
      </c>
      <c r="AG52" s="71">
        <f t="shared" si="167"/>
        <v>0</v>
      </c>
      <c r="AH52" s="71">
        <f t="shared" si="168"/>
        <v>0</v>
      </c>
      <c r="AI52" s="93">
        <f t="shared" si="169"/>
        <v>0</v>
      </c>
      <c r="AJ52" s="67"/>
      <c r="AK52" s="84">
        <v>0</v>
      </c>
      <c r="AL52" s="71">
        <f t="shared" si="170"/>
        <v>0</v>
      </c>
      <c r="AM52" s="71">
        <f t="shared" si="171"/>
        <v>0</v>
      </c>
      <c r="AN52" s="71">
        <f t="shared" si="172"/>
        <v>0</v>
      </c>
      <c r="AO52" s="93">
        <f t="shared" si="173"/>
        <v>0</v>
      </c>
      <c r="AP52" s="67"/>
      <c r="AQ52" s="84">
        <v>0</v>
      </c>
      <c r="AR52" s="71">
        <f t="shared" si="174"/>
        <v>0</v>
      </c>
      <c r="AS52" s="71">
        <f t="shared" si="175"/>
        <v>0</v>
      </c>
      <c r="AT52" s="71">
        <f t="shared" si="176"/>
        <v>0</v>
      </c>
      <c r="AU52" s="93">
        <f t="shared" si="177"/>
        <v>0</v>
      </c>
      <c r="AV52" s="67"/>
      <c r="AW52" s="84">
        <v>0</v>
      </c>
      <c r="AX52" s="71">
        <f t="shared" si="178"/>
        <v>0</v>
      </c>
      <c r="AY52" s="71">
        <f t="shared" si="179"/>
        <v>0</v>
      </c>
      <c r="AZ52" s="71">
        <f t="shared" si="180"/>
        <v>0</v>
      </c>
      <c r="BA52" s="93">
        <f t="shared" si="181"/>
        <v>0</v>
      </c>
      <c r="BB52" s="67"/>
      <c r="BC52" s="84">
        <v>0</v>
      </c>
      <c r="BD52" s="71">
        <f t="shared" si="182"/>
        <v>0</v>
      </c>
      <c r="BE52" s="71">
        <f t="shared" si="183"/>
        <v>0</v>
      </c>
      <c r="BF52" s="71">
        <f t="shared" si="184"/>
        <v>0</v>
      </c>
      <c r="BG52" s="93">
        <f t="shared" si="185"/>
        <v>0</v>
      </c>
      <c r="BH52" s="67"/>
      <c r="BI52" s="84">
        <v>0</v>
      </c>
      <c r="BJ52" s="71">
        <f t="shared" si="186"/>
        <v>0</v>
      </c>
      <c r="BK52" s="71">
        <f t="shared" si="187"/>
        <v>0</v>
      </c>
      <c r="BL52" s="71">
        <f t="shared" si="188"/>
        <v>0</v>
      </c>
      <c r="BM52" s="93">
        <f t="shared" si="189"/>
        <v>0</v>
      </c>
      <c r="BN52" s="67"/>
      <c r="BO52" s="84">
        <v>0</v>
      </c>
      <c r="BP52" s="71">
        <f>0-BO52</f>
        <v>0</v>
      </c>
      <c r="BQ52" s="71">
        <f>0-SUM(BO52:BP52)</f>
        <v>0</v>
      </c>
      <c r="BR52" s="71">
        <f>0-SUM(BO52:BQ52)</f>
        <v>0</v>
      </c>
      <c r="BS52" s="93">
        <f>SUM(BO52:BR52)</f>
        <v>0</v>
      </c>
      <c r="BT52" s="67"/>
      <c r="BU52" s="84">
        <v>0</v>
      </c>
      <c r="BV52" s="71">
        <v>0</v>
      </c>
      <c r="BW52" s="71">
        <v>0</v>
      </c>
      <c r="BX52" s="71">
        <f>537.001-536.98</f>
        <v>2.0999999999958163E-2</v>
      </c>
      <c r="BY52" s="93">
        <f>SUM(BU52:BX52)</f>
        <v>2.0999999999958163E-2</v>
      </c>
      <c r="BZ52" s="67"/>
      <c r="CA52" s="82">
        <f>506.282-506.3</f>
        <v>-1.8000000000029104E-2</v>
      </c>
      <c r="CB52" s="67">
        <f>581.239-581.182</f>
        <v>5.7000000000016371E-2</v>
      </c>
      <c r="CC52" s="67">
        <f>1004.334-1004.141</f>
        <v>0.19299999999998363</v>
      </c>
      <c r="CD52" s="67">
        <f>(537-537.001)-SUM(CA52:CC52)</f>
        <v>-0.23299999999994725</v>
      </c>
      <c r="CE52" s="93">
        <f>SUM(CA52:CD52)</f>
        <v>-9.9999999997635314E-4</v>
      </c>
      <c r="CF52" s="67"/>
      <c r="CG52" s="84">
        <v>0</v>
      </c>
      <c r="CH52" s="71">
        <f>0-CG52</f>
        <v>0</v>
      </c>
      <c r="CI52" s="71">
        <f>0-SUM(CG52:CH52)</f>
        <v>0</v>
      </c>
      <c r="CJ52" s="71">
        <f>0-SUM(CG52:CI52)</f>
        <v>0</v>
      </c>
      <c r="CK52" s="93">
        <f>SUM(CG52:CJ52)</f>
        <v>0</v>
      </c>
      <c r="CL52" s="67"/>
      <c r="CM52" s="84">
        <v>0</v>
      </c>
      <c r="CN52" s="71">
        <f>0-CM52</f>
        <v>0</v>
      </c>
      <c r="CO52" s="71">
        <f>0-SUM(CM52:CN52)</f>
        <v>0</v>
      </c>
      <c r="CP52" s="71">
        <f>0-SUM(CM52:CO52)</f>
        <v>0</v>
      </c>
      <c r="CQ52" s="93">
        <f>SUM(CM52:CP52)</f>
        <v>0</v>
      </c>
      <c r="CR52" s="67"/>
      <c r="CS52" s="84">
        <v>0</v>
      </c>
      <c r="CT52" s="71">
        <f>0-CS52</f>
        <v>0</v>
      </c>
      <c r="CU52" s="71">
        <f>0-SUM(CS52:CT52)</f>
        <v>0</v>
      </c>
      <c r="CV52" s="71">
        <f>0-SUM(CS52:CU52)</f>
        <v>0</v>
      </c>
      <c r="CW52" s="93">
        <f>SUM(CS52:CV52)</f>
        <v>0</v>
      </c>
      <c r="CX52" s="67"/>
      <c r="CY52" s="84">
        <v>0</v>
      </c>
      <c r="CZ52" s="71">
        <f>0-CY52</f>
        <v>0</v>
      </c>
      <c r="DA52" s="71">
        <f>0-SUM(CY52:CZ52)</f>
        <v>0</v>
      </c>
      <c r="DB52" s="71">
        <f>0-SUM(CY52:DA52)</f>
        <v>0</v>
      </c>
      <c r="DC52" s="93">
        <f>SUM(CY52:DB52)</f>
        <v>0</v>
      </c>
      <c r="DD52" s="67"/>
      <c r="DE52" s="84">
        <v>0</v>
      </c>
      <c r="DF52" s="71">
        <f t="shared" si="146"/>
        <v>0</v>
      </c>
      <c r="DG52" s="71">
        <f t="shared" si="147"/>
        <v>0</v>
      </c>
      <c r="DH52" s="71">
        <f t="shared" si="148"/>
        <v>0</v>
      </c>
      <c r="DI52" s="93">
        <f>SUM(DE52:DH52)</f>
        <v>0</v>
      </c>
      <c r="DJ52" s="67"/>
      <c r="DK52" s="81">
        <v>0</v>
      </c>
      <c r="DL52" s="69">
        <v>0</v>
      </c>
      <c r="DM52" s="69">
        <v>0</v>
      </c>
      <c r="DN52" s="69">
        <v>0</v>
      </c>
      <c r="DO52" s="93">
        <f>SUM(DK52:DN52)</f>
        <v>0</v>
      </c>
      <c r="DP52" s="67"/>
      <c r="DQ52" s="81">
        <v>0</v>
      </c>
      <c r="DR52" s="69">
        <v>0</v>
      </c>
      <c r="DS52" s="69">
        <v>0</v>
      </c>
      <c r="DT52" s="69">
        <v>0</v>
      </c>
      <c r="DU52" s="93">
        <f>SUM(DQ52:DT52)</f>
        <v>0</v>
      </c>
      <c r="DV52" s="67"/>
      <c r="DW52" s="81">
        <v>0</v>
      </c>
      <c r="DX52" s="69">
        <v>0</v>
      </c>
      <c r="DY52" s="69">
        <v>0</v>
      </c>
      <c r="DZ52" s="69">
        <v>0</v>
      </c>
      <c r="EA52" s="93">
        <f>SUM(DW52:DZ52)</f>
        <v>0</v>
      </c>
      <c r="EB52" s="67"/>
      <c r="EC52" s="81">
        <v>0</v>
      </c>
      <c r="ED52" s="69">
        <v>0</v>
      </c>
      <c r="EE52" s="69">
        <v>0</v>
      </c>
      <c r="EF52" s="69">
        <v>0</v>
      </c>
      <c r="EG52" s="93">
        <f t="shared" si="153"/>
        <v>0</v>
      </c>
      <c r="EH52" s="67"/>
      <c r="EI52" s="177"/>
      <c r="EJ52" s="19"/>
      <c r="EK52" s="19"/>
      <c r="EL52" s="19"/>
    </row>
    <row r="53" spans="1:142" ht="12.75" customHeight="1" x14ac:dyDescent="0.2">
      <c r="A53" s="51" t="s">
        <v>414</v>
      </c>
      <c r="B53" s="19"/>
      <c r="C53" s="19"/>
      <c r="D53" s="19"/>
      <c r="E53" s="92"/>
      <c r="F53" s="67"/>
      <c r="G53" s="93">
        <f>+BS!G11-CF!G55-CF!G56</f>
        <v>138.75600000000011</v>
      </c>
      <c r="H53" s="67"/>
      <c r="I53" s="93">
        <f>+BS!I11-CF!I55-CF!I56</f>
        <v>-815.42600000000016</v>
      </c>
      <c r="J53" s="67"/>
      <c r="K53" s="93">
        <f>+BS!K11-CF!K55-CF!K56</f>
        <v>36.111000000000161</v>
      </c>
      <c r="L53" s="67"/>
      <c r="M53" s="82">
        <f>+BS!M11-CF!M55-CF!M56</f>
        <v>155.12700000000004</v>
      </c>
      <c r="N53" s="67">
        <f>+BS!N11-CF!N55-CF!N56</f>
        <v>-142.25700000000006</v>
      </c>
      <c r="O53" s="67">
        <f>+BS!O11-CF!O55-CF!O56</f>
        <v>-91.953999999999951</v>
      </c>
      <c r="P53" s="67">
        <f>+BS!P11-CF!P55-CF!P56</f>
        <v>-240.7420000000003</v>
      </c>
      <c r="Q53" s="93">
        <f>+BS!Q11-CF!Q55-CF!Q56</f>
        <v>-319.82599999999991</v>
      </c>
      <c r="R53" s="67"/>
      <c r="S53" s="82">
        <f>+BS!S11-CF!S55-CF!S56</f>
        <v>724.14600000000019</v>
      </c>
      <c r="T53" s="67">
        <f>+BS!T11-CF!T55-CF!T56</f>
        <v>-700.17299999999977</v>
      </c>
      <c r="U53" s="67">
        <f>+BS!U11-CF!U55-CF!U56</f>
        <v>-195.173</v>
      </c>
      <c r="V53" s="67">
        <f>+BS!V11-CF!V55-CF!V56</f>
        <v>-65.464000000000283</v>
      </c>
      <c r="W53" s="93">
        <f>+BS!W11-CF!W55-CF!W56</f>
        <v>-236.66400000000004</v>
      </c>
      <c r="X53" s="67"/>
      <c r="Y53" s="82">
        <f>+BS!Y11-CF!Y55-CF!Y56</f>
        <v>-302.32799999999997</v>
      </c>
      <c r="Z53" s="67">
        <f>+BS!Z11-CF!Z55-CF!Z56</f>
        <v>-509.90700000000015</v>
      </c>
      <c r="AA53" s="67">
        <f>+BS!AA11-CF!AA55-CF!AA56</f>
        <v>-330.24399999999991</v>
      </c>
      <c r="AB53" s="67">
        <f>+BS!AB11-CF!AB55-CF!AB56</f>
        <v>-321.52700000000004</v>
      </c>
      <c r="AC53" s="93">
        <f>+BS!AC11-CF!AC55-CF!AC56</f>
        <v>-1464.0060000000001</v>
      </c>
      <c r="AD53" s="67"/>
      <c r="AE53" s="82">
        <f>+BS!AE11-CF!AE55-CF!AE56</f>
        <v>303.34299999999985</v>
      </c>
      <c r="AF53" s="67">
        <f>+BS!AF11-CF!AF55-CF!AF56</f>
        <v>10.474000000000274</v>
      </c>
      <c r="AG53" s="67">
        <f>+BS!AG11-CF!AG55-CF!AG56</f>
        <v>-506.81599999999986</v>
      </c>
      <c r="AH53" s="67">
        <f>+BS!AH11-CF!AH55-CF!AH56</f>
        <v>-288.65399999999966</v>
      </c>
      <c r="AI53" s="93">
        <f>+BS!AI11-CF!AI55-CF!AI56</f>
        <v>-481.65299999999968</v>
      </c>
      <c r="AJ53" s="67"/>
      <c r="AK53" s="82">
        <f>+BS!AK11-CF!AK55-CF!AK56</f>
        <v>-413.56299999999987</v>
      </c>
      <c r="AL53" s="67">
        <f>+BS!AL11-CF!AL55-CF!AL56</f>
        <v>-492.38000000000022</v>
      </c>
      <c r="AM53" s="67">
        <f>+BS!AM11-CF!AM55-CF!AM56</f>
        <v>-336.80799999999988</v>
      </c>
      <c r="AN53" s="67">
        <f>+BS!AN11-CF!AN55-CF!AN56</f>
        <v>-512.08599999999979</v>
      </c>
      <c r="AO53" s="93">
        <f>+BS!AO11-CF!AO55-CF!AO56</f>
        <v>-1754.837</v>
      </c>
      <c r="AP53" s="67"/>
      <c r="AQ53" s="82">
        <f>+BS!AQ11-CF!AQ55-CF!AQ56</f>
        <v>-610.41899999999987</v>
      </c>
      <c r="AR53" s="67">
        <f>+BS!AR11-CF!AR55-CF!AR56</f>
        <v>2913.9969999999998</v>
      </c>
      <c r="AS53" s="67">
        <f>+BS!AS11-CF!AS55-CF!AS56</f>
        <v>-1166.7510000000002</v>
      </c>
      <c r="AT53" s="67">
        <f>+BS!AT11-CF!AT55-CF!AT56</f>
        <v>-311.40699999999953</v>
      </c>
      <c r="AU53" s="93">
        <f>+BS!AU11-CF!AU55-CF!AU56</f>
        <v>825.41999999999985</v>
      </c>
      <c r="AV53" s="67"/>
      <c r="AW53" s="82">
        <f>+BS!AW11-CF!AW55-CF!AW56</f>
        <v>-463.07100000000014</v>
      </c>
      <c r="AX53" s="67">
        <f>+BS!AX11-CF!AX55-CF!AX56</f>
        <v>-821.28199999999981</v>
      </c>
      <c r="AY53" s="67">
        <f>+BS!AY11-CF!AY55-CF!AY56</f>
        <v>-870.11800000000017</v>
      </c>
      <c r="AZ53" s="67">
        <f>+BS!AZ11-CF!AZ55-CF!AZ56</f>
        <v>3447.2510000000002</v>
      </c>
      <c r="BA53" s="93">
        <f>+BS!BA11-CF!BA55-CF!BA56</f>
        <v>1292.78</v>
      </c>
      <c r="BB53" s="67"/>
      <c r="BC53" s="82">
        <f>+BS!BC11-CF!BC55-CF!BC56</f>
        <v>-916.89800000000014</v>
      </c>
      <c r="BD53" s="67">
        <f>+BS!BD11-CF!BD55-CF!BD56</f>
        <v>-1531.9649999999997</v>
      </c>
      <c r="BE53" s="67">
        <f>+BS!BE11-CF!BE55-CF!BE56</f>
        <v>-976.32400000000018</v>
      </c>
      <c r="BF53" s="67">
        <f>+BS!BF11-CF!BF55-CF!BF56</f>
        <v>-833.36200000000031</v>
      </c>
      <c r="BG53" s="93">
        <f>+BS!BG11-CF!BG55-CF!BG56</f>
        <v>-4258.549</v>
      </c>
      <c r="BH53" s="67"/>
      <c r="BI53" s="82">
        <f>+BS!BI11-CF!BI55-CF!BI56</f>
        <v>-234.47799999999978</v>
      </c>
      <c r="BJ53" s="67">
        <f>+BS!BJ11-CF!BJ55-CF!BJ56</f>
        <v>-788.78400000000022</v>
      </c>
      <c r="BK53" s="67">
        <f>+BS!BK11-CF!BK55-CF!BK56</f>
        <v>-761.36799999999971</v>
      </c>
      <c r="BL53" s="67">
        <f>+BS!BL11-CF!BL55-CF!BL56</f>
        <v>-535.44000000000028</v>
      </c>
      <c r="BM53" s="93">
        <f>+BS!BM11-CF!BM55-CF!BM56</f>
        <v>-2320.0700000000002</v>
      </c>
      <c r="BN53" s="67"/>
      <c r="BO53" s="84">
        <v>0</v>
      </c>
      <c r="BP53" s="71">
        <f>0-BO53</f>
        <v>0</v>
      </c>
      <c r="BQ53" s="71">
        <f>0-SUM(BO53:BP53)</f>
        <v>0</v>
      </c>
      <c r="BR53" s="71">
        <f>0-SUM(BO53:BQ53)</f>
        <v>0</v>
      </c>
      <c r="BS53" s="93">
        <f>SUM(BO53:BR53)</f>
        <v>0</v>
      </c>
      <c r="BT53" s="67"/>
      <c r="BU53" s="84">
        <v>0</v>
      </c>
      <c r="BV53" s="71">
        <f>0-BU53</f>
        <v>0</v>
      </c>
      <c r="BW53" s="71">
        <f>0-SUM(BU53:BV53)</f>
        <v>0</v>
      </c>
      <c r="BX53" s="71">
        <f>0-SUM(BU53:BW53)</f>
        <v>0</v>
      </c>
      <c r="BY53" s="93">
        <f>SUM(BU53:BX53)</f>
        <v>0</v>
      </c>
      <c r="BZ53" s="67"/>
      <c r="CA53" s="84">
        <v>0</v>
      </c>
      <c r="CB53" s="71">
        <f t="shared" ref="CB53" si="190">0-CA53</f>
        <v>0</v>
      </c>
      <c r="CC53" s="71">
        <f t="shared" ref="CC53" si="191">0-SUM(CA53:CB53)</f>
        <v>0</v>
      </c>
      <c r="CD53" s="71">
        <f t="shared" ref="CD53" si="192">0-SUM(CA53:CC53)</f>
        <v>0</v>
      </c>
      <c r="CE53" s="93">
        <f t="shared" ref="CE53" si="193">SUM(CA53:CD53)</f>
        <v>0</v>
      </c>
      <c r="CF53" s="67"/>
      <c r="CG53" s="84">
        <v>0</v>
      </c>
      <c r="CH53" s="71">
        <f t="shared" ref="CH53" si="194">0-CG53</f>
        <v>0</v>
      </c>
      <c r="CI53" s="71">
        <f t="shared" ref="CI53" si="195">0-SUM(CG53:CH53)</f>
        <v>0</v>
      </c>
      <c r="CJ53" s="71">
        <f t="shared" ref="CJ53" si="196">0-SUM(CG53:CI53)</f>
        <v>0</v>
      </c>
      <c r="CK53" s="93">
        <f t="shared" ref="CK53" si="197">SUM(CG53:CJ53)</f>
        <v>0</v>
      </c>
      <c r="CL53" s="67"/>
      <c r="CM53" s="84">
        <v>0</v>
      </c>
      <c r="CN53" s="71">
        <f t="shared" ref="CN53" si="198">0-CM53</f>
        <v>0</v>
      </c>
      <c r="CO53" s="71">
        <f t="shared" ref="CO53" si="199">0-SUM(CM53:CN53)</f>
        <v>0</v>
      </c>
      <c r="CP53" s="71">
        <f t="shared" ref="CP53" si="200">0-SUM(CM53:CO53)</f>
        <v>0</v>
      </c>
      <c r="CQ53" s="93">
        <f t="shared" ref="CQ53" si="201">SUM(CM53:CP53)</f>
        <v>0</v>
      </c>
      <c r="CR53" s="67"/>
      <c r="CS53" s="84">
        <v>0</v>
      </c>
      <c r="CT53" s="71">
        <f t="shared" ref="CT53" si="202">0-CS53</f>
        <v>0</v>
      </c>
      <c r="CU53" s="71">
        <f t="shared" ref="CU53" si="203">0-SUM(CS53:CT53)</f>
        <v>0</v>
      </c>
      <c r="CV53" s="71">
        <f t="shared" ref="CV53" si="204">0-SUM(CS53:CU53)</f>
        <v>0</v>
      </c>
      <c r="CW53" s="93">
        <f t="shared" ref="CW53" si="205">SUM(CS53:CV53)</f>
        <v>0</v>
      </c>
      <c r="CX53" s="67"/>
      <c r="CY53" s="84">
        <v>0</v>
      </c>
      <c r="CZ53" s="71">
        <f t="shared" ref="CZ53" si="206">0-CY53</f>
        <v>0</v>
      </c>
      <c r="DA53" s="71">
        <f t="shared" ref="DA53" si="207">0-SUM(CY53:CZ53)</f>
        <v>0</v>
      </c>
      <c r="DB53" s="71">
        <f t="shared" ref="DB53" si="208">0-SUM(CY53:DA53)</f>
        <v>0</v>
      </c>
      <c r="DC53" s="93">
        <f t="shared" ref="DC53" si="209">SUM(CY53:DB53)</f>
        <v>0</v>
      </c>
      <c r="DD53" s="67"/>
      <c r="DE53" s="84">
        <v>0</v>
      </c>
      <c r="DF53" s="71">
        <f t="shared" si="146"/>
        <v>0</v>
      </c>
      <c r="DG53" s="71">
        <f t="shared" si="147"/>
        <v>0</v>
      </c>
      <c r="DH53" s="71">
        <f t="shared" si="148"/>
        <v>0</v>
      </c>
      <c r="DI53" s="93">
        <f t="shared" ref="DI53" si="210">SUM(DE53:DH53)</f>
        <v>0</v>
      </c>
      <c r="DJ53" s="67"/>
      <c r="DK53" s="81">
        <v>0</v>
      </c>
      <c r="DL53" s="69">
        <v>0</v>
      </c>
      <c r="DM53" s="69">
        <v>0</v>
      </c>
      <c r="DN53" s="69">
        <v>0</v>
      </c>
      <c r="DO53" s="93">
        <f t="shared" ref="DO53" si="211">SUM(DK53:DN53)</f>
        <v>0</v>
      </c>
      <c r="DP53" s="67"/>
      <c r="DQ53" s="81">
        <v>0</v>
      </c>
      <c r="DR53" s="69">
        <v>0</v>
      </c>
      <c r="DS53" s="69">
        <v>0</v>
      </c>
      <c r="DT53" s="69">
        <v>0</v>
      </c>
      <c r="DU53" s="93">
        <f t="shared" ref="DU53" si="212">SUM(DQ53:DT53)</f>
        <v>0</v>
      </c>
      <c r="DV53" s="67"/>
      <c r="DW53" s="81">
        <v>0</v>
      </c>
      <c r="DX53" s="69">
        <v>0</v>
      </c>
      <c r="DY53" s="69">
        <v>0</v>
      </c>
      <c r="DZ53" s="69">
        <v>0</v>
      </c>
      <c r="EA53" s="93">
        <f t="shared" ref="EA53" si="213">SUM(DW53:DZ53)</f>
        <v>0</v>
      </c>
      <c r="EB53" s="67"/>
      <c r="EC53" s="81">
        <v>0</v>
      </c>
      <c r="ED53" s="69">
        <v>0</v>
      </c>
      <c r="EE53" s="69">
        <v>0</v>
      </c>
      <c r="EF53" s="69">
        <v>0</v>
      </c>
      <c r="EG53" s="93">
        <f t="shared" si="153"/>
        <v>0</v>
      </c>
      <c r="EH53" s="67"/>
      <c r="EI53" s="177"/>
      <c r="EJ53" s="19"/>
      <c r="EK53" s="19"/>
      <c r="EL53" s="19"/>
    </row>
    <row r="54" spans="1:142" ht="12.75" customHeight="1" x14ac:dyDescent="0.2">
      <c r="A54" s="51"/>
      <c r="B54" s="19"/>
      <c r="C54" s="19"/>
      <c r="D54" s="19"/>
      <c r="E54" s="93"/>
      <c r="F54" s="67"/>
      <c r="G54" s="93"/>
      <c r="H54" s="67"/>
      <c r="I54" s="93"/>
      <c r="J54" s="67"/>
      <c r="K54" s="93"/>
      <c r="L54" s="67"/>
      <c r="M54" s="82"/>
      <c r="N54" s="67"/>
      <c r="O54" s="67"/>
      <c r="P54" s="67"/>
      <c r="Q54" s="93"/>
      <c r="R54" s="67"/>
      <c r="S54" s="82"/>
      <c r="T54" s="67"/>
      <c r="U54" s="67"/>
      <c r="V54" s="67"/>
      <c r="W54" s="93"/>
      <c r="X54" s="67"/>
      <c r="Y54" s="82"/>
      <c r="Z54" s="67"/>
      <c r="AA54" s="67"/>
      <c r="AB54" s="67"/>
      <c r="AC54" s="93"/>
      <c r="AD54" s="67"/>
      <c r="AE54" s="82"/>
      <c r="AF54" s="67"/>
      <c r="AG54" s="67"/>
      <c r="AH54" s="67"/>
      <c r="AI54" s="93"/>
      <c r="AJ54" s="67"/>
      <c r="AK54" s="82"/>
      <c r="AL54" s="67"/>
      <c r="AM54" s="67"/>
      <c r="AN54" s="67"/>
      <c r="AO54" s="93"/>
      <c r="AP54" s="67"/>
      <c r="AQ54" s="82"/>
      <c r="AR54" s="67"/>
      <c r="AS54" s="67"/>
      <c r="AT54" s="67"/>
      <c r="AU54" s="93"/>
      <c r="AV54" s="67"/>
      <c r="AW54" s="82"/>
      <c r="AX54" s="67"/>
      <c r="AY54" s="67"/>
      <c r="AZ54" s="67"/>
      <c r="BA54" s="93"/>
      <c r="BB54" s="67"/>
      <c r="BC54" s="82"/>
      <c r="BD54" s="67"/>
      <c r="BE54" s="67"/>
      <c r="BF54" s="67"/>
      <c r="BG54" s="93"/>
      <c r="BH54" s="67"/>
      <c r="BI54" s="82"/>
      <c r="BJ54" s="67"/>
      <c r="BK54" s="67"/>
      <c r="BL54" s="67"/>
      <c r="BM54" s="93"/>
      <c r="BN54" s="67"/>
      <c r="BO54" s="82"/>
      <c r="BP54" s="67"/>
      <c r="BQ54" s="67"/>
      <c r="BR54" s="67"/>
      <c r="BS54" s="93"/>
      <c r="BT54" s="67"/>
      <c r="BU54" s="82"/>
      <c r="BV54" s="67"/>
      <c r="BW54" s="67"/>
      <c r="BX54" s="67"/>
      <c r="BY54" s="93"/>
      <c r="BZ54" s="67"/>
      <c r="CA54" s="82"/>
      <c r="CB54" s="67"/>
      <c r="CC54" s="67"/>
      <c r="CD54" s="67"/>
      <c r="CE54" s="93"/>
      <c r="CF54" s="67"/>
      <c r="CG54" s="82"/>
      <c r="CH54" s="67"/>
      <c r="CI54" s="67"/>
      <c r="CJ54" s="67"/>
      <c r="CK54" s="93"/>
      <c r="CL54" s="67"/>
      <c r="CM54" s="82"/>
      <c r="CN54" s="67"/>
      <c r="CO54" s="67"/>
      <c r="CP54" s="67"/>
      <c r="CQ54" s="93"/>
      <c r="CR54" s="67"/>
      <c r="CS54" s="82"/>
      <c r="CT54" s="67"/>
      <c r="CU54" s="67"/>
      <c r="CV54" s="67"/>
      <c r="CW54" s="93"/>
      <c r="CX54" s="67"/>
      <c r="CY54" s="82"/>
      <c r="CZ54" s="67"/>
      <c r="DA54" s="67"/>
      <c r="DB54" s="67"/>
      <c r="DC54" s="93"/>
      <c r="DD54" s="67"/>
      <c r="DE54" s="82"/>
      <c r="DF54" s="67"/>
      <c r="DG54" s="67"/>
      <c r="DH54" s="67"/>
      <c r="DI54" s="93"/>
      <c r="DJ54" s="67"/>
      <c r="DK54" s="82"/>
      <c r="DL54" s="67"/>
      <c r="DM54" s="67"/>
      <c r="DN54" s="67"/>
      <c r="DO54" s="93"/>
      <c r="DP54" s="67"/>
      <c r="DQ54" s="82"/>
      <c r="DR54" s="67"/>
      <c r="DS54" s="67"/>
      <c r="DT54" s="67"/>
      <c r="DU54" s="93"/>
      <c r="DV54" s="67"/>
      <c r="DW54" s="82"/>
      <c r="DX54" s="67"/>
      <c r="DY54" s="67"/>
      <c r="DZ54" s="67"/>
      <c r="EA54" s="93"/>
      <c r="EB54" s="67"/>
      <c r="EC54" s="82"/>
      <c r="ED54" s="67"/>
      <c r="EE54" s="67"/>
      <c r="EF54" s="67"/>
      <c r="EG54" s="93"/>
      <c r="EH54" s="67"/>
      <c r="EI54" s="177"/>
      <c r="EJ54" s="19"/>
      <c r="EK54" s="19"/>
      <c r="EL54" s="19"/>
    </row>
    <row r="55" spans="1:142" ht="12.75" customHeight="1" x14ac:dyDescent="0.2">
      <c r="A55" s="50" t="s">
        <v>354</v>
      </c>
      <c r="B55" s="480"/>
      <c r="C55" s="480"/>
      <c r="D55" s="480"/>
      <c r="E55" s="163"/>
      <c r="F55" s="164"/>
      <c r="G55" s="163">
        <f>G29+G38+G48+G50+G51+G52</f>
        <v>-161.77900000000011</v>
      </c>
      <c r="H55" s="164"/>
      <c r="I55" s="163">
        <f>I29+I38+I48+I50+I51+I52</f>
        <v>1027.9090000000001</v>
      </c>
      <c r="J55" s="164"/>
      <c r="K55" s="163">
        <f>K29+K38+K48+K50+K51+K52</f>
        <v>-119.46800000000013</v>
      </c>
      <c r="L55" s="164"/>
      <c r="M55" s="165">
        <f>M29+M38+M48+M50+M51+M52</f>
        <v>337.17899999999997</v>
      </c>
      <c r="N55" s="164">
        <f>N29+N38+N48+N50+N51+N52</f>
        <v>148.33700000000002</v>
      </c>
      <c r="O55" s="164">
        <f>O29+O38+O48+O50+O51+O52</f>
        <v>63.109999999999971</v>
      </c>
      <c r="P55" s="164">
        <f>P29+P38+P48+P50+P51+P52</f>
        <v>300.83500000000026</v>
      </c>
      <c r="Q55" s="163">
        <f>Q29+Q38+Q48+Q50+Q51+Q52</f>
        <v>849.4609999999999</v>
      </c>
      <c r="R55" s="164"/>
      <c r="S55" s="165">
        <f>S29+S38+S48+S50+S51+S52</f>
        <v>-859.25300000000016</v>
      </c>
      <c r="T55" s="164">
        <f>T29+T38+T48+T50+T51+T52</f>
        <v>833.79599999999982</v>
      </c>
      <c r="U55" s="164">
        <f>U29+U38+U48+U50+U51+U52</f>
        <v>293.27599999999995</v>
      </c>
      <c r="V55" s="164">
        <f>V29+V38+V48+V50+V51+V52</f>
        <v>72.749000000000208</v>
      </c>
      <c r="W55" s="163">
        <f>W29+W38+W48+W50+W51+W52</f>
        <v>340.56800000000004</v>
      </c>
      <c r="X55" s="164"/>
      <c r="Y55" s="165">
        <f>Y29+Y38+Y48+Y50+Y51+Y52</f>
        <v>403.49800000000005</v>
      </c>
      <c r="Z55" s="164">
        <f>Z29+Z38+Z48+Z50+Z51+Z52</f>
        <v>666.38400000000001</v>
      </c>
      <c r="AA55" s="164">
        <f>AA29+AA38+AA48+AA50+AA51+AA52</f>
        <v>366.86100000000016</v>
      </c>
      <c r="AB55" s="164">
        <f>AB29+AB38+AB48+AB50+AB51+AB52</f>
        <v>446.95599999999985</v>
      </c>
      <c r="AC55" s="163">
        <f>AC29+AC38+AC48+AC50+AC51+AC52</f>
        <v>1883.6990000000001</v>
      </c>
      <c r="AD55" s="164"/>
      <c r="AE55" s="165">
        <f>AE29+AE38+AE48+AE50+AE51+AE52</f>
        <v>-891.01299999999992</v>
      </c>
      <c r="AF55" s="164">
        <f>AF29+AF38+AF48+AF50+AF51+AF52</f>
        <v>-349.67500000000018</v>
      </c>
      <c r="AG55" s="164">
        <f>AG29+AG38+AG48+AG50+AG51+AG52</f>
        <v>735.14099999999985</v>
      </c>
      <c r="AH55" s="164">
        <f>AH29+AH38+AH48+AH50+AH51+AH52</f>
        <v>366.15899999999965</v>
      </c>
      <c r="AI55" s="163">
        <f>AI29+AI38+AI48+AI50+AI51+AI52</f>
        <v>-139.38800000000026</v>
      </c>
      <c r="AJ55" s="164"/>
      <c r="AK55" s="165">
        <f>AK29+AK38+AK48+AK50+AK51+AK52</f>
        <v>477.51999999999987</v>
      </c>
      <c r="AL55" s="164">
        <f>AL29+AL38+AL48+AL50+AL51+AL52</f>
        <v>627.96300000000019</v>
      </c>
      <c r="AM55" s="164">
        <f>AM29+AM38+AM48+AM50+AM51+AM52</f>
        <v>-196.22600000000011</v>
      </c>
      <c r="AN55" s="164">
        <f>AN29+AN38+AN48+AN50+AN51+AN52</f>
        <v>552.01599999999985</v>
      </c>
      <c r="AO55" s="163">
        <f>AO29+AO38+AO48+AO50+AO51+AO52</f>
        <v>1461.2729999999999</v>
      </c>
      <c r="AP55" s="164"/>
      <c r="AQ55" s="165">
        <f>AQ29+AQ38+AQ48+AQ50+AQ51+AQ52</f>
        <v>555.69099999999992</v>
      </c>
      <c r="AR55" s="164">
        <f>AR29+AR38+AR48+AR50+AR51+AR52</f>
        <v>-2890.0869999999995</v>
      </c>
      <c r="AS55" s="164">
        <f>AS29+AS38+AS48+AS50+AS51+AS52</f>
        <v>1145.9700000000003</v>
      </c>
      <c r="AT55" s="164">
        <f>AT29+AT38+AT48+AT50+AT51+AT52</f>
        <v>365.26499999999953</v>
      </c>
      <c r="AU55" s="163">
        <f>AU29+AU38+AU48+AU50+AU51+AU52</f>
        <v>-823.16099999999983</v>
      </c>
      <c r="AV55" s="164"/>
      <c r="AW55" s="165">
        <f>AW29+AW38+AW48+AW50+AW51+AW52</f>
        <v>342.8250000000001</v>
      </c>
      <c r="AX55" s="164">
        <f>AX29+AX38+AX48+AX50+AX51+AX52</f>
        <v>797.86299999999983</v>
      </c>
      <c r="AY55" s="164">
        <f>AY29+AY38+AY48+AY50+AY51+AY52</f>
        <v>905.25400000000013</v>
      </c>
      <c r="AZ55" s="164">
        <f>AZ29+AZ38+AZ48+AZ50+AZ51+AZ52</f>
        <v>-3417.424</v>
      </c>
      <c r="BA55" s="163">
        <f>BA29+BA38+BA48+BA50+BA51+BA52</f>
        <v>-1371.482</v>
      </c>
      <c r="BB55" s="164"/>
      <c r="BC55" s="165">
        <f>BC29+BC38+BC48+BC50+BC51+BC52</f>
        <v>911.60900000000015</v>
      </c>
      <c r="BD55" s="164">
        <f>BD29+BD38+BD48+BD50+BD51+BD52</f>
        <v>1582.2459999999996</v>
      </c>
      <c r="BE55" s="164">
        <f>BE29+BE38+BE48+BE50+BE51+BE52</f>
        <v>978.74300000000017</v>
      </c>
      <c r="BF55" s="164">
        <f>BF29+BF38+BF48+BF50+BF51+BF52</f>
        <v>939.69700000000034</v>
      </c>
      <c r="BG55" s="163">
        <f>BG29+BG38+BG48+BG50+BG51+BG52</f>
        <v>4412.2950000000001</v>
      </c>
      <c r="BH55" s="164"/>
      <c r="BI55" s="165">
        <f>BI29+BI38+BI48+BI50+BI51+BI52</f>
        <v>817.56899999999985</v>
      </c>
      <c r="BJ55" s="164">
        <f>BJ29+BJ38+BJ48+BJ50+BJ51+BJ52</f>
        <v>1071.2500000000002</v>
      </c>
      <c r="BK55" s="164">
        <f>BK29+BK38+BK48+BK50+BK51+BK52</f>
        <v>1139.1879999999996</v>
      </c>
      <c r="BL55" s="164">
        <f>BL29+BL38+BL48+BL50+BL51+BL52</f>
        <v>621.12900000000047</v>
      </c>
      <c r="BM55" s="163">
        <f>BM29+BM38+BM48+BM50+BM51+BM52</f>
        <v>3649.1360000000004</v>
      </c>
      <c r="BN55" s="164"/>
      <c r="BO55" s="165">
        <f>BO29+BO38+BO48+BO50+BO51+BO52+BO53</f>
        <v>-915.55200000000025</v>
      </c>
      <c r="BP55" s="164">
        <f>BP29+BP38+BP48+BP50+BP51+BP52+BP53</f>
        <v>426.56799999999976</v>
      </c>
      <c r="BQ55" s="164">
        <f>BQ29+BQ38+BQ48+BQ50+BQ51+BQ52+BQ53</f>
        <v>402.10500000000013</v>
      </c>
      <c r="BR55" s="164">
        <f>BR29+BR38+BR48+BR50+BR51+BR52+BR53</f>
        <v>-2.0609999999999564</v>
      </c>
      <c r="BS55" s="163">
        <f>BS29+BS38+BS48+BS50+BS51+BS52+BS53</f>
        <v>-88.940000000000239</v>
      </c>
      <c r="BT55" s="164"/>
      <c r="BU55" s="165">
        <f>BU29+BU38+BU48+BU50+BU51+BU52+BU53</f>
        <v>-39.421000000000049</v>
      </c>
      <c r="BV55" s="164">
        <f>BV29+BV38+BV48+BV50+BV51+BV52+BV53</f>
        <v>-1041.9759999999999</v>
      </c>
      <c r="BW55" s="164">
        <f>BW29+BW38+BW48+BW50+BW51+BW52+BW53</f>
        <v>-67.215000000000202</v>
      </c>
      <c r="BX55" s="164">
        <f>BX29+BX38+BX48+BX50+BX51+BX52+BX53</f>
        <v>52.6330000000006</v>
      </c>
      <c r="BY55" s="163">
        <f>BY29+BY38+BY48+BY50+BY51+BY52+BY53</f>
        <v>-1095.9789999999996</v>
      </c>
      <c r="BZ55" s="164"/>
      <c r="CA55" s="165">
        <f>CA29+CA38+CA48+CA50+CA51+CA52+CA53</f>
        <v>506.28199999999998</v>
      </c>
      <c r="CB55" s="164">
        <f>CB29+CB38+CB48+CB50+CB51+CB52+CB53</f>
        <v>74.956999999999894</v>
      </c>
      <c r="CC55" s="164">
        <f>CC29+CC38+CC48+CC50+CC51+CC52+CC53</f>
        <v>423.09500000000014</v>
      </c>
      <c r="CD55" s="164">
        <f>CD29+CD38+CD48+CD50+CD51+CD52+CD53</f>
        <v>137.36499999999981</v>
      </c>
      <c r="CE55" s="163">
        <f>CE29+CE38+CE48+CE50+CE51+CE52+CE53</f>
        <v>1141.6989999999992</v>
      </c>
      <c r="CF55" s="164"/>
      <c r="CG55" s="165">
        <f>CG29+CG38+CG48+CG50+CG51+CG52+CG53</f>
        <v>472.00000000000006</v>
      </c>
      <c r="CH55" s="164">
        <f>CH29+CH38+CH48+CH50+CH51+CH52+CH53</f>
        <v>174.20000000000002</v>
      </c>
      <c r="CI55" s="164">
        <f>CI29+CI38+CI48+CI50+CI51+CI52+CI53</f>
        <v>-329.30000000000007</v>
      </c>
      <c r="CJ55" s="164">
        <f>CJ29+CJ38+CJ48+CJ50+CJ51+CJ52+CJ53</f>
        <v>1119.5999999999999</v>
      </c>
      <c r="CK55" s="163">
        <f>CK29+CK38+CK48+CK50+CK51+CK52+CK53</f>
        <v>1436.4999999999998</v>
      </c>
      <c r="CL55" s="164"/>
      <c r="CM55" s="165">
        <f>CM29+CM38+CM48+CM50+CM51+CM52+CM53</f>
        <v>231.29999999999998</v>
      </c>
      <c r="CN55" s="164">
        <f>CN29+CN38+CN48+CN50+CN51+CN52+CN53</f>
        <v>-25.400000000000091</v>
      </c>
      <c r="CO55" s="164">
        <f>CO29+CO38+CO48+CO50+CO51+CO52+CO53</f>
        <v>704.20000000000027</v>
      </c>
      <c r="CP55" s="164">
        <f>CP29+CP38+CP48+CP50+CP51+CP52+CP53</f>
        <v>-1019.6999999999999</v>
      </c>
      <c r="CQ55" s="163">
        <f>CQ29+CQ38+CQ48+CQ50+CQ51+CQ52+CQ53</f>
        <v>-109.60000000000008</v>
      </c>
      <c r="CR55" s="164"/>
      <c r="CS55" s="165">
        <f>CS29+CS38+CS48+CS50+CS51+CS52+CS53</f>
        <v>-494.60000000000014</v>
      </c>
      <c r="CT55" s="164">
        <f>CT29+CT38+CT48+CT50+CT51+CT52+CT53</f>
        <v>831.00000000000011</v>
      </c>
      <c r="CU55" s="164">
        <f>CU29+CU38+CU48+CU50+CU51+CU52+CU53</f>
        <v>-1508.5000000000023</v>
      </c>
      <c r="CV55" s="164">
        <f>CV29+CV38+CV48+CV50+CV51+CV52+CV53</f>
        <v>-1042.6999999999987</v>
      </c>
      <c r="CW55" s="163">
        <f>CW29+CW38+CW48+CW50+CW51+CW52+CW53</f>
        <v>-2214.8000000000002</v>
      </c>
      <c r="CX55" s="164"/>
      <c r="CY55" s="165">
        <f>CY29+CY38+CY48+CY50+CY51+CY52+CY53</f>
        <v>-126.5</v>
      </c>
      <c r="CZ55" s="164">
        <f>CZ29+CZ38+CZ48+CZ50+CZ51+CZ52+CZ53</f>
        <v>3433.2999999999993</v>
      </c>
      <c r="DA55" s="164">
        <f>DA29+DA38+DA48+DA50+DA51+DA52+DA53</f>
        <v>-3126.2</v>
      </c>
      <c r="DB55" s="164">
        <f>DB29+DB38+DB48+DB50+DB51+DB52+DB53</f>
        <v>-7.7000000000007276</v>
      </c>
      <c r="DC55" s="163">
        <f>DC29+DC38+DC48+DC50+DC51+DC52+DC53</f>
        <v>172.89999999999881</v>
      </c>
      <c r="DD55" s="164"/>
      <c r="DE55" s="165">
        <f>DE29+DE38+DE48+DE50+DE51+DE52+DE53</f>
        <v>-159.79999999999998</v>
      </c>
      <c r="DF55" s="164">
        <f>DF29+DF38+DF48+DF50+DF51+DF52+DF53</f>
        <v>-77.499999999999943</v>
      </c>
      <c r="DG55" s="164">
        <f>DG29+DG38+DG48+DG50+DG51+DG52+DG53</f>
        <v>-77.79999999999977</v>
      </c>
      <c r="DH55" s="164">
        <f>DH29+DH38+DH48+DH50+DH51+DH52+DH53</f>
        <v>-18.300000000000281</v>
      </c>
      <c r="DI55" s="163">
        <f>DI29+DI38+DI48+DI50+DI51+DI52+DI53</f>
        <v>-333.40000000000038</v>
      </c>
      <c r="DJ55" s="164"/>
      <c r="DK55" s="165">
        <f>DK29+DK38+DK48+DK50+DK51+DK52+DK53</f>
        <v>926.94421754857353</v>
      </c>
      <c r="DL55" s="164">
        <f>DL29+DL38+DL48+DL50+DL51+DL52+DL53</f>
        <v>1075.0171101533736</v>
      </c>
      <c r="DM55" s="164">
        <f>DM29+DM38+DM48+DM50+DM51+DM52+DM53</f>
        <v>710.7357187307324</v>
      </c>
      <c r="DN55" s="164">
        <f>DN29+DN38+DN48+DN50+DN51+DN52+DN53</f>
        <v>989.79939371389389</v>
      </c>
      <c r="DO55" s="163">
        <f>DO29+DO38+DO48+DO50+DO51+DO52+DO53</f>
        <v>3702.4964401465745</v>
      </c>
      <c r="DP55" s="164"/>
      <c r="DQ55" s="165">
        <f>DQ29+DQ38+DQ48+DQ50+DQ51+DQ52+DQ53</f>
        <v>942.25712390932131</v>
      </c>
      <c r="DR55" s="164">
        <f>DR29+DR38+DR48+DR50+DR51+DR52+DR53</f>
        <v>1167.2750169841543</v>
      </c>
      <c r="DS55" s="164">
        <f>DS29+DS38+DS48+DS50+DS51+DS52+DS53</f>
        <v>764.85933319715559</v>
      </c>
      <c r="DT55" s="164">
        <f>DT29+DT38+DT48+DT50+DT51+DT52+DT53</f>
        <v>1058.7691526204062</v>
      </c>
      <c r="DU55" s="163">
        <f>DU29+DU38+DU48+DU50+DU51+DU52+DU53</f>
        <v>3933.1606267110374</v>
      </c>
      <c r="DV55" s="164"/>
      <c r="DW55" s="165">
        <f>DW29+DW38+DW48+DW50+DW51+DW52+DW53</f>
        <v>1143.2435976139495</v>
      </c>
      <c r="DX55" s="164">
        <f>DX29+DX38+DX48+DX50+DX51+DX52+DX53</f>
        <v>1255.5001212503432</v>
      </c>
      <c r="DY55" s="164">
        <f>DY29+DY38+DY48+DY50+DY51+DY52+DY53</f>
        <v>819.98254945438646</v>
      </c>
      <c r="DZ55" s="164">
        <f>DZ29+DZ38+DZ48+DZ50+DZ51+DZ52+DZ53</f>
        <v>1297.3086131404011</v>
      </c>
      <c r="EA55" s="163">
        <f>EA29+EA38+EA48+EA50+EA51+EA52+EA53</f>
        <v>4516.0348814590789</v>
      </c>
      <c r="EB55" s="164"/>
      <c r="EC55" s="165">
        <f t="shared" ref="EC55:EG55" si="214">EC29+EC38+EC48+EC50+EC51+EC52+EC53</f>
        <v>1361.5105112579095</v>
      </c>
      <c r="ED55" s="164">
        <f t="shared" si="214"/>
        <v>1526.9904261495337</v>
      </c>
      <c r="EE55" s="164">
        <f t="shared" si="214"/>
        <v>1075.546690972076</v>
      </c>
      <c r="EF55" s="164">
        <f t="shared" si="214"/>
        <v>1462.523410732779</v>
      </c>
      <c r="EG55" s="163">
        <f t="shared" si="214"/>
        <v>5426.5710391122975</v>
      </c>
      <c r="EH55" s="67"/>
      <c r="EI55" s="177"/>
      <c r="EJ55" s="19"/>
      <c r="EK55" s="19"/>
      <c r="EL55" s="19"/>
    </row>
    <row r="56" spans="1:142" ht="12.75" customHeight="1" x14ac:dyDescent="0.2">
      <c r="A56" s="51" t="s">
        <v>355</v>
      </c>
      <c r="B56" s="19"/>
      <c r="C56" s="19"/>
      <c r="D56" s="19"/>
      <c r="E56" s="93"/>
      <c r="F56" s="67"/>
      <c r="G56" s="93">
        <f>+E57</f>
        <v>70.820999999999998</v>
      </c>
      <c r="H56" s="67"/>
      <c r="I56" s="93">
        <f>+G57</f>
        <v>47.798000000000002</v>
      </c>
      <c r="J56" s="67"/>
      <c r="K56" s="93">
        <f>+I57</f>
        <v>260.28100000000001</v>
      </c>
      <c r="L56" s="67"/>
      <c r="M56" s="82">
        <f>+K57</f>
        <v>176.92400000000001</v>
      </c>
      <c r="N56" s="67">
        <f>M57</f>
        <v>669.23</v>
      </c>
      <c r="O56" s="67">
        <f>N57</f>
        <v>675.31</v>
      </c>
      <c r="P56" s="67">
        <f>O57</f>
        <v>646.46600000000001</v>
      </c>
      <c r="Q56" s="93">
        <f>+K57</f>
        <v>176.92400000000001</v>
      </c>
      <c r="R56" s="67"/>
      <c r="S56" s="82">
        <f>+P57</f>
        <v>706.55899999999997</v>
      </c>
      <c r="T56" s="67">
        <f>S57</f>
        <v>571.452</v>
      </c>
      <c r="U56" s="67">
        <f>T57</f>
        <v>705.07500000000005</v>
      </c>
      <c r="V56" s="67">
        <f>U57</f>
        <v>803.178</v>
      </c>
      <c r="W56" s="93">
        <f>+Q57</f>
        <v>706.55899999999997</v>
      </c>
      <c r="X56" s="67"/>
      <c r="Y56" s="82">
        <f>+V57</f>
        <v>810.46299999999997</v>
      </c>
      <c r="Z56" s="67">
        <f>Y57</f>
        <v>911.63300000000004</v>
      </c>
      <c r="AA56" s="67">
        <f>Z57</f>
        <v>1068.1099999999999</v>
      </c>
      <c r="AB56" s="67">
        <f>AA57</f>
        <v>1104.7270000000001</v>
      </c>
      <c r="AC56" s="93">
        <f>+W57</f>
        <v>810.46299999999997</v>
      </c>
      <c r="AD56" s="67"/>
      <c r="AE56" s="82">
        <f>+AB57</f>
        <v>1230.1559999999999</v>
      </c>
      <c r="AF56" s="67">
        <f>AE57</f>
        <v>642.48599999999999</v>
      </c>
      <c r="AG56" s="67">
        <f>AF57</f>
        <v>303.28500000000003</v>
      </c>
      <c r="AH56" s="67">
        <f>AG57</f>
        <v>531.61</v>
      </c>
      <c r="AI56" s="93">
        <f>+AC57</f>
        <v>1230.1559999999999</v>
      </c>
      <c r="AJ56" s="67"/>
      <c r="AK56" s="82">
        <f>+AH57</f>
        <v>609.11500000000001</v>
      </c>
      <c r="AL56" s="67">
        <f>AK57</f>
        <v>673.072</v>
      </c>
      <c r="AM56" s="67">
        <f>AL57</f>
        <v>808.65499999999997</v>
      </c>
      <c r="AN56" s="67">
        <f>AM57</f>
        <v>275.62099999999998</v>
      </c>
      <c r="AO56" s="93">
        <f>+AI57</f>
        <v>609.11500000000001</v>
      </c>
      <c r="AP56" s="67"/>
      <c r="AQ56" s="82">
        <f>+AN57</f>
        <v>315.55099999999999</v>
      </c>
      <c r="AR56" s="67">
        <f>AQ57</f>
        <v>260.82299999999998</v>
      </c>
      <c r="AS56" s="67">
        <f>AR57</f>
        <v>284.733</v>
      </c>
      <c r="AT56" s="67">
        <f>AS57</f>
        <v>263.952</v>
      </c>
      <c r="AU56" s="93">
        <f>+AO57</f>
        <v>315.55099999999999</v>
      </c>
      <c r="AV56" s="67"/>
      <c r="AW56" s="82">
        <f>+AT57</f>
        <v>317.81</v>
      </c>
      <c r="AX56" s="67">
        <f>AW57</f>
        <v>197.56399999999999</v>
      </c>
      <c r="AY56" s="67">
        <f>AX57</f>
        <v>174.14500000000001</v>
      </c>
      <c r="AZ56" s="67">
        <f>AY57</f>
        <v>209.28100000000001</v>
      </c>
      <c r="BA56" s="93">
        <f>+AU57</f>
        <v>317.81</v>
      </c>
      <c r="BB56" s="67"/>
      <c r="BC56" s="82">
        <f>+AZ57</f>
        <v>239.108</v>
      </c>
      <c r="BD56" s="67">
        <f>BC57</f>
        <v>233.81899999999999</v>
      </c>
      <c r="BE56" s="67">
        <f>BD57</f>
        <v>284.10000000000002</v>
      </c>
      <c r="BF56" s="67">
        <f>BE57</f>
        <v>286.51900000000001</v>
      </c>
      <c r="BG56" s="93">
        <f>+BA57</f>
        <v>239.108</v>
      </c>
      <c r="BH56" s="67"/>
      <c r="BI56" s="82">
        <f>+BF57</f>
        <v>392.85399999999998</v>
      </c>
      <c r="BJ56" s="67">
        <f>BI57</f>
        <v>975.94500000000005</v>
      </c>
      <c r="BK56" s="67">
        <f>BJ57</f>
        <v>1258.4110000000001</v>
      </c>
      <c r="BL56" s="67">
        <f>BK57</f>
        <v>1636.231</v>
      </c>
      <c r="BM56" s="93">
        <f>+BG57</f>
        <v>392.85399999999998</v>
      </c>
      <c r="BN56" s="67"/>
      <c r="BO56" s="82">
        <f>+BL57</f>
        <v>1721.92</v>
      </c>
      <c r="BP56" s="67">
        <f>BO57</f>
        <v>806.36799999999982</v>
      </c>
      <c r="BQ56" s="67">
        <f>BP57</f>
        <v>1232.9359999999997</v>
      </c>
      <c r="BR56" s="67">
        <f>BQ57</f>
        <v>1635.0409999999997</v>
      </c>
      <c r="BS56" s="93">
        <f>+BM57</f>
        <v>1721.92</v>
      </c>
      <c r="BT56" s="67"/>
      <c r="BU56" s="82">
        <f>+BR57</f>
        <v>1632.9799999999998</v>
      </c>
      <c r="BV56" s="67">
        <f>BU57</f>
        <v>1593.5589999999997</v>
      </c>
      <c r="BW56" s="67">
        <f>BV57</f>
        <v>551.58299999999986</v>
      </c>
      <c r="BX56" s="67">
        <f>BW57</f>
        <v>484.36799999999965</v>
      </c>
      <c r="BY56" s="93">
        <f>+BS57</f>
        <v>1632.9799999999998</v>
      </c>
      <c r="BZ56" s="67"/>
      <c r="CA56" s="82">
        <f>+BX57</f>
        <v>537.0010000000002</v>
      </c>
      <c r="CB56" s="67">
        <f>CA57</f>
        <v>1043.2830000000001</v>
      </c>
      <c r="CC56" s="67">
        <f>CB57</f>
        <v>1118.24</v>
      </c>
      <c r="CD56" s="67">
        <f>CC57</f>
        <v>1541.335</v>
      </c>
      <c r="CE56" s="93">
        <f>+BY57</f>
        <v>537.0010000000002</v>
      </c>
      <c r="CF56" s="67"/>
      <c r="CG56" s="82">
        <f>+CD57</f>
        <v>1678.6999999999998</v>
      </c>
      <c r="CH56" s="67">
        <f>CG57</f>
        <v>2150.6999999999998</v>
      </c>
      <c r="CI56" s="67">
        <f>CH57</f>
        <v>2324.8999999999996</v>
      </c>
      <c r="CJ56" s="67">
        <f>CI57</f>
        <v>1995.5999999999995</v>
      </c>
      <c r="CK56" s="93">
        <f>+CE57</f>
        <v>1678.6999999999994</v>
      </c>
      <c r="CL56" s="67"/>
      <c r="CM56" s="82">
        <f>+CJ57</f>
        <v>3115.1999999999994</v>
      </c>
      <c r="CN56" s="67">
        <f>CM57</f>
        <v>3346.4999999999995</v>
      </c>
      <c r="CO56" s="67">
        <f>CN57</f>
        <v>3321.0999999999995</v>
      </c>
      <c r="CP56" s="67">
        <f>CO57</f>
        <v>4025.2999999999997</v>
      </c>
      <c r="CQ56" s="93">
        <f>+CK57</f>
        <v>3115.1999999999989</v>
      </c>
      <c r="CR56" s="67"/>
      <c r="CS56" s="82">
        <f>+CP57</f>
        <v>3005.6</v>
      </c>
      <c r="CT56" s="67">
        <f>CS57</f>
        <v>2511</v>
      </c>
      <c r="CU56" s="67">
        <f>CT57</f>
        <v>3342</v>
      </c>
      <c r="CV56" s="67">
        <f>CU57</f>
        <v>1833.4999999999977</v>
      </c>
      <c r="CW56" s="93">
        <f>+CQ57</f>
        <v>3005.599999999999</v>
      </c>
      <c r="CX56" s="67"/>
      <c r="CY56" s="82">
        <f>+CV57</f>
        <v>790.79999999999905</v>
      </c>
      <c r="CZ56" s="67">
        <f>CY57</f>
        <v>664.29999999999905</v>
      </c>
      <c r="DA56" s="67">
        <f>CZ57</f>
        <v>4097.5999999999985</v>
      </c>
      <c r="DB56" s="67">
        <f>DA57</f>
        <v>971.39999999999873</v>
      </c>
      <c r="DC56" s="93">
        <f>+CW57</f>
        <v>790.79999999999882</v>
      </c>
      <c r="DD56" s="67"/>
      <c r="DE56" s="82">
        <f>+DB57</f>
        <v>963.699999999998</v>
      </c>
      <c r="DF56" s="67">
        <f>DE57</f>
        <v>803.89999999999804</v>
      </c>
      <c r="DG56" s="67">
        <f>DF57</f>
        <v>726.39999999999804</v>
      </c>
      <c r="DH56" s="67">
        <f>DG57</f>
        <v>648.59999999999832</v>
      </c>
      <c r="DI56" s="93">
        <f>+DC57</f>
        <v>963.69999999999766</v>
      </c>
      <c r="DJ56" s="67"/>
      <c r="DK56" s="82">
        <f>+DH57</f>
        <v>630.29999999999802</v>
      </c>
      <c r="DL56" s="67">
        <f>DK57</f>
        <v>1557.2442175485717</v>
      </c>
      <c r="DM56" s="67">
        <f>DL57</f>
        <v>2632.2613277019454</v>
      </c>
      <c r="DN56" s="67">
        <f>DM57</f>
        <v>3342.997046432678</v>
      </c>
      <c r="DO56" s="93">
        <f>+DI57</f>
        <v>630.29999999999723</v>
      </c>
      <c r="DP56" s="67"/>
      <c r="DQ56" s="82">
        <f>+DN57</f>
        <v>4332.7964401465715</v>
      </c>
      <c r="DR56" s="67">
        <f>DQ57</f>
        <v>5275.0535640558928</v>
      </c>
      <c r="DS56" s="67">
        <f>DR57</f>
        <v>6442.3285810400466</v>
      </c>
      <c r="DT56" s="67">
        <f>DS57</f>
        <v>7207.1879142372018</v>
      </c>
      <c r="DU56" s="93">
        <f>+DO57</f>
        <v>4332.7964401465715</v>
      </c>
      <c r="DV56" s="67"/>
      <c r="DW56" s="82">
        <f>+DT57</f>
        <v>8265.9570668576089</v>
      </c>
      <c r="DX56" s="67">
        <f>DW57</f>
        <v>9409.2006644715584</v>
      </c>
      <c r="DY56" s="67">
        <f>DX57</f>
        <v>10664.700785721901</v>
      </c>
      <c r="DZ56" s="67">
        <f>DY57</f>
        <v>11484.683335176287</v>
      </c>
      <c r="EA56" s="93">
        <f>+DU57</f>
        <v>8265.9570668576089</v>
      </c>
      <c r="EB56" s="67"/>
      <c r="EC56" s="82">
        <f t="shared" ref="EC56" si="215">+DZ57</f>
        <v>12781.991948316689</v>
      </c>
      <c r="ED56" s="67">
        <f t="shared" ref="ED56:EF56" si="216">EC57</f>
        <v>14143.502459574598</v>
      </c>
      <c r="EE56" s="67">
        <f t="shared" si="216"/>
        <v>15670.492885724132</v>
      </c>
      <c r="EF56" s="67">
        <f t="shared" si="216"/>
        <v>16746.039576696206</v>
      </c>
      <c r="EG56" s="93">
        <f t="shared" ref="EG56" si="217">+EA57</f>
        <v>12781.991948316689</v>
      </c>
      <c r="EH56" s="67"/>
      <c r="EI56" s="177"/>
      <c r="EJ56" s="19"/>
      <c r="EK56" s="19"/>
      <c r="EL56" s="19"/>
    </row>
    <row r="57" spans="1:142" ht="12.75" customHeight="1" x14ac:dyDescent="0.2">
      <c r="A57" s="490" t="s">
        <v>356</v>
      </c>
      <c r="B57" s="491"/>
      <c r="C57" s="491"/>
      <c r="D57" s="491"/>
      <c r="E57" s="492">
        <f>+BS!E11</f>
        <v>70.820999999999998</v>
      </c>
      <c r="F57" s="493"/>
      <c r="G57" s="492">
        <f>+BS!G11</f>
        <v>47.798000000000002</v>
      </c>
      <c r="H57" s="493"/>
      <c r="I57" s="492">
        <f>+BS!I11</f>
        <v>260.28100000000001</v>
      </c>
      <c r="J57" s="493"/>
      <c r="K57" s="492">
        <f>+BS!K11</f>
        <v>176.92400000000001</v>
      </c>
      <c r="L57" s="493"/>
      <c r="M57" s="494">
        <f>+BS!M11</f>
        <v>669.23</v>
      </c>
      <c r="N57" s="493">
        <f>+BS!N11</f>
        <v>675.31</v>
      </c>
      <c r="O57" s="493">
        <f>+BS!O11</f>
        <v>646.46600000000001</v>
      </c>
      <c r="P57" s="493">
        <f>+BS!P11</f>
        <v>706.55899999999997</v>
      </c>
      <c r="Q57" s="492">
        <f>+BS!Q11</f>
        <v>706.55899999999997</v>
      </c>
      <c r="R57" s="493"/>
      <c r="S57" s="494">
        <f>+BS!S11</f>
        <v>571.452</v>
      </c>
      <c r="T57" s="493">
        <f>+BS!T11</f>
        <v>705.07500000000005</v>
      </c>
      <c r="U57" s="493">
        <f>+BS!U11</f>
        <v>803.178</v>
      </c>
      <c r="V57" s="493">
        <f>+BS!V11</f>
        <v>810.46299999999997</v>
      </c>
      <c r="W57" s="492">
        <f>+BS!W11</f>
        <v>810.46299999999997</v>
      </c>
      <c r="X57" s="493"/>
      <c r="Y57" s="494">
        <f>+BS!Y11</f>
        <v>911.63300000000004</v>
      </c>
      <c r="Z57" s="493">
        <f>+BS!Z11</f>
        <v>1068.1099999999999</v>
      </c>
      <c r="AA57" s="493">
        <f>+BS!AA11</f>
        <v>1104.7270000000001</v>
      </c>
      <c r="AB57" s="493">
        <f>+BS!AB11</f>
        <v>1230.1559999999999</v>
      </c>
      <c r="AC57" s="492">
        <f>+BS!AC11</f>
        <v>1230.1559999999999</v>
      </c>
      <c r="AD57" s="493"/>
      <c r="AE57" s="494">
        <f>+BS!AE11</f>
        <v>642.48599999999999</v>
      </c>
      <c r="AF57" s="493">
        <f>+BS!AF11</f>
        <v>303.28500000000003</v>
      </c>
      <c r="AG57" s="493">
        <f>+BS!AG11</f>
        <v>531.61</v>
      </c>
      <c r="AH57" s="493">
        <f>+BS!AH11</f>
        <v>609.11500000000001</v>
      </c>
      <c r="AI57" s="492">
        <f>+BS!AI11</f>
        <v>609.11500000000001</v>
      </c>
      <c r="AJ57" s="493"/>
      <c r="AK57" s="494">
        <f>+BS!AK11</f>
        <v>673.072</v>
      </c>
      <c r="AL57" s="493">
        <f>+BS!AL11</f>
        <v>808.65499999999997</v>
      </c>
      <c r="AM57" s="493">
        <f>+BS!AM11</f>
        <v>275.62099999999998</v>
      </c>
      <c r="AN57" s="493">
        <f>+BS!AN11</f>
        <v>315.55099999999999</v>
      </c>
      <c r="AO57" s="492">
        <f>+BS!AO11</f>
        <v>315.55099999999999</v>
      </c>
      <c r="AP57" s="493"/>
      <c r="AQ57" s="494">
        <f>+BS!AQ11</f>
        <v>260.82299999999998</v>
      </c>
      <c r="AR57" s="493">
        <f>+BS!AR11</f>
        <v>284.733</v>
      </c>
      <c r="AS57" s="493">
        <f>+BS!AS11</f>
        <v>263.952</v>
      </c>
      <c r="AT57" s="493">
        <f>+BS!AT11</f>
        <v>317.81</v>
      </c>
      <c r="AU57" s="492">
        <f>+BS!AU11</f>
        <v>317.81</v>
      </c>
      <c r="AV57" s="493"/>
      <c r="AW57" s="494">
        <f>+BS!AW11</f>
        <v>197.56399999999999</v>
      </c>
      <c r="AX57" s="493">
        <f>+BS!AX11</f>
        <v>174.14500000000001</v>
      </c>
      <c r="AY57" s="493">
        <f>+BS!AY11</f>
        <v>209.28100000000001</v>
      </c>
      <c r="AZ57" s="493">
        <f>+BS!AZ11</f>
        <v>239.108</v>
      </c>
      <c r="BA57" s="492">
        <f>+BS!BA11</f>
        <v>239.108</v>
      </c>
      <c r="BB57" s="493"/>
      <c r="BC57" s="494">
        <f>+BS!BC11</f>
        <v>233.81899999999999</v>
      </c>
      <c r="BD57" s="493">
        <f>+BS!BD11</f>
        <v>284.10000000000002</v>
      </c>
      <c r="BE57" s="493">
        <f>+BS!BE11</f>
        <v>286.51900000000001</v>
      </c>
      <c r="BF57" s="493">
        <f>+BS!BF11</f>
        <v>392.85399999999998</v>
      </c>
      <c r="BG57" s="492">
        <f>+BS!BG11</f>
        <v>392.85399999999998</v>
      </c>
      <c r="BH57" s="493"/>
      <c r="BI57" s="494">
        <f>+BS!BI11</f>
        <v>975.94500000000005</v>
      </c>
      <c r="BJ57" s="493">
        <f>+BS!BJ11</f>
        <v>1258.4110000000001</v>
      </c>
      <c r="BK57" s="493">
        <f>+BS!BK11</f>
        <v>1636.231</v>
      </c>
      <c r="BL57" s="493">
        <f>+BS!BL11</f>
        <v>1721.92</v>
      </c>
      <c r="BM57" s="492">
        <f>+BS!BM11</f>
        <v>1721.92</v>
      </c>
      <c r="BN57" s="493"/>
      <c r="BO57" s="494">
        <f>SUM(BO55:BO56)</f>
        <v>806.36799999999982</v>
      </c>
      <c r="BP57" s="493">
        <f>SUM(BP55:BP56)</f>
        <v>1232.9359999999997</v>
      </c>
      <c r="BQ57" s="493">
        <f>SUM(BQ55:BQ56)</f>
        <v>1635.0409999999997</v>
      </c>
      <c r="BR57" s="493">
        <f>SUM(BR55:BR56)</f>
        <v>1632.9799999999998</v>
      </c>
      <c r="BS57" s="492">
        <f>SUM(BS55:BS56)</f>
        <v>1632.9799999999998</v>
      </c>
      <c r="BT57" s="493"/>
      <c r="BU57" s="494">
        <f>SUM(BU55:BU56)</f>
        <v>1593.5589999999997</v>
      </c>
      <c r="BV57" s="493">
        <f>SUM(BV55:BV56)</f>
        <v>551.58299999999986</v>
      </c>
      <c r="BW57" s="493">
        <f>SUM(BW55:BW56)</f>
        <v>484.36799999999965</v>
      </c>
      <c r="BX57" s="493">
        <f>SUM(BX55:BX56)</f>
        <v>537.0010000000002</v>
      </c>
      <c r="BY57" s="492">
        <f>SUM(BY55:BY56)</f>
        <v>537.0010000000002</v>
      </c>
      <c r="BZ57" s="493"/>
      <c r="CA57" s="494">
        <f>SUM(CA55:CA56)</f>
        <v>1043.2830000000001</v>
      </c>
      <c r="CB57" s="493">
        <f>SUM(CB55:CB56)</f>
        <v>1118.24</v>
      </c>
      <c r="CC57" s="493">
        <f>SUM(CC55:CC56)</f>
        <v>1541.335</v>
      </c>
      <c r="CD57" s="493">
        <f>SUM(CD55:CD56)</f>
        <v>1678.6999999999998</v>
      </c>
      <c r="CE57" s="492">
        <f>SUM(CE55:CE56)</f>
        <v>1678.6999999999994</v>
      </c>
      <c r="CF57" s="493"/>
      <c r="CG57" s="494">
        <f>SUM(CG55:CG56)</f>
        <v>2150.6999999999998</v>
      </c>
      <c r="CH57" s="493">
        <f>SUM(CH55:CH56)</f>
        <v>2324.8999999999996</v>
      </c>
      <c r="CI57" s="493">
        <f>SUM(CI55:CI56)</f>
        <v>1995.5999999999995</v>
      </c>
      <c r="CJ57" s="493">
        <f>SUM(CJ55:CJ56)</f>
        <v>3115.1999999999994</v>
      </c>
      <c r="CK57" s="492">
        <f>SUM(CK55:CK56)</f>
        <v>3115.1999999999989</v>
      </c>
      <c r="CL57" s="493"/>
      <c r="CM57" s="494">
        <f>SUM(CM55:CM56)</f>
        <v>3346.4999999999995</v>
      </c>
      <c r="CN57" s="493">
        <f>SUM(CN55:CN56)</f>
        <v>3321.0999999999995</v>
      </c>
      <c r="CO57" s="493">
        <f>SUM(CO55:CO56)</f>
        <v>4025.2999999999997</v>
      </c>
      <c r="CP57" s="493">
        <f>SUM(CP55:CP56)</f>
        <v>3005.6</v>
      </c>
      <c r="CQ57" s="492">
        <f>SUM(CQ55:CQ56)</f>
        <v>3005.599999999999</v>
      </c>
      <c r="CR57" s="493"/>
      <c r="CS57" s="494">
        <f>SUM(CS55:CS56)</f>
        <v>2511</v>
      </c>
      <c r="CT57" s="493">
        <f>SUM(CT55:CT56)</f>
        <v>3342</v>
      </c>
      <c r="CU57" s="493">
        <f>SUM(CU55:CU56)</f>
        <v>1833.4999999999977</v>
      </c>
      <c r="CV57" s="493">
        <f>SUM(CV55:CV56)</f>
        <v>790.79999999999905</v>
      </c>
      <c r="CW57" s="492">
        <f>SUM(CW55:CW56)</f>
        <v>790.79999999999882</v>
      </c>
      <c r="CX57" s="493"/>
      <c r="CY57" s="494">
        <f>SUM(CY55:CY56)</f>
        <v>664.29999999999905</v>
      </c>
      <c r="CZ57" s="493">
        <f>SUM(CZ55:CZ56)</f>
        <v>4097.5999999999985</v>
      </c>
      <c r="DA57" s="493">
        <f>SUM(DA55:DA56)</f>
        <v>971.39999999999873</v>
      </c>
      <c r="DB57" s="493">
        <f>SUM(DB55:DB56)</f>
        <v>963.699999999998</v>
      </c>
      <c r="DC57" s="492">
        <f>SUM(DC55:DC56)</f>
        <v>963.69999999999766</v>
      </c>
      <c r="DD57" s="493"/>
      <c r="DE57" s="494">
        <f>SUM(DE55:DE56)</f>
        <v>803.89999999999804</v>
      </c>
      <c r="DF57" s="493">
        <f>SUM(DF55:DF56)</f>
        <v>726.39999999999804</v>
      </c>
      <c r="DG57" s="493">
        <f>SUM(DG55:DG56)</f>
        <v>648.59999999999832</v>
      </c>
      <c r="DH57" s="493">
        <f>SUM(DH55:DH56)</f>
        <v>630.29999999999802</v>
      </c>
      <c r="DI57" s="492">
        <f>SUM(DI55:DI56)</f>
        <v>630.29999999999723</v>
      </c>
      <c r="DJ57" s="493"/>
      <c r="DK57" s="494">
        <f>SUM(DK55:DK56)</f>
        <v>1557.2442175485717</v>
      </c>
      <c r="DL57" s="493">
        <f>SUM(DL55:DL56)</f>
        <v>2632.2613277019454</v>
      </c>
      <c r="DM57" s="493">
        <f>SUM(DM55:DM56)</f>
        <v>3342.997046432678</v>
      </c>
      <c r="DN57" s="493">
        <f>SUM(DN55:DN56)</f>
        <v>4332.7964401465715</v>
      </c>
      <c r="DO57" s="492">
        <f>SUM(DO55:DO56)</f>
        <v>4332.7964401465715</v>
      </c>
      <c r="DP57" s="493"/>
      <c r="DQ57" s="494">
        <f>SUM(DQ55:DQ56)</f>
        <v>5275.0535640558928</v>
      </c>
      <c r="DR57" s="493">
        <f>SUM(DR55:DR56)</f>
        <v>6442.3285810400466</v>
      </c>
      <c r="DS57" s="493">
        <f>SUM(DS55:DS56)</f>
        <v>7207.1879142372018</v>
      </c>
      <c r="DT57" s="493">
        <f>SUM(DT55:DT56)</f>
        <v>8265.9570668576089</v>
      </c>
      <c r="DU57" s="492">
        <f>SUM(DU55:DU56)</f>
        <v>8265.9570668576089</v>
      </c>
      <c r="DV57" s="493"/>
      <c r="DW57" s="494">
        <f>SUM(DW55:DW56)</f>
        <v>9409.2006644715584</v>
      </c>
      <c r="DX57" s="493">
        <f>SUM(DX55:DX56)</f>
        <v>10664.700785721901</v>
      </c>
      <c r="DY57" s="493">
        <f>SUM(DY55:DY56)</f>
        <v>11484.683335176287</v>
      </c>
      <c r="DZ57" s="493">
        <f>SUM(DZ55:DZ56)</f>
        <v>12781.991948316689</v>
      </c>
      <c r="EA57" s="492">
        <f>SUM(EA55:EA56)</f>
        <v>12781.991948316689</v>
      </c>
      <c r="EB57" s="493"/>
      <c r="EC57" s="494">
        <f t="shared" ref="EC57:EG57" si="218">SUM(EC55:EC56)</f>
        <v>14143.502459574598</v>
      </c>
      <c r="ED57" s="493">
        <f t="shared" si="218"/>
        <v>15670.492885724132</v>
      </c>
      <c r="EE57" s="493">
        <f t="shared" si="218"/>
        <v>16746.039576696206</v>
      </c>
      <c r="EF57" s="493">
        <f t="shared" si="218"/>
        <v>18208.562987428984</v>
      </c>
      <c r="EG57" s="492">
        <f t="shared" si="218"/>
        <v>18208.562987428988</v>
      </c>
      <c r="EH57" s="67"/>
      <c r="EI57" s="177"/>
      <c r="EJ57" s="19"/>
      <c r="EK57" s="19"/>
      <c r="EL57" s="19"/>
    </row>
    <row r="58" spans="1:142" ht="12.75" customHeight="1" x14ac:dyDescent="0.2">
      <c r="A58" s="173" t="s">
        <v>170</v>
      </c>
      <c r="B58" s="244"/>
      <c r="C58" s="244"/>
      <c r="D58" s="244"/>
      <c r="E58" s="338">
        <f>+BS!E11-CF!E57</f>
        <v>0</v>
      </c>
      <c r="F58" s="338"/>
      <c r="G58" s="338">
        <f>+BS!G11-CF!G57</f>
        <v>0</v>
      </c>
      <c r="H58" s="338"/>
      <c r="I58" s="338">
        <f>+BS!I11-CF!I57</f>
        <v>0</v>
      </c>
      <c r="J58" s="338"/>
      <c r="K58" s="338">
        <f>+BS!K11-CF!K57</f>
        <v>0</v>
      </c>
      <c r="L58" s="338"/>
      <c r="M58" s="338">
        <f>+BS!M11-CF!M57</f>
        <v>0</v>
      </c>
      <c r="N58" s="338">
        <f>+BS!N11-CF!N57</f>
        <v>0</v>
      </c>
      <c r="O58" s="338">
        <f>+BS!O11-CF!O57</f>
        <v>0</v>
      </c>
      <c r="P58" s="338">
        <f>+BS!P11-CF!P57</f>
        <v>0</v>
      </c>
      <c r="Q58" s="338">
        <f>+BS!Q11-CF!Q57</f>
        <v>0</v>
      </c>
      <c r="R58" s="338"/>
      <c r="S58" s="338">
        <f>+BS!S11-CF!S57</f>
        <v>0</v>
      </c>
      <c r="T58" s="338">
        <f>+BS!T11-CF!T57</f>
        <v>0</v>
      </c>
      <c r="U58" s="338">
        <f>+BS!U11-CF!U57</f>
        <v>0</v>
      </c>
      <c r="V58" s="338">
        <f>+BS!V11-CF!V57</f>
        <v>0</v>
      </c>
      <c r="W58" s="338">
        <f>+BS!W11-CF!W57</f>
        <v>0</v>
      </c>
      <c r="X58" s="338"/>
      <c r="Y58" s="338">
        <f>+BS!Y11-CF!Y57</f>
        <v>0</v>
      </c>
      <c r="Z58" s="338">
        <f>+BS!Z11-CF!Z57</f>
        <v>0</v>
      </c>
      <c r="AA58" s="338">
        <f>+BS!AA11-CF!AA57</f>
        <v>0</v>
      </c>
      <c r="AB58" s="338">
        <f>+BS!AB11-CF!AB57</f>
        <v>0</v>
      </c>
      <c r="AC58" s="338">
        <f>+BS!AC11-CF!AC57</f>
        <v>0</v>
      </c>
      <c r="AD58" s="338"/>
      <c r="AE58" s="338">
        <f>+BS!AE11-CF!AE57</f>
        <v>0</v>
      </c>
      <c r="AF58" s="338">
        <f>+BS!AF11-CF!AF57</f>
        <v>0</v>
      </c>
      <c r="AG58" s="338">
        <f>+BS!AG11-CF!AG57</f>
        <v>0</v>
      </c>
      <c r="AH58" s="338">
        <f>+BS!AH11-CF!AH57</f>
        <v>0</v>
      </c>
      <c r="AI58" s="338">
        <f>+BS!AI11-CF!AI57</f>
        <v>0</v>
      </c>
      <c r="AJ58" s="338"/>
      <c r="AK58" s="338">
        <f>+BS!AK11-CF!AK57</f>
        <v>0</v>
      </c>
      <c r="AL58" s="338">
        <f>+BS!AL11-CF!AL57</f>
        <v>0</v>
      </c>
      <c r="AM58" s="338">
        <f>+BS!AM11-CF!AM57</f>
        <v>0</v>
      </c>
      <c r="AN58" s="338">
        <f>+BS!AN11-CF!AN57</f>
        <v>0</v>
      </c>
      <c r="AO58" s="338">
        <f>+BS!AO11-CF!AO57</f>
        <v>0</v>
      </c>
      <c r="AP58" s="338"/>
      <c r="AQ58" s="338">
        <f>+BS!AQ11-CF!AQ57</f>
        <v>0</v>
      </c>
      <c r="AR58" s="338">
        <f>+BS!AR11-CF!AR57</f>
        <v>0</v>
      </c>
      <c r="AS58" s="338">
        <f>+BS!AS11-CF!AS57</f>
        <v>0</v>
      </c>
      <c r="AT58" s="338">
        <f>+BS!AT11-CF!AT57</f>
        <v>0</v>
      </c>
      <c r="AU58" s="338">
        <f>+BS!AU11-CF!AU57</f>
        <v>0</v>
      </c>
      <c r="AV58" s="338"/>
      <c r="AW58" s="338">
        <f>+BS!AW11-CF!AW57</f>
        <v>0</v>
      </c>
      <c r="AX58" s="338">
        <f>+BS!AX11-CF!AX57</f>
        <v>0</v>
      </c>
      <c r="AY58" s="338">
        <f>+BS!AY11-CF!AY57</f>
        <v>0</v>
      </c>
      <c r="AZ58" s="338">
        <f>+BS!AZ11-CF!AZ57</f>
        <v>0</v>
      </c>
      <c r="BA58" s="338">
        <f>+BS!BA11-CF!BA57</f>
        <v>0</v>
      </c>
      <c r="BB58" s="338"/>
      <c r="BC58" s="338">
        <f>+BS!BC11-CF!BC57</f>
        <v>0</v>
      </c>
      <c r="BD58" s="338">
        <f>+BS!BD11-CF!BD57</f>
        <v>0</v>
      </c>
      <c r="BE58" s="338">
        <f>+BS!BE11-CF!BE57</f>
        <v>0</v>
      </c>
      <c r="BF58" s="338">
        <f>+BS!BF11-CF!BF57</f>
        <v>0</v>
      </c>
      <c r="BG58" s="338">
        <f>+BS!BG11-CF!BG57</f>
        <v>0</v>
      </c>
      <c r="BH58" s="338"/>
      <c r="BI58" s="338">
        <f>+BS!BI11-CF!BI57</f>
        <v>0</v>
      </c>
      <c r="BJ58" s="338">
        <f>+BS!BJ11-CF!BJ57</f>
        <v>0</v>
      </c>
      <c r="BK58" s="338">
        <f>+BS!BK11-CF!BK57</f>
        <v>0</v>
      </c>
      <c r="BL58" s="338">
        <f>+BS!BL11-CF!BL57</f>
        <v>0</v>
      </c>
      <c r="BM58" s="338">
        <f>+BS!BM11-CF!BM57</f>
        <v>0</v>
      </c>
      <c r="BN58" s="338"/>
      <c r="BO58" s="338">
        <f>+BS!BO11-CF!BO57</f>
        <v>0</v>
      </c>
      <c r="BP58" s="338">
        <f>+BS!BP11-CF!BP57</f>
        <v>0</v>
      </c>
      <c r="BQ58" s="338">
        <f>+BS!BQ11-CF!BQ57</f>
        <v>0</v>
      </c>
      <c r="BR58" s="338">
        <f>+BS!BR11-CF!BR57</f>
        <v>0</v>
      </c>
      <c r="BS58" s="338">
        <f>+BS!BS11-CF!BS57</f>
        <v>0</v>
      </c>
      <c r="BT58" s="338"/>
      <c r="BU58" s="338">
        <f>+BS!BU11-CF!BU57</f>
        <v>0</v>
      </c>
      <c r="BV58" s="338">
        <f>+BS!BV11-CF!BV57</f>
        <v>0</v>
      </c>
      <c r="BW58" s="338">
        <f>+BS!BW11-CF!BW57</f>
        <v>0</v>
      </c>
      <c r="BX58" s="338">
        <f>+BS!BX11-CF!BX57</f>
        <v>0</v>
      </c>
      <c r="BY58" s="338">
        <f>+BS!BY11-CF!BY57</f>
        <v>0</v>
      </c>
      <c r="BZ58" s="338"/>
      <c r="CA58" s="338">
        <f>+BS!CA11-CF!CA57</f>
        <v>0</v>
      </c>
      <c r="CB58" s="338">
        <f>+BS!CB11-CF!CB57</f>
        <v>0</v>
      </c>
      <c r="CC58" s="338">
        <f>+BS!CC11-CF!CC57</f>
        <v>0</v>
      </c>
      <c r="CD58" s="338">
        <f>+BS!CD11-CF!CD57</f>
        <v>0</v>
      </c>
      <c r="CE58" s="338">
        <f>+BS!CE11-CF!CE57</f>
        <v>0</v>
      </c>
      <c r="CF58" s="338"/>
      <c r="CG58" s="338">
        <f>+BS!CG11-CF!CG57</f>
        <v>0</v>
      </c>
      <c r="CH58" s="338">
        <f>+BS!CH11-CF!CH57</f>
        <v>0</v>
      </c>
      <c r="CI58" s="338">
        <f>+BS!CI11-CF!CI57</f>
        <v>0</v>
      </c>
      <c r="CJ58" s="338">
        <f>+BS!CJ11-CF!CJ57</f>
        <v>0</v>
      </c>
      <c r="CK58" s="338">
        <f>+BS!CK11-CF!CK57</f>
        <v>0</v>
      </c>
      <c r="CL58" s="338"/>
      <c r="CM58" s="338">
        <f>+BS!CM11-CF!CM57</f>
        <v>0</v>
      </c>
      <c r="CN58" s="338">
        <f>+BS!CN11-CF!CN57</f>
        <v>0</v>
      </c>
      <c r="CO58" s="338">
        <f>+BS!CO11-CF!CO57</f>
        <v>0</v>
      </c>
      <c r="CP58" s="338">
        <f>+BS!CP11-CF!CP57</f>
        <v>0</v>
      </c>
      <c r="CQ58" s="338">
        <f>+BS!CQ11-CF!CQ57</f>
        <v>0</v>
      </c>
      <c r="CR58" s="338"/>
      <c r="CS58" s="338">
        <f>+BS!CS11-CF!CS57</f>
        <v>0</v>
      </c>
      <c r="CT58" s="338">
        <f>+BS!CT11-CF!CT57</f>
        <v>0</v>
      </c>
      <c r="CU58" s="338">
        <f>+BS!CU11-CF!CU57</f>
        <v>2.2737367544323206E-12</v>
      </c>
      <c r="CV58" s="338">
        <f>+BS!CV11-CF!CV57</f>
        <v>9.0949470177292824E-13</v>
      </c>
      <c r="CW58" s="338">
        <f>+BS!CW11-CF!CW57</f>
        <v>1.1368683772161603E-12</v>
      </c>
      <c r="CX58" s="338"/>
      <c r="CY58" s="338">
        <f>+BS!CY11-CF!CY57</f>
        <v>9.0949470177292824E-13</v>
      </c>
      <c r="CZ58" s="338">
        <f>+BS!CZ11-CF!CZ57</f>
        <v>0</v>
      </c>
      <c r="DA58" s="338">
        <f>+BS!DA11-CF!DA57</f>
        <v>1.2505552149377763E-12</v>
      </c>
      <c r="DB58" s="338">
        <f>+BS!DB11-CF!DB57</f>
        <v>2.0463630789890885E-12</v>
      </c>
      <c r="DC58" s="338">
        <f>+BS!DC11-CF!DC57</f>
        <v>2.3874235921539366E-12</v>
      </c>
      <c r="DD58" s="338"/>
      <c r="DE58" s="338">
        <f>+BS!DE11-CF!DE57</f>
        <v>1.9326762412674725E-12</v>
      </c>
      <c r="DF58" s="338">
        <f>+BS!DF11-CF!DF57</f>
        <v>1.9326762412674725E-12</v>
      </c>
      <c r="DG58" s="338">
        <f>+BS!DG11-CF!DG57</f>
        <v>1.7053025658242404E-12</v>
      </c>
      <c r="DH58" s="338">
        <f>+BS!DH11-CF!DH57</f>
        <v>1.9326762412674725E-12</v>
      </c>
      <c r="DI58" s="338">
        <f>+BS!DI11-CF!DI57</f>
        <v>2.7284841053187847E-12</v>
      </c>
      <c r="DJ58" s="338"/>
      <c r="DK58" s="338">
        <f>+BS!DK11-CF!DK57</f>
        <v>0</v>
      </c>
      <c r="DL58" s="338">
        <f>+BS!DL11-CF!DL57</f>
        <v>0</v>
      </c>
      <c r="DM58" s="338">
        <f>+BS!DM11-CF!DM57</f>
        <v>0</v>
      </c>
      <c r="DN58" s="338">
        <f>+BS!DN11-CF!DN57</f>
        <v>0</v>
      </c>
      <c r="DO58" s="338">
        <f>+BS!DO11-CF!DO57</f>
        <v>0</v>
      </c>
      <c r="DP58" s="338"/>
      <c r="DQ58" s="338">
        <f>+BS!DQ11-CF!DQ57</f>
        <v>0</v>
      </c>
      <c r="DR58" s="338">
        <f>+BS!DR11-CF!DR57</f>
        <v>0</v>
      </c>
      <c r="DS58" s="338">
        <f>+BS!DS11-CF!DS57</f>
        <v>0</v>
      </c>
      <c r="DT58" s="338">
        <f>+BS!DT11-CF!DT57</f>
        <v>0</v>
      </c>
      <c r="DU58" s="338">
        <f>+BS!DU11-CF!DU57</f>
        <v>0</v>
      </c>
      <c r="DV58" s="338"/>
      <c r="DW58" s="338">
        <f>+BS!DW11-CF!DW57</f>
        <v>0</v>
      </c>
      <c r="DX58" s="338">
        <f>+BS!DX11-CF!DX57</f>
        <v>0</v>
      </c>
      <c r="DY58" s="338">
        <f>+BS!DY11-CF!DY57</f>
        <v>0</v>
      </c>
      <c r="DZ58" s="338">
        <f>+BS!DZ11-CF!DZ57</f>
        <v>0</v>
      </c>
      <c r="EA58" s="338">
        <f>+BS!EA11-CF!EA57</f>
        <v>0</v>
      </c>
      <c r="EB58" s="338"/>
      <c r="EC58" s="338">
        <f>+BS!EC11-CF!EC57</f>
        <v>0</v>
      </c>
      <c r="ED58" s="338">
        <f>+BS!ED11-CF!ED57</f>
        <v>0</v>
      </c>
      <c r="EE58" s="338">
        <f>+BS!EE11-CF!EE57</f>
        <v>0</v>
      </c>
      <c r="EF58" s="338">
        <f>+BS!EF11-CF!EF57</f>
        <v>0</v>
      </c>
      <c r="EG58" s="338">
        <f>+BS!EG11-CF!EG57</f>
        <v>0</v>
      </c>
      <c r="EH58" s="68"/>
      <c r="EI58" s="126"/>
      <c r="EJ58" s="27"/>
      <c r="EK58" s="27"/>
      <c r="EL58" s="27"/>
    </row>
    <row r="59" spans="1:142" ht="12.75" customHeight="1" x14ac:dyDescent="0.2">
      <c r="A59" s="173"/>
      <c r="B59" s="244"/>
      <c r="C59" s="244"/>
      <c r="D59" s="244"/>
      <c r="E59" s="338">
        <f>+BS!E11-CF!E57</f>
        <v>0</v>
      </c>
      <c r="F59" s="338"/>
      <c r="G59" s="338">
        <f>+G55+G53+G56-G57</f>
        <v>0</v>
      </c>
      <c r="H59" s="338"/>
      <c r="I59" s="338">
        <f>+I55+I53+I56-I57</f>
        <v>0</v>
      </c>
      <c r="J59" s="338"/>
      <c r="K59" s="338">
        <f>+K55+K53+K56-K57</f>
        <v>0</v>
      </c>
      <c r="L59" s="338"/>
      <c r="M59" s="338">
        <f>+M55+M53+M56-M57</f>
        <v>0</v>
      </c>
      <c r="N59" s="338">
        <f>+N55+N53+N56-N57</f>
        <v>0</v>
      </c>
      <c r="O59" s="338">
        <f>+O55+O53+O56-O57</f>
        <v>0</v>
      </c>
      <c r="P59" s="338">
        <f>+P55+P53+P56-P57</f>
        <v>0</v>
      </c>
      <c r="Q59" s="338">
        <f>+Q55+Q53+Q56-Q57</f>
        <v>0</v>
      </c>
      <c r="R59" s="338"/>
      <c r="S59" s="338">
        <f>+S55+S53+S56-S57</f>
        <v>0</v>
      </c>
      <c r="T59" s="338">
        <f>+T55+T53+T56-T57</f>
        <v>0</v>
      </c>
      <c r="U59" s="338">
        <f>+U55+U53+U56-U57</f>
        <v>0</v>
      </c>
      <c r="V59" s="338">
        <f>+V55+V53+V56-V57</f>
        <v>0</v>
      </c>
      <c r="W59" s="338">
        <f>+W55+W53+W56-W57</f>
        <v>0</v>
      </c>
      <c r="X59" s="338"/>
      <c r="Y59" s="338">
        <f>+Y55+Y53+Y56-Y57</f>
        <v>0</v>
      </c>
      <c r="Z59" s="338">
        <f>+Z55+Z53+Z56-Z57</f>
        <v>0</v>
      </c>
      <c r="AA59" s="338">
        <f>+AA55+AA53+AA56-AA57</f>
        <v>0</v>
      </c>
      <c r="AB59" s="338">
        <f>+AB55+AB53+AB56-AB57</f>
        <v>0</v>
      </c>
      <c r="AC59" s="338">
        <f>+AC55+AC53+AC56-AC57</f>
        <v>0</v>
      </c>
      <c r="AD59" s="338"/>
      <c r="AE59" s="338">
        <f>+AE55+AE53+AE56-AE57</f>
        <v>0</v>
      </c>
      <c r="AF59" s="338">
        <f>+AF55+AF53+AF56-AF57</f>
        <v>0</v>
      </c>
      <c r="AG59" s="338">
        <f>+AG55+AG53+AG56-AG57</f>
        <v>0</v>
      </c>
      <c r="AH59" s="338">
        <f>+AH55+AH53+AH56-AH57</f>
        <v>0</v>
      </c>
      <c r="AI59" s="338">
        <f>+AI55+AI53+AI56-AI57</f>
        <v>0</v>
      </c>
      <c r="AJ59" s="338"/>
      <c r="AK59" s="338">
        <f>+AK55+AK53+AK56-AK57</f>
        <v>0</v>
      </c>
      <c r="AL59" s="338">
        <f>+AL55+AL53+AL56-AL57</f>
        <v>0</v>
      </c>
      <c r="AM59" s="338">
        <f>+AM55+AM53+AM56-AM57</f>
        <v>0</v>
      </c>
      <c r="AN59" s="338">
        <f>+AN55+AN53+AN56-AN57</f>
        <v>0</v>
      </c>
      <c r="AO59" s="338">
        <f>+AO55+AO53+AO56-AO57</f>
        <v>0</v>
      </c>
      <c r="AP59" s="338"/>
      <c r="AQ59" s="338">
        <f>+AQ55+AQ53+AQ56-AQ57</f>
        <v>0</v>
      </c>
      <c r="AR59" s="338">
        <f>+AR55+AR53+AR56-AR57</f>
        <v>0</v>
      </c>
      <c r="AS59" s="338">
        <f>+AS55+AS53+AS56-AS57</f>
        <v>0</v>
      </c>
      <c r="AT59" s="338">
        <f>+AT55+AT53+AT56-AT57</f>
        <v>0</v>
      </c>
      <c r="AU59" s="338">
        <f>+AU55+AU53+AU56-AU57</f>
        <v>0</v>
      </c>
      <c r="AV59" s="338"/>
      <c r="AW59" s="338">
        <f>+AW55+AW53+AW56-AW57</f>
        <v>0</v>
      </c>
      <c r="AX59" s="338">
        <f>+AX55+AX53+AX56-AX57</f>
        <v>0</v>
      </c>
      <c r="AY59" s="338">
        <f>+AY55+AY53+AY56-AY57</f>
        <v>0</v>
      </c>
      <c r="AZ59" s="338">
        <f>+AZ55+AZ53+AZ56-AZ57</f>
        <v>2.2737367544323206E-13</v>
      </c>
      <c r="BA59" s="338">
        <f>+BA55+BA53+BA56-BA57</f>
        <v>0</v>
      </c>
      <c r="BB59" s="338"/>
      <c r="BC59" s="338">
        <f>+BC55+BC53+BC56-BC57</f>
        <v>0</v>
      </c>
      <c r="BD59" s="338">
        <f>+BD55+BD53+BD56-BD57</f>
        <v>0</v>
      </c>
      <c r="BE59" s="338">
        <f>+BE55+BE53+BE56-BE57</f>
        <v>0</v>
      </c>
      <c r="BF59" s="338">
        <f>+BF55+BF53+BF56-BF57</f>
        <v>0</v>
      </c>
      <c r="BG59" s="338">
        <f>+BG55+BG53+BG56-BG57</f>
        <v>0</v>
      </c>
      <c r="BH59" s="338"/>
      <c r="BI59" s="338">
        <f>+BI55+BI53+BI56-BI57</f>
        <v>0</v>
      </c>
      <c r="BJ59" s="338">
        <f>+BJ55+BJ53+BJ56-BJ57</f>
        <v>0</v>
      </c>
      <c r="BK59" s="338">
        <f>+BK55+BK53+BK56-BK57</f>
        <v>0</v>
      </c>
      <c r="BL59" s="338">
        <f>+BL55+BL53+BL56-BL57</f>
        <v>0</v>
      </c>
      <c r="BM59" s="338">
        <f>+BM55+BM53+BM56-BM57</f>
        <v>0</v>
      </c>
      <c r="BN59" s="338"/>
      <c r="BO59" s="338">
        <f>+BO55+BO53+BO56-BO57</f>
        <v>0</v>
      </c>
      <c r="BP59" s="338">
        <f>+BP55+BP53+BP56-BP57</f>
        <v>0</v>
      </c>
      <c r="BQ59" s="338">
        <f>+BQ55+BQ53+BQ56-BQ57</f>
        <v>0</v>
      </c>
      <c r="BR59" s="338">
        <f>+BR55+BR53+BR56-BR57</f>
        <v>0</v>
      </c>
      <c r="BS59" s="338">
        <f>+BS55+BS53+BS56-BS57</f>
        <v>0</v>
      </c>
      <c r="BT59" s="338"/>
      <c r="BU59" s="338">
        <f>+BU55+BU53+BU56-BU57</f>
        <v>0</v>
      </c>
      <c r="BV59" s="338">
        <f>+BV55+BV53+BV56-BV57</f>
        <v>0</v>
      </c>
      <c r="BW59" s="338">
        <f>+BW55+BW53+BW56-BW57</f>
        <v>0</v>
      </c>
      <c r="BX59" s="338">
        <f>+BX55+BX53+BX56-BX57</f>
        <v>0</v>
      </c>
      <c r="BY59" s="338">
        <f>+BY55+BY53+BY56-BY57</f>
        <v>0</v>
      </c>
      <c r="BZ59" s="338"/>
      <c r="CA59" s="338">
        <f>+CA55+CA53+CA56-CA57</f>
        <v>0</v>
      </c>
      <c r="CB59" s="338">
        <f>+CB55+CB53+CB56-CB57</f>
        <v>0</v>
      </c>
      <c r="CC59" s="338">
        <f>+CC55+CC53+CC56-CC57</f>
        <v>0</v>
      </c>
      <c r="CD59" s="338">
        <f>+CD55+CD53+CD56-CD57</f>
        <v>0</v>
      </c>
      <c r="CE59" s="338">
        <f>+CE55+CE53+CE56-CE57</f>
        <v>0</v>
      </c>
      <c r="CF59" s="338"/>
      <c r="CG59" s="338">
        <f>+CG55+CG53+CG56-CG57</f>
        <v>0</v>
      </c>
      <c r="CH59" s="338">
        <f>+CH55+CH53+CH56-CH57</f>
        <v>0</v>
      </c>
      <c r="CI59" s="338">
        <f>+CI55+CI53+CI56-CI57</f>
        <v>0</v>
      </c>
      <c r="CJ59" s="338">
        <f>+CJ55+CJ53+CJ56-CJ57</f>
        <v>0</v>
      </c>
      <c r="CK59" s="338">
        <f>+CK55+CK53+CK56-CK57</f>
        <v>0</v>
      </c>
      <c r="CL59" s="338"/>
      <c r="CM59" s="338">
        <f>+CM55+CM53+CM56-CM57</f>
        <v>0</v>
      </c>
      <c r="CN59" s="338">
        <f>+CN55+CN53+CN56-CN57</f>
        <v>0</v>
      </c>
      <c r="CO59" s="338">
        <f>+CO55+CO53+CO56-CO57</f>
        <v>0</v>
      </c>
      <c r="CP59" s="338">
        <f>+CP55+CP53+CP56-CP57</f>
        <v>0</v>
      </c>
      <c r="CQ59" s="338">
        <f>+CQ55+CQ53+CQ56-CQ57</f>
        <v>0</v>
      </c>
      <c r="CR59" s="338"/>
      <c r="CS59" s="338">
        <f>+CS55+CS53+CS56-CS57</f>
        <v>0</v>
      </c>
      <c r="CT59" s="338">
        <f>+CT55+CT53+CT56-CT57</f>
        <v>0</v>
      </c>
      <c r="CU59" s="338">
        <f>+CU55+CU53+CU56-CU57</f>
        <v>0</v>
      </c>
      <c r="CV59" s="338">
        <f>+CV55+CV53+CV56-CV57</f>
        <v>0</v>
      </c>
      <c r="CW59" s="338">
        <f>+CW55+CW53+CW56-CW57</f>
        <v>0</v>
      </c>
      <c r="CX59" s="338"/>
      <c r="CY59" s="338">
        <f>+CY55+CY53+CY56-CY57</f>
        <v>0</v>
      </c>
      <c r="CZ59" s="338">
        <f>+CZ55+CZ53+CZ56-CZ57</f>
        <v>0</v>
      </c>
      <c r="DA59" s="338">
        <f>+DA55+DA53+DA56-DA57</f>
        <v>0</v>
      </c>
      <c r="DB59" s="338">
        <f>+DB55+DB53+DB56-DB57</f>
        <v>0</v>
      </c>
      <c r="DC59" s="338">
        <f>+DC55+DC53+DC56-DC57</f>
        <v>0</v>
      </c>
      <c r="DD59" s="338"/>
      <c r="DE59" s="338">
        <f>+DE55+DE53+DE56-DE57</f>
        <v>0</v>
      </c>
      <c r="DF59" s="338">
        <f>+DF55+DF53+DF56-DF57</f>
        <v>0</v>
      </c>
      <c r="DG59" s="338">
        <f>+DG55+DG53+DG56-DG57</f>
        <v>0</v>
      </c>
      <c r="DH59" s="338">
        <f>+DH55+DH53+DH56-DH57</f>
        <v>0</v>
      </c>
      <c r="DI59" s="338">
        <f>+DI55+DI53+DI56-DI57</f>
        <v>0</v>
      </c>
      <c r="DJ59" s="338"/>
      <c r="DK59" s="338">
        <f>+DK55+DK53+DK56-DK57</f>
        <v>0</v>
      </c>
      <c r="DL59" s="338">
        <f>+DL55+DL53+DL56-DL57</f>
        <v>0</v>
      </c>
      <c r="DM59" s="338">
        <f>+DM55+DM53+DM56-DM57</f>
        <v>0</v>
      </c>
      <c r="DN59" s="338">
        <f>+DN55+DN53+DN56-DN57</f>
        <v>0</v>
      </c>
      <c r="DO59" s="338">
        <f>+DO55+DO53+DO56-DO57</f>
        <v>0</v>
      </c>
      <c r="DP59" s="338"/>
      <c r="DQ59" s="338">
        <f>+DQ55+DQ53+DQ56-DQ57</f>
        <v>0</v>
      </c>
      <c r="DR59" s="338">
        <f>+DR55+DR53+DR56-DR57</f>
        <v>0</v>
      </c>
      <c r="DS59" s="338">
        <f>+DS55+DS53+DS56-DS57</f>
        <v>0</v>
      </c>
      <c r="DT59" s="338">
        <f>+DT55+DT53+DT56-DT57</f>
        <v>0</v>
      </c>
      <c r="DU59" s="338">
        <f>+DU55+DU53+DU56-DU57</f>
        <v>0</v>
      </c>
      <c r="DV59" s="338"/>
      <c r="DW59" s="338">
        <f>+DW55+DW53+DW56-DW57</f>
        <v>0</v>
      </c>
      <c r="DX59" s="338">
        <f>+DX55+DX53+DX56-DX57</f>
        <v>0</v>
      </c>
      <c r="DY59" s="338">
        <f>+DY55+DY53+DY56-DY57</f>
        <v>0</v>
      </c>
      <c r="DZ59" s="338">
        <f>+DZ55+DZ53+DZ56-DZ57</f>
        <v>0</v>
      </c>
      <c r="EA59" s="338">
        <f>+EA55+EA53+EA56-EA57</f>
        <v>0</v>
      </c>
      <c r="EB59" s="338"/>
      <c r="EC59" s="338">
        <f t="shared" ref="EC59:EG59" si="219">+EC55+EC53+EC56-EC57</f>
        <v>0</v>
      </c>
      <c r="ED59" s="338">
        <f t="shared" si="219"/>
        <v>0</v>
      </c>
      <c r="EE59" s="338">
        <f t="shared" si="219"/>
        <v>0</v>
      </c>
      <c r="EF59" s="338">
        <f t="shared" si="219"/>
        <v>0</v>
      </c>
      <c r="EG59" s="338">
        <f t="shared" si="219"/>
        <v>0</v>
      </c>
      <c r="EH59" s="68"/>
      <c r="EI59" s="126"/>
      <c r="EJ59" s="27"/>
      <c r="EK59" s="27"/>
      <c r="EL59" s="27"/>
    </row>
    <row r="60" spans="1:142" ht="12.75" customHeight="1" x14ac:dyDescent="0.2">
      <c r="A60" s="106" t="s">
        <v>250</v>
      </c>
      <c r="B60" s="239"/>
      <c r="C60" s="239"/>
      <c r="D60" s="239"/>
      <c r="E60" s="240"/>
      <c r="F60" s="240"/>
      <c r="G60" s="240"/>
      <c r="H60" s="240"/>
      <c r="I60" s="240"/>
      <c r="J60" s="240"/>
      <c r="K60" s="240"/>
      <c r="L60" s="240"/>
      <c r="M60" s="241"/>
      <c r="N60" s="241"/>
      <c r="O60" s="241"/>
      <c r="P60" s="241"/>
      <c r="Q60" s="240"/>
      <c r="R60" s="240"/>
      <c r="S60" s="241"/>
      <c r="T60" s="241"/>
      <c r="U60" s="241"/>
      <c r="V60" s="241"/>
      <c r="W60" s="240"/>
      <c r="X60" s="240"/>
      <c r="Y60" s="241"/>
      <c r="Z60" s="241"/>
      <c r="AA60" s="241"/>
      <c r="AB60" s="241"/>
      <c r="AC60" s="240"/>
      <c r="AD60" s="240"/>
      <c r="AE60" s="241"/>
      <c r="AF60" s="241"/>
      <c r="AG60" s="241"/>
      <c r="AH60" s="241"/>
      <c r="AI60" s="240"/>
      <c r="AJ60" s="240"/>
      <c r="AK60" s="241"/>
      <c r="AL60" s="241"/>
      <c r="AM60" s="241"/>
      <c r="AN60" s="241"/>
      <c r="AO60" s="240"/>
      <c r="AP60" s="240"/>
      <c r="AQ60" s="241"/>
      <c r="AR60" s="241"/>
      <c r="AS60" s="241"/>
      <c r="AT60" s="241"/>
      <c r="AU60" s="240"/>
      <c r="AV60" s="240"/>
      <c r="AW60" s="241"/>
      <c r="AX60" s="242"/>
      <c r="AY60" s="242"/>
      <c r="AZ60" s="242"/>
      <c r="BA60" s="240"/>
      <c r="BB60" s="240"/>
      <c r="BC60" s="242"/>
      <c r="BD60" s="242"/>
      <c r="BE60" s="242"/>
      <c r="BF60" s="242"/>
      <c r="BG60" s="240"/>
      <c r="BH60" s="240"/>
      <c r="BI60" s="242"/>
      <c r="BJ60" s="242"/>
      <c r="BK60" s="242"/>
      <c r="BL60" s="242"/>
      <c r="BM60" s="240"/>
      <c r="BN60" s="240"/>
      <c r="BO60" s="242"/>
      <c r="BP60" s="242"/>
      <c r="BQ60" s="242"/>
      <c r="BR60" s="242"/>
      <c r="BS60" s="240"/>
      <c r="BT60" s="240"/>
      <c r="BU60" s="242"/>
      <c r="BV60" s="242"/>
      <c r="BW60" s="242"/>
      <c r="BX60" s="242"/>
      <c r="BY60" s="240"/>
      <c r="BZ60" s="240"/>
      <c r="CA60" s="242"/>
      <c r="CB60" s="242"/>
      <c r="CC60" s="242"/>
      <c r="CD60" s="242"/>
      <c r="CE60" s="240"/>
      <c r="CF60" s="240"/>
      <c r="CG60" s="242"/>
      <c r="CH60" s="242"/>
      <c r="CI60" s="242"/>
      <c r="CJ60" s="242"/>
      <c r="CK60" s="240"/>
      <c r="CL60" s="240"/>
      <c r="CM60" s="242"/>
      <c r="CN60" s="242"/>
      <c r="CO60" s="242"/>
      <c r="CP60" s="242"/>
      <c r="CQ60" s="240"/>
      <c r="CR60" s="240"/>
      <c r="CS60" s="242"/>
      <c r="CT60" s="242"/>
      <c r="CU60" s="242"/>
      <c r="CV60" s="242"/>
      <c r="CW60" s="240"/>
      <c r="CX60" s="240"/>
      <c r="CY60" s="242"/>
      <c r="CZ60" s="242"/>
      <c r="DA60" s="242"/>
      <c r="DB60" s="242"/>
      <c r="DC60" s="240"/>
      <c r="DD60" s="240"/>
      <c r="DE60" s="242"/>
      <c r="DF60" s="242"/>
      <c r="DG60" s="243"/>
      <c r="DH60" s="242"/>
      <c r="DI60" s="240"/>
      <c r="DJ60" s="240"/>
      <c r="DK60" s="240"/>
      <c r="DL60" s="240"/>
      <c r="DM60" s="240"/>
      <c r="DN60" s="240"/>
      <c r="DO60" s="240"/>
      <c r="DP60" s="240"/>
      <c r="DQ60" s="240"/>
      <c r="DR60" s="240"/>
      <c r="DS60" s="240"/>
      <c r="DT60" s="240"/>
      <c r="DU60" s="240"/>
      <c r="DV60" s="240"/>
      <c r="DW60" s="240"/>
      <c r="DX60" s="240"/>
      <c r="DY60" s="240"/>
      <c r="DZ60" s="240"/>
      <c r="EA60" s="240"/>
      <c r="EB60" s="240"/>
      <c r="EC60" s="240"/>
      <c r="ED60" s="240"/>
      <c r="EE60" s="240"/>
      <c r="EF60" s="240"/>
      <c r="EG60" s="240"/>
      <c r="EH60" s="68"/>
      <c r="EI60" s="126"/>
      <c r="EJ60" s="27"/>
      <c r="EK60" s="27"/>
      <c r="EL60" s="27"/>
    </row>
    <row r="61" spans="1:142" ht="12.75" customHeight="1" x14ac:dyDescent="0.2">
      <c r="A61" s="51" t="s">
        <v>287</v>
      </c>
      <c r="B61" s="19"/>
      <c r="C61" s="19"/>
      <c r="D61" s="19"/>
      <c r="E61" s="141">
        <f>+E76</f>
        <v>215.45000000000002</v>
      </c>
      <c r="F61" s="67"/>
      <c r="G61" s="141">
        <f>+G76</f>
        <v>251.06800000000001</v>
      </c>
      <c r="H61" s="67"/>
      <c r="I61" s="141">
        <f>+I76</f>
        <v>330.19800000000004</v>
      </c>
      <c r="J61" s="67"/>
      <c r="K61" s="141">
        <f>+K76</f>
        <v>423.74199999999996</v>
      </c>
      <c r="L61" s="68"/>
      <c r="M61" s="137">
        <f>+M76</f>
        <v>152.58999999999997</v>
      </c>
      <c r="N61" s="138">
        <f>+N76</f>
        <v>119.245</v>
      </c>
      <c r="O61" s="138">
        <f>+O76</f>
        <v>101.27</v>
      </c>
      <c r="P61" s="138">
        <f>+P76</f>
        <v>154.78100000000006</v>
      </c>
      <c r="Q61" s="141">
        <f>+Q76</f>
        <v>527.88599999999997</v>
      </c>
      <c r="R61" s="68"/>
      <c r="S61" s="137">
        <f>+S76</f>
        <v>253.233</v>
      </c>
      <c r="T61" s="138">
        <f>+T76</f>
        <v>123.70700000000002</v>
      </c>
      <c r="U61" s="138">
        <f>+U76</f>
        <v>162.83099999999996</v>
      </c>
      <c r="V61" s="138">
        <f>+V76</f>
        <v>131.61199999999999</v>
      </c>
      <c r="W61" s="141">
        <f>+W76</f>
        <v>671.38299999999992</v>
      </c>
      <c r="X61" s="68"/>
      <c r="Y61" s="137">
        <f>+Y76</f>
        <v>204.42200000000003</v>
      </c>
      <c r="Z61" s="138">
        <f>+Z76</f>
        <v>214.011</v>
      </c>
      <c r="AA61" s="138">
        <f>+AA76</f>
        <v>156.79300000000006</v>
      </c>
      <c r="AB61" s="138">
        <f>+AB76</f>
        <v>218.90099999999995</v>
      </c>
      <c r="AC61" s="141">
        <f>+AC76</f>
        <v>794.12700000000007</v>
      </c>
      <c r="AD61" s="68"/>
      <c r="AE61" s="137">
        <f>+AE76</f>
        <v>239.142</v>
      </c>
      <c r="AF61" s="138">
        <f>+AF76</f>
        <v>227.684</v>
      </c>
      <c r="AG61" s="138">
        <f>+AG76</f>
        <v>258.67899999999997</v>
      </c>
      <c r="AH61" s="138">
        <f>+AH76</f>
        <v>222.69899999999987</v>
      </c>
      <c r="AI61" s="141">
        <f>+AI76</f>
        <v>948.20399999999995</v>
      </c>
      <c r="AJ61" s="68"/>
      <c r="AK61" s="137">
        <f>+AK76</f>
        <v>292.41599999999994</v>
      </c>
      <c r="AL61" s="138">
        <f>+AL76</f>
        <v>254.26500000000007</v>
      </c>
      <c r="AM61" s="138">
        <f>+AM76</f>
        <v>284.11399999999998</v>
      </c>
      <c r="AN61" s="138">
        <f>+AN76</f>
        <v>270.58299999999997</v>
      </c>
      <c r="AO61" s="141">
        <f>+AO76</f>
        <v>1101.3779999999999</v>
      </c>
      <c r="AP61" s="68"/>
      <c r="AQ61" s="137">
        <f>+AQ76</f>
        <v>310.291</v>
      </c>
      <c r="AR61" s="138">
        <f>+AR76</f>
        <v>285.16600000000005</v>
      </c>
      <c r="AS61" s="138">
        <f>+AS76</f>
        <v>397.1760000000001</v>
      </c>
      <c r="AT61" s="138">
        <f>+AT76</f>
        <v>426.89999999999986</v>
      </c>
      <c r="AU61" s="141">
        <f>+AU76</f>
        <v>1419.5330000000001</v>
      </c>
      <c r="AV61" s="68"/>
      <c r="AW61" s="137">
        <f>+AW76</f>
        <v>291.69600000000003</v>
      </c>
      <c r="AX61" s="138">
        <f>+AX76</f>
        <v>341.32499999999993</v>
      </c>
      <c r="AY61" s="138">
        <f>+AY76</f>
        <v>355.37200000000001</v>
      </c>
      <c r="AZ61" s="138">
        <f>+AZ76</f>
        <v>510.84800000000007</v>
      </c>
      <c r="BA61" s="141">
        <f>+BA76</f>
        <v>1499.2410000000002</v>
      </c>
      <c r="BB61" s="68"/>
      <c r="BC61" s="137">
        <f>+BC76</f>
        <v>294.42</v>
      </c>
      <c r="BD61" s="138">
        <f>+BD76</f>
        <v>536.51199999999994</v>
      </c>
      <c r="BE61" s="138">
        <f>+BE76</f>
        <v>401.47700000000003</v>
      </c>
      <c r="BF61" s="138">
        <f>+BF76</f>
        <v>433.92500000000018</v>
      </c>
      <c r="BG61" s="141">
        <f>+BG76</f>
        <v>1666.3340000000001</v>
      </c>
      <c r="BH61" s="68"/>
      <c r="BI61" s="137">
        <f>+BI76</f>
        <v>280.60499999999996</v>
      </c>
      <c r="BJ61" s="138">
        <f>+BJ76</f>
        <v>439.9620000000001</v>
      </c>
      <c r="BK61" s="138">
        <f>+BK76</f>
        <v>472.89799999999991</v>
      </c>
      <c r="BL61" s="138">
        <f>+BL76</f>
        <v>424.91200000000015</v>
      </c>
      <c r="BM61" s="141">
        <f>+BM76</f>
        <v>1618.3770000000002</v>
      </c>
      <c r="BN61" s="68"/>
      <c r="BO61" s="137">
        <f>+BO76</f>
        <v>358.21299999999997</v>
      </c>
      <c r="BP61" s="138">
        <f>+BP76</f>
        <v>468.81799999999993</v>
      </c>
      <c r="BQ61" s="138">
        <f>+BQ76</f>
        <v>509.8660000000001</v>
      </c>
      <c r="BR61" s="138">
        <f>+BR76</f>
        <v>490.69100000000003</v>
      </c>
      <c r="BS61" s="141">
        <f>+BS76</f>
        <v>1827.5879999999997</v>
      </c>
      <c r="BT61" s="68"/>
      <c r="BU61" s="137">
        <f>+BU76</f>
        <v>387.97300000000001</v>
      </c>
      <c r="BV61" s="138">
        <f>+BV76</f>
        <v>734.58800000000008</v>
      </c>
      <c r="BW61" s="138">
        <f>+BW76</f>
        <v>578.45999999999992</v>
      </c>
      <c r="BX61" s="138">
        <f>+BX76</f>
        <v>696.57900000000018</v>
      </c>
      <c r="BY61" s="141">
        <f>+BY76</f>
        <v>2397.6</v>
      </c>
      <c r="BZ61" s="68"/>
      <c r="CA61" s="137">
        <f>+CA76</f>
        <v>533.6</v>
      </c>
      <c r="CB61" s="138">
        <f>+CB76</f>
        <v>933.8</v>
      </c>
      <c r="CC61" s="138">
        <f>+CC76</f>
        <v>870.50000000000011</v>
      </c>
      <c r="CD61" s="138">
        <f>+CD76</f>
        <v>705.89999999999986</v>
      </c>
      <c r="CE61" s="141">
        <f>+CE76</f>
        <v>3043.7999999999993</v>
      </c>
      <c r="CF61" s="68"/>
      <c r="CG61" s="137">
        <f>+CG76</f>
        <v>520.20000000000005</v>
      </c>
      <c r="CH61" s="138">
        <f>+CH76</f>
        <v>763</v>
      </c>
      <c r="CI61" s="138">
        <f>+CI76</f>
        <v>832.09999999999991</v>
      </c>
      <c r="CJ61" s="138">
        <f>+CJ76</f>
        <v>918.49999999999977</v>
      </c>
      <c r="CK61" s="141">
        <f>+CK76</f>
        <v>3033.7999999999997</v>
      </c>
      <c r="CL61" s="68"/>
      <c r="CM61" s="137">
        <f>+CM76</f>
        <v>380.30000000000007</v>
      </c>
      <c r="CN61" s="138">
        <f>+CN76</f>
        <v>843.99999999999989</v>
      </c>
      <c r="CO61" s="138">
        <f>+CO76</f>
        <v>817.2</v>
      </c>
      <c r="CP61" s="138">
        <f>+CP76</f>
        <v>995.90000000000032</v>
      </c>
      <c r="CQ61" s="141">
        <f>+CQ76</f>
        <v>3037.4</v>
      </c>
      <c r="CR61" s="68"/>
      <c r="CS61" s="137">
        <f>+CS76</f>
        <v>412.59999999999991</v>
      </c>
      <c r="CT61" s="138">
        <f>+CT76</f>
        <v>965.09999999999991</v>
      </c>
      <c r="CU61" s="138">
        <f>+CU76</f>
        <v>159.20000000000027</v>
      </c>
      <c r="CV61" s="138">
        <f>+CV76</f>
        <v>782.39999999999986</v>
      </c>
      <c r="CW61" s="141">
        <f>+CW76</f>
        <v>2319.2999999999997</v>
      </c>
      <c r="CX61" s="68"/>
      <c r="CY61" s="137">
        <f>+CY76</f>
        <v>621.79999999999995</v>
      </c>
      <c r="CZ61" s="138">
        <f>+CZ76</f>
        <v>1097.8999999999996</v>
      </c>
      <c r="DA61" s="138">
        <f>+DA76</f>
        <v>296.70000000000016</v>
      </c>
      <c r="DB61" s="138">
        <f>+DB76</f>
        <v>481.49999999999977</v>
      </c>
      <c r="DC61" s="141">
        <f>+DC76</f>
        <v>2497.8999999999992</v>
      </c>
      <c r="DD61" s="68"/>
      <c r="DE61" s="137">
        <f>+DE76</f>
        <v>401.6</v>
      </c>
      <c r="DF61" s="138">
        <f>+DF76</f>
        <v>862.6</v>
      </c>
      <c r="DG61" s="138">
        <f>+DG76</f>
        <v>933.10000000000014</v>
      </c>
      <c r="DH61" s="138">
        <f>+DH76</f>
        <v>660.89999999999986</v>
      </c>
      <c r="DI61" s="141">
        <f>+DI76</f>
        <v>2858.2</v>
      </c>
      <c r="DJ61" s="68"/>
      <c r="DK61" s="137">
        <f>+DK76</f>
        <v>909.5146175485736</v>
      </c>
      <c r="DL61" s="138">
        <f>+DL76</f>
        <v>1058.2526141533735</v>
      </c>
      <c r="DM61" s="138">
        <f>+DM76</f>
        <v>697.75614497073241</v>
      </c>
      <c r="DN61" s="138">
        <f>+DN76</f>
        <v>979.39281224829392</v>
      </c>
      <c r="DO61" s="141">
        <f>+DO76</f>
        <v>3644.9161889209745</v>
      </c>
      <c r="DP61" s="68"/>
      <c r="DQ61" s="137">
        <f>+DQ76</f>
        <v>910.36484256449444</v>
      </c>
      <c r="DR61" s="138">
        <f>+DR76</f>
        <v>1136.2643923778992</v>
      </c>
      <c r="DS61" s="138">
        <f>+DS76</f>
        <v>737.52337764146534</v>
      </c>
      <c r="DT61" s="138">
        <f>+DT76</f>
        <v>1034.003268626994</v>
      </c>
      <c r="DU61" s="141">
        <f>+DU76</f>
        <v>3818.1558812108528</v>
      </c>
      <c r="DV61" s="68"/>
      <c r="DW61" s="137">
        <f>+DW76</f>
        <v>1122.655082531267</v>
      </c>
      <c r="DX61" s="138">
        <f>+DX76</f>
        <v>1235.9365988991933</v>
      </c>
      <c r="DY61" s="138">
        <f>+DY76</f>
        <v>803.94640130721939</v>
      </c>
      <c r="DZ61" s="138">
        <f>+DZ76</f>
        <v>1283.795108273958</v>
      </c>
      <c r="EA61" s="141">
        <f>+EA76</f>
        <v>4446.3331910116367</v>
      </c>
      <c r="EB61" s="68"/>
      <c r="EC61" s="137">
        <f t="shared" ref="EC61:EG61" si="220">+EC76</f>
        <v>1352.7607126589432</v>
      </c>
      <c r="ED61" s="138">
        <f t="shared" si="220"/>
        <v>1519.3557344306585</v>
      </c>
      <c r="EE61" s="138">
        <f t="shared" si="220"/>
        <v>1071.2705905860857</v>
      </c>
      <c r="EF61" s="138">
        <f t="shared" si="220"/>
        <v>1460.6935478030362</v>
      </c>
      <c r="EG61" s="141">
        <f t="shared" si="220"/>
        <v>5404.0805854787232</v>
      </c>
      <c r="EH61" s="67"/>
      <c r="EI61" s="1191"/>
      <c r="EJ61" s="27"/>
      <c r="EK61" s="27"/>
      <c r="EL61" s="27"/>
    </row>
    <row r="62" spans="1:142" ht="12.75" customHeight="1" x14ac:dyDescent="0.2">
      <c r="A62" s="51" t="s">
        <v>288</v>
      </c>
      <c r="B62" s="19"/>
      <c r="C62" s="19"/>
      <c r="D62" s="19"/>
      <c r="E62" s="95">
        <v>0.39107311406374795</v>
      </c>
      <c r="F62" s="67"/>
      <c r="G62" s="95">
        <v>0.43592129845055461</v>
      </c>
      <c r="H62" s="67"/>
      <c r="I62" s="95">
        <v>0.56506307798670685</v>
      </c>
      <c r="J62" s="67"/>
      <c r="K62" s="95">
        <v>0.72808404181472031</v>
      </c>
      <c r="L62" s="68"/>
      <c r="M62" s="85">
        <v>0.25352903646006403</v>
      </c>
      <c r="N62" s="73">
        <v>0.19530175181142806</v>
      </c>
      <c r="O62" s="73">
        <v>0.16634581269136256</v>
      </c>
      <c r="P62" s="73">
        <v>0.25544116870428568</v>
      </c>
      <c r="Q62" s="95">
        <v>0.87119101687306899</v>
      </c>
      <c r="R62" s="68"/>
      <c r="S62" s="85">
        <v>0.41129550947220705</v>
      </c>
      <c r="T62" s="73">
        <v>0.19323783935768071</v>
      </c>
      <c r="U62" s="73">
        <v>0.25504351203864389</v>
      </c>
      <c r="V62" s="73">
        <v>0.20614493988509563</v>
      </c>
      <c r="W62" s="95">
        <v>1.0590839969207859</v>
      </c>
      <c r="X62" s="68"/>
      <c r="Y62" s="85">
        <v>0.31808336497227185</v>
      </c>
      <c r="Z62" s="73">
        <v>0.33190085669443736</v>
      </c>
      <c r="AA62" s="73">
        <v>0.24230702659932879</v>
      </c>
      <c r="AB62" s="73">
        <v>0.33870922819830407</v>
      </c>
      <c r="AC62" s="95">
        <v>1.2287661694621528</v>
      </c>
      <c r="AD62" s="68"/>
      <c r="AE62" s="85">
        <v>0.36535664523698941</v>
      </c>
      <c r="AF62" s="73">
        <v>0.34785132855850792</v>
      </c>
      <c r="AG62" s="73">
        <v>0.39436742111248996</v>
      </c>
      <c r="AH62" s="73">
        <v>0.33978993045489614</v>
      </c>
      <c r="AI62" s="95">
        <v>1.4467517645658694</v>
      </c>
      <c r="AJ62" s="68"/>
      <c r="AK62" s="85">
        <v>0.44387504174382941</v>
      </c>
      <c r="AL62" s="73">
        <v>0.38674541560701392</v>
      </c>
      <c r="AM62" s="73">
        <v>0.43227428056733008</v>
      </c>
      <c r="AN62" s="73">
        <v>0.41602936066445872</v>
      </c>
      <c r="AO62" s="95">
        <v>1.6790169002661721</v>
      </c>
      <c r="AP62" s="68"/>
      <c r="AQ62" s="85">
        <v>0.47877763890817632</v>
      </c>
      <c r="AR62" s="73">
        <v>0.44006691296068257</v>
      </c>
      <c r="AS62" s="73">
        <v>0.60965561279310376</v>
      </c>
      <c r="AT62" s="73">
        <v>0.65231542178174229</v>
      </c>
      <c r="AU62" s="95">
        <v>2.1822115842841376</v>
      </c>
      <c r="AV62" s="68"/>
      <c r="AW62" s="85">
        <v>0.4447263302332673</v>
      </c>
      <c r="AX62" s="73">
        <v>0.52073162545463414</v>
      </c>
      <c r="AY62" s="73">
        <v>0.54150108491601046</v>
      </c>
      <c r="AZ62" s="73">
        <v>0.76471275070132017</v>
      </c>
      <c r="BA62" s="95">
        <v>2.2753073978856251</v>
      </c>
      <c r="BB62" s="68"/>
      <c r="BC62" s="85">
        <v>0.43815890515337502</v>
      </c>
      <c r="BD62" s="73">
        <v>0.7970738461629886</v>
      </c>
      <c r="BE62" s="73">
        <v>0.595073428708639</v>
      </c>
      <c r="BF62" s="73">
        <v>0.65038085331526763</v>
      </c>
      <c r="BG62" s="95">
        <v>2.4806751562392999</v>
      </c>
      <c r="BH62" s="68"/>
      <c r="BI62" s="85">
        <v>0.42072112054359911</v>
      </c>
      <c r="BJ62" s="73">
        <v>0.6575626233036409</v>
      </c>
      <c r="BK62" s="73">
        <v>0.70315641095792636</v>
      </c>
      <c r="BL62" s="73">
        <v>0.63103243435903544</v>
      </c>
      <c r="BM62" s="95">
        <v>2.4101497578497777</v>
      </c>
      <c r="BN62" s="68"/>
      <c r="BO62" s="85">
        <v>0.52668932926739609</v>
      </c>
      <c r="BP62" s="73">
        <v>0.68707590666209406</v>
      </c>
      <c r="BQ62" s="73">
        <v>0.74603873690248179</v>
      </c>
      <c r="BR62" s="73">
        <v>0.71403667308394714</v>
      </c>
      <c r="BS62" s="95">
        <v>2.6747473564816504</v>
      </c>
      <c r="BT62" s="68"/>
      <c r="BU62" s="85">
        <v>0.56364552945688684</v>
      </c>
      <c r="BV62" s="73">
        <v>1.0575713469210293</v>
      </c>
      <c r="BW62" s="73">
        <v>0.81427021000755895</v>
      </c>
      <c r="BX62" s="73">
        <v>0.97916643238684309</v>
      </c>
      <c r="BY62" s="95">
        <v>3.4192812321734167</v>
      </c>
      <c r="BZ62" s="68"/>
      <c r="CA62" s="85">
        <v>0.7473389355742297</v>
      </c>
      <c r="CB62" s="73">
        <v>1.3061966708630577</v>
      </c>
      <c r="CC62" s="73">
        <v>1.2193584535649253</v>
      </c>
      <c r="CD62" s="73">
        <v>0.99478579481397944</v>
      </c>
      <c r="CE62" s="95">
        <v>4.2684055532183409</v>
      </c>
      <c r="CF62" s="68"/>
      <c r="CG62" s="85">
        <v>0.73433088650479961</v>
      </c>
      <c r="CH62" s="73">
        <v>1.0749506903353059</v>
      </c>
      <c r="CI62" s="73">
        <v>1.168843938755443</v>
      </c>
      <c r="CJ62" s="73">
        <v>1.286775007004763</v>
      </c>
      <c r="CK62" s="95">
        <v>4.2669479606188467</v>
      </c>
      <c r="CL62" s="68"/>
      <c r="CM62" s="85">
        <v>0.53203693340794644</v>
      </c>
      <c r="CN62" s="73">
        <v>1.1794298490776969</v>
      </c>
      <c r="CO62" s="73">
        <v>1.14102206087685</v>
      </c>
      <c r="CP62" s="73">
        <v>1.3878205128205132</v>
      </c>
      <c r="CQ62" s="95">
        <v>4.241586370618629</v>
      </c>
      <c r="CR62" s="68"/>
      <c r="CS62" s="85">
        <f>+CS61/'Pro Forma IS'!CS41</f>
        <v>0.57409211075553068</v>
      </c>
      <c r="CT62" s="73">
        <f>+CT61/'Pro Forma IS'!CT41</f>
        <v>1.3411617565314062</v>
      </c>
      <c r="CU62" s="73">
        <f>+CU61/'Pro Forma IS'!CU41</f>
        <v>0.22785172463145881</v>
      </c>
      <c r="CV62" s="73">
        <f>+CV61/'Pro Forma IS'!CV41</f>
        <v>1.1223640797590013</v>
      </c>
      <c r="CW62" s="95">
        <f>+CW61/'Pro Forma IS'!CW41</f>
        <v>3.2735356386732528</v>
      </c>
      <c r="CX62" s="68"/>
      <c r="CY62" s="85">
        <f>+CY61/'Pro Forma IS'!CY41</f>
        <v>0.89198106440969727</v>
      </c>
      <c r="CZ62" s="73">
        <f>+CZ61/'Pro Forma IS'!CZ41</f>
        <v>1.5708971240520815</v>
      </c>
      <c r="DA62" s="73">
        <f>+DA61/'Pro Forma IS'!DA41</f>
        <v>0.42307143875659514</v>
      </c>
      <c r="DB62" s="73">
        <f>+DB61/'Pro Forma IS'!DB41</f>
        <v>0.68599515600512861</v>
      </c>
      <c r="DC62" s="95">
        <f>+DC61/'Pro Forma IS'!DC41</f>
        <v>3.5694484138325224</v>
      </c>
      <c r="DD62" s="68"/>
      <c r="DE62" s="85">
        <f>+DE61/'Pro Forma IS'!DE41</f>
        <v>0.56908034575598698</v>
      </c>
      <c r="DF62" s="73">
        <f>+DF61/'Pro Forma IS'!DF41</f>
        <v>1.2228522823929686</v>
      </c>
      <c r="DG62" s="73">
        <f>+DG61/'Pro Forma IS'!DG41</f>
        <v>1.3224206349206351</v>
      </c>
      <c r="DH62" s="73">
        <f>+DH61/'Pro Forma IS'!DH41</f>
        <v>0.93400226116449947</v>
      </c>
      <c r="DI62" s="95">
        <f>+DI61/'Pro Forma IS'!DI41</f>
        <v>4.0478685738563938</v>
      </c>
      <c r="DJ62" s="68"/>
      <c r="DK62" s="85">
        <f>+DK61/'Pro Forma IS'!DK41</f>
        <v>1.2819092565871368</v>
      </c>
      <c r="DL62" s="73">
        <f>+DL61/'Pro Forma IS'!DL41</f>
        <v>1.4888190970081225</v>
      </c>
      <c r="DM62" s="73">
        <f>+DM61/'Pro Forma IS'!DM41</f>
        <v>0.97862011917353753</v>
      </c>
      <c r="DN62" s="73">
        <f>+DN61/'Pro Forma IS'!DN41</f>
        <v>1.3693971088482855</v>
      </c>
      <c r="DO62" s="95">
        <f>+DO61/'Pro Forma IS'!DO41</f>
        <v>5.1199834090756768</v>
      </c>
      <c r="DP62" s="68"/>
      <c r="DQ62" s="85">
        <f>+DQ61/'Pro Forma IS'!DQ41</f>
        <v>1.2689780353561395</v>
      </c>
      <c r="DR62" s="73">
        <f>+DR61/'Pro Forma IS'!DR41</f>
        <v>1.5790222239826281</v>
      </c>
      <c r="DS62" s="73">
        <f>+DS61/'Pro Forma IS'!DS41</f>
        <v>1.0217835655880649</v>
      </c>
      <c r="DT62" s="73">
        <f>+DT61/'Pro Forma IS'!DT41</f>
        <v>1.4281813102582788</v>
      </c>
      <c r="DU62" s="95">
        <f>+DU61/'Pro Forma IS'!DU41</f>
        <v>5.2978435981835048</v>
      </c>
      <c r="DV62" s="68"/>
      <c r="DW62" s="85">
        <f>+DW61/'Pro Forma IS'!DW41</f>
        <v>1.5459309866858535</v>
      </c>
      <c r="DX62" s="73">
        <f>+DX61/'Pro Forma IS'!DX41</f>
        <v>1.6967828101306877</v>
      </c>
      <c r="DY62" s="73">
        <f>+DY61/'Pro Forma IS'!DY41</f>
        <v>1.1003920083591829</v>
      </c>
      <c r="DZ62" s="73">
        <f>+DZ61/'Pro Forma IS'!DZ41</f>
        <v>1.7519038049590032</v>
      </c>
      <c r="EA62" s="95">
        <f>+EA61/'Pro Forma IS'!EA41</f>
        <v>6.0950420712976507</v>
      </c>
      <c r="EB62" s="68"/>
      <c r="EC62" s="85">
        <f>+EC61/'Pro Forma IS'!EC41</f>
        <v>1.8404907655223715</v>
      </c>
      <c r="ED62" s="73">
        <f>+ED61/'Pro Forma IS'!ED41</f>
        <v>2.0609817341707246</v>
      </c>
      <c r="EE62" s="73">
        <f>+EE61/'Pro Forma IS'!EE41</f>
        <v>1.4488376935164802</v>
      </c>
      <c r="EF62" s="73">
        <f>+EF61/'Pro Forma IS'!EF41</f>
        <v>1.9696514938012886</v>
      </c>
      <c r="EG62" s="95">
        <f>+EG61/'Pro Forma IS'!EG41</f>
        <v>7.3196269612335376</v>
      </c>
      <c r="EH62" s="73"/>
      <c r="EI62" s="126"/>
      <c r="EJ62" s="27"/>
      <c r="EK62" s="27"/>
      <c r="EL62" s="27"/>
    </row>
    <row r="63" spans="1:142" ht="12.75" customHeight="1" x14ac:dyDescent="0.2">
      <c r="A63" s="51" t="s">
        <v>714</v>
      </c>
      <c r="B63" s="19"/>
      <c r="C63" s="19"/>
      <c r="D63" s="19"/>
      <c r="E63" s="95"/>
      <c r="F63" s="67"/>
      <c r="G63" s="95"/>
      <c r="H63" s="67"/>
      <c r="I63" s="95"/>
      <c r="J63" s="67"/>
      <c r="K63" s="95"/>
      <c r="L63" s="68"/>
      <c r="M63" s="85"/>
      <c r="N63" s="73"/>
      <c r="O63" s="73"/>
      <c r="P63" s="73"/>
      <c r="Q63" s="95"/>
      <c r="R63" s="68"/>
      <c r="S63" s="85"/>
      <c r="T63" s="73"/>
      <c r="U63" s="73"/>
      <c r="V63" s="73"/>
      <c r="W63" s="95"/>
      <c r="X63" s="68"/>
      <c r="Y63" s="85"/>
      <c r="Z63" s="73"/>
      <c r="AA63" s="73"/>
      <c r="AB63" s="73"/>
      <c r="AC63" s="95"/>
      <c r="AD63" s="68"/>
      <c r="AE63" s="85"/>
      <c r="AF63" s="73"/>
      <c r="AG63" s="73"/>
      <c r="AH63" s="73"/>
      <c r="AI63" s="95"/>
      <c r="AJ63" s="68"/>
      <c r="AK63" s="85"/>
      <c r="AL63" s="73"/>
      <c r="AM63" s="73"/>
      <c r="AN63" s="73"/>
      <c r="AO63" s="95"/>
      <c r="AP63" s="68"/>
      <c r="AQ63" s="85"/>
      <c r="AR63" s="73"/>
      <c r="AS63" s="73"/>
      <c r="AT63" s="73"/>
      <c r="AU63" s="95"/>
      <c r="AV63" s="68"/>
      <c r="AW63" s="85"/>
      <c r="AX63" s="73"/>
      <c r="AY63" s="73"/>
      <c r="AZ63" s="73"/>
      <c r="BA63" s="95"/>
      <c r="BB63" s="68"/>
      <c r="BC63" s="85"/>
      <c r="BD63" s="73"/>
      <c r="BE63" s="73"/>
      <c r="BF63" s="73"/>
      <c r="BG63" s="95"/>
      <c r="BH63" s="68"/>
      <c r="BI63" s="85"/>
      <c r="BJ63" s="73"/>
      <c r="BK63" s="73"/>
      <c r="BL63" s="73"/>
      <c r="BM63" s="95"/>
      <c r="BN63" s="68"/>
      <c r="BO63" s="85"/>
      <c r="BP63" s="73"/>
      <c r="BQ63" s="73"/>
      <c r="BR63" s="73"/>
      <c r="BS63" s="95"/>
      <c r="BT63" s="68"/>
      <c r="BU63" s="85"/>
      <c r="BV63" s="73"/>
      <c r="BW63" s="73"/>
      <c r="BX63" s="73"/>
      <c r="BY63" s="792">
        <f>+BY62/BS62-1</f>
        <v>0.27835671054597189</v>
      </c>
      <c r="BZ63" s="68"/>
      <c r="CA63" s="85"/>
      <c r="CB63" s="73"/>
      <c r="CC63" s="73"/>
      <c r="CD63" s="73"/>
      <c r="CE63" s="792">
        <f>+CE62/BY62-1</f>
        <v>0.24833415662191394</v>
      </c>
      <c r="CF63" s="68"/>
      <c r="CG63" s="85"/>
      <c r="CH63" s="73"/>
      <c r="CI63" s="73"/>
      <c r="CJ63" s="73"/>
      <c r="CK63" s="792">
        <f>+CK62/CE62-1</f>
        <v>-3.4148409313994321E-4</v>
      </c>
      <c r="CL63" s="68"/>
      <c r="CM63" s="85"/>
      <c r="CN63" s="73"/>
      <c r="CO63" s="73"/>
      <c r="CP63" s="73"/>
      <c r="CQ63" s="792">
        <f>+CQ62/CK62-1</f>
        <v>-5.9437307964120834E-3</v>
      </c>
      <c r="CR63" s="68"/>
      <c r="CS63" s="85"/>
      <c r="CT63" s="73"/>
      <c r="CU63" s="73"/>
      <c r="CV63" s="73"/>
      <c r="CW63" s="792">
        <f>+CW62/CQ62-1</f>
        <v>-0.22822846156123122</v>
      </c>
      <c r="CX63" s="68"/>
      <c r="CY63" s="85"/>
      <c r="CZ63" s="73"/>
      <c r="DA63" s="73"/>
      <c r="DB63" s="73"/>
      <c r="DC63" s="792">
        <f>+DC62/CW62-1</f>
        <v>9.0395464666210845E-2</v>
      </c>
      <c r="DD63" s="68"/>
      <c r="DE63" s="85"/>
      <c r="DF63" s="73"/>
      <c r="DG63" s="73"/>
      <c r="DH63" s="73"/>
      <c r="DI63" s="792">
        <f>+DI62/DC62-1</f>
        <v>0.13403195803863466</v>
      </c>
      <c r="DJ63" s="68"/>
      <c r="DK63" s="85"/>
      <c r="DL63" s="73"/>
      <c r="DM63" s="73"/>
      <c r="DN63" s="73"/>
      <c r="DO63" s="792">
        <f>+DO62/DI62-1</f>
        <v>0.26485910193420192</v>
      </c>
      <c r="DP63" s="68"/>
      <c r="DQ63" s="85"/>
      <c r="DR63" s="73"/>
      <c r="DS63" s="73"/>
      <c r="DT63" s="73"/>
      <c r="DU63" s="792">
        <f>+DU62/DO62-1</f>
        <v>3.4738430752051519E-2</v>
      </c>
      <c r="DV63" s="68"/>
      <c r="DW63" s="85"/>
      <c r="DX63" s="73"/>
      <c r="DY63" s="73"/>
      <c r="DZ63" s="73"/>
      <c r="EA63" s="792">
        <f>+EA62/DU62-1</f>
        <v>0.15047603016961175</v>
      </c>
      <c r="EB63" s="68"/>
      <c r="EC63" s="85"/>
      <c r="ED63" s="73"/>
      <c r="EE63" s="73"/>
      <c r="EF63" s="73"/>
      <c r="EG63" s="792">
        <f t="shared" ref="EG63" si="221">+EG62/EA62-1</f>
        <v>0.20091491996464095</v>
      </c>
      <c r="EH63" s="73"/>
      <c r="EI63" s="126"/>
      <c r="EJ63" s="27"/>
      <c r="EK63" s="27"/>
      <c r="EL63" s="27"/>
    </row>
    <row r="64" spans="1:142" ht="12.75" customHeight="1" x14ac:dyDescent="0.2">
      <c r="A64" s="51" t="s">
        <v>289</v>
      </c>
      <c r="B64" s="19"/>
      <c r="C64" s="19"/>
      <c r="D64" s="19"/>
      <c r="E64" s="158">
        <f>E62/E65</f>
        <v>8.0476435841538935E-2</v>
      </c>
      <c r="F64" s="67"/>
      <c r="G64" s="158">
        <f>G62/G65</f>
        <v>6.0176086047375461E-2</v>
      </c>
      <c r="H64" s="67"/>
      <c r="I64" s="158">
        <f>I62/I65</f>
        <v>5.4400536769906326E-2</v>
      </c>
      <c r="J64" s="67"/>
      <c r="K64" s="158">
        <f>K62/K65</f>
        <v>7.4622120268146214E-2</v>
      </c>
      <c r="L64" s="67"/>
      <c r="M64" s="149">
        <f>(M62*4)/M65</f>
        <v>8.6295437126412272E-2</v>
      </c>
      <c r="N64" s="22">
        <f>(N62*4)/N65</f>
        <v>6.9615390697340865E-2</v>
      </c>
      <c r="O64" s="22">
        <f>(O62*4)/O65</f>
        <v>6.3603900739680697E-2</v>
      </c>
      <c r="P64" s="22">
        <f>(P62*4)/P65</f>
        <v>9.4157126702582E-2</v>
      </c>
      <c r="Q64" s="158">
        <f>Q62/Q65</f>
        <v>7.864270126239517E-2</v>
      </c>
      <c r="R64" s="67"/>
      <c r="S64" s="149">
        <f>(S62*4)/S65</f>
        <v>0.13182346702970696</v>
      </c>
      <c r="T64" s="22">
        <f>(T62*4)/T65</f>
        <v>5.85841472849358E-2</v>
      </c>
      <c r="U64" s="22">
        <f>(U62*4)/U65</f>
        <v>9.0213580206225816E-2</v>
      </c>
      <c r="V64" s="22">
        <f>(V62*4)/V65</f>
        <v>7.2513835851250694E-2</v>
      </c>
      <c r="W64" s="158">
        <f>W62/W65</f>
        <v>8.7656263453998684E-2</v>
      </c>
      <c r="X64" s="67"/>
      <c r="Y64" s="149">
        <f>(Y62*4)/Y65</f>
        <v>0.10463308739073779</v>
      </c>
      <c r="Z64" s="22">
        <f>(Z62*4)/Z65</f>
        <v>0.10226788484021571</v>
      </c>
      <c r="AA64" s="22">
        <f>(AA62*4)/AA65</f>
        <v>7.007836011386849E-2</v>
      </c>
      <c r="AB64" s="22">
        <f>(AB62*4)/AB65</f>
        <v>8.5678846221660943E-2</v>
      </c>
      <c r="AC64" s="158">
        <f>AC62/AC65</f>
        <v>8.9577053842474691E-2</v>
      </c>
      <c r="AD64" s="67"/>
      <c r="AE64" s="149">
        <f>(AE62*4)/AE65</f>
        <v>8.4433405422055269E-2</v>
      </c>
      <c r="AF64" s="22">
        <f>(AF62*4)/AF65</f>
        <v>7.7675302026559659E-2</v>
      </c>
      <c r="AG64" s="22">
        <f>(AG62*4)/AG65</f>
        <v>8.2491519934917448E-2</v>
      </c>
      <c r="AH64" s="22">
        <f>(AH62*4)/AH65</f>
        <v>6.3967385632869439E-2</v>
      </c>
      <c r="AI64" s="158">
        <f>AI62/AI65</f>
        <v>7.6472894699495864E-2</v>
      </c>
      <c r="AJ64" s="67"/>
      <c r="AK64" s="149">
        <f>(AK62*4)/AK65</f>
        <v>8.57338950843516E-2</v>
      </c>
      <c r="AL64" s="22">
        <f>(AL62*4)/AL65</f>
        <v>7.748083228006715E-2</v>
      </c>
      <c r="AM64" s="22">
        <f>(AM62*4)/AM65</f>
        <v>8.455711074763575E-2</v>
      </c>
      <c r="AN64" s="22">
        <f>(AN62*4)/AN65</f>
        <v>8.0940384160800849E-2</v>
      </c>
      <c r="AO64" s="158">
        <f>AO62/AO65</f>
        <v>8.223607389332066E-2</v>
      </c>
      <c r="AP64" s="67"/>
      <c r="AQ64" s="149">
        <f>(AQ62*4)/AQ65</f>
        <v>8.5597294927905743E-2</v>
      </c>
      <c r="AR64" s="22">
        <f>(AR62*4)/AR65</f>
        <v>7.2046502438130433E-2</v>
      </c>
      <c r="AS64" s="22">
        <f>(AS62*4)/AS65</f>
        <v>9.9009115673257569E-2</v>
      </c>
      <c r="AT64" s="22">
        <f>(AT62*4)/AT65</f>
        <v>9.610160049537457E-2</v>
      </c>
      <c r="AU64" s="158">
        <f>AU62/AU65</f>
        <v>8.8506794716855991E-2</v>
      </c>
      <c r="AV64" s="67"/>
      <c r="AW64" s="149">
        <f>(AW62*4)/AW65</f>
        <v>6.4632747729873249E-2</v>
      </c>
      <c r="AX64" s="22">
        <f>(AX62*4)/AX65</f>
        <v>7.5981395277002123E-2</v>
      </c>
      <c r="AY64" s="22">
        <f>(AY62*4)/AY65</f>
        <v>7.3197872345145007E-2</v>
      </c>
      <c r="AZ64" s="22">
        <f>(AZ62*4)/AZ65</f>
        <v>9.6002165982777748E-2</v>
      </c>
      <c r="BA64" s="158">
        <f>BA62/BA65</f>
        <v>7.8132502735996742E-2</v>
      </c>
      <c r="BB64" s="67"/>
      <c r="BC64" s="149">
        <f>(BC62*4)/BC65</f>
        <v>6.0813824067981297E-2</v>
      </c>
      <c r="BD64" s="22">
        <f>(BD62*4)/BD65</f>
        <v>0.10776380097397172</v>
      </c>
      <c r="BE64" s="22">
        <f>(BE62*4)/BE65</f>
        <v>7.9845138233456625E-2</v>
      </c>
      <c r="BF64" s="22">
        <f>(BF62*4)/BF65</f>
        <v>0.12379576727878061</v>
      </c>
      <c r="BG64" s="158">
        <f>BG62/BG65</f>
        <v>9.0900548591642039E-2</v>
      </c>
      <c r="BH64" s="67"/>
      <c r="BI64" s="149">
        <f>(BI62*4)/BI65</f>
        <v>8.1912911971536898E-2</v>
      </c>
      <c r="BJ64" s="22">
        <f>(BJ62*4)/BJ65</f>
        <v>0.11712109706075621</v>
      </c>
      <c r="BK64" s="22">
        <f>(BK62*4)/BK65</f>
        <v>0.11814002095924117</v>
      </c>
      <c r="BL64" s="22">
        <f>(BL62*4)/BL65</f>
        <v>9.3551579897037801E-2</v>
      </c>
      <c r="BM64" s="158">
        <f>BM62/BM65</f>
        <v>0.10261960704664612</v>
      </c>
      <c r="BN64" s="67"/>
      <c r="BO64" s="149">
        <f>(BO62*4)/BO65</f>
        <v>7.3754571972814029E-2</v>
      </c>
      <c r="BP64" s="22">
        <f>(BP62*4)/BP65</f>
        <v>8.9755581831773512E-2</v>
      </c>
      <c r="BQ64" s="22">
        <f>(BQ62*4)/BQ65</f>
        <v>0.10252928897403688</v>
      </c>
      <c r="BR64" s="22">
        <f>(BR62*4)/BR65</f>
        <v>8.579066098591473E-2</v>
      </c>
      <c r="BS64" s="158">
        <f>BS62/BS65</f>
        <v>8.8000880022661501E-2</v>
      </c>
      <c r="BT64" s="67"/>
      <c r="BU64" s="149">
        <f>(BU62*4)/BU65</f>
        <v>6.0295209408757745E-2</v>
      </c>
      <c r="BV64" s="22">
        <f>(BV62*4)/BV65</f>
        <v>0.10515393533552631</v>
      </c>
      <c r="BW64" s="22">
        <f>(BW62*4)/BW65</f>
        <v>9.2344967528118729E-2</v>
      </c>
      <c r="BX64" s="22">
        <f>(BX62*4)/BX65</f>
        <v>0.11077515823259501</v>
      </c>
      <c r="BY64" s="158">
        <f>BY62/BY65</f>
        <v>9.2278413627377667E-2</v>
      </c>
      <c r="BZ64" s="67"/>
      <c r="CA64" s="149">
        <f>(CA62*4)/CA65</f>
        <v>7.499726418939158E-2</v>
      </c>
      <c r="CB64" s="22">
        <f>(CB62*4)/CB65</f>
        <v>0.13057243178314837</v>
      </c>
      <c r="CC64" s="22">
        <f>(CC62*4)/CC65</f>
        <v>0.12115594867131467</v>
      </c>
      <c r="CD64" s="22">
        <f>(CD62*4)/CD65</f>
        <v>9.72382330419784E-2</v>
      </c>
      <c r="CE64" s="158">
        <f>CE62/CE65</f>
        <v>0.10601507522059669</v>
      </c>
      <c r="CF64" s="67"/>
      <c r="CG64" s="149">
        <f>(CG62*4)/CG65</f>
        <v>6.3774911236025952E-2</v>
      </c>
      <c r="CH64" s="22">
        <f>(CH62*4)/CH65</f>
        <v>9.2089103310478954E-2</v>
      </c>
      <c r="CI64" s="22">
        <f>(CI62*4)/CI65</f>
        <v>9.1406732920018677E-2</v>
      </c>
      <c r="CJ64" s="22">
        <f>(CJ62*4)/CJ65</f>
        <v>9.2834547495829742E-2</v>
      </c>
      <c r="CK64" s="158">
        <f>CK62/CK65</f>
        <v>8.5517589142094064E-2</v>
      </c>
      <c r="CL64" s="67"/>
      <c r="CM64" s="149">
        <f>(CM62*4)/CM65</f>
        <v>3.7079064099657506E-2</v>
      </c>
      <c r="CN64" s="22">
        <f>(CN62*4)/CN65</f>
        <v>8.1454120750357517E-2</v>
      </c>
      <c r="CO64" s="22">
        <f>(CO62*4)/CO65</f>
        <v>7.8719317619903015E-2</v>
      </c>
      <c r="CP64" s="22">
        <f>(CP62*4)/CP65</f>
        <v>9.0766504650206387E-2</v>
      </c>
      <c r="CQ64" s="158">
        <f>CQ62/CQ65</f>
        <v>7.2344388303183502E-2</v>
      </c>
      <c r="CR64" s="67"/>
      <c r="CS64" s="149">
        <f>(CS62*4)/CS65</f>
        <v>3.5494092864120176E-2</v>
      </c>
      <c r="CT64" s="22">
        <f>(CT62*4)/CT65</f>
        <v>8.3060071506348948E-2</v>
      </c>
      <c r="CU64" s="22">
        <f>(CU62*4)/CU65</f>
        <v>1.3680779864265561E-2</v>
      </c>
      <c r="CV64" s="22">
        <f>(CV62*4)/CV65</f>
        <v>6.3606042618847974E-2</v>
      </c>
      <c r="CW64" s="158">
        <f>CW62/CW65</f>
        <v>4.9113392723400991E-2</v>
      </c>
      <c r="CX64" s="67"/>
      <c r="CY64" s="149">
        <f>(CY62*4)/CY65</f>
        <v>5.3072375206158449E-2</v>
      </c>
      <c r="CZ64" s="22">
        <f>(CZ62*4)/CZ65</f>
        <v>8.519399102150664E-2</v>
      </c>
      <c r="DA64" s="22">
        <f>(DA62*4)/DA65</f>
        <v>2.1167380465555802E-2</v>
      </c>
      <c r="DB64" s="22">
        <f>(DB62*4)/DB65</f>
        <v>3.5034934430399761E-2</v>
      </c>
      <c r="DC64" s="158">
        <f>DC62/DC65</f>
        <v>4.7662807389844526E-2</v>
      </c>
      <c r="DD64" s="67"/>
      <c r="DE64" s="149">
        <f>(DE62*4)/DE65</f>
        <v>2.7111974547688759E-2</v>
      </c>
      <c r="DF64" s="22">
        <f>(DF62*4)/DF65</f>
        <v>5.7933293157159532E-2</v>
      </c>
      <c r="DG64" s="22">
        <f>(DG62*4)/DG65</f>
        <v>6.3368885275225634E-2</v>
      </c>
      <c r="DH64" s="22">
        <f>(DH62*4)/DH65</f>
        <v>4.0731775633102998E-2</v>
      </c>
      <c r="DI64" s="158">
        <f>DI62/DI65</f>
        <v>4.7120410470866576E-2</v>
      </c>
      <c r="DJ64" s="67"/>
      <c r="DK64" s="149">
        <f>(DK62*4)/DK65</f>
        <v>5.5903976245416119E-2</v>
      </c>
      <c r="DL64" s="22">
        <f>(DL62*4)/DL65</f>
        <v>6.4927300435018279E-2</v>
      </c>
      <c r="DM64" s="22">
        <f>(DM62*4)/DM65</f>
        <v>4.2677557412461785E-2</v>
      </c>
      <c r="DN64" s="22">
        <f>(DN62*4)/DN65</f>
        <v>5.9719315583545998E-2</v>
      </c>
      <c r="DO64" s="158">
        <f>DO62/DO65</f>
        <v>5.5820532812112349E-2</v>
      </c>
      <c r="DP64" s="67"/>
      <c r="DQ64" s="149">
        <f>(DQ62*4)/DQ65</f>
        <v>5.534004655943623E-2</v>
      </c>
      <c r="DR64" s="22">
        <f>(DR62*4)/DR65</f>
        <v>6.8861052720316826E-2</v>
      </c>
      <c r="DS64" s="22">
        <f>(DS62*4)/DS65</f>
        <v>4.4559912400249493E-2</v>
      </c>
      <c r="DT64" s="22">
        <f>(DT62*4)/DT65</f>
        <v>6.228289064343686E-2</v>
      </c>
      <c r="DU64" s="158">
        <f>DU62/DU65</f>
        <v>5.7759650525748531E-2</v>
      </c>
      <c r="DV64" s="67"/>
      <c r="DW64" s="149">
        <f>(DW62*4)/DW65</f>
        <v>6.7417946093022901E-2</v>
      </c>
      <c r="DX64" s="22">
        <f>(DX62*4)/DX65</f>
        <v>7.3996583942077615E-2</v>
      </c>
      <c r="DY64" s="22">
        <f>(DY62*4)/DY65</f>
        <v>4.7988021289224518E-2</v>
      </c>
      <c r="DZ64" s="22">
        <f>(DZ62*4)/DZ65</f>
        <v>7.6400406809937829E-2</v>
      </c>
      <c r="EA64" s="158">
        <f>EA62/EA65</f>
        <v>6.6451093440847306E-2</v>
      </c>
      <c r="EB64" s="67"/>
      <c r="EC64" s="149">
        <f t="shared" ref="EC64:EF64" si="222">(EC62*4)/EC65</f>
        <v>8.0263678187018739E-2</v>
      </c>
      <c r="ED64" s="22">
        <f t="shared" si="222"/>
        <v>8.9879274462891678E-2</v>
      </c>
      <c r="EE64" s="22">
        <f t="shared" si="222"/>
        <v>6.3183714124544321E-2</v>
      </c>
      <c r="EF64" s="22">
        <f t="shared" si="222"/>
        <v>8.5896368838437265E-2</v>
      </c>
      <c r="EG64" s="158">
        <f t="shared" ref="EG64" si="223">EG62/EG65</f>
        <v>7.9802109561078013E-2</v>
      </c>
      <c r="EH64" s="22"/>
      <c r="EI64" s="126"/>
      <c r="EJ64" s="27"/>
      <c r="EK64" s="27"/>
      <c r="EL64" s="27"/>
    </row>
    <row r="65" spans="1:142" ht="12.75" customHeight="1" x14ac:dyDescent="0.2">
      <c r="A65" s="199" t="s">
        <v>290</v>
      </c>
      <c r="B65" s="19"/>
      <c r="C65" s="19"/>
      <c r="D65" s="19"/>
      <c r="E65" s="217">
        <v>4.8594735834696419</v>
      </c>
      <c r="F65" s="192"/>
      <c r="G65" s="217">
        <v>7.2440952392178222</v>
      </c>
      <c r="H65" s="192"/>
      <c r="I65" s="217">
        <v>10.387086443222238</v>
      </c>
      <c r="J65" s="192"/>
      <c r="K65" s="217">
        <v>9.7569465890064766</v>
      </c>
      <c r="L65" s="67"/>
      <c r="M65" s="215">
        <v>11.751677488517728</v>
      </c>
      <c r="N65" s="216">
        <v>11.221757134741649</v>
      </c>
      <c r="O65" s="216">
        <v>10.46135917809104</v>
      </c>
      <c r="P65" s="216">
        <v>10.851697695115877</v>
      </c>
      <c r="Q65" s="217">
        <v>11.077836886175847</v>
      </c>
      <c r="R65" s="67"/>
      <c r="S65" s="215">
        <v>12.480190932302513</v>
      </c>
      <c r="T65" s="216">
        <v>13.193865461100224</v>
      </c>
      <c r="U65" s="216">
        <v>11.308431012520344</v>
      </c>
      <c r="V65" s="216">
        <v>11.371343825085491</v>
      </c>
      <c r="W65" s="217">
        <v>12.082239821648168</v>
      </c>
      <c r="X65" s="67"/>
      <c r="Y65" s="215">
        <v>12.159953334242486</v>
      </c>
      <c r="Z65" s="216">
        <v>12.98162594104698</v>
      </c>
      <c r="AA65" s="216">
        <v>13.830633377014555</v>
      </c>
      <c r="AB65" s="216">
        <v>15.812968691106072</v>
      </c>
      <c r="AC65" s="217">
        <v>13.717421111247907</v>
      </c>
      <c r="AD65" s="67"/>
      <c r="AE65" s="215">
        <v>17.308630081219146</v>
      </c>
      <c r="AF65" s="216">
        <v>17.913098216963043</v>
      </c>
      <c r="AG65" s="216">
        <v>19.122810268189035</v>
      </c>
      <c r="AH65" s="216">
        <v>21.247698469658648</v>
      </c>
      <c r="AI65" s="217">
        <v>18.918490927418848</v>
      </c>
      <c r="AJ65" s="67"/>
      <c r="AK65" s="215">
        <v>20.70943079430188</v>
      </c>
      <c r="AL65" s="216">
        <v>19.965991806028068</v>
      </c>
      <c r="AM65" s="216">
        <v>20.448867126383767</v>
      </c>
      <c r="AN65" s="216">
        <v>20.559791751813322</v>
      </c>
      <c r="AO65" s="217">
        <v>20.41703623210719</v>
      </c>
      <c r="AP65" s="67"/>
      <c r="AQ65" s="215">
        <v>22.373493896573549</v>
      </c>
      <c r="AR65" s="216">
        <v>24.432381757245622</v>
      </c>
      <c r="AS65" s="216">
        <v>24.630282116852484</v>
      </c>
      <c r="AT65" s="216">
        <v>27.15107421392586</v>
      </c>
      <c r="AU65" s="217">
        <v>24.655865024434544</v>
      </c>
      <c r="AV65" s="67"/>
      <c r="AW65" s="215">
        <v>27.523281670892963</v>
      </c>
      <c r="AX65" s="216">
        <v>27.413638486433427</v>
      </c>
      <c r="AY65" s="216">
        <v>29.591083323444526</v>
      </c>
      <c r="AZ65" s="216">
        <v>31.86231239151439</v>
      </c>
      <c r="BA65" s="217">
        <v>29.121138043839455</v>
      </c>
      <c r="BB65" s="67"/>
      <c r="BC65" s="215">
        <v>28.819691040219737</v>
      </c>
      <c r="BD65" s="216">
        <v>29.585958882630969</v>
      </c>
      <c r="BE65" s="216">
        <v>29.811379471532653</v>
      </c>
      <c r="BF65" s="216">
        <v>21.014639437571372</v>
      </c>
      <c r="BG65" s="217">
        <v>27.289991036064976</v>
      </c>
      <c r="BH65" s="67"/>
      <c r="BI65" s="215">
        <v>20.544801077993238</v>
      </c>
      <c r="BJ65" s="216">
        <v>22.45752950768664</v>
      </c>
      <c r="BK65" s="216">
        <v>23.807560054539636</v>
      </c>
      <c r="BL65" s="216">
        <v>26.981155638570517</v>
      </c>
      <c r="BM65" s="217">
        <v>23.486250115479738</v>
      </c>
      <c r="BN65" s="67"/>
      <c r="BO65" s="215">
        <v>28.564430118937388</v>
      </c>
      <c r="BP65" s="216">
        <v>30.619863083272616</v>
      </c>
      <c r="BQ65" s="216">
        <v>29.105390054597901</v>
      </c>
      <c r="BR65" s="216">
        <v>33.292046704299388</v>
      </c>
      <c r="BS65" s="217">
        <v>30.3945523703043</v>
      </c>
      <c r="BT65" s="67"/>
      <c r="BU65" s="215">
        <v>37.392392197249329</v>
      </c>
      <c r="BV65" s="216">
        <v>40.22945384008765</v>
      </c>
      <c r="BW65" s="216">
        <v>35.270799559688683</v>
      </c>
      <c r="BX65" s="216">
        <v>35.356895824274382</v>
      </c>
      <c r="BY65" s="217">
        <v>37.053966336922002</v>
      </c>
      <c r="BZ65" s="67"/>
      <c r="CA65" s="215">
        <v>39.859530538978852</v>
      </c>
      <c r="CB65" s="216">
        <v>40.014470222392994</v>
      </c>
      <c r="CC65" s="216">
        <v>40.257485230805678</v>
      </c>
      <c r="CD65" s="216">
        <v>40.92159076500387</v>
      </c>
      <c r="CE65" s="217">
        <v>40.262250857593806</v>
      </c>
      <c r="CF65" s="67"/>
      <c r="CG65" s="215">
        <v>46.057665766846682</v>
      </c>
      <c r="CH65" s="216">
        <v>46.691764896921768</v>
      </c>
      <c r="CI65" s="216">
        <v>51.149139736924496</v>
      </c>
      <c r="CJ65" s="216">
        <v>55.443799392141884</v>
      </c>
      <c r="CK65" s="217">
        <v>49.895559538389044</v>
      </c>
      <c r="CL65" s="67"/>
      <c r="CM65" s="215">
        <v>57.394861097679197</v>
      </c>
      <c r="CN65" s="216">
        <v>57.918732077039586</v>
      </c>
      <c r="CO65" s="216">
        <v>57.979265846093128</v>
      </c>
      <c r="CP65" s="216">
        <v>61.160028941022247</v>
      </c>
      <c r="CQ65" s="217">
        <v>58.630482199155985</v>
      </c>
      <c r="CR65" s="67"/>
      <c r="CS65" s="215">
        <v>64.697200512016664</v>
      </c>
      <c r="CT65" s="216">
        <v>64.587556076394208</v>
      </c>
      <c r="CU65" s="216">
        <v>66.619513475722698</v>
      </c>
      <c r="CV65" s="216">
        <v>70.582229835277843</v>
      </c>
      <c r="CW65" s="217">
        <v>66.652606491864603</v>
      </c>
      <c r="CX65" s="67"/>
      <c r="CY65" s="215">
        <v>67.22752173384491</v>
      </c>
      <c r="CZ65" s="216">
        <v>73.756240561873398</v>
      </c>
      <c r="DA65" s="216">
        <v>79.947812048832347</v>
      </c>
      <c r="DB65" s="216">
        <v>78.321271857142861</v>
      </c>
      <c r="DC65" s="217">
        <v>74.889596507340059</v>
      </c>
      <c r="DD65" s="67"/>
      <c r="DE65" s="1089" t="s">
        <v>631</v>
      </c>
      <c r="DF65" s="1174">
        <v>84.431746634920628</v>
      </c>
      <c r="DG65" s="1174">
        <v>83.474445174603176</v>
      </c>
      <c r="DH65" s="1174">
        <v>91.72222390476189</v>
      </c>
      <c r="DI65" s="1310">
        <v>85.904781673306815</v>
      </c>
      <c r="DJ65" s="67"/>
      <c r="DK65" s="208">
        <f>+DH65</f>
        <v>91.72222390476189</v>
      </c>
      <c r="DL65" s="140">
        <f>+DK65</f>
        <v>91.72222390476189</v>
      </c>
      <c r="DM65" s="140">
        <f>+DL65</f>
        <v>91.72222390476189</v>
      </c>
      <c r="DN65" s="140">
        <f>+DM65</f>
        <v>91.72222390476189</v>
      </c>
      <c r="DO65" s="209">
        <f>+DN65</f>
        <v>91.72222390476189</v>
      </c>
      <c r="DP65" s="67"/>
      <c r="DQ65" s="208">
        <f>+DO65</f>
        <v>91.72222390476189</v>
      </c>
      <c r="DR65" s="140">
        <f>+DQ65</f>
        <v>91.72222390476189</v>
      </c>
      <c r="DS65" s="140">
        <f>+DR65</f>
        <v>91.72222390476189</v>
      </c>
      <c r="DT65" s="140">
        <f>+DS65</f>
        <v>91.72222390476189</v>
      </c>
      <c r="DU65" s="209">
        <f>+DT65</f>
        <v>91.72222390476189</v>
      </c>
      <c r="DV65" s="67"/>
      <c r="DW65" s="208">
        <f>+DU65</f>
        <v>91.72222390476189</v>
      </c>
      <c r="DX65" s="140">
        <f>+DW65</f>
        <v>91.72222390476189</v>
      </c>
      <c r="DY65" s="140">
        <f>+DX65</f>
        <v>91.72222390476189</v>
      </c>
      <c r="DZ65" s="140">
        <f>+DY65</f>
        <v>91.72222390476189</v>
      </c>
      <c r="EA65" s="209">
        <f>+DZ65</f>
        <v>91.72222390476189</v>
      </c>
      <c r="EB65" s="67"/>
      <c r="EC65" s="208">
        <f t="shared" ref="EC65" si="224">+EA65</f>
        <v>91.72222390476189</v>
      </c>
      <c r="ED65" s="140">
        <f t="shared" ref="ED65:EG65" si="225">+EC65</f>
        <v>91.72222390476189</v>
      </c>
      <c r="EE65" s="140">
        <f t="shared" si="225"/>
        <v>91.72222390476189</v>
      </c>
      <c r="EF65" s="140">
        <f t="shared" si="225"/>
        <v>91.72222390476189</v>
      </c>
      <c r="EG65" s="209">
        <f t="shared" si="225"/>
        <v>91.72222390476189</v>
      </c>
      <c r="EH65" s="73"/>
      <c r="EI65" s="126"/>
      <c r="EJ65" s="27"/>
      <c r="EK65" s="27"/>
      <c r="EL65" s="27"/>
    </row>
    <row r="66" spans="1:142" ht="12.75" customHeight="1" x14ac:dyDescent="0.2">
      <c r="A66" s="2"/>
      <c r="B66" s="19"/>
      <c r="C66" s="19"/>
      <c r="D66" s="19"/>
      <c r="E66" s="68"/>
      <c r="F66" s="67"/>
      <c r="G66" s="68"/>
      <c r="H66" s="67"/>
      <c r="I66" s="68"/>
      <c r="J66" s="67"/>
      <c r="K66" s="68"/>
      <c r="L66" s="68"/>
      <c r="M66" s="68"/>
      <c r="N66" s="68"/>
      <c r="O66" s="68"/>
      <c r="P66" s="68"/>
      <c r="Q66" s="68"/>
      <c r="R66" s="68"/>
      <c r="S66" s="68"/>
      <c r="T66" s="68"/>
      <c r="U66" s="68"/>
      <c r="V66" s="68"/>
      <c r="W66" s="68"/>
      <c r="X66" s="68"/>
      <c r="Y66" s="68"/>
      <c r="Z66" s="68"/>
      <c r="AA66" s="68"/>
      <c r="AB66" s="68"/>
      <c r="AC66" s="68"/>
      <c r="AD66" s="68"/>
      <c r="AE66" s="68"/>
      <c r="AF66" s="68"/>
      <c r="AG66" s="68"/>
      <c r="AH66" s="68"/>
      <c r="AI66" s="68"/>
      <c r="AJ66" s="68"/>
      <c r="AK66" s="68"/>
      <c r="AL66" s="68"/>
      <c r="AM66" s="68"/>
      <c r="AN66" s="68"/>
      <c r="AO66" s="68"/>
      <c r="AP66" s="68"/>
      <c r="AQ66" s="68"/>
      <c r="AR66" s="68"/>
      <c r="AS66" s="68"/>
      <c r="AT66" s="68"/>
      <c r="AU66" s="68"/>
      <c r="AV66" s="68"/>
      <c r="AW66" s="68"/>
      <c r="AX66" s="68"/>
      <c r="AY66" s="68"/>
      <c r="AZ66" s="68"/>
      <c r="BA66" s="68"/>
      <c r="BB66" s="68"/>
      <c r="BC66" s="68"/>
      <c r="BD66" s="68"/>
      <c r="BE66" s="68"/>
      <c r="BF66" s="68"/>
      <c r="BG66" s="68"/>
      <c r="BH66" s="68"/>
      <c r="BI66" s="68"/>
      <c r="BJ66" s="68"/>
      <c r="BK66" s="68"/>
      <c r="BL66" s="68"/>
      <c r="BM66" s="68"/>
      <c r="BN66" s="68"/>
      <c r="BO66" s="68"/>
      <c r="BP66" s="68"/>
      <c r="BQ66" s="68"/>
      <c r="BR66" s="68"/>
      <c r="BS66" s="68"/>
      <c r="BT66" s="68"/>
      <c r="BU66" s="68"/>
      <c r="BV66" s="68"/>
      <c r="BW66" s="68"/>
      <c r="BX66" s="68"/>
      <c r="BY66" s="68"/>
      <c r="BZ66" s="68"/>
      <c r="CA66" s="68"/>
      <c r="CB66" s="68"/>
      <c r="CC66" s="68"/>
      <c r="CD66" s="68"/>
      <c r="CE66" s="68"/>
      <c r="CF66" s="68"/>
      <c r="CG66" s="68"/>
      <c r="CH66" s="68"/>
      <c r="CI66" s="68"/>
      <c r="CJ66" s="68"/>
      <c r="CK66" s="68"/>
      <c r="CL66" s="68"/>
      <c r="CM66" s="68"/>
      <c r="CN66" s="68"/>
      <c r="CO66" s="68"/>
      <c r="CP66" s="68"/>
      <c r="CQ66" s="68"/>
      <c r="CR66" s="68"/>
      <c r="CS66" s="68"/>
      <c r="CT66" s="68"/>
      <c r="CU66" s="68"/>
      <c r="CV66" s="68"/>
      <c r="CW66" s="68"/>
      <c r="CX66" s="68"/>
      <c r="CY66" s="68"/>
      <c r="CZ66" s="68"/>
      <c r="DA66" s="68"/>
      <c r="DB66" s="68"/>
      <c r="DC66" s="68"/>
      <c r="DD66" s="68"/>
      <c r="DE66" s="68"/>
      <c r="DF66" s="68"/>
      <c r="DG66" s="68"/>
      <c r="DH66" s="68"/>
      <c r="DI66" s="15"/>
      <c r="DJ66" s="68"/>
      <c r="DK66" s="68"/>
      <c r="DL66" s="68"/>
      <c r="DM66" s="68"/>
      <c r="DN66" s="68"/>
      <c r="DO66" s="15"/>
      <c r="DP66" s="68"/>
      <c r="DQ66" s="68"/>
      <c r="DR66" s="68"/>
      <c r="DS66" s="68"/>
      <c r="DT66" s="68"/>
      <c r="DU66" s="15"/>
      <c r="DV66" s="68"/>
      <c r="DW66" s="68"/>
      <c r="DX66" s="68"/>
      <c r="DY66" s="68"/>
      <c r="DZ66" s="68"/>
      <c r="EA66" s="15"/>
      <c r="EB66" s="68"/>
      <c r="EC66" s="68"/>
      <c r="ED66" s="68"/>
      <c r="EE66" s="68"/>
      <c r="EF66" s="68"/>
      <c r="EG66" s="15"/>
      <c r="EH66" s="68"/>
      <c r="EI66" s="126"/>
      <c r="EJ66" s="27"/>
      <c r="EK66" s="27"/>
      <c r="EL66" s="27"/>
    </row>
    <row r="67" spans="1:142" ht="12.75" customHeight="1" x14ac:dyDescent="0.2">
      <c r="A67" s="106" t="s">
        <v>113</v>
      </c>
      <c r="B67" s="239"/>
      <c r="C67" s="239"/>
      <c r="D67" s="239"/>
      <c r="E67" s="240"/>
      <c r="F67" s="240"/>
      <c r="G67" s="240"/>
      <c r="H67" s="240"/>
      <c r="I67" s="240"/>
      <c r="J67" s="240"/>
      <c r="K67" s="240"/>
      <c r="L67" s="240"/>
      <c r="M67" s="241"/>
      <c r="N67" s="241"/>
      <c r="O67" s="241"/>
      <c r="P67" s="241"/>
      <c r="Q67" s="240"/>
      <c r="R67" s="240"/>
      <c r="S67" s="241"/>
      <c r="T67" s="241"/>
      <c r="U67" s="241"/>
      <c r="V67" s="241"/>
      <c r="W67" s="240"/>
      <c r="X67" s="240"/>
      <c r="Y67" s="241"/>
      <c r="Z67" s="241"/>
      <c r="AA67" s="241"/>
      <c r="AB67" s="241"/>
      <c r="AC67" s="240"/>
      <c r="AD67" s="240"/>
      <c r="AE67" s="241"/>
      <c r="AF67" s="241"/>
      <c r="AG67" s="241"/>
      <c r="AH67" s="241"/>
      <c r="AI67" s="240"/>
      <c r="AJ67" s="240"/>
      <c r="AK67" s="241"/>
      <c r="AL67" s="241"/>
      <c r="AM67" s="241"/>
      <c r="AN67" s="241"/>
      <c r="AO67" s="240"/>
      <c r="AP67" s="240"/>
      <c r="AQ67" s="241"/>
      <c r="AR67" s="241"/>
      <c r="AS67" s="241"/>
      <c r="AT67" s="241"/>
      <c r="AU67" s="240"/>
      <c r="AV67" s="240"/>
      <c r="AW67" s="241"/>
      <c r="AX67" s="242"/>
      <c r="AY67" s="242"/>
      <c r="AZ67" s="242"/>
      <c r="BA67" s="240"/>
      <c r="BB67" s="240"/>
      <c r="BC67" s="242"/>
      <c r="BD67" s="242"/>
      <c r="BE67" s="242"/>
      <c r="BF67" s="242"/>
      <c r="BG67" s="240"/>
      <c r="BH67" s="240"/>
      <c r="BI67" s="242"/>
      <c r="BJ67" s="242"/>
      <c r="BK67" s="242"/>
      <c r="BL67" s="242"/>
      <c r="BM67" s="240"/>
      <c r="BN67" s="240"/>
      <c r="BO67" s="242"/>
      <c r="BP67" s="242"/>
      <c r="BQ67" s="242"/>
      <c r="BR67" s="242"/>
      <c r="BS67" s="240"/>
      <c r="BT67" s="240"/>
      <c r="BU67" s="242"/>
      <c r="BV67" s="242"/>
      <c r="BW67" s="242"/>
      <c r="BX67" s="242"/>
      <c r="BY67" s="240"/>
      <c r="BZ67" s="240"/>
      <c r="CA67" s="242"/>
      <c r="CB67" s="242"/>
      <c r="CC67" s="242"/>
      <c r="CD67" s="242"/>
      <c r="CE67" s="240"/>
      <c r="CF67" s="240"/>
      <c r="CG67" s="242"/>
      <c r="CH67" s="242"/>
      <c r="CI67" s="242"/>
      <c r="CJ67" s="242"/>
      <c r="CK67" s="240"/>
      <c r="CL67" s="240"/>
      <c r="CM67" s="242"/>
      <c r="CN67" s="242"/>
      <c r="CO67" s="242"/>
      <c r="CP67" s="242"/>
      <c r="CQ67" s="240"/>
      <c r="CR67" s="240"/>
      <c r="CS67" s="242"/>
      <c r="CT67" s="242"/>
      <c r="CU67" s="242"/>
      <c r="CV67" s="242"/>
      <c r="CW67" s="240"/>
      <c r="CX67" s="240"/>
      <c r="CY67" s="242"/>
      <c r="CZ67" s="242"/>
      <c r="DA67" s="242"/>
      <c r="DB67" s="242"/>
      <c r="DC67" s="240"/>
      <c r="DD67" s="240"/>
      <c r="DE67" s="242"/>
      <c r="DF67" s="242"/>
      <c r="DG67" s="243"/>
      <c r="DH67" s="242"/>
      <c r="DI67" s="240"/>
      <c r="DJ67" s="240"/>
      <c r="DK67" s="240"/>
      <c r="DL67" s="240"/>
      <c r="DM67" s="240"/>
      <c r="DN67" s="240"/>
      <c r="DO67" s="240"/>
      <c r="DP67" s="240"/>
      <c r="DQ67" s="240"/>
      <c r="DR67" s="240"/>
      <c r="DS67" s="240"/>
      <c r="DT67" s="240"/>
      <c r="DU67" s="240"/>
      <c r="DV67" s="240"/>
      <c r="DW67" s="240"/>
      <c r="DX67" s="240"/>
      <c r="DY67" s="240"/>
      <c r="DZ67" s="240"/>
      <c r="EA67" s="240"/>
      <c r="EB67" s="240"/>
      <c r="EC67" s="240"/>
      <c r="ED67" s="240"/>
      <c r="EE67" s="240"/>
      <c r="EF67" s="240"/>
      <c r="EG67" s="240"/>
      <c r="EH67" s="178"/>
      <c r="EI67" s="126"/>
      <c r="EJ67" s="27"/>
      <c r="EK67" s="27"/>
      <c r="EL67" s="27"/>
    </row>
    <row r="68" spans="1:142" ht="12.75" customHeight="1" x14ac:dyDescent="0.2">
      <c r="A68" s="51" t="s">
        <v>167</v>
      </c>
      <c r="B68" s="19"/>
      <c r="C68" s="19"/>
      <c r="D68" s="19"/>
      <c r="E68" s="213">
        <v>0.12132062600321028</v>
      </c>
      <c r="F68" s="67"/>
      <c r="G68" s="213">
        <v>0.11574349381379016</v>
      </c>
      <c r="H68" s="67"/>
      <c r="I68" s="213">
        <v>0.13108563743275367</v>
      </c>
      <c r="J68" s="67"/>
      <c r="K68" s="213">
        <v>0.13559429262235437</v>
      </c>
      <c r="L68" s="67"/>
      <c r="M68" s="210">
        <v>0.172781196936584</v>
      </c>
      <c r="N68" s="211">
        <v>0.14379375335157077</v>
      </c>
      <c r="O68" s="211">
        <v>0.13207363008380768</v>
      </c>
      <c r="P68" s="211">
        <v>0.19385765214401074</v>
      </c>
      <c r="Q68" s="213">
        <v>0.16086715361813686</v>
      </c>
      <c r="R68" s="67"/>
      <c r="S68" s="210">
        <v>0.26214415952089559</v>
      </c>
      <c r="T68" s="211">
        <v>0.11357938317721138</v>
      </c>
      <c r="U68" s="211">
        <v>0.14932696373514068</v>
      </c>
      <c r="V68" s="211">
        <v>0.11366313771688609</v>
      </c>
      <c r="W68" s="213">
        <v>0.15519139077940555</v>
      </c>
      <c r="X68" s="67"/>
      <c r="Y68" s="210">
        <v>0.17917849216069021</v>
      </c>
      <c r="Z68" s="211">
        <v>0.18078052564505104</v>
      </c>
      <c r="AA68" s="211">
        <v>0.12991016845991185</v>
      </c>
      <c r="AB68" s="211">
        <v>0.16267368271159294</v>
      </c>
      <c r="AC68" s="213">
        <v>0.16274351722631961</v>
      </c>
      <c r="AD68" s="67"/>
      <c r="AE68" s="210">
        <v>0.16321764447822726</v>
      </c>
      <c r="AF68" s="211">
        <v>0.15227124833075817</v>
      </c>
      <c r="AG68" s="211">
        <v>0.15490364037965146</v>
      </c>
      <c r="AH68" s="211">
        <v>0.13341866901592364</v>
      </c>
      <c r="AI68" s="213">
        <v>0.14997284215617313</v>
      </c>
      <c r="AJ68" s="67"/>
      <c r="AK68" s="210">
        <v>0.17086521631503199</v>
      </c>
      <c r="AL68" s="211">
        <v>0.14652807411697549</v>
      </c>
      <c r="AM68" s="211">
        <v>0.15656372767147667</v>
      </c>
      <c r="AN68" s="211">
        <v>0.13311908753376575</v>
      </c>
      <c r="AO68" s="213">
        <v>0.15076338459133865</v>
      </c>
      <c r="AP68" s="67"/>
      <c r="AQ68" s="210">
        <v>0.15953467358316953</v>
      </c>
      <c r="AR68" s="211">
        <v>0.13561656362066304</v>
      </c>
      <c r="AS68" s="211">
        <v>0.1795395049605667</v>
      </c>
      <c r="AT68" s="211">
        <v>0.17642989966458364</v>
      </c>
      <c r="AU68" s="213">
        <v>0.16345255088285976</v>
      </c>
      <c r="AV68" s="67"/>
      <c r="AW68" s="210">
        <v>0.12804749167725807</v>
      </c>
      <c r="AX68" s="211">
        <v>0.14011478465054511</v>
      </c>
      <c r="AY68" s="211">
        <v>0.14015958839331843</v>
      </c>
      <c r="AZ68" s="211">
        <v>0.18187895811028798</v>
      </c>
      <c r="BA68" s="213">
        <v>0.14926421546033627</v>
      </c>
      <c r="BB68" s="67"/>
      <c r="BC68" s="210">
        <v>0.10999401097569593</v>
      </c>
      <c r="BD68" s="211">
        <v>0.17696729036707928</v>
      </c>
      <c r="BE68" s="211">
        <v>0.13570711876917171</v>
      </c>
      <c r="BF68" s="211">
        <v>0.16035102719780792</v>
      </c>
      <c r="BG68" s="213">
        <v>0.14640956424657031</v>
      </c>
      <c r="BH68" s="67"/>
      <c r="BI68" s="210">
        <v>0.12051566008296229</v>
      </c>
      <c r="BJ68" s="211">
        <v>0.1816520795930581</v>
      </c>
      <c r="BK68" s="211">
        <v>0.18291634856581956</v>
      </c>
      <c r="BL68" s="211">
        <v>0.15810973858086766</v>
      </c>
      <c r="BM68" s="213">
        <v>0.16100582034707511</v>
      </c>
      <c r="BN68" s="67"/>
      <c r="BO68" s="210">
        <v>0.13095252343905842</v>
      </c>
      <c r="BP68" s="211">
        <v>0.16719183191396775</v>
      </c>
      <c r="BQ68" s="211">
        <v>0.18729533109156751</v>
      </c>
      <c r="BR68" s="211">
        <v>0.1634306402873596</v>
      </c>
      <c r="BS68" s="213">
        <v>0.16251235790360052</v>
      </c>
      <c r="BT68" s="67"/>
      <c r="BU68" s="210">
        <v>0.13312684905602831</v>
      </c>
      <c r="BV68" s="211">
        <v>0.18181167174253024</v>
      </c>
      <c r="BW68" s="211">
        <v>0.15725146592977013</v>
      </c>
      <c r="BX68" s="211">
        <v>0.17538236478894148</v>
      </c>
      <c r="BY68" s="213">
        <v>0.1632134334294521</v>
      </c>
      <c r="BZ68" s="67"/>
      <c r="CA68" s="210">
        <v>0.14950651035633195</v>
      </c>
      <c r="CB68" s="211">
        <v>0.22154386735478201</v>
      </c>
      <c r="CC68" s="211">
        <v>0.21768769108821198</v>
      </c>
      <c r="CD68" s="211">
        <v>0.16073725679369671</v>
      </c>
      <c r="CE68" s="213">
        <v>0.18701671376311582</v>
      </c>
      <c r="CF68" s="67"/>
      <c r="CG68" s="210">
        <v>0.14320426575471912</v>
      </c>
      <c r="CH68" s="211">
        <v>0.18980474934036939</v>
      </c>
      <c r="CI68" s="211">
        <v>0.20804866034139338</v>
      </c>
      <c r="CJ68" s="211">
        <v>0.204720223289726</v>
      </c>
      <c r="CK68" s="213">
        <v>0.18753530704048541</v>
      </c>
      <c r="CL68" s="67"/>
      <c r="CM68" s="210">
        <v>0.11515588394305282</v>
      </c>
      <c r="CN68" s="211">
        <v>0.20731681822932999</v>
      </c>
      <c r="CO68" s="211">
        <v>0.21586539482908798</v>
      </c>
      <c r="CP68" s="211">
        <v>0.23724206577083579</v>
      </c>
      <c r="CQ68" s="213">
        <v>0.19622011068184192</v>
      </c>
      <c r="CR68" s="67"/>
      <c r="CS68" s="210">
        <f>CS29/'Pro Forma IS'!CS11</f>
        <v>0.16402481047553411</v>
      </c>
      <c r="CT68" s="211">
        <f>CT29/'Pro Forma IS'!CT11</f>
        <v>0.32116959751049523</v>
      </c>
      <c r="CU68" s="211">
        <f>CU29/'Pro Forma IS'!CU11</f>
        <v>0.27122601218609432</v>
      </c>
      <c r="CV68" s="211">
        <f>CV29/'Pro Forma IS'!CV11</f>
        <v>0.28489474901688638</v>
      </c>
      <c r="CW68" s="213">
        <f>CW29/'Pro Forma IS'!CW11</f>
        <v>0.26339746565329747</v>
      </c>
      <c r="CX68" s="67"/>
      <c r="CY68" s="210">
        <f>CY29/'Pro Forma IS'!CY11</f>
        <v>0.19693687724573786</v>
      </c>
      <c r="CZ68" s="211">
        <f>CZ29/'Pro Forma IS'!CZ11</f>
        <v>0.30217591173766467</v>
      </c>
      <c r="DA68" s="211">
        <f>DA29/'Pro Forma IS'!DA11</f>
        <v>0.19801069674015639</v>
      </c>
      <c r="DB68" s="211">
        <f>DB29/'Pro Forma IS'!DB11</f>
        <v>0.14157014157014153</v>
      </c>
      <c r="DC68" s="213">
        <f>DC29/'Pro Forma IS'!DC11</f>
        <v>0.2086077808842344</v>
      </c>
      <c r="DD68" s="67"/>
      <c r="DE68" s="210">
        <f>DE29/'Pro Forma IS'!DE11</f>
        <v>0.13320018070713557</v>
      </c>
      <c r="DF68" s="211">
        <f>DF29/'Pro Forma IS'!DF11</f>
        <v>0.22405268175871931</v>
      </c>
      <c r="DG68" s="211">
        <f>DG29/'Pro Forma IS'!DG11</f>
        <v>0.23682699527406037</v>
      </c>
      <c r="DH68" s="211">
        <f>DH29/'Pro Forma IS'!DH11</f>
        <v>0.16412686552490316</v>
      </c>
      <c r="DI68" s="213">
        <f>DI29/'Pro Forma IS'!DI11</f>
        <v>0.18973578400082924</v>
      </c>
      <c r="DJ68" s="67"/>
      <c r="DK68" s="210">
        <f>DK29/'Pro Forma IS'!DK11</f>
        <v>0.2257033303975324</v>
      </c>
      <c r="DL68" s="211">
        <f>DL29/'Pro Forma IS'!DL11</f>
        <v>0.24664732140851978</v>
      </c>
      <c r="DM68" s="211">
        <f>DM29/'Pro Forma IS'!DM11</f>
        <v>0.17585054785820375</v>
      </c>
      <c r="DN68" s="211">
        <f>DN29/'Pro Forma IS'!DN11</f>
        <v>0.21209167241799559</v>
      </c>
      <c r="DO68" s="213">
        <f>DO29/'Pro Forma IS'!DO11</f>
        <v>0.2150286504382708</v>
      </c>
      <c r="DP68" s="67"/>
      <c r="DQ68" s="210">
        <f>DQ29/'Pro Forma IS'!DQ11</f>
        <v>0.21727163700793156</v>
      </c>
      <c r="DR68" s="211">
        <f>DR29/'Pro Forma IS'!DR11</f>
        <v>0.25184647412628308</v>
      </c>
      <c r="DS68" s="211">
        <f>DS29/'Pro Forma IS'!DS11</f>
        <v>0.17830118500946771</v>
      </c>
      <c r="DT68" s="211">
        <f>DT29/'Pro Forma IS'!DT11</f>
        <v>0.21498072973416829</v>
      </c>
      <c r="DU68" s="213">
        <f>DU29/'Pro Forma IS'!DU11</f>
        <v>0.2157937103502022</v>
      </c>
      <c r="DV68" s="67"/>
      <c r="DW68" s="210">
        <f>DW29/'Pro Forma IS'!DW11</f>
        <v>0.2511006801499906</v>
      </c>
      <c r="DX68" s="211">
        <f>DX29/'Pro Forma IS'!DX11</f>
        <v>0.26131862622457486</v>
      </c>
      <c r="DY68" s="211">
        <f>DY29/'Pro Forma IS'!DY11</f>
        <v>0.18493183330639665</v>
      </c>
      <c r="DZ68" s="211">
        <f>DZ29/'Pro Forma IS'!DZ11</f>
        <v>0.24987314650872258</v>
      </c>
      <c r="EA68" s="213">
        <f>EA29/'Pro Forma IS'!EA11</f>
        <v>0.23725183432577113</v>
      </c>
      <c r="EB68" s="67"/>
      <c r="EC68" s="210">
        <f>EC29/'Pro Forma IS'!EC11</f>
        <v>0.28516589105640244</v>
      </c>
      <c r="ED68" s="211">
        <f>ED29/'Pro Forma IS'!ED11</f>
        <v>0.30232626780139771</v>
      </c>
      <c r="EE68" s="211">
        <f>EE29/'Pro Forma IS'!EE11</f>
        <v>0.22741211379806461</v>
      </c>
      <c r="EF68" s="211">
        <f>EF29/'Pro Forma IS'!EF11</f>
        <v>0.2697247213705487</v>
      </c>
      <c r="EG68" s="213">
        <f>EG29/'Pro Forma IS'!EG11</f>
        <v>0.27122009283836596</v>
      </c>
      <c r="EH68" s="22"/>
      <c r="EI68" s="27"/>
      <c r="EJ68" s="27"/>
      <c r="EK68" s="27"/>
      <c r="EL68" s="27"/>
    </row>
    <row r="69" spans="1:142" ht="12.75" customHeight="1" x14ac:dyDescent="0.2">
      <c r="A69" s="51" t="s">
        <v>40</v>
      </c>
      <c r="B69" s="19"/>
      <c r="C69" s="19"/>
      <c r="D69" s="19"/>
      <c r="E69" s="158">
        <v>8.645666131621188E-2</v>
      </c>
      <c r="F69" s="67"/>
      <c r="G69" s="158">
        <v>8.2395720521151267E-2</v>
      </c>
      <c r="H69" s="67"/>
      <c r="I69" s="158">
        <v>0.10327724258726387</v>
      </c>
      <c r="J69" s="67"/>
      <c r="K69" s="158">
        <v>0.11216702309321062</v>
      </c>
      <c r="L69" s="67"/>
      <c r="M69" s="149">
        <v>0.15178810344947638</v>
      </c>
      <c r="N69" s="22">
        <v>0.12464968572327552</v>
      </c>
      <c r="O69" s="22">
        <v>0.11232403270673523</v>
      </c>
      <c r="P69" s="22">
        <v>0.16843574932639202</v>
      </c>
      <c r="Q69" s="158">
        <v>0.139562145533417</v>
      </c>
      <c r="R69" s="67"/>
      <c r="S69" s="149">
        <v>0.252172111925131</v>
      </c>
      <c r="T69" s="22">
        <v>0.10791607274021528</v>
      </c>
      <c r="U69" s="22">
        <v>0.1413805947794648</v>
      </c>
      <c r="V69" s="22">
        <v>0.10322687920889614</v>
      </c>
      <c r="W69" s="158">
        <v>0.14667882248485545</v>
      </c>
      <c r="X69" s="67"/>
      <c r="Y69" s="149">
        <v>0.17089068436694077</v>
      </c>
      <c r="Z69" s="22">
        <v>0.16469580555196422</v>
      </c>
      <c r="AA69" s="22">
        <v>0.1197394938794961</v>
      </c>
      <c r="AB69" s="22">
        <v>0.14703401044346431</v>
      </c>
      <c r="AC69" s="158">
        <v>0.15000861372650209</v>
      </c>
      <c r="AD69" s="67"/>
      <c r="AE69" s="149">
        <v>0.15496591154302999</v>
      </c>
      <c r="AF69" s="22">
        <v>0.14043775000077102</v>
      </c>
      <c r="AG69" s="22">
        <v>0.14821590743059154</v>
      </c>
      <c r="AH69" s="22">
        <v>0.11249509378758583</v>
      </c>
      <c r="AI69" s="158">
        <v>0.13763322366654407</v>
      </c>
      <c r="AJ69" s="67"/>
      <c r="AK69" s="149">
        <v>0.16014475768203693</v>
      </c>
      <c r="AL69" s="22">
        <v>0.13183731224337317</v>
      </c>
      <c r="AM69" s="22">
        <v>0.14448617379696141</v>
      </c>
      <c r="AN69" s="22">
        <v>0.11952839419460143</v>
      </c>
      <c r="AO69" s="158">
        <v>0.13793598360064444</v>
      </c>
      <c r="AP69" s="67"/>
      <c r="AQ69" s="149">
        <v>0.14679402115163084</v>
      </c>
      <c r="AR69" s="22">
        <v>0.12300216271520399</v>
      </c>
      <c r="AS69" s="22">
        <v>0.16490630040751594</v>
      </c>
      <c r="AT69" s="22">
        <v>0.16260416531766275</v>
      </c>
      <c r="AU69" s="158">
        <v>0.14996034251223531</v>
      </c>
      <c r="AV69" s="67"/>
      <c r="AW69" s="149">
        <v>0.11567411731348434</v>
      </c>
      <c r="AX69" s="22">
        <v>0.1296884172370753</v>
      </c>
      <c r="AY69" s="22">
        <v>0.1301180344843621</v>
      </c>
      <c r="AZ69" s="22">
        <v>0.16262948569915037</v>
      </c>
      <c r="BA69" s="158">
        <v>0.13597425629321752</v>
      </c>
      <c r="BB69" s="67"/>
      <c r="BC69" s="149">
        <v>9.7204439669659429E-2</v>
      </c>
      <c r="BD69" s="22">
        <v>0.16337672185012</v>
      </c>
      <c r="BE69" s="22">
        <v>0.12514163010129417</v>
      </c>
      <c r="BF69" s="22">
        <v>0.13660449563136356</v>
      </c>
      <c r="BG69" s="158">
        <v>0.13123368964617793</v>
      </c>
      <c r="BH69" s="67"/>
      <c r="BI69" s="149">
        <v>0.10678730448681356</v>
      </c>
      <c r="BJ69" s="22">
        <v>0.1645578994614004</v>
      </c>
      <c r="BK69" s="22">
        <v>0.17191914785327367</v>
      </c>
      <c r="BL69" s="22">
        <v>0.13562896996393126</v>
      </c>
      <c r="BM69" s="158">
        <v>0.14469302363007272</v>
      </c>
      <c r="BN69" s="67"/>
      <c r="BO69" s="149">
        <v>0.11909468714675174</v>
      </c>
      <c r="BP69" s="22">
        <v>0.14571330888294892</v>
      </c>
      <c r="BQ69" s="22">
        <v>0.16485579410243148</v>
      </c>
      <c r="BR69" s="22">
        <v>0.13988568333428361</v>
      </c>
      <c r="BS69" s="158">
        <v>0.14249309984562364</v>
      </c>
      <c r="BT69" s="67"/>
      <c r="BU69" s="149">
        <v>0.11833135084027208</v>
      </c>
      <c r="BV69" s="22">
        <v>0.20154964743325926</v>
      </c>
      <c r="BW69" s="22">
        <v>0.12995888656736534</v>
      </c>
      <c r="BX69" s="22">
        <v>0.14768354993957644</v>
      </c>
      <c r="BY69" s="158">
        <v>0.14900069603261409</v>
      </c>
      <c r="BZ69" s="67"/>
      <c r="CA69" s="149">
        <v>0.12362726472359947</v>
      </c>
      <c r="CB69" s="22">
        <v>0.20507302075326672</v>
      </c>
      <c r="CC69" s="22">
        <v>0.1971464160344242</v>
      </c>
      <c r="CD69" s="22">
        <v>0.1418837433671008</v>
      </c>
      <c r="CE69" s="158">
        <v>0.16668857199185119</v>
      </c>
      <c r="CF69" s="67"/>
      <c r="CG69" s="149">
        <v>0.11703827029945779</v>
      </c>
      <c r="CH69" s="22">
        <v>0.16105540897097625</v>
      </c>
      <c r="CI69" s="22">
        <v>0.17821421687263067</v>
      </c>
      <c r="CJ69" s="22">
        <v>0.17439763039474429</v>
      </c>
      <c r="CK69" s="158">
        <v>0.15868814729574221</v>
      </c>
      <c r="CL69" s="67"/>
      <c r="CM69" s="149">
        <v>8.5668588934943252E-2</v>
      </c>
      <c r="CN69" s="22">
        <v>0.1764398453015574</v>
      </c>
      <c r="CO69" s="22">
        <v>0.17361007839221601</v>
      </c>
      <c r="CP69" s="22">
        <v>0.19063205849699483</v>
      </c>
      <c r="CQ69" s="158">
        <v>0.15857784274825101</v>
      </c>
      <c r="CR69" s="67"/>
      <c r="CS69" s="149">
        <f>CS76/'Pro Forma IS'!CS11</f>
        <v>0.12925255309817679</v>
      </c>
      <c r="CT69" s="22">
        <f>CT76/'Pro Forma IS'!CT11</f>
        <v>0.2833279511493409</v>
      </c>
      <c r="CU69" s="22">
        <f>CU76/'Pro Forma IS'!CU11</f>
        <v>4.5327714822618381E-2</v>
      </c>
      <c r="CV69" s="22">
        <f>CV76/'Pro Forma IS'!CV11</f>
        <v>0.18098542678695348</v>
      </c>
      <c r="CW69" s="158">
        <f>CW76/'Pro Forma IS'!CW11</f>
        <v>0.16068644907404198</v>
      </c>
      <c r="CX69" s="67"/>
      <c r="CY69" s="149">
        <f>CY76/'Pro Forma IS'!CY11</f>
        <v>0.15845671618969953</v>
      </c>
      <c r="CZ69" s="22">
        <f>CZ76/'Pro Forma IS'!CZ11</f>
        <v>0.25882269737617569</v>
      </c>
      <c r="DA69" s="22">
        <f>DA76/'Pro Forma IS'!DA11</f>
        <v>7.180368335713079E-2</v>
      </c>
      <c r="DB69" s="22">
        <f>DB76/'Pro Forma IS'!DB11</f>
        <v>0.10503239316798633</v>
      </c>
      <c r="DC69" s="158">
        <f>DC76/'Pro Forma IS'!DC11</f>
        <v>0.1479588210207079</v>
      </c>
      <c r="DD69" s="67"/>
      <c r="DE69" s="149">
        <f>DE76/'Pro Forma IS'!DE11</f>
        <v>9.5489454787550235E-2</v>
      </c>
      <c r="DF69" s="22">
        <f>DF76/'Pro Forma IS'!DF11</f>
        <v>0.19125961730338573</v>
      </c>
      <c r="DG69" s="22">
        <f>DG76/'Pro Forma IS'!DG11</f>
        <v>0.20606421977827838</v>
      </c>
      <c r="DH69" s="22">
        <f>DH76/'Pro Forma IS'!DH11</f>
        <v>0.12995261222643881</v>
      </c>
      <c r="DI69" s="158">
        <f>DI76/'Pro Forma IS'!DI11</f>
        <v>0.15593272121202201</v>
      </c>
      <c r="DJ69" s="67"/>
      <c r="DK69" s="149">
        <f>DK76/'Pro Forma IS'!DK11</f>
        <v>0.1937033303975324</v>
      </c>
      <c r="DL69" s="22">
        <f>DL76/'Pro Forma IS'!DL11</f>
        <v>0.21464732140851975</v>
      </c>
      <c r="DM69" s="22">
        <f>DM76/'Pro Forma IS'!DM11</f>
        <v>0.14385054785820375</v>
      </c>
      <c r="DN69" s="22">
        <f>DN76/'Pro Forma IS'!DN11</f>
        <v>0.18009167241799559</v>
      </c>
      <c r="DO69" s="158">
        <f>DO76/'Pro Forma IS'!DO11</f>
        <v>0.1830286504382708</v>
      </c>
      <c r="DP69" s="67"/>
      <c r="DQ69" s="149">
        <f>DQ76/'Pro Forma IS'!DQ11</f>
        <v>0.18527163700793156</v>
      </c>
      <c r="DR69" s="22">
        <f>DR76/'Pro Forma IS'!DR11</f>
        <v>0.21984647412628308</v>
      </c>
      <c r="DS69" s="22">
        <f>DS76/'Pro Forma IS'!DS11</f>
        <v>0.1463011850094677</v>
      </c>
      <c r="DT69" s="22">
        <f>DT76/'Pro Forma IS'!DT11</f>
        <v>0.18298072973416829</v>
      </c>
      <c r="DU69" s="158">
        <f>DU76/'Pro Forma IS'!DU11</f>
        <v>0.1837937103502022</v>
      </c>
      <c r="DV69" s="67"/>
      <c r="DW69" s="149">
        <f>DW76/'Pro Forma IS'!DW11</f>
        <v>0.21910068014999062</v>
      </c>
      <c r="DX69" s="22">
        <f>DX76/'Pro Forma IS'!DX11</f>
        <v>0.22931862622457483</v>
      </c>
      <c r="DY69" s="22">
        <f>DY76/'Pro Forma IS'!DY11</f>
        <v>0.15293183330639665</v>
      </c>
      <c r="DZ69" s="22">
        <f>DZ76/'Pro Forma IS'!DZ11</f>
        <v>0.21787314650872261</v>
      </c>
      <c r="EA69" s="158">
        <f>EA76/'Pro Forma IS'!EA11</f>
        <v>0.2052518343257711</v>
      </c>
      <c r="EB69" s="67"/>
      <c r="EC69" s="149">
        <f>EC76/'Pro Forma IS'!EC11</f>
        <v>0.25316589105640247</v>
      </c>
      <c r="ED69" s="22">
        <f>ED76/'Pro Forma IS'!ED11</f>
        <v>0.27032626780139768</v>
      </c>
      <c r="EE69" s="22">
        <f>EE76/'Pro Forma IS'!EE11</f>
        <v>0.19541211379806459</v>
      </c>
      <c r="EF69" s="22">
        <f>EF76/'Pro Forma IS'!EF11</f>
        <v>0.2377247213705487</v>
      </c>
      <c r="EG69" s="158">
        <f>EG76/'Pro Forma IS'!EG11</f>
        <v>0.23922009283836598</v>
      </c>
      <c r="EH69" s="22"/>
      <c r="EI69" s="27"/>
      <c r="EJ69" s="27"/>
      <c r="EK69" s="27"/>
      <c r="EL69" s="27"/>
    </row>
    <row r="70" spans="1:142" ht="12.75" customHeight="1" x14ac:dyDescent="0.2">
      <c r="A70" s="51" t="s">
        <v>529</v>
      </c>
      <c r="B70" s="19"/>
      <c r="C70" s="19"/>
      <c r="D70" s="19"/>
      <c r="E70" s="158">
        <v>1.2199610427849883</v>
      </c>
      <c r="F70" s="67"/>
      <c r="G70" s="158">
        <v>1.3061152295487071</v>
      </c>
      <c r="H70" s="67"/>
      <c r="I70" s="158">
        <v>1.2633645031450396</v>
      </c>
      <c r="J70" s="67"/>
      <c r="K70" s="158">
        <v>1.3069864564345055</v>
      </c>
      <c r="L70" s="67"/>
      <c r="M70" s="149">
        <v>1.8477392167784743</v>
      </c>
      <c r="N70" s="22">
        <v>1.2654674732038629</v>
      </c>
      <c r="O70" s="22">
        <v>1.1535482401184647</v>
      </c>
      <c r="P70" s="22">
        <v>0.93206192830431889</v>
      </c>
      <c r="Q70" s="158">
        <v>1.2257462296680715</v>
      </c>
      <c r="R70" s="67"/>
      <c r="S70" s="149">
        <v>3.06077234544026</v>
      </c>
      <c r="T70" s="22">
        <v>1.1933342979790675</v>
      </c>
      <c r="U70" s="22">
        <v>1.4096457510907958</v>
      </c>
      <c r="V70" s="22">
        <v>0.99554466305096034</v>
      </c>
      <c r="W70" s="158">
        <v>1.5465627613086916</v>
      </c>
      <c r="X70" s="67"/>
      <c r="Y70" s="149">
        <v>1.9632176401667234</v>
      </c>
      <c r="Z70" s="22">
        <v>1.7812874550539359</v>
      </c>
      <c r="AA70" s="22">
        <v>1.1071544577666685</v>
      </c>
      <c r="AB70" s="22">
        <v>1.3112084146969682</v>
      </c>
      <c r="AC70" s="158">
        <v>1.4903834965486435</v>
      </c>
      <c r="AD70" s="67"/>
      <c r="AE70" s="149">
        <v>1.6241205074570089</v>
      </c>
      <c r="AF70" s="22">
        <v>1.2425927644037922</v>
      </c>
      <c r="AG70" s="22">
        <v>1.2819027419186988</v>
      </c>
      <c r="AH70" s="22">
        <v>1.0178710995525393</v>
      </c>
      <c r="AI70" s="158">
        <v>1.2624893650165974</v>
      </c>
      <c r="AJ70" s="67"/>
      <c r="AK70" s="149">
        <v>1.4976031466382598</v>
      </c>
      <c r="AL70" s="22">
        <v>1.0593492208982584</v>
      </c>
      <c r="AM70" s="22">
        <v>1.2581380828178059</v>
      </c>
      <c r="AN70" s="22">
        <v>1.1288213797016311</v>
      </c>
      <c r="AO70" s="158">
        <v>1.2226665186500885</v>
      </c>
      <c r="AP70" s="67"/>
      <c r="AQ70" s="149">
        <v>1.4591629438043752</v>
      </c>
      <c r="AR70" s="22">
        <v>1.0348186129890293</v>
      </c>
      <c r="AS70" s="22">
        <v>1.4932775889553962</v>
      </c>
      <c r="AT70" s="22">
        <v>1.3950570081272125</v>
      </c>
      <c r="AU70" s="158">
        <v>1.338921869900755</v>
      </c>
      <c r="AV70" s="67"/>
      <c r="AW70" s="149">
        <v>1.145626568532345</v>
      </c>
      <c r="AX70" s="22">
        <v>1.0711394105242011</v>
      </c>
      <c r="AY70" s="22">
        <v>1.0345588513570565</v>
      </c>
      <c r="AZ70" s="22">
        <v>1.2637714144350294</v>
      </c>
      <c r="BA70" s="158">
        <v>1.1349297009308867</v>
      </c>
      <c r="BB70" s="67"/>
      <c r="BC70" s="149">
        <v>0.98963042637938903</v>
      </c>
      <c r="BD70" s="22">
        <v>1.4521989562807198</v>
      </c>
      <c r="BE70" s="22">
        <v>1.0189978476720341</v>
      </c>
      <c r="BF70" s="22">
        <v>1.3966673747771052</v>
      </c>
      <c r="BG70" s="158">
        <v>1.2148558905419875</v>
      </c>
      <c r="BH70" s="67"/>
      <c r="BI70" s="149">
        <v>1.1806595755423539</v>
      </c>
      <c r="BJ70" s="22">
        <v>1.6559534787436254</v>
      </c>
      <c r="BK70" s="22">
        <v>1.5796439188963476</v>
      </c>
      <c r="BL70" s="22">
        <v>1.127257967384991</v>
      </c>
      <c r="BM70" s="158">
        <v>1.3718942480329188</v>
      </c>
      <c r="BN70" s="67"/>
      <c r="BO70" s="149">
        <v>1.129104755180389</v>
      </c>
      <c r="BP70" s="22">
        <v>1.2724889122917473</v>
      </c>
      <c r="BQ70" s="22">
        <v>1.298165032500846</v>
      </c>
      <c r="BR70" s="22">
        <v>0.71429548822489852</v>
      </c>
      <c r="BS70" s="158">
        <v>1.0352277702975583</v>
      </c>
      <c r="BT70" s="67"/>
      <c r="BU70" s="149">
        <v>0.9620485124405499</v>
      </c>
      <c r="BV70" s="22">
        <v>1.5126869267613632</v>
      </c>
      <c r="BW70" s="22">
        <v>1.121219018561789</v>
      </c>
      <c r="BX70" s="22">
        <v>1.209625428697594</v>
      </c>
      <c r="BY70" s="158">
        <v>1.2104933659147359</v>
      </c>
      <c r="BZ70" s="67"/>
      <c r="CA70" s="149">
        <v>1.0261538461538462</v>
      </c>
      <c r="CB70" s="22">
        <v>1.606675843083275</v>
      </c>
      <c r="CC70" s="22">
        <v>1.5864771277565155</v>
      </c>
      <c r="CD70" s="22">
        <v>1.1197652284263968</v>
      </c>
      <c r="CE70" s="158">
        <v>1.3348243652151046</v>
      </c>
      <c r="CF70" s="67"/>
      <c r="CG70" s="149">
        <v>0.98775652807947689</v>
      </c>
      <c r="CH70" s="22">
        <v>1.2370298313878081</v>
      </c>
      <c r="CI70" s="22">
        <v>1.3938023450586263</v>
      </c>
      <c r="CJ70" s="22">
        <v>1.3442119127762318</v>
      </c>
      <c r="CK70" s="158">
        <v>1.2516977837629986</v>
      </c>
      <c r="CL70" s="67"/>
      <c r="CM70" s="149">
        <v>0.89021535580524447</v>
      </c>
      <c r="CN70" s="22">
        <v>1.5171669962250587</v>
      </c>
      <c r="CO70" s="22">
        <v>1.1619508033556087</v>
      </c>
      <c r="CP70" s="22">
        <v>0.85493491197406724</v>
      </c>
      <c r="CQ70" s="158">
        <v>1.065125027878264</v>
      </c>
      <c r="CR70" s="355"/>
      <c r="CS70" s="463">
        <f>CS76/'Pro Forma IS'!CS29</f>
        <v>1.1859729807415917</v>
      </c>
      <c r="CT70" s="353">
        <f>CT76/'Pro Forma IS'!CT29</f>
        <v>1.9383410323358097</v>
      </c>
      <c r="CU70" s="353">
        <f>CU76/'Pro Forma IS'!CU29</f>
        <v>0.41905764674914553</v>
      </c>
      <c r="CV70" s="353">
        <f>CV76/'Pro Forma IS'!CV29</f>
        <v>1.5017274472168907</v>
      </c>
      <c r="CW70" s="465">
        <f>CW76/'Pro Forma IS'!CW29</f>
        <v>1.3278181714089419</v>
      </c>
      <c r="CX70" s="355"/>
      <c r="CY70" s="463">
        <f>CY76/'Pro Forma IS'!CY29</f>
        <v>1.0614544213041985</v>
      </c>
      <c r="CZ70" s="353">
        <f>CZ76/'Pro Forma IS'!CZ29</f>
        <v>2.6265550239234461</v>
      </c>
      <c r="DA70" s="353">
        <f>DA76/'Pro Forma IS'!DA29</f>
        <v>0.73695976154992482</v>
      </c>
      <c r="DB70" s="353">
        <f>DB76/'Pro Forma IS'!DB29</f>
        <v>0.64457831325301174</v>
      </c>
      <c r="DC70" s="465">
        <f>DC76/'Pro Forma IS'!DC29</f>
        <v>1.1599795671960611</v>
      </c>
      <c r="DD70" s="355"/>
      <c r="DE70" s="463">
        <f>DE76/'Pro Forma IS'!DE29</f>
        <v>0.8300950806118238</v>
      </c>
      <c r="DF70" s="353">
        <f>DF76/'Pro Forma IS'!DF29</f>
        <v>1.4417516296172486</v>
      </c>
      <c r="DG70" s="353">
        <f>DG76/'Pro Forma IS'!DG29</f>
        <v>1.6310085649362005</v>
      </c>
      <c r="DH70" s="353">
        <f>DH76/'Pro Forma IS'!DH29</f>
        <v>0.77153864113938819</v>
      </c>
      <c r="DI70" s="465">
        <f>DI76/'Pro Forma IS'!DI29</f>
        <v>1.1383622749721203</v>
      </c>
      <c r="DJ70" s="355"/>
      <c r="DK70" s="463">
        <f>DK76/'Pro Forma IS'!DK29</f>
        <v>1.6052146444556563</v>
      </c>
      <c r="DL70" s="353">
        <f>DL76/'Pro Forma IS'!DL29</f>
        <v>1.6349619944177549</v>
      </c>
      <c r="DM70" s="353">
        <f>DM76/'Pro Forma IS'!DM29</f>
        <v>1.0855023506280117</v>
      </c>
      <c r="DN70" s="353">
        <f>DN76/'Pro Forma IS'!DN29</f>
        <v>1.1673235121292427</v>
      </c>
      <c r="DO70" s="465">
        <f>DO76/'Pro Forma IS'!DO29</f>
        <v>1.3521388191852928</v>
      </c>
      <c r="DP70" s="355"/>
      <c r="DQ70" s="463">
        <f>DQ76/'Pro Forma IS'!DQ29</f>
        <v>1.4122081190456348</v>
      </c>
      <c r="DR70" s="353">
        <f>DR76/'Pro Forma IS'!DR29</f>
        <v>1.5536404335315244</v>
      </c>
      <c r="DS70" s="353">
        <f>DS76/'Pro Forma IS'!DS29</f>
        <v>1.0306655085211331</v>
      </c>
      <c r="DT70" s="353">
        <f>DT76/'Pro Forma IS'!DT29</f>
        <v>1.1266209259456492</v>
      </c>
      <c r="DU70" s="465">
        <f>DU76/'Pro Forma IS'!DU29</f>
        <v>1.2687572355168617</v>
      </c>
      <c r="DV70" s="355"/>
      <c r="DW70" s="463">
        <f>DW76/'Pro Forma IS'!DW29</f>
        <v>1.552466829968415</v>
      </c>
      <c r="DX70" s="353">
        <f>DX76/'Pro Forma IS'!DX29</f>
        <v>1.5202425071885712</v>
      </c>
      <c r="DY70" s="353">
        <f>DY76/'Pro Forma IS'!DY29</f>
        <v>1.0097417931388395</v>
      </c>
      <c r="DZ70" s="353">
        <f>DZ76/'Pro Forma IS'!DZ29</f>
        <v>1.1132917574231485</v>
      </c>
      <c r="EA70" s="465">
        <f>EA76/'Pro Forma IS'!EA29</f>
        <v>1.2756761641266501</v>
      </c>
      <c r="EB70" s="355"/>
      <c r="EC70" s="463">
        <f>EC76/'Pro Forma IS'!EC29</f>
        <v>1.3994332982294941</v>
      </c>
      <c r="ED70" s="353">
        <f>ED76/'Pro Forma IS'!ED29</f>
        <v>1.4102296909231125</v>
      </c>
      <c r="EE70" s="353">
        <f>EE76/'Pro Forma IS'!EE29</f>
        <v>0.99219968032321293</v>
      </c>
      <c r="EF70" s="353">
        <f>EF76/'Pro Forma IS'!EF29</f>
        <v>1.119323494053142</v>
      </c>
      <c r="EG70" s="465">
        <f>EG76/'Pro Forma IS'!EG29</f>
        <v>1.2202402471814573</v>
      </c>
      <c r="EH70" s="22"/>
      <c r="EI70" s="27"/>
      <c r="EJ70" s="27"/>
      <c r="EK70" s="27"/>
      <c r="EL70" s="27"/>
    </row>
    <row r="71" spans="1:142" ht="12.75" customHeight="1" x14ac:dyDescent="0.2">
      <c r="A71" s="51" t="s">
        <v>726</v>
      </c>
      <c r="B71" s="19"/>
      <c r="C71" s="19"/>
      <c r="D71" s="19"/>
      <c r="E71" s="158"/>
      <c r="F71" s="67"/>
      <c r="G71" s="158"/>
      <c r="H71" s="67"/>
      <c r="I71" s="158"/>
      <c r="J71" s="67"/>
      <c r="K71" s="158"/>
      <c r="L71" s="67"/>
      <c r="M71" s="149"/>
      <c r="N71" s="22"/>
      <c r="O71" s="22"/>
      <c r="P71" s="22"/>
      <c r="Q71" s="158"/>
      <c r="R71" s="67"/>
      <c r="S71" s="149"/>
      <c r="T71" s="22"/>
      <c r="U71" s="22"/>
      <c r="V71" s="22"/>
      <c r="W71" s="158"/>
      <c r="X71" s="67"/>
      <c r="Y71" s="149"/>
      <c r="Z71" s="22"/>
      <c r="AA71" s="22"/>
      <c r="AB71" s="22"/>
      <c r="AC71" s="158"/>
      <c r="AD71" s="67"/>
      <c r="AE71" s="149"/>
      <c r="AF71" s="22"/>
      <c r="AG71" s="22"/>
      <c r="AH71" s="22"/>
      <c r="AI71" s="158"/>
      <c r="AJ71" s="67"/>
      <c r="AK71" s="149"/>
      <c r="AL71" s="22"/>
      <c r="AM71" s="22"/>
      <c r="AN71" s="22"/>
      <c r="AO71" s="158"/>
      <c r="AP71" s="67"/>
      <c r="AQ71" s="149"/>
      <c r="AR71" s="22"/>
      <c r="AS71" s="22"/>
      <c r="AT71" s="22"/>
      <c r="AU71" s="158"/>
      <c r="AV71" s="67"/>
      <c r="AW71" s="149"/>
      <c r="AX71" s="22"/>
      <c r="AY71" s="22"/>
      <c r="AZ71" s="22"/>
      <c r="BA71" s="158"/>
      <c r="BB71" s="67"/>
      <c r="BC71" s="149"/>
      <c r="BD71" s="22"/>
      <c r="BE71" s="22"/>
      <c r="BF71" s="22"/>
      <c r="BG71" s="158"/>
      <c r="BH71" s="67"/>
      <c r="BI71" s="149"/>
      <c r="BJ71" s="22"/>
      <c r="BK71" s="22"/>
      <c r="BL71" s="22"/>
      <c r="BM71" s="158"/>
      <c r="BN71" s="67"/>
      <c r="BO71" s="149"/>
      <c r="BP71" s="22"/>
      <c r="BQ71" s="22"/>
      <c r="BR71" s="22"/>
      <c r="BS71" s="158"/>
      <c r="BT71" s="67"/>
      <c r="BU71" s="149"/>
      <c r="BV71" s="22"/>
      <c r="BW71" s="22"/>
      <c r="BX71" s="22"/>
      <c r="BY71" s="158"/>
      <c r="BZ71" s="67"/>
      <c r="CA71" s="149"/>
      <c r="CB71" s="22"/>
      <c r="CC71" s="22"/>
      <c r="CD71" s="22"/>
      <c r="CE71" s="158"/>
      <c r="CF71" s="67"/>
      <c r="CG71" s="149"/>
      <c r="CH71" s="22"/>
      <c r="CI71" s="22"/>
      <c r="CJ71" s="22"/>
      <c r="CK71" s="158"/>
      <c r="CL71" s="67"/>
      <c r="CM71" s="149"/>
      <c r="CN71" s="22"/>
      <c r="CO71" s="22"/>
      <c r="CP71" s="22"/>
      <c r="CQ71" s="158"/>
      <c r="CR71" s="355"/>
      <c r="CS71" s="463"/>
      <c r="CT71" s="353"/>
      <c r="CU71" s="353"/>
      <c r="CV71" s="353"/>
      <c r="CW71" s="465"/>
      <c r="CX71" s="355"/>
      <c r="CY71" s="463">
        <f>CY76/'Pro Forma IS'!CY34</f>
        <v>1.1277977291689325</v>
      </c>
      <c r="CZ71" s="353">
        <f>CZ76/'Pro Forma IS'!CZ34</f>
        <v>1.7531197355709738</v>
      </c>
      <c r="DA71" s="353">
        <f>DA76/'Pro Forma IS'!DA34</f>
        <v>0.48749790508989194</v>
      </c>
      <c r="DB71" s="353">
        <f>DB76/'Pro Forma IS'!DB34</f>
        <v>0.65570064644049164</v>
      </c>
      <c r="DC71" s="465">
        <f>DC76/'Pro Forma IS'!DC34</f>
        <v>0.99101701142055887</v>
      </c>
      <c r="DD71" s="355"/>
      <c r="DE71" s="463">
        <f>DE76/'Pro Forma IS'!DE34</f>
        <v>0.67042948554219528</v>
      </c>
      <c r="DF71" s="353">
        <f>DF76/'Pro Forma IS'!DF34</f>
        <v>1.2328898303025624</v>
      </c>
      <c r="DG71" s="353">
        <f>DG76/'Pro Forma IS'!DG34</f>
        <v>1.3281745711787984</v>
      </c>
      <c r="DH71" s="353">
        <f>DH76/'Pro Forma IS'!DH34</f>
        <v>0.78316153040411085</v>
      </c>
      <c r="DI71" s="465">
        <f>DI76/'Pro Forma IS'!DI34</f>
        <v>1.004602147265379</v>
      </c>
      <c r="DJ71" s="355"/>
      <c r="DK71" s="463">
        <f>DK76/'Pro Forma IS'!DK34</f>
        <v>1.2928377715849653</v>
      </c>
      <c r="DL71" s="353">
        <f>DL76/'Pro Forma IS'!DL34</f>
        <v>1.3466344321870667</v>
      </c>
      <c r="DM71" s="353">
        <f>DM76/'Pro Forma IS'!DM34</f>
        <v>0.89565853984187893</v>
      </c>
      <c r="DN71" s="353">
        <f>DN76/'Pro Forma IS'!DN34</f>
        <v>1.0066167704807432</v>
      </c>
      <c r="DO71" s="465">
        <f>DO76/'Pro Forma IS'!DO34</f>
        <v>1.1245055717112757</v>
      </c>
      <c r="DP71" s="355"/>
      <c r="DQ71" s="463">
        <f>DQ76/'Pro Forma IS'!DQ34</f>
        <v>1.1624325682819576</v>
      </c>
      <c r="DR71" s="353">
        <f>DR76/'Pro Forma IS'!DR34</f>
        <v>1.3099460620733481</v>
      </c>
      <c r="DS71" s="353">
        <f>DS76/'Pro Forma IS'!DS34</f>
        <v>0.86846970001410351</v>
      </c>
      <c r="DT71" s="353">
        <f>DT76/'Pro Forma IS'!DT34</f>
        <v>0.98564599079003279</v>
      </c>
      <c r="DU71" s="465">
        <f>DU76/'Pro Forma IS'!DU34</f>
        <v>1.0758849811804725</v>
      </c>
      <c r="DV71" s="355"/>
      <c r="DW71" s="463">
        <f>DW76/'Pro Forma IS'!DW34</f>
        <v>1.3036502106735819</v>
      </c>
      <c r="DX71" s="353">
        <f>DX76/'Pro Forma IS'!DX34</f>
        <v>1.3032024493456318</v>
      </c>
      <c r="DY71" s="353">
        <f>DY76/'Pro Forma IS'!DY34</f>
        <v>0.86537482641945951</v>
      </c>
      <c r="DZ71" s="353">
        <f>DZ76/'Pro Forma IS'!DZ34</f>
        <v>1.0002658356116525</v>
      </c>
      <c r="EA71" s="465">
        <f>EA76/'Pro Forma IS'!EA34</f>
        <v>1.1054985886722313</v>
      </c>
      <c r="EB71" s="355"/>
      <c r="EC71" s="463">
        <f>EC76/'Pro Forma IS'!EC34</f>
        <v>1.2265663216261178</v>
      </c>
      <c r="ED71" s="353">
        <f>ED76/'Pro Forma IS'!ED34</f>
        <v>1.2547758084842926</v>
      </c>
      <c r="EE71" s="353">
        <f>EE76/'Pro Forma IS'!EE34</f>
        <v>0.88500660396244224</v>
      </c>
      <c r="EF71" s="353">
        <f>EF76/'Pro Forma IS'!EF34</f>
        <v>1.0192513091502042</v>
      </c>
      <c r="EG71" s="465">
        <f>EG76/'Pro Forma IS'!EG34</f>
        <v>1.0901228827522229</v>
      </c>
      <c r="EH71" s="22"/>
      <c r="EI71" s="27"/>
      <c r="EJ71" s="27"/>
      <c r="EK71" s="27"/>
      <c r="EL71" s="27"/>
    </row>
    <row r="72" spans="1:142" ht="12.75" customHeight="1" x14ac:dyDescent="0.2">
      <c r="A72" s="51" t="s">
        <v>23</v>
      </c>
      <c r="B72" s="19"/>
      <c r="C72" s="19"/>
      <c r="D72" s="19"/>
      <c r="E72" s="158">
        <v>3.4863964686998393E-2</v>
      </c>
      <c r="F72" s="67"/>
      <c r="G72" s="158">
        <v>3.3347773292638903E-2</v>
      </c>
      <c r="H72" s="67"/>
      <c r="I72" s="158">
        <v>2.7808394845489807E-2</v>
      </c>
      <c r="J72" s="67"/>
      <c r="K72" s="158">
        <v>2.7454770358335073E-2</v>
      </c>
      <c r="L72" s="67"/>
      <c r="M72" s="149">
        <v>2.0993093487107609E-2</v>
      </c>
      <c r="N72" s="22">
        <v>1.9144067628295253E-2</v>
      </c>
      <c r="O72" s="22">
        <v>1.9749597377072454E-2</v>
      </c>
      <c r="P72" s="22">
        <v>2.9635489894790906E-2</v>
      </c>
      <c r="Q72" s="158">
        <v>2.2328684839749112E-2</v>
      </c>
      <c r="R72" s="67"/>
      <c r="S72" s="149">
        <v>1.2868860703022384E-2</v>
      </c>
      <c r="T72" s="22">
        <v>1.3362690892468634E-2</v>
      </c>
      <c r="U72" s="22">
        <v>1.4510458696159923E-2</v>
      </c>
      <c r="V72" s="22">
        <v>1.6060669282136637E-2</v>
      </c>
      <c r="W72" s="158">
        <v>1.429466542224646E-2</v>
      </c>
      <c r="X72" s="67"/>
      <c r="Y72" s="149">
        <v>1.3055345401955337E-2</v>
      </c>
      <c r="Z72" s="22">
        <v>1.6933552506018013E-2</v>
      </c>
      <c r="AA72" s="22">
        <v>1.255411619067838E-2</v>
      </c>
      <c r="AB72" s="22">
        <v>1.7654076027453385E-2</v>
      </c>
      <c r="AC72" s="158">
        <v>1.5176592727143589E-2</v>
      </c>
      <c r="AD72" s="67"/>
      <c r="AE72" s="149">
        <v>1.2446936250924219E-2</v>
      </c>
      <c r="AF72" s="22">
        <v>1.4778765701667545E-2</v>
      </c>
      <c r="AG72" s="22">
        <v>1.5446187871894846E-2</v>
      </c>
      <c r="AH72" s="22">
        <v>2.3125498514118537E-2</v>
      </c>
      <c r="AI72" s="158">
        <v>1.6823928629592848E-2</v>
      </c>
      <c r="AJ72" s="67"/>
      <c r="AK72" s="149">
        <v>1.4212343396416548E-2</v>
      </c>
      <c r="AL72" s="22">
        <v>1.6058055808614108E-2</v>
      </c>
      <c r="AM72" s="22">
        <v>1.5373974953912658E-2</v>
      </c>
      <c r="AN72" s="22">
        <v>1.5043147337057231E-2</v>
      </c>
      <c r="AO72" s="158">
        <v>1.5179773727366725E-2</v>
      </c>
      <c r="AP72" s="67"/>
      <c r="AQ72" s="149">
        <v>1.3048630773706882E-2</v>
      </c>
      <c r="AR72" s="22">
        <v>1.3689719813214559E-2</v>
      </c>
      <c r="AS72" s="22">
        <v>1.6595010577144648E-2</v>
      </c>
      <c r="AT72" s="22">
        <v>1.463285129774807E-2</v>
      </c>
      <c r="AU72" s="158">
        <v>1.4547346857022607E-2</v>
      </c>
      <c r="AV72" s="67"/>
      <c r="AW72" s="149">
        <v>1.2468548065693648E-2</v>
      </c>
      <c r="AX72" s="22">
        <v>1.4795099329947926E-2</v>
      </c>
      <c r="AY72" s="22">
        <v>1.0912981376716266E-2</v>
      </c>
      <c r="AZ72" s="22">
        <v>1.9701213908035104E-2</v>
      </c>
      <c r="BA72" s="158">
        <v>1.469909353579448E-2</v>
      </c>
      <c r="BB72" s="67"/>
      <c r="BC72" s="149">
        <v>1.2862865870287111E-2</v>
      </c>
      <c r="BD72" s="22">
        <v>1.367491956959647E-2</v>
      </c>
      <c r="BE72" s="22">
        <v>1.0695468865378853E-2</v>
      </c>
      <c r="BF72" s="22">
        <v>2.380067911094768E-2</v>
      </c>
      <c r="BG72" s="158">
        <v>1.5261561056009957E-2</v>
      </c>
      <c r="BH72" s="67"/>
      <c r="BI72" s="149">
        <v>1.3855462952391828E-2</v>
      </c>
      <c r="BJ72" s="22">
        <v>1.777939856373429E-2</v>
      </c>
      <c r="BK72" s="22">
        <v>1.1441087723125022E-2</v>
      </c>
      <c r="BL72" s="22">
        <v>2.334354751188995E-2</v>
      </c>
      <c r="BM72" s="158">
        <v>1.6857280798219031E-2</v>
      </c>
      <c r="BN72" s="67"/>
      <c r="BO72" s="149">
        <v>1.2396103464326081E-2</v>
      </c>
      <c r="BP72" s="22">
        <v>1.611052402561074E-2</v>
      </c>
      <c r="BQ72" s="22">
        <v>1.6509958613554063E-2</v>
      </c>
      <c r="BR72" s="22">
        <v>1.4518786703916984E-2</v>
      </c>
      <c r="BS72" s="158">
        <v>1.4900435060581016E-2</v>
      </c>
      <c r="BT72" s="67"/>
      <c r="BU72" s="149">
        <v>1.4123280568518011E-2</v>
      </c>
      <c r="BV72" s="22">
        <v>1.6131643207945783E-2</v>
      </c>
      <c r="BW72" s="22">
        <v>2.4650311159039338E-2</v>
      </c>
      <c r="BX72" s="22">
        <v>2.5373248245595437E-2</v>
      </c>
      <c r="BY72" s="158">
        <v>2.0787759769314906E-2</v>
      </c>
      <c r="BZ72" s="67"/>
      <c r="CA72" s="149">
        <v>2.7292525832908577E-2</v>
      </c>
      <c r="CB72" s="22">
        <v>2.4310969583836609E-2</v>
      </c>
      <c r="CC72" s="22">
        <v>2.3757218888008146E-2</v>
      </c>
      <c r="CD72" s="22">
        <v>2.5104518411320154E-2</v>
      </c>
      <c r="CE72" s="158">
        <v>2.5098026330200876E-2</v>
      </c>
      <c r="CF72" s="67"/>
      <c r="CG72" s="149">
        <v>2.6165995455261323E-2</v>
      </c>
      <c r="CH72" s="22">
        <v>2.8749340369393136E-2</v>
      </c>
      <c r="CI72" s="22">
        <v>2.9834443468762718E-2</v>
      </c>
      <c r="CJ72" s="22">
        <v>3.0322592894981678E-2</v>
      </c>
      <c r="CK72" s="158">
        <v>2.8847159744743174E-2</v>
      </c>
      <c r="CL72" s="67"/>
      <c r="CM72" s="149">
        <v>2.9487295008109572E-2</v>
      </c>
      <c r="CN72" s="22">
        <v>3.0876972927772556E-2</v>
      </c>
      <c r="CO72" s="22">
        <v>2.7766565401202436E-2</v>
      </c>
      <c r="CP72" s="22">
        <v>3.2789709429194902E-2</v>
      </c>
      <c r="CQ72" s="158">
        <v>3.0312206327660018E-2</v>
      </c>
      <c r="CR72" s="67"/>
      <c r="CS72" s="149">
        <f>-CS32/'Pro Forma IS'!CS11</f>
        <v>3.6651838857214465E-2</v>
      </c>
      <c r="CT72" s="22">
        <f>-CT32/'Pro Forma IS'!CT11</f>
        <v>3.9984734169039714E-2</v>
      </c>
      <c r="CU72" s="22">
        <f>-CU32/'Pro Forma IS'!CU11</f>
        <v>2.8016627754683686E-2</v>
      </c>
      <c r="CV72" s="22">
        <f>-CV32/'Pro Forma IS'!CV11</f>
        <v>3.7312051815868601E-2</v>
      </c>
      <c r="CW72" s="158">
        <f>-CW32/'Pro Forma IS'!CW11</f>
        <v>3.5534894032715099E-2</v>
      </c>
      <c r="CX72" s="67"/>
      <c r="CY72" s="149">
        <f>-CY32/'Pro Forma IS'!CY11</f>
        <v>3.8480161056038326E-2</v>
      </c>
      <c r="CZ72" s="22">
        <f>-CZ32/'Pro Forma IS'!CZ11</f>
        <v>4.3353214361488951E-2</v>
      </c>
      <c r="DA72" s="22">
        <f>-DA32/'Pro Forma IS'!DA11</f>
        <v>2.1103071077660279E-2</v>
      </c>
      <c r="DB72" s="22">
        <f>-DB32/'Pro Forma IS'!DB11</f>
        <v>3.6537748402155179E-2</v>
      </c>
      <c r="DC72" s="158">
        <f>-DC32/'Pro Forma IS'!DC11</f>
        <v>3.4923944462872579E-2</v>
      </c>
      <c r="DD72" s="67"/>
      <c r="DE72" s="149">
        <f>-DE32/'Pro Forma IS'!DE11</f>
        <v>3.7710725919585325E-2</v>
      </c>
      <c r="DF72" s="22">
        <f>-DF32/'Pro Forma IS'!DF11</f>
        <v>3.279306445533358E-2</v>
      </c>
      <c r="DG72" s="22">
        <f>-DG32/'Pro Forma IS'!DG11</f>
        <v>3.0762775495781991E-2</v>
      </c>
      <c r="DH72" s="22">
        <f>-DH32/'Pro Forma IS'!DH11</f>
        <v>3.4174253298464324E-2</v>
      </c>
      <c r="DI72" s="158">
        <f>-DI32/'Pro Forma IS'!DI11</f>
        <v>3.3803062788807237E-2</v>
      </c>
      <c r="DJ72" s="67"/>
      <c r="DK72" s="149">
        <f>-DK32/'Pro Forma IS'!DK11</f>
        <v>3.2000000000000001E-2</v>
      </c>
      <c r="DL72" s="22">
        <f>-DL32/'Pro Forma IS'!DL11</f>
        <v>3.2000000000000001E-2</v>
      </c>
      <c r="DM72" s="22">
        <f>-DM32/'Pro Forma IS'!DM11</f>
        <v>3.2000000000000001E-2</v>
      </c>
      <c r="DN72" s="22">
        <f>-DN32/'Pro Forma IS'!DN11</f>
        <v>3.2000000000000001E-2</v>
      </c>
      <c r="DO72" s="158">
        <f>-DO32/'Pro Forma IS'!DO11</f>
        <v>3.2000000000000001E-2</v>
      </c>
      <c r="DP72" s="67"/>
      <c r="DQ72" s="149">
        <f>-DQ32/'Pro Forma IS'!DQ11</f>
        <v>3.2000000000000001E-2</v>
      </c>
      <c r="DR72" s="22">
        <f>-DR32/'Pro Forma IS'!DR11</f>
        <v>3.2000000000000001E-2</v>
      </c>
      <c r="DS72" s="22">
        <f>-DS32/'Pro Forma IS'!DS11</f>
        <v>3.2000000000000001E-2</v>
      </c>
      <c r="DT72" s="22">
        <f>-DT32/'Pro Forma IS'!DT11</f>
        <v>3.2000000000000001E-2</v>
      </c>
      <c r="DU72" s="158">
        <f>-DU32/'Pro Forma IS'!DU11</f>
        <v>3.1999999999999994E-2</v>
      </c>
      <c r="DV72" s="67"/>
      <c r="DW72" s="149">
        <f>-DW32/'Pro Forma IS'!DW11</f>
        <v>3.2000000000000001E-2</v>
      </c>
      <c r="DX72" s="22">
        <f>-DX32/'Pro Forma IS'!DX11</f>
        <v>3.2000000000000001E-2</v>
      </c>
      <c r="DY72" s="22">
        <f>-DY32/'Pro Forma IS'!DY11</f>
        <v>3.2000000000000001E-2</v>
      </c>
      <c r="DZ72" s="22">
        <f>-DZ32/'Pro Forma IS'!DZ11</f>
        <v>3.2000000000000001E-2</v>
      </c>
      <c r="EA72" s="158">
        <f>-EA32/'Pro Forma IS'!EA11</f>
        <v>3.1999999999999994E-2</v>
      </c>
      <c r="EB72" s="67"/>
      <c r="EC72" s="149">
        <f>-EC32/'Pro Forma IS'!EC11</f>
        <v>3.2000000000000001E-2</v>
      </c>
      <c r="ED72" s="22">
        <f>-ED32/'Pro Forma IS'!ED11</f>
        <v>3.2000000000000001E-2</v>
      </c>
      <c r="EE72" s="22">
        <f>-EE32/'Pro Forma IS'!EE11</f>
        <v>3.2000000000000001E-2</v>
      </c>
      <c r="EF72" s="22">
        <f>-EF32/'Pro Forma IS'!EF11</f>
        <v>3.2000000000000001E-2</v>
      </c>
      <c r="EG72" s="158">
        <f>-EG32/'Pro Forma IS'!EG11</f>
        <v>3.2000000000000001E-2</v>
      </c>
      <c r="EH72" s="22"/>
      <c r="EI72" s="27"/>
      <c r="EJ72" s="27"/>
      <c r="EK72" s="27"/>
      <c r="EL72" s="27"/>
    </row>
    <row r="73" spans="1:142" ht="12.75" customHeight="1" x14ac:dyDescent="0.2">
      <c r="A73" s="199" t="s">
        <v>71</v>
      </c>
      <c r="B73" s="19"/>
      <c r="C73" s="19"/>
      <c r="D73" s="19"/>
      <c r="E73" s="214">
        <f>-E32/E14</f>
        <v>0.94742753702209337</v>
      </c>
      <c r="F73" s="67"/>
      <c r="G73" s="214">
        <f>-G32/G14</f>
        <v>0.88724929492608728</v>
      </c>
      <c r="H73" s="67"/>
      <c r="I73" s="214">
        <f>-I32/I14</f>
        <v>0.94432348036664515</v>
      </c>
      <c r="J73" s="67"/>
      <c r="K73" s="214">
        <f>-K32/K14</f>
        <v>0.69274183314297932</v>
      </c>
      <c r="L73" s="67"/>
      <c r="M73" s="212">
        <f>-M32/M14</f>
        <v>0.48368170150348366</v>
      </c>
      <c r="N73" s="157">
        <f>-N32/N14</f>
        <v>0.43106978933741313</v>
      </c>
      <c r="O73" s="157">
        <f>-O32/O14</f>
        <v>0.4061865547368661</v>
      </c>
      <c r="P73" s="157">
        <f>-P32/P14</f>
        <v>0.5622470889421094</v>
      </c>
      <c r="Q73" s="214">
        <f>-Q32/Q14</f>
        <v>0.47344021525870283</v>
      </c>
      <c r="R73" s="67"/>
      <c r="S73" s="212">
        <f>-S32/S14</f>
        <v>0.39427037251731395</v>
      </c>
      <c r="T73" s="157">
        <f>-T32/T14</f>
        <v>0.46549366396207498</v>
      </c>
      <c r="U73" s="157">
        <f>-U32/U14</f>
        <v>0.51382013835511142</v>
      </c>
      <c r="V73" s="157">
        <f>-V32/V14</f>
        <v>0.65304885827273906</v>
      </c>
      <c r="W73" s="214">
        <f>-W32/W14</f>
        <v>0.50499749160652962</v>
      </c>
      <c r="X73" s="67"/>
      <c r="Y73" s="212">
        <f>-Y32/Y14</f>
        <v>0.44037447480472608</v>
      </c>
      <c r="Z73" s="157">
        <f>-Z32/Z14</f>
        <v>0.64423949641340961</v>
      </c>
      <c r="AA73" s="157">
        <f>-AA32/AA14</f>
        <v>0.5032911857453386</v>
      </c>
      <c r="AB73" s="157">
        <f>-AB32/AB14</f>
        <v>0.48810518691849136</v>
      </c>
      <c r="AC73" s="214">
        <f>-AC32/AC14</f>
        <v>0.51459699733551967</v>
      </c>
      <c r="AD73" s="67"/>
      <c r="AE73" s="212">
        <f>-AE32/AE14</f>
        <v>0.5066870663958426</v>
      </c>
      <c r="AF73" s="157">
        <f>-AF32/AF14</f>
        <v>0.62640522875816973</v>
      </c>
      <c r="AG73" s="157">
        <f>-AG32/AG14</f>
        <v>0.65624771781202085</v>
      </c>
      <c r="AH73" s="157">
        <f>-AH32/AH14</f>
        <v>1.1771663666752386</v>
      </c>
      <c r="AI73" s="214">
        <f>-AI32/AI14</f>
        <v>0.74237804878048796</v>
      </c>
      <c r="AJ73" s="67"/>
      <c r="AK73" s="212">
        <f>-AK32/AK14</f>
        <v>0.56742101235377718</v>
      </c>
      <c r="AL73" s="157">
        <f>-AL32/AL14</f>
        <v>0.69763250962989654</v>
      </c>
      <c r="AM73" s="157">
        <f>-AM32/AM14</f>
        <v>0.69498149382744423</v>
      </c>
      <c r="AN73" s="157">
        <f>-AN32/AN14</f>
        <v>0.78565001730303341</v>
      </c>
      <c r="AO73" s="214">
        <f>-AO32/AO14</f>
        <v>0.68488800488212809</v>
      </c>
      <c r="AP73" s="67"/>
      <c r="AQ73" s="212">
        <f>-AQ32/AQ14</f>
        <v>0.59972603335435193</v>
      </c>
      <c r="AR73" s="157">
        <f>-AR32/AR14</f>
        <v>0.61598478379007837</v>
      </c>
      <c r="AS73" s="157">
        <f>-AS32/AS14</f>
        <v>0.72599629454717185</v>
      </c>
      <c r="AT73" s="157">
        <f>-AT32/AT14</f>
        <v>0.60855721708275223</v>
      </c>
      <c r="AU73" s="214">
        <f>-AU32/AU14</f>
        <v>0.63842334385735533</v>
      </c>
      <c r="AV73" s="67"/>
      <c r="AW73" s="212">
        <f>-AW32/AW14</f>
        <v>0.49869940362898107</v>
      </c>
      <c r="AX73" s="157">
        <f>-AX32/AX14</f>
        <v>0.6052349347964624</v>
      </c>
      <c r="AY73" s="157">
        <f>-AY32/AY14</f>
        <v>0.47290007298575204</v>
      </c>
      <c r="AZ73" s="157">
        <f>-AZ32/AZ14</f>
        <v>0.79257437788962704</v>
      </c>
      <c r="BA73" s="214">
        <f>-BA32/BA14</f>
        <v>0.60363437271874021</v>
      </c>
      <c r="BB73" s="67"/>
      <c r="BC73" s="212">
        <f>-BC32/BC14</f>
        <v>0.44733276689553819</v>
      </c>
      <c r="BD73" s="157">
        <f>-BD32/BD14</f>
        <v>0.53822091183661724</v>
      </c>
      <c r="BE73" s="157">
        <f>-BE32/BE14</f>
        <v>0.40594609942502902</v>
      </c>
      <c r="BF73" s="157">
        <f>-BF32/BF14</f>
        <v>0.89756740392491996</v>
      </c>
      <c r="BG73" s="214">
        <f>-BG32/BG14</f>
        <v>0.57114773038754796</v>
      </c>
      <c r="BH73" s="67"/>
      <c r="BI73" s="212">
        <f>-BI32/BI14</f>
        <v>0.45061636714688852</v>
      </c>
      <c r="BJ73" s="157">
        <f>-BJ32/BJ14</f>
        <v>0.55305410122164056</v>
      </c>
      <c r="BK73" s="157">
        <f>-BK32/BK14</f>
        <v>0.36743295466486087</v>
      </c>
      <c r="BL73" s="157">
        <f>-BL32/BL14</f>
        <v>0.81996860634600299</v>
      </c>
      <c r="BM73" s="214">
        <f>-BM32/BM14</f>
        <v>0.55197358213280956</v>
      </c>
      <c r="BN73" s="67"/>
      <c r="BO73" s="212">
        <f>-BO32/BO14</f>
        <v>0.79285926934036477</v>
      </c>
      <c r="BP73" s="157">
        <f>-BP32/BP14</f>
        <v>1.0505898090721149</v>
      </c>
      <c r="BQ73" s="157">
        <f>-BQ32/BQ14</f>
        <v>1.1142582813250124</v>
      </c>
      <c r="BR73" s="157">
        <f>-BR32/BR14</f>
        <v>1.0726411120471779</v>
      </c>
      <c r="BS73" s="214">
        <f>-BS32/BS14</f>
        <v>1.0075921337059104</v>
      </c>
      <c r="BT73" s="67"/>
      <c r="BU73" s="212">
        <f>-BU32/BU14</f>
        <v>0.9535831960461284</v>
      </c>
      <c r="BV73" s="157">
        <f>-BV32/BV14</f>
        <v>1.0422612611015583</v>
      </c>
      <c r="BW73" s="157">
        <f>-BW32/BW14</f>
        <v>0.88061414491636969</v>
      </c>
      <c r="BX73" s="157">
        <f>-BX32/BX14</f>
        <v>0.98798840943425836</v>
      </c>
      <c r="BY73" s="214">
        <f>-BY32/BY14</f>
        <v>0.95380667236954664</v>
      </c>
      <c r="BZ73" s="67"/>
      <c r="CA73" s="212">
        <f>-CA32/CA14</f>
        <v>0.97355371900826448</v>
      </c>
      <c r="CB73" s="157">
        <f>-CB32/CB14</f>
        <v>0.894184168012924</v>
      </c>
      <c r="CC73" s="157">
        <f>-CC32/CC14</f>
        <v>0.84801940177849622</v>
      </c>
      <c r="CD73" s="157">
        <f>-CD32/CD14</f>
        <v>0.96597061098221204</v>
      </c>
      <c r="CE73" s="214">
        <f>-CE32/CE14</f>
        <v>0.92065086380072314</v>
      </c>
      <c r="CF73" s="67"/>
      <c r="CG73" s="212">
        <f>-CG32/CG14</f>
        <v>0.912156862745098</v>
      </c>
      <c r="CH73" s="157">
        <f>-CH32/CH14</f>
        <v>1.0517374517374516</v>
      </c>
      <c r="CI73" s="157">
        <f>-CI32/CI14</f>
        <v>1.0442278860569718</v>
      </c>
      <c r="CJ73" s="157">
        <f>-CJ32/CJ14</f>
        <v>1.1448028673835124</v>
      </c>
      <c r="CK73" s="214">
        <f>-CK32/CK14</f>
        <v>1.0407624080015097</v>
      </c>
      <c r="CL73" s="67"/>
      <c r="CM73" s="212">
        <f>-CM32/CM14</f>
        <v>0.99016641452344945</v>
      </c>
      <c r="CN73" s="157">
        <f>-CN32/CN14</f>
        <v>1.0519943019943019</v>
      </c>
      <c r="CO73" s="157">
        <f>-CO32/CO14</f>
        <v>0.99015151515151512</v>
      </c>
      <c r="CP73" s="157">
        <f>-CP32/CP14</f>
        <v>1.2850712678169547</v>
      </c>
      <c r="CQ73" s="214">
        <f>-CQ32/CQ14</f>
        <v>1.0793827849042574</v>
      </c>
      <c r="CR73" s="67"/>
      <c r="CS73" s="212">
        <f>-CS32/CS14</f>
        <v>0.8666666666666667</v>
      </c>
      <c r="CT73" s="157">
        <f>-CT32/CT14</f>
        <v>0.9869565217391304</v>
      </c>
      <c r="CU73" s="157">
        <f>-CU32/CU14</f>
        <v>1.2879581151832469</v>
      </c>
      <c r="CV73" s="157">
        <f>-CV32/CV14</f>
        <v>1.1983655274888554</v>
      </c>
      <c r="CW73" s="214">
        <f>-CW32/CW14</f>
        <v>1.0597107438016529</v>
      </c>
      <c r="CX73" s="67"/>
      <c r="CY73" s="212">
        <f>-CY32/CY14</f>
        <v>1.0033222591362125</v>
      </c>
      <c r="CZ73" s="157">
        <f>-CZ32/CZ14</f>
        <v>1.1788461538461537</v>
      </c>
      <c r="DA73" s="157">
        <f>-DA32/DA14</f>
        <v>0.97539149888143251</v>
      </c>
      <c r="DB73" s="157">
        <f>-DB32/DB14</f>
        <v>1.1234071093226021</v>
      </c>
      <c r="DC73" s="214">
        <f>-DC32/DC14</f>
        <v>1.0818348623853211</v>
      </c>
      <c r="DD73" s="67"/>
      <c r="DE73" s="212">
        <f>-DE32/DE14</f>
        <v>1.1369175627240142</v>
      </c>
      <c r="DF73" s="157">
        <f>-DF32/DF14</f>
        <v>1.0349895031490555</v>
      </c>
      <c r="DG73" s="157">
        <f>-DG32/DG14</f>
        <v>0.96135265700483075</v>
      </c>
      <c r="DH73" s="157">
        <f>-DH32/DH14</f>
        <v>1.1548172757475088</v>
      </c>
      <c r="DI73" s="214">
        <f>-DI32/DI14</f>
        <v>1.072343371408792</v>
      </c>
      <c r="DJ73" s="67"/>
      <c r="DK73" s="212">
        <f>-DK32/DK14</f>
        <v>1.0031630861878427</v>
      </c>
      <c r="DL73" s="157">
        <f>-DL32/DL14</f>
        <v>1.0501061619371621</v>
      </c>
      <c r="DM73" s="157">
        <f>-DM32/DM14</f>
        <v>1.0311801893332428</v>
      </c>
      <c r="DN73" s="157">
        <f>-DN32/DN14</f>
        <v>1.1458408103565292</v>
      </c>
      <c r="DO73" s="214">
        <f>-DO32/DO14</f>
        <v>1.0578414498432431</v>
      </c>
      <c r="DP73" s="67"/>
      <c r="DQ73" s="212">
        <f>-DQ32/DQ14</f>
        <v>1.0332058310582377</v>
      </c>
      <c r="DR73" s="157">
        <f>-DR32/DR14</f>
        <v>1.0813807045644717</v>
      </c>
      <c r="DS73" s="157">
        <f>-DS32/DS14</f>
        <v>1.0514334226495607</v>
      </c>
      <c r="DT73" s="157">
        <f>-DT32/DT14</f>
        <v>1.1666293026390648</v>
      </c>
      <c r="DU73" s="214">
        <f>-DU32/DU14</f>
        <v>1.083479093640894</v>
      </c>
      <c r="DV73" s="67"/>
      <c r="DW73" s="212">
        <f>-DW32/DW14</f>
        <v>1.0543311267685178</v>
      </c>
      <c r="DX73" s="157">
        <f>-DX32/DX14</f>
        <v>1.1020919748324813</v>
      </c>
      <c r="DY73" s="157">
        <f>-DY32/DY14</f>
        <v>1.0703416774556942</v>
      </c>
      <c r="DZ73" s="157">
        <f>-DZ32/DZ14</f>
        <v>1.1861125678571192</v>
      </c>
      <c r="EA73" s="214">
        <f>-EA32/EA14</f>
        <v>1.1035870987715457</v>
      </c>
      <c r="EB73" s="67"/>
      <c r="EC73" s="212">
        <f t="shared" ref="EC73:EG73" si="226">-EC32/EC14</f>
        <v>1.0709420396828764</v>
      </c>
      <c r="ED73" s="157">
        <f t="shared" si="226"/>
        <v>1.1183416844695215</v>
      </c>
      <c r="EE73" s="157">
        <f t="shared" si="226"/>
        <v>1.0851482471943641</v>
      </c>
      <c r="EF73" s="157">
        <f t="shared" si="226"/>
        <v>1.2013208870792569</v>
      </c>
      <c r="EG73" s="214">
        <f t="shared" si="226"/>
        <v>1.1193441279044625</v>
      </c>
      <c r="EH73" s="22"/>
      <c r="EI73" s="27"/>
      <c r="EJ73" s="27"/>
      <c r="EK73" s="27"/>
      <c r="EL73" s="27"/>
    </row>
    <row r="74" spans="1:142" ht="12.75" customHeight="1" x14ac:dyDescent="0.2">
      <c r="A74" s="2"/>
      <c r="B74" s="27"/>
      <c r="C74" s="27"/>
      <c r="D74" s="27"/>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27"/>
      <c r="EJ74" s="27"/>
      <c r="EK74" s="27"/>
      <c r="EL74" s="27"/>
    </row>
    <row r="75" spans="1:142" ht="12.75" customHeight="1" x14ac:dyDescent="0.2">
      <c r="A75" s="238" t="s">
        <v>75</v>
      </c>
      <c r="B75" s="239"/>
      <c r="C75" s="239"/>
      <c r="D75" s="239"/>
      <c r="E75" s="240"/>
      <c r="F75" s="240"/>
      <c r="G75" s="240"/>
      <c r="H75" s="240"/>
      <c r="I75" s="240"/>
      <c r="J75" s="240"/>
      <c r="K75" s="240"/>
      <c r="L75" s="240"/>
      <c r="M75" s="241"/>
      <c r="N75" s="241"/>
      <c r="O75" s="241"/>
      <c r="P75" s="241"/>
      <c r="Q75" s="240"/>
      <c r="R75" s="240"/>
      <c r="S75" s="241"/>
      <c r="T75" s="241"/>
      <c r="U75" s="241"/>
      <c r="V75" s="241"/>
      <c r="W75" s="240"/>
      <c r="X75" s="240"/>
      <c r="Y75" s="241"/>
      <c r="Z75" s="241"/>
      <c r="AA75" s="241"/>
      <c r="AB75" s="241"/>
      <c r="AC75" s="240"/>
      <c r="AD75" s="240"/>
      <c r="AE75" s="241"/>
      <c r="AF75" s="241"/>
      <c r="AG75" s="241"/>
      <c r="AH75" s="241"/>
      <c r="AI75" s="240"/>
      <c r="AJ75" s="240"/>
      <c r="AK75" s="241"/>
      <c r="AL75" s="241"/>
      <c r="AM75" s="241"/>
      <c r="AN75" s="241"/>
      <c r="AO75" s="240"/>
      <c r="AP75" s="240"/>
      <c r="AQ75" s="241"/>
      <c r="AR75" s="241"/>
      <c r="AS75" s="241"/>
      <c r="AT75" s="241"/>
      <c r="AU75" s="240"/>
      <c r="AV75" s="240"/>
      <c r="AW75" s="241"/>
      <c r="AX75" s="242"/>
      <c r="AY75" s="242"/>
      <c r="AZ75" s="242"/>
      <c r="BA75" s="240"/>
      <c r="BB75" s="240"/>
      <c r="BC75" s="242"/>
      <c r="BD75" s="242"/>
      <c r="BE75" s="242"/>
      <c r="BF75" s="242"/>
      <c r="BG75" s="240"/>
      <c r="BH75" s="240"/>
      <c r="BI75" s="242"/>
      <c r="BJ75" s="242"/>
      <c r="BK75" s="242"/>
      <c r="BL75" s="242"/>
      <c r="BM75" s="240"/>
      <c r="BN75" s="240"/>
      <c r="BO75" s="242"/>
      <c r="BP75" s="242"/>
      <c r="BQ75" s="242"/>
      <c r="BR75" s="242"/>
      <c r="BS75" s="240"/>
      <c r="BT75" s="240"/>
      <c r="BU75" s="242"/>
      <c r="BV75" s="242"/>
      <c r="BW75" s="242"/>
      <c r="BX75" s="242"/>
      <c r="BY75" s="240"/>
      <c r="BZ75" s="240"/>
      <c r="CA75" s="242"/>
      <c r="CB75" s="242"/>
      <c r="CC75" s="242"/>
      <c r="CD75" s="242"/>
      <c r="CE75" s="240"/>
      <c r="CF75" s="240"/>
      <c r="CG75" s="242"/>
      <c r="CH75" s="242"/>
      <c r="CI75" s="242"/>
      <c r="CJ75" s="242"/>
      <c r="CK75" s="240"/>
      <c r="CL75" s="240"/>
      <c r="CM75" s="242"/>
      <c r="CN75" s="242"/>
      <c r="CO75" s="242"/>
      <c r="CP75" s="242"/>
      <c r="CQ75" s="240"/>
      <c r="CR75" s="240"/>
      <c r="CS75" s="242"/>
      <c r="CT75" s="242"/>
      <c r="CU75" s="242"/>
      <c r="CV75" s="242"/>
      <c r="CW75" s="240"/>
      <c r="CX75" s="240"/>
      <c r="CY75" s="242"/>
      <c r="CZ75" s="242"/>
      <c r="DA75" s="242"/>
      <c r="DB75" s="242"/>
      <c r="DC75" s="240"/>
      <c r="DD75" s="240"/>
      <c r="DE75" s="242"/>
      <c r="DF75" s="242"/>
      <c r="DG75" s="243"/>
      <c r="DH75" s="242"/>
      <c r="DI75" s="240"/>
      <c r="DJ75" s="240"/>
      <c r="DK75" s="240"/>
      <c r="DL75" s="240"/>
      <c r="DM75" s="240"/>
      <c r="DN75" s="240"/>
      <c r="DO75" s="240"/>
      <c r="DP75" s="240"/>
      <c r="DQ75" s="240"/>
      <c r="DR75" s="240"/>
      <c r="DS75" s="240"/>
      <c r="DT75" s="240"/>
      <c r="DU75" s="240"/>
      <c r="DV75" s="240"/>
      <c r="DW75" s="240"/>
      <c r="DX75" s="240"/>
      <c r="DY75" s="240"/>
      <c r="DZ75" s="240"/>
      <c r="EA75" s="240"/>
      <c r="EB75" s="240"/>
      <c r="EC75" s="240"/>
      <c r="ED75" s="240"/>
      <c r="EE75" s="240"/>
      <c r="EF75" s="240"/>
      <c r="EG75" s="240"/>
      <c r="EH75" s="67"/>
      <c r="EI75" s="27"/>
      <c r="EJ75" s="27"/>
      <c r="EK75" s="27"/>
      <c r="EL75" s="27"/>
    </row>
    <row r="76" spans="1:142" ht="12.75" customHeight="1" x14ac:dyDescent="0.2">
      <c r="A76" s="128" t="s">
        <v>92</v>
      </c>
      <c r="B76" s="19"/>
      <c r="C76" s="19"/>
      <c r="D76" s="19"/>
      <c r="E76" s="141">
        <f>E29+E32+E34</f>
        <v>215.45000000000002</v>
      </c>
      <c r="F76" s="67"/>
      <c r="G76" s="141">
        <f>G29+G32+G34</f>
        <v>251.06800000000001</v>
      </c>
      <c r="H76" s="67"/>
      <c r="I76" s="141">
        <f>I29+I32+I34</f>
        <v>330.19800000000004</v>
      </c>
      <c r="J76" s="67"/>
      <c r="K76" s="141">
        <f>K29+K32+K34</f>
        <v>423.74199999999996</v>
      </c>
      <c r="L76" s="67"/>
      <c r="M76" s="137">
        <f>M29+M32+M34</f>
        <v>152.58999999999997</v>
      </c>
      <c r="N76" s="138">
        <f>N29+N32+N34</f>
        <v>119.245</v>
      </c>
      <c r="O76" s="138">
        <f>O29+O32+O34</f>
        <v>101.27</v>
      </c>
      <c r="P76" s="138">
        <f>P29+P32+P34</f>
        <v>154.78100000000006</v>
      </c>
      <c r="Q76" s="141">
        <f>Q29+Q32+Q34</f>
        <v>527.88599999999997</v>
      </c>
      <c r="R76" s="67"/>
      <c r="S76" s="137">
        <f>S29+S32+S34</f>
        <v>253.233</v>
      </c>
      <c r="T76" s="138">
        <f>T29+T32+T34</f>
        <v>123.70700000000002</v>
      </c>
      <c r="U76" s="138">
        <f>U29+U32+U34</f>
        <v>162.83099999999996</v>
      </c>
      <c r="V76" s="138">
        <f>V29+V32+V34</f>
        <v>131.61199999999999</v>
      </c>
      <c r="W76" s="141">
        <f>W29+W32+W34</f>
        <v>671.38299999999992</v>
      </c>
      <c r="X76" s="67"/>
      <c r="Y76" s="137">
        <f>Y29+Y32+Y34</f>
        <v>204.42200000000003</v>
      </c>
      <c r="Z76" s="138">
        <f>Z29+Z32+Z34</f>
        <v>214.011</v>
      </c>
      <c r="AA76" s="138">
        <f>AA29+AA32+AA34</f>
        <v>156.79300000000006</v>
      </c>
      <c r="AB76" s="138">
        <f>AB29+AB32+AB34</f>
        <v>218.90099999999995</v>
      </c>
      <c r="AC76" s="141">
        <f>AC29+AC32+AC34</f>
        <v>794.12700000000007</v>
      </c>
      <c r="AD76" s="67"/>
      <c r="AE76" s="137">
        <f>AE29+AE32+AE34</f>
        <v>239.142</v>
      </c>
      <c r="AF76" s="138">
        <f>AF29+AF32+AF34</f>
        <v>227.684</v>
      </c>
      <c r="AG76" s="138">
        <f>AG29+AG32+AG34</f>
        <v>258.67899999999997</v>
      </c>
      <c r="AH76" s="138">
        <f>AH29+AH32+AH34</f>
        <v>222.69899999999987</v>
      </c>
      <c r="AI76" s="141">
        <f>AI29+AI32+AI34</f>
        <v>948.20399999999995</v>
      </c>
      <c r="AJ76" s="67"/>
      <c r="AK76" s="137">
        <f>AK29+AK32+AK34</f>
        <v>292.41599999999994</v>
      </c>
      <c r="AL76" s="138">
        <f>AL29+AL32+AL34</f>
        <v>254.26500000000007</v>
      </c>
      <c r="AM76" s="138">
        <f>AM29+AM32+AM34</f>
        <v>284.11399999999998</v>
      </c>
      <c r="AN76" s="138">
        <f>AN29+AN32+AN34</f>
        <v>270.58299999999997</v>
      </c>
      <c r="AO76" s="141">
        <f>AO29+AO32+AO34</f>
        <v>1101.3779999999999</v>
      </c>
      <c r="AP76" s="67"/>
      <c r="AQ76" s="137">
        <f>AQ29+AQ32+AQ34</f>
        <v>310.291</v>
      </c>
      <c r="AR76" s="138">
        <f>AR29+AR32+AR34</f>
        <v>285.16600000000005</v>
      </c>
      <c r="AS76" s="138">
        <f>AS29+AS32+AS34</f>
        <v>397.1760000000001</v>
      </c>
      <c r="AT76" s="138">
        <f>AT29+AT32+AT34</f>
        <v>426.89999999999986</v>
      </c>
      <c r="AU76" s="141">
        <f>AU29+AU32+AU34</f>
        <v>1419.5330000000001</v>
      </c>
      <c r="AV76" s="67"/>
      <c r="AW76" s="137">
        <f>AW29+AW32+AW34</f>
        <v>291.69600000000003</v>
      </c>
      <c r="AX76" s="138">
        <f>AX29+AX32+AX34</f>
        <v>341.32499999999993</v>
      </c>
      <c r="AY76" s="138">
        <f>AY29+AY32+AY34</f>
        <v>355.37200000000001</v>
      </c>
      <c r="AZ76" s="138">
        <f>AZ29+AZ32+AZ34</f>
        <v>510.84800000000007</v>
      </c>
      <c r="BA76" s="141">
        <f>BA29+BA32+BA34</f>
        <v>1499.2410000000002</v>
      </c>
      <c r="BB76" s="67"/>
      <c r="BC76" s="137">
        <f>BC29+BC32+BC34</f>
        <v>294.42</v>
      </c>
      <c r="BD76" s="138">
        <f>BD29+BD32+BD34</f>
        <v>536.51199999999994</v>
      </c>
      <c r="BE76" s="138">
        <f>BE29+BE32+BE34</f>
        <v>401.47700000000003</v>
      </c>
      <c r="BF76" s="138">
        <f>BF29+BF32+BF34</f>
        <v>433.92500000000018</v>
      </c>
      <c r="BG76" s="141">
        <f>BG29+BG32+BG34</f>
        <v>1666.3340000000001</v>
      </c>
      <c r="BH76" s="67"/>
      <c r="BI76" s="137">
        <f>BI29+BI32+BI34</f>
        <v>280.60499999999996</v>
      </c>
      <c r="BJ76" s="138">
        <f>BJ29+BJ32+BJ34</f>
        <v>439.9620000000001</v>
      </c>
      <c r="BK76" s="138">
        <f>BK29+BK32+BK34</f>
        <v>472.89799999999991</v>
      </c>
      <c r="BL76" s="138">
        <f>BL29+BL32+BL34</f>
        <v>424.91200000000015</v>
      </c>
      <c r="BM76" s="141">
        <f>BM29+BM32+BM34</f>
        <v>1618.3770000000002</v>
      </c>
      <c r="BN76" s="67"/>
      <c r="BO76" s="137">
        <f t="shared" ref="BO76:BS76" si="227">BO27+BO32</f>
        <v>358.21299999999997</v>
      </c>
      <c r="BP76" s="138">
        <f t="shared" si="227"/>
        <v>468.81799999999993</v>
      </c>
      <c r="BQ76" s="138">
        <f t="shared" si="227"/>
        <v>509.8660000000001</v>
      </c>
      <c r="BR76" s="138">
        <f t="shared" si="227"/>
        <v>490.69100000000003</v>
      </c>
      <c r="BS76" s="141">
        <f t="shared" si="227"/>
        <v>1827.5879999999997</v>
      </c>
      <c r="BT76" s="67"/>
      <c r="BU76" s="137">
        <f t="shared" ref="BU76:BY76" si="228">BU27+BU32</f>
        <v>387.97300000000001</v>
      </c>
      <c r="BV76" s="138">
        <f t="shared" si="228"/>
        <v>734.58800000000008</v>
      </c>
      <c r="BW76" s="138">
        <f t="shared" si="228"/>
        <v>578.45999999999992</v>
      </c>
      <c r="BX76" s="138">
        <f t="shared" si="228"/>
        <v>696.57900000000018</v>
      </c>
      <c r="BY76" s="141">
        <f t="shared" si="228"/>
        <v>2397.6</v>
      </c>
      <c r="BZ76" s="67"/>
      <c r="CA76" s="137">
        <f t="shared" ref="CA76:CE76" si="229">CA27+CA32</f>
        <v>533.6</v>
      </c>
      <c r="CB76" s="138">
        <f t="shared" si="229"/>
        <v>933.8</v>
      </c>
      <c r="CC76" s="138">
        <f t="shared" si="229"/>
        <v>870.50000000000011</v>
      </c>
      <c r="CD76" s="138">
        <f t="shared" si="229"/>
        <v>705.89999999999986</v>
      </c>
      <c r="CE76" s="141">
        <f t="shared" si="229"/>
        <v>3043.7999999999993</v>
      </c>
      <c r="CF76" s="67"/>
      <c r="CG76" s="137">
        <f t="shared" ref="CG76:CK76" si="230">CG27+CG32</f>
        <v>520.20000000000005</v>
      </c>
      <c r="CH76" s="138">
        <f t="shared" si="230"/>
        <v>763</v>
      </c>
      <c r="CI76" s="138">
        <f t="shared" si="230"/>
        <v>832.09999999999991</v>
      </c>
      <c r="CJ76" s="138">
        <f t="shared" si="230"/>
        <v>918.49999999999977</v>
      </c>
      <c r="CK76" s="141">
        <f t="shared" si="230"/>
        <v>3033.7999999999997</v>
      </c>
      <c r="CL76" s="67"/>
      <c r="CM76" s="137">
        <f t="shared" ref="CM76:CQ76" si="231">CM27+CM32</f>
        <v>380.30000000000007</v>
      </c>
      <c r="CN76" s="138">
        <f t="shared" si="231"/>
        <v>843.99999999999989</v>
      </c>
      <c r="CO76" s="138">
        <f t="shared" si="231"/>
        <v>817.2</v>
      </c>
      <c r="CP76" s="138">
        <f t="shared" si="231"/>
        <v>995.90000000000032</v>
      </c>
      <c r="CQ76" s="141">
        <f t="shared" si="231"/>
        <v>3037.4</v>
      </c>
      <c r="CR76" s="67"/>
      <c r="CS76" s="137">
        <f t="shared" ref="CS76:CW76" si="232">CS27+CS32</f>
        <v>412.59999999999991</v>
      </c>
      <c r="CT76" s="138">
        <f t="shared" si="232"/>
        <v>965.09999999999991</v>
      </c>
      <c r="CU76" s="138">
        <f t="shared" si="232"/>
        <v>159.20000000000027</v>
      </c>
      <c r="CV76" s="138">
        <f t="shared" si="232"/>
        <v>782.39999999999986</v>
      </c>
      <c r="CW76" s="141">
        <f t="shared" si="232"/>
        <v>2319.2999999999997</v>
      </c>
      <c r="CX76" s="67"/>
      <c r="CY76" s="137">
        <f t="shared" ref="CY76:DC76" si="233">CY27+CY32</f>
        <v>621.79999999999995</v>
      </c>
      <c r="CZ76" s="138">
        <f t="shared" si="233"/>
        <v>1097.8999999999996</v>
      </c>
      <c r="DA76" s="138">
        <f t="shared" si="233"/>
        <v>296.70000000000016</v>
      </c>
      <c r="DB76" s="138">
        <f t="shared" si="233"/>
        <v>481.49999999999977</v>
      </c>
      <c r="DC76" s="141">
        <f t="shared" si="233"/>
        <v>2497.8999999999992</v>
      </c>
      <c r="DD76" s="67"/>
      <c r="DE76" s="137">
        <f t="shared" ref="DE76:DI76" si="234">DE27+DE32</f>
        <v>401.6</v>
      </c>
      <c r="DF76" s="138">
        <f t="shared" si="234"/>
        <v>862.6</v>
      </c>
      <c r="DG76" s="138">
        <f t="shared" si="234"/>
        <v>933.10000000000014</v>
      </c>
      <c r="DH76" s="138">
        <f t="shared" si="234"/>
        <v>660.89999999999986</v>
      </c>
      <c r="DI76" s="141">
        <f t="shared" si="234"/>
        <v>2858.2</v>
      </c>
      <c r="DJ76" s="67"/>
      <c r="DK76" s="137">
        <f t="shared" ref="DK76:DO76" si="235">DK27+DK32</f>
        <v>909.5146175485736</v>
      </c>
      <c r="DL76" s="138">
        <f t="shared" si="235"/>
        <v>1058.2526141533735</v>
      </c>
      <c r="DM76" s="138">
        <f t="shared" si="235"/>
        <v>697.75614497073241</v>
      </c>
      <c r="DN76" s="138">
        <f t="shared" si="235"/>
        <v>979.39281224829392</v>
      </c>
      <c r="DO76" s="141">
        <f t="shared" si="235"/>
        <v>3644.9161889209745</v>
      </c>
      <c r="DP76" s="67"/>
      <c r="DQ76" s="137">
        <f t="shared" ref="DQ76:DU76" si="236">DQ27+DQ32</f>
        <v>910.36484256449444</v>
      </c>
      <c r="DR76" s="138">
        <f t="shared" si="236"/>
        <v>1136.2643923778992</v>
      </c>
      <c r="DS76" s="138">
        <f t="shared" si="236"/>
        <v>737.52337764146534</v>
      </c>
      <c r="DT76" s="138">
        <f t="shared" si="236"/>
        <v>1034.003268626994</v>
      </c>
      <c r="DU76" s="141">
        <f t="shared" si="236"/>
        <v>3818.1558812108528</v>
      </c>
      <c r="DV76" s="67"/>
      <c r="DW76" s="137">
        <f t="shared" ref="DW76:EA76" si="237">DW27+DW32</f>
        <v>1122.655082531267</v>
      </c>
      <c r="DX76" s="138">
        <f t="shared" si="237"/>
        <v>1235.9365988991933</v>
      </c>
      <c r="DY76" s="138">
        <f t="shared" si="237"/>
        <v>803.94640130721939</v>
      </c>
      <c r="DZ76" s="138">
        <f t="shared" si="237"/>
        <v>1283.795108273958</v>
      </c>
      <c r="EA76" s="141">
        <f t="shared" si="237"/>
        <v>4446.3331910116367</v>
      </c>
      <c r="EB76" s="67"/>
      <c r="EC76" s="137">
        <f t="shared" ref="EC76:EG76" si="238">EC27+EC32</f>
        <v>1352.7607126589432</v>
      </c>
      <c r="ED76" s="138">
        <f t="shared" si="238"/>
        <v>1519.3557344306585</v>
      </c>
      <c r="EE76" s="138">
        <f t="shared" si="238"/>
        <v>1071.2705905860857</v>
      </c>
      <c r="EF76" s="138">
        <f t="shared" si="238"/>
        <v>1460.6935478030362</v>
      </c>
      <c r="EG76" s="141">
        <f t="shared" si="238"/>
        <v>5404.0805854787232</v>
      </c>
      <c r="EH76" s="67"/>
      <c r="EI76" s="31"/>
      <c r="EJ76" s="31"/>
      <c r="EK76" s="31"/>
      <c r="EL76" s="31"/>
    </row>
    <row r="77" spans="1:142" ht="12.75" customHeight="1" x14ac:dyDescent="0.2">
      <c r="A77" s="51" t="s">
        <v>7</v>
      </c>
      <c r="B77" s="19"/>
      <c r="C77" s="19"/>
      <c r="D77" s="19"/>
      <c r="E77" s="93">
        <v>13.211</v>
      </c>
      <c r="F77" s="67"/>
      <c r="G77" s="93">
        <v>26.306999999999999</v>
      </c>
      <c r="H77" s="67"/>
      <c r="I77" s="93">
        <v>16.667000000000002</v>
      </c>
      <c r="J77" s="67"/>
      <c r="K77" s="93">
        <v>29.225000000000001</v>
      </c>
      <c r="L77" s="67"/>
      <c r="M77" s="82">
        <v>11.596</v>
      </c>
      <c r="N77" s="67">
        <v>12.545</v>
      </c>
      <c r="O77" s="67">
        <v>11.5</v>
      </c>
      <c r="P77" s="67">
        <v>12.506</v>
      </c>
      <c r="Q77" s="93">
        <v>48.146999999999998</v>
      </c>
      <c r="R77" s="67"/>
      <c r="S77" s="82">
        <v>12.907999999999999</v>
      </c>
      <c r="T77" s="67">
        <v>13.808</v>
      </c>
      <c r="U77" s="67">
        <v>12.686999999999999</v>
      </c>
      <c r="V77" s="67">
        <v>14.551000000000002</v>
      </c>
      <c r="W77" s="93">
        <v>53.954000000000001</v>
      </c>
      <c r="X77" s="67"/>
      <c r="Y77" s="82">
        <v>14.116</v>
      </c>
      <c r="Z77" s="67">
        <v>15.324</v>
      </c>
      <c r="AA77" s="67">
        <v>14.52</v>
      </c>
      <c r="AB77" s="67">
        <v>15.089000000000006</v>
      </c>
      <c r="AC77" s="93">
        <v>59.048999999999999</v>
      </c>
      <c r="AD77" s="67"/>
      <c r="AE77" s="82">
        <v>14.45</v>
      </c>
      <c r="AF77" s="67">
        <v>12.715999999999999</v>
      </c>
      <c r="AG77" s="67">
        <v>13.619</v>
      </c>
      <c r="AH77" s="67">
        <v>14.199000000000005</v>
      </c>
      <c r="AI77" s="93">
        <v>54.984000000000002</v>
      </c>
      <c r="AJ77" s="67"/>
      <c r="AK77" s="82">
        <v>13.488</v>
      </c>
      <c r="AL77" s="67">
        <v>12.815</v>
      </c>
      <c r="AM77" s="67">
        <v>9.2029999999999994</v>
      </c>
      <c r="AN77" s="67">
        <v>9.4269999999999996</v>
      </c>
      <c r="AO77" s="93">
        <v>44.933</v>
      </c>
      <c r="AP77" s="67"/>
      <c r="AQ77" s="82">
        <v>9.7109999999999985</v>
      </c>
      <c r="AR77" s="67">
        <v>17.373000000000001</v>
      </c>
      <c r="AS77" s="67">
        <v>26.48</v>
      </c>
      <c r="AT77" s="67">
        <v>25.811</v>
      </c>
      <c r="AU77" s="93">
        <v>79.375</v>
      </c>
      <c r="AV77" s="67"/>
      <c r="AW77" s="82">
        <v>27.291</v>
      </c>
      <c r="AX77" s="67">
        <v>23.948000000000004</v>
      </c>
      <c r="AY77" s="67">
        <v>25.67</v>
      </c>
      <c r="AZ77" s="67">
        <v>32.792999999999999</v>
      </c>
      <c r="BA77" s="93">
        <v>109.702</v>
      </c>
      <c r="BB77" s="67"/>
      <c r="BC77" s="82">
        <v>40.668999999999997</v>
      </c>
      <c r="BD77" s="67">
        <v>33.853999999999999</v>
      </c>
      <c r="BE77" s="67">
        <v>30.218</v>
      </c>
      <c r="BF77" s="67">
        <v>25.433</v>
      </c>
      <c r="BG77" s="93">
        <v>130.17400000000001</v>
      </c>
      <c r="BH77" s="67"/>
      <c r="BI77" s="82">
        <v>24.056999999999999</v>
      </c>
      <c r="BJ77" s="67">
        <v>31.329000000000001</v>
      </c>
      <c r="BK77" s="67">
        <v>31.841999999999999</v>
      </c>
      <c r="BL77" s="67">
        <v>35.427999999999997</v>
      </c>
      <c r="BM77" s="93">
        <v>122.65599999999999</v>
      </c>
      <c r="BN77" s="67"/>
      <c r="BO77" s="82">
        <v>30.044</v>
      </c>
      <c r="BP77" s="67">
        <v>28.943999999999999</v>
      </c>
      <c r="BQ77" s="67">
        <v>31.248000000000001</v>
      </c>
      <c r="BR77" s="67">
        <v>26.930999999999997</v>
      </c>
      <c r="BS77" s="93">
        <v>117.167</v>
      </c>
      <c r="BT77" s="67"/>
      <c r="BU77" s="82">
        <v>30.437999999999999</v>
      </c>
      <c r="BV77" s="67">
        <v>31.411999999999999</v>
      </c>
      <c r="BW77" s="67">
        <v>42.362000000000002</v>
      </c>
      <c r="BX77" s="67">
        <v>37.388000000000005</v>
      </c>
      <c r="BY77" s="93">
        <v>141.6</v>
      </c>
      <c r="BZ77" s="67"/>
      <c r="CA77" s="82">
        <v>39.4</v>
      </c>
      <c r="CB77" s="67">
        <v>37.9</v>
      </c>
      <c r="CC77" s="67">
        <v>39.4</v>
      </c>
      <c r="CD77" s="67">
        <v>40.800000000000011</v>
      </c>
      <c r="CE77" s="93">
        <v>157.5</v>
      </c>
      <c r="CF77" s="67"/>
      <c r="CG77" s="82">
        <v>39.200000000000003</v>
      </c>
      <c r="CH77" s="67">
        <v>39.4</v>
      </c>
      <c r="CI77" s="67">
        <v>35</v>
      </c>
      <c r="CJ77" s="67">
        <v>32.300000000000011</v>
      </c>
      <c r="CK77" s="93">
        <v>145.9</v>
      </c>
      <c r="CL77" s="67"/>
      <c r="CM77" s="82">
        <v>32.5</v>
      </c>
      <c r="CN77" s="67">
        <v>33.200000000000003</v>
      </c>
      <c r="CO77" s="67">
        <v>29.6</v>
      </c>
      <c r="CP77" s="67">
        <v>23.799999999999983</v>
      </c>
      <c r="CQ77" s="93">
        <v>119.1</v>
      </c>
      <c r="CR77" s="67"/>
      <c r="CS77" s="82">
        <f>+'Pro Forma IS'!CS24</f>
        <v>23.2</v>
      </c>
      <c r="CT77" s="67">
        <f>+'Pro Forma IS'!CT24</f>
        <v>22.8</v>
      </c>
      <c r="CU77" s="67">
        <f>+'Pro Forma IS'!CU24</f>
        <v>38.5</v>
      </c>
      <c r="CV77" s="67">
        <f>+'Pro Forma IS'!CV24</f>
        <v>50.7</v>
      </c>
      <c r="CW77" s="93">
        <f>+'Pro Forma IS'!CW24</f>
        <v>135.19999999999999</v>
      </c>
      <c r="CX77" s="67"/>
      <c r="CY77" s="82">
        <f>+'Pro Forma IS'!CY24</f>
        <v>52.9</v>
      </c>
      <c r="CZ77" s="67">
        <f>+'Pro Forma IS'!CZ24</f>
        <v>55.5</v>
      </c>
      <c r="DA77" s="67">
        <f>+'Pro Forma IS'!DA24</f>
        <v>43.7</v>
      </c>
      <c r="DB77" s="67">
        <f>+'Pro Forma IS'!DB24</f>
        <v>32.299999999999997</v>
      </c>
      <c r="DC77" s="93">
        <f>+'Pro Forma IS'!DC24</f>
        <v>184.40000000000003</v>
      </c>
      <c r="DD77" s="67"/>
      <c r="DE77" s="82">
        <f>+'Pro Forma IS'!DE24</f>
        <v>40.299999999999997</v>
      </c>
      <c r="DF77" s="67">
        <f>+'Pro Forma IS'!DF24</f>
        <v>40.700000000000003</v>
      </c>
      <c r="DG77" s="67">
        <f>+'Pro Forma IS'!DG24</f>
        <v>39.9</v>
      </c>
      <c r="DH77" s="67">
        <f>+'Pro Forma IS'!DH24</f>
        <v>41.8</v>
      </c>
      <c r="DI77" s="93">
        <f>+'Pro Forma IS'!DI24</f>
        <v>162.69999999999999</v>
      </c>
      <c r="DJ77" s="67"/>
      <c r="DK77" s="82">
        <f>+'Pro Forma IS'!DK24</f>
        <v>39.1</v>
      </c>
      <c r="DL77" s="67">
        <f>+'Pro Forma IS'!DL24</f>
        <v>43.372565000000002</v>
      </c>
      <c r="DM77" s="67">
        <f>+'Pro Forma IS'!DM24</f>
        <v>43.372565000000002</v>
      </c>
      <c r="DN77" s="67">
        <f>+'Pro Forma IS'!DN24</f>
        <v>43.372565000000002</v>
      </c>
      <c r="DO77" s="93">
        <f>+'Pro Forma IS'!DO24</f>
        <v>169.21769500000002</v>
      </c>
      <c r="DP77" s="67"/>
      <c r="DQ77" s="82">
        <f>+'Pro Forma IS'!DQ24</f>
        <v>43.372565000000002</v>
      </c>
      <c r="DR77" s="67">
        <f>+'Pro Forma IS'!DR24</f>
        <v>43.372565000000002</v>
      </c>
      <c r="DS77" s="67">
        <f>+'Pro Forma IS'!DS24</f>
        <v>43.372565000000002</v>
      </c>
      <c r="DT77" s="67">
        <f>+'Pro Forma IS'!DT24</f>
        <v>43.372565000000002</v>
      </c>
      <c r="DU77" s="93">
        <f>+'Pro Forma IS'!DU24</f>
        <v>173.49026000000001</v>
      </c>
      <c r="DV77" s="67"/>
      <c r="DW77" s="82">
        <f>+'Pro Forma IS'!DW24</f>
        <v>43.372565000000002</v>
      </c>
      <c r="DX77" s="67">
        <f>+'Pro Forma IS'!DX24</f>
        <v>43.372565000000002</v>
      </c>
      <c r="DY77" s="67">
        <f>+'Pro Forma IS'!DY24</f>
        <v>43.372565000000002</v>
      </c>
      <c r="DZ77" s="67">
        <f>+'Pro Forma IS'!DZ24</f>
        <v>43.372565000000002</v>
      </c>
      <c r="EA77" s="93">
        <f>+'Pro Forma IS'!EA24</f>
        <v>173.49026000000001</v>
      </c>
      <c r="EB77" s="67"/>
      <c r="EC77" s="82">
        <f>+'Pro Forma IS'!EC24</f>
        <v>43.372565000000002</v>
      </c>
      <c r="ED77" s="67">
        <f>+'Pro Forma IS'!ED24</f>
        <v>43.372565000000002</v>
      </c>
      <c r="EE77" s="67">
        <f>+'Pro Forma IS'!EE24</f>
        <v>43.372565000000002</v>
      </c>
      <c r="EF77" s="67">
        <f>+'Pro Forma IS'!EF24</f>
        <v>43.372565000000002</v>
      </c>
      <c r="EG77" s="93">
        <f>+'Pro Forma IS'!EG24</f>
        <v>173.49026000000001</v>
      </c>
      <c r="EH77" s="67"/>
      <c r="EI77" s="31"/>
      <c r="EJ77" s="31"/>
      <c r="EK77" s="31"/>
      <c r="EL77" s="31"/>
    </row>
    <row r="78" spans="1:142" ht="12.75" customHeight="1" x14ac:dyDescent="0.2">
      <c r="A78" s="51" t="s">
        <v>8</v>
      </c>
      <c r="B78" s="19"/>
      <c r="C78" s="19"/>
      <c r="D78" s="19"/>
      <c r="E78" s="93">
        <f t="shared" ref="E78" si="239">-E77*E139</f>
        <v>-4.62385</v>
      </c>
      <c r="F78" s="67"/>
      <c r="G78" s="93">
        <f t="shared" ref="G78" si="240">-G77*G139</f>
        <v>-9.2074499999999997</v>
      </c>
      <c r="H78" s="67"/>
      <c r="I78" s="93">
        <f t="shared" ref="I78" si="241">-I77*I139</f>
        <v>-5.83345</v>
      </c>
      <c r="J78" s="67"/>
      <c r="K78" s="93">
        <f t="shared" ref="K78" si="242">-K77*K139</f>
        <v>-10.22875</v>
      </c>
      <c r="L78" s="67"/>
      <c r="M78" s="82">
        <f t="shared" ref="M78" si="243">-M77*M139</f>
        <v>-4.0586000000000002</v>
      </c>
      <c r="N78" s="67">
        <f t="shared" ref="N78" si="244">-N77*N139</f>
        <v>-4.3907499999999997</v>
      </c>
      <c r="O78" s="67">
        <f t="shared" ref="O78" si="245">-O77*O139</f>
        <v>-4.0249999999999995</v>
      </c>
      <c r="P78" s="67">
        <f t="shared" ref="P78" si="246">-P77*P139</f>
        <v>-4.3770999999999995</v>
      </c>
      <c r="Q78" s="93">
        <f t="shared" ref="Q78" si="247">-Q77*Q139</f>
        <v>-16.85145</v>
      </c>
      <c r="R78" s="67"/>
      <c r="S78" s="82">
        <f t="shared" ref="S78" si="248">-S77*S139</f>
        <v>-4.5177999999999994</v>
      </c>
      <c r="T78" s="67">
        <f t="shared" ref="T78" si="249">-T77*T139</f>
        <v>-4.8327999999999998</v>
      </c>
      <c r="U78" s="67">
        <f t="shared" ref="U78" si="250">-U77*U139</f>
        <v>-4.4404499999999993</v>
      </c>
      <c r="V78" s="67">
        <f t="shared" ref="V78" si="251">-V77*V139</f>
        <v>-5.0928500000000003</v>
      </c>
      <c r="W78" s="93">
        <f t="shared" ref="W78" si="252">-W77*W139</f>
        <v>-18.883900000000001</v>
      </c>
      <c r="X78" s="67"/>
      <c r="Y78" s="82">
        <f t="shared" ref="Y78" si="253">-Y77*Y139</f>
        <v>-4.9405999999999999</v>
      </c>
      <c r="Z78" s="67">
        <f t="shared" ref="Z78" si="254">-Z77*Z139</f>
        <v>-5.3633999999999995</v>
      </c>
      <c r="AA78" s="67">
        <f t="shared" ref="AA78" si="255">-AA77*AA139</f>
        <v>-5.0819999999999999</v>
      </c>
      <c r="AB78" s="67">
        <f t="shared" ref="AB78" si="256">-AB77*AB139</f>
        <v>-5.281150000000002</v>
      </c>
      <c r="AC78" s="93">
        <f t="shared" ref="AC78" si="257">-AC77*AC139</f>
        <v>-20.667149999999999</v>
      </c>
      <c r="AD78" s="67"/>
      <c r="AE78" s="82">
        <f t="shared" ref="AE78" si="258">-AE77*AE139</f>
        <v>-5.0574999999999992</v>
      </c>
      <c r="AF78" s="67">
        <f t="shared" ref="AF78" si="259">-AF77*AF139</f>
        <v>-4.4505999999999997</v>
      </c>
      <c r="AG78" s="67">
        <f t="shared" ref="AG78" si="260">-AG77*AG139</f>
        <v>-4.7666499999999994</v>
      </c>
      <c r="AH78" s="67">
        <f t="shared" ref="AH78" si="261">-AH77*AH139</f>
        <v>-4.9696500000000015</v>
      </c>
      <c r="AI78" s="93">
        <f t="shared" ref="AI78" si="262">-AI77*AI139</f>
        <v>-19.244399999999999</v>
      </c>
      <c r="AJ78" s="67"/>
      <c r="AK78" s="82">
        <f t="shared" ref="AK78" si="263">-AK77*AK139</f>
        <v>-4.7207999999999997</v>
      </c>
      <c r="AL78" s="67">
        <f t="shared" ref="AL78" si="264">-AL77*AL139</f>
        <v>-4.4852499999999997</v>
      </c>
      <c r="AM78" s="67">
        <f t="shared" ref="AM78" si="265">-AM77*AM139</f>
        <v>-3.2210499999999995</v>
      </c>
      <c r="AN78" s="67">
        <f t="shared" ref="AN78" si="266">-AN77*AN139</f>
        <v>-3.2994499999999998</v>
      </c>
      <c r="AO78" s="93">
        <f t="shared" ref="AO78" si="267">-AO77*AO139</f>
        <v>-15.72655</v>
      </c>
      <c r="AP78" s="67"/>
      <c r="AQ78" s="82">
        <f t="shared" ref="AQ78" si="268">-AQ77*AQ139</f>
        <v>-3.3988499999999995</v>
      </c>
      <c r="AR78" s="67">
        <f t="shared" ref="AR78" si="269">-AR77*AR139</f>
        <v>-6.0805499999999997</v>
      </c>
      <c r="AS78" s="67">
        <f t="shared" ref="AS78" si="270">-AS77*AS139</f>
        <v>-9.2679999999999989</v>
      </c>
      <c r="AT78" s="67">
        <f t="shared" ref="AT78" si="271">-AT77*AT139</f>
        <v>-9.0338499999999993</v>
      </c>
      <c r="AU78" s="93">
        <f t="shared" ref="AU78" si="272">-AU77*AU139</f>
        <v>-27.78125</v>
      </c>
      <c r="AV78" s="67"/>
      <c r="AW78" s="82">
        <f t="shared" ref="AW78" si="273">-AW77*AW139</f>
        <v>-9.55185</v>
      </c>
      <c r="AX78" s="67">
        <f t="shared" ref="AX78" si="274">-AX77*AX139</f>
        <v>-8.3818000000000001</v>
      </c>
      <c r="AY78" s="67">
        <f t="shared" ref="AY78" si="275">-AY77*AY139</f>
        <v>-8.9845000000000006</v>
      </c>
      <c r="AZ78" s="67">
        <f t="shared" ref="AZ78" si="276">-AZ77*AZ139</f>
        <v>-11.477549999999999</v>
      </c>
      <c r="BA78" s="93">
        <f t="shared" ref="BA78" si="277">-BA77*BA139</f>
        <v>-38.395699999999998</v>
      </c>
      <c r="BB78" s="67"/>
      <c r="BC78" s="82">
        <f t="shared" ref="BC78" si="278">-BC77*BC139</f>
        <v>-14.234149999999998</v>
      </c>
      <c r="BD78" s="67">
        <f t="shared" ref="BD78" si="279">-BD77*BD139</f>
        <v>-11.848899999999999</v>
      </c>
      <c r="BE78" s="67">
        <f t="shared" ref="BE78" si="280">-BE77*BE139</f>
        <v>-10.5763</v>
      </c>
      <c r="BF78" s="67">
        <f t="shared" ref="BF78" si="281">-BF77*BF139</f>
        <v>-8.9015499999999985</v>
      </c>
      <c r="BG78" s="93">
        <f t="shared" ref="BG78" si="282">-BG77*BG139</f>
        <v>-45.560899999999997</v>
      </c>
      <c r="BH78" s="67"/>
      <c r="BI78" s="82">
        <f t="shared" ref="BI78" si="283">-BI77*BI139</f>
        <v>-8.4199499999999983</v>
      </c>
      <c r="BJ78" s="67">
        <f t="shared" ref="BJ78" si="284">-BJ77*BJ139</f>
        <v>-10.96515</v>
      </c>
      <c r="BK78" s="67">
        <f t="shared" ref="BK78" si="285">-BK77*BK139</f>
        <v>-11.144699999999998</v>
      </c>
      <c r="BL78" s="67">
        <f t="shared" ref="BL78" si="286">-BL77*BL139</f>
        <v>-12.399799999999999</v>
      </c>
      <c r="BM78" s="93">
        <f t="shared" ref="BM78" si="287">-BM77*BM139</f>
        <v>-42.929599999999994</v>
      </c>
      <c r="BN78" s="67"/>
      <c r="BO78" s="82">
        <f t="shared" ref="BO78" si="288">-BO77*BO139</f>
        <v>-10.5154</v>
      </c>
      <c r="BP78" s="67">
        <f t="shared" ref="BP78" si="289">-BP77*BP139</f>
        <v>-10.1304</v>
      </c>
      <c r="BQ78" s="67">
        <f t="shared" ref="BQ78" si="290">-BQ77*BQ139</f>
        <v>-10.9368</v>
      </c>
      <c r="BR78" s="67">
        <f t="shared" ref="BR78" si="291">-BR77*BR139</f>
        <v>-9.4258499999999987</v>
      </c>
      <c r="BS78" s="93">
        <f t="shared" ref="BS78" si="292">-BS77*BS139</f>
        <v>-41.008449999999996</v>
      </c>
      <c r="BT78" s="67"/>
      <c r="BU78" s="82">
        <f t="shared" ref="BU78" si="293">-BU77*BU139</f>
        <v>-10.6533</v>
      </c>
      <c r="BV78" s="67">
        <f t="shared" ref="BV78" si="294">-BV77*BV139</f>
        <v>-10.994199999999999</v>
      </c>
      <c r="BW78" s="67">
        <f t="shared" ref="BW78" si="295">-BW77*BW139</f>
        <v>-14.826699999999999</v>
      </c>
      <c r="BX78" s="67">
        <f t="shared" ref="BX78" si="296">-BX77*BX139</f>
        <v>-13.085800000000001</v>
      </c>
      <c r="BY78" s="93">
        <f t="shared" ref="BY78" si="297">-BY77*BY139</f>
        <v>-49.559999999999995</v>
      </c>
      <c r="BZ78" s="67"/>
      <c r="CA78" s="82">
        <f t="shared" ref="CA78" si="298">-CA77*CA139</f>
        <v>-13.79</v>
      </c>
      <c r="CB78" s="67">
        <f t="shared" ref="CB78" si="299">-CB77*CB139</f>
        <v>-13.264999999999999</v>
      </c>
      <c r="CC78" s="67">
        <f t="shared" ref="CC78" si="300">-CC77*CC139</f>
        <v>-13.79</v>
      </c>
      <c r="CD78" s="67">
        <f t="shared" ref="CD78" si="301">-CD77*CD139</f>
        <v>-14.280000000000003</v>
      </c>
      <c r="CE78" s="93">
        <f t="shared" ref="CE78" si="302">-CE77*CE139</f>
        <v>-55.125</v>
      </c>
      <c r="CF78" s="67"/>
      <c r="CG78" s="82">
        <f t="shared" ref="CG78" si="303">-CG77*CG139</f>
        <v>-13.72</v>
      </c>
      <c r="CH78" s="67">
        <f t="shared" ref="CH78" si="304">-CH77*CH139</f>
        <v>-13.79</v>
      </c>
      <c r="CI78" s="67">
        <f t="shared" ref="CI78" si="305">-CI77*CI139</f>
        <v>-12.25</v>
      </c>
      <c r="CJ78" s="67">
        <f t="shared" ref="CJ78" si="306">-CJ77*CJ139</f>
        <v>-11.305000000000003</v>
      </c>
      <c r="CK78" s="93">
        <f t="shared" ref="CK78" si="307">-CK77*CK139</f>
        <v>-51.064999999999998</v>
      </c>
      <c r="CL78" s="67"/>
      <c r="CM78" s="82">
        <f t="shared" ref="CM78" si="308">-CM77*CM139</f>
        <v>-11.375</v>
      </c>
      <c r="CN78" s="67">
        <f t="shared" ref="CN78" si="309">-CN77*CN139</f>
        <v>-11.620000000000001</v>
      </c>
      <c r="CO78" s="67">
        <f t="shared" ref="CO78" si="310">-CO77*CO139</f>
        <v>-10.36</v>
      </c>
      <c r="CP78" s="67">
        <f t="shared" ref="CP78" si="311">-CP77*CP139</f>
        <v>-8.329999999999993</v>
      </c>
      <c r="CQ78" s="93">
        <f t="shared" ref="CQ78" si="312">-CQ77*CQ139</f>
        <v>-41.684999999999995</v>
      </c>
      <c r="CR78" s="67"/>
      <c r="CS78" s="82">
        <f>-CS77*CS139</f>
        <v>-8.1199999999999992</v>
      </c>
      <c r="CT78" s="67">
        <f t="shared" ref="CT78:CW78" si="313">-CT77*CT139</f>
        <v>-7.9799999999999995</v>
      </c>
      <c r="CU78" s="67">
        <f t="shared" si="313"/>
        <v>-13.475</v>
      </c>
      <c r="CV78" s="67">
        <f t="shared" si="313"/>
        <v>-17.745000000000001</v>
      </c>
      <c r="CW78" s="93">
        <f t="shared" si="313"/>
        <v>-47.319999999999993</v>
      </c>
      <c r="CX78" s="67"/>
      <c r="CY78" s="82">
        <f t="shared" ref="CY78" si="314">-CY77*CY139</f>
        <v>-18.514999999999997</v>
      </c>
      <c r="CZ78" s="67">
        <f t="shared" ref="CZ78" si="315">-CZ77*CZ139</f>
        <v>-19.424999999999997</v>
      </c>
      <c r="DA78" s="67">
        <f t="shared" ref="DA78" si="316">-DA77*DA139</f>
        <v>-15.295</v>
      </c>
      <c r="DB78" s="67">
        <f t="shared" ref="DB78" si="317">-DB77*DB139</f>
        <v>-11.304999999999998</v>
      </c>
      <c r="DC78" s="93">
        <f t="shared" ref="DC78" si="318">-DC77*DC139</f>
        <v>-64.540000000000006</v>
      </c>
      <c r="DD78" s="67"/>
      <c r="DE78" s="82">
        <f t="shared" ref="DE78" si="319">-DE77*DE139</f>
        <v>-14.104999999999999</v>
      </c>
      <c r="DF78" s="67">
        <f t="shared" ref="DF78" si="320">-DF77*DF139</f>
        <v>-14.244999999999999</v>
      </c>
      <c r="DG78" s="67">
        <f t="shared" ref="DG78:DI78" si="321">-DG77*DG139</f>
        <v>-13.964999999999998</v>
      </c>
      <c r="DH78" s="67">
        <f t="shared" si="321"/>
        <v>-14.629999999999997</v>
      </c>
      <c r="DI78" s="93">
        <f t="shared" si="321"/>
        <v>-56.944999999999993</v>
      </c>
      <c r="DJ78" s="67"/>
      <c r="DK78" s="82">
        <f t="shared" ref="DK78" si="322">-DK77*DK139</f>
        <v>-13.685</v>
      </c>
      <c r="DL78" s="67">
        <f t="shared" ref="DL78" si="323">-DL77*DL139</f>
        <v>-15.180397749999999</v>
      </c>
      <c r="DM78" s="67">
        <f t="shared" ref="DM78" si="324">-DM77*DM139</f>
        <v>-15.180397749999999</v>
      </c>
      <c r="DN78" s="67">
        <f t="shared" ref="DN78" si="325">-DN77*DN139</f>
        <v>-15.180397749999999</v>
      </c>
      <c r="DO78" s="93">
        <f t="shared" ref="DO78" si="326">-DO77*DO139</f>
        <v>-59.226193250000001</v>
      </c>
      <c r="DP78" s="67"/>
      <c r="DQ78" s="82">
        <f t="shared" ref="DQ78" si="327">-DQ77*DQ139</f>
        <v>-15.180397749999999</v>
      </c>
      <c r="DR78" s="67">
        <f t="shared" ref="DR78" si="328">-DR77*DR139</f>
        <v>-15.180397749999999</v>
      </c>
      <c r="DS78" s="67">
        <f t="shared" ref="DS78" si="329">-DS77*DS139</f>
        <v>-15.180397749999999</v>
      </c>
      <c r="DT78" s="67">
        <f t="shared" ref="DT78" si="330">-DT77*DT139</f>
        <v>-15.180397749999999</v>
      </c>
      <c r="DU78" s="93">
        <f t="shared" ref="DU78" si="331">-DU77*DU139</f>
        <v>-60.721590999999997</v>
      </c>
      <c r="DV78" s="67"/>
      <c r="DW78" s="82">
        <f t="shared" ref="DW78:EA78" si="332">-DW77*DW139</f>
        <v>-15.180397749999999</v>
      </c>
      <c r="DX78" s="67">
        <f t="shared" si="332"/>
        <v>-15.180397749999999</v>
      </c>
      <c r="DY78" s="67">
        <f t="shared" si="332"/>
        <v>-15.180397749999999</v>
      </c>
      <c r="DZ78" s="67">
        <f t="shared" si="332"/>
        <v>-15.180397749999999</v>
      </c>
      <c r="EA78" s="93">
        <f t="shared" si="332"/>
        <v>-60.721590999999997</v>
      </c>
      <c r="EB78" s="67"/>
      <c r="EC78" s="82">
        <f t="shared" ref="EC78:EG78" si="333">-EC77*EC139</f>
        <v>-15.180397749999999</v>
      </c>
      <c r="ED78" s="67">
        <f t="shared" si="333"/>
        <v>-15.180397749999999</v>
      </c>
      <c r="EE78" s="67">
        <f t="shared" si="333"/>
        <v>-15.180397749999999</v>
      </c>
      <c r="EF78" s="67">
        <f t="shared" si="333"/>
        <v>-15.180397749999999</v>
      </c>
      <c r="EG78" s="93">
        <f t="shared" si="333"/>
        <v>-60.721590999999997</v>
      </c>
      <c r="EH78" s="67"/>
      <c r="EI78" s="31"/>
      <c r="EJ78" s="31"/>
      <c r="EK78" s="31"/>
      <c r="EL78" s="31"/>
    </row>
    <row r="79" spans="1:142" ht="12.75" customHeight="1" x14ac:dyDescent="0.2">
      <c r="A79" s="199" t="s">
        <v>6</v>
      </c>
      <c r="B79" s="19"/>
      <c r="C79" s="19"/>
      <c r="D79" s="19"/>
      <c r="E79" s="196">
        <f>SUM(E76:E78)</f>
        <v>224.03715000000003</v>
      </c>
      <c r="F79" s="67"/>
      <c r="G79" s="196">
        <f>SUM(G76:G78)</f>
        <v>268.16755000000001</v>
      </c>
      <c r="H79" s="67"/>
      <c r="I79" s="196">
        <f>SUM(I76:I78)</f>
        <v>341.03154999999998</v>
      </c>
      <c r="J79" s="67"/>
      <c r="K79" s="196">
        <f>SUM(K76:K78)</f>
        <v>442.73824999999999</v>
      </c>
      <c r="L79" s="67"/>
      <c r="M79" s="197">
        <f>SUM(M76:M78)</f>
        <v>160.12739999999997</v>
      </c>
      <c r="N79" s="87">
        <f>SUM(N76:N78)</f>
        <v>127.39924999999999</v>
      </c>
      <c r="O79" s="87">
        <f>SUM(O76:O78)</f>
        <v>108.74499999999999</v>
      </c>
      <c r="P79" s="87">
        <f>SUM(P76:P78)</f>
        <v>162.90990000000005</v>
      </c>
      <c r="Q79" s="196">
        <f>SUM(Q76:Q78)</f>
        <v>559.18155000000002</v>
      </c>
      <c r="R79" s="67"/>
      <c r="S79" s="197">
        <f>SUM(S76:S78)</f>
        <v>261.6232</v>
      </c>
      <c r="T79" s="87">
        <f>SUM(T76:T78)</f>
        <v>132.68220000000002</v>
      </c>
      <c r="U79" s="87">
        <f>SUM(U76:U78)</f>
        <v>171.07754999999997</v>
      </c>
      <c r="V79" s="87">
        <f>SUM(V76:V78)</f>
        <v>141.07015000000001</v>
      </c>
      <c r="W79" s="196">
        <f>SUM(W76:W78)</f>
        <v>706.45309999999984</v>
      </c>
      <c r="X79" s="67"/>
      <c r="Y79" s="197">
        <f>SUM(Y76:Y78)</f>
        <v>213.59740000000002</v>
      </c>
      <c r="Z79" s="87">
        <f>SUM(Z76:Z78)</f>
        <v>223.9716</v>
      </c>
      <c r="AA79" s="87">
        <f>SUM(AA76:AA78)</f>
        <v>166.23100000000008</v>
      </c>
      <c r="AB79" s="87">
        <f>SUM(AB76:AB78)</f>
        <v>228.70884999999996</v>
      </c>
      <c r="AC79" s="196">
        <f>SUM(AC76:AC78)</f>
        <v>832.50885000000005</v>
      </c>
      <c r="AD79" s="67"/>
      <c r="AE79" s="197">
        <f>SUM(AE76:AE78)</f>
        <v>248.53449999999998</v>
      </c>
      <c r="AF79" s="87">
        <f>SUM(AF76:AF78)</f>
        <v>235.9494</v>
      </c>
      <c r="AG79" s="87">
        <f>SUM(AG76:AG78)</f>
        <v>267.53134999999997</v>
      </c>
      <c r="AH79" s="87">
        <f>SUM(AH76:AH78)</f>
        <v>231.92834999999988</v>
      </c>
      <c r="AI79" s="196">
        <f>SUM(AI76:AI78)</f>
        <v>983.94359999999995</v>
      </c>
      <c r="AJ79" s="67"/>
      <c r="AK79" s="197">
        <f>SUM(AK76:AK78)</f>
        <v>301.18319999999994</v>
      </c>
      <c r="AL79" s="87">
        <f>SUM(AL76:AL78)</f>
        <v>262.59475000000009</v>
      </c>
      <c r="AM79" s="87">
        <f>SUM(AM76:AM78)</f>
        <v>290.09594999999996</v>
      </c>
      <c r="AN79" s="87">
        <f>SUM(AN76:AN78)</f>
        <v>276.71055000000001</v>
      </c>
      <c r="AO79" s="196">
        <f>SUM(AO76:AO78)</f>
        <v>1130.5844499999998</v>
      </c>
      <c r="AP79" s="67"/>
      <c r="AQ79" s="197">
        <f>SUM(AQ76:AQ78)</f>
        <v>316.60315000000003</v>
      </c>
      <c r="AR79" s="87">
        <f>SUM(AR76:AR78)</f>
        <v>296.45845000000003</v>
      </c>
      <c r="AS79" s="87">
        <f>SUM(AS76:AS78)</f>
        <v>414.38800000000015</v>
      </c>
      <c r="AT79" s="87">
        <f>SUM(AT76:AT78)</f>
        <v>443.67714999999987</v>
      </c>
      <c r="AU79" s="196">
        <f>SUM(AU76:AU78)</f>
        <v>1471.1267500000001</v>
      </c>
      <c r="AV79" s="67"/>
      <c r="AW79" s="197">
        <f>SUM(AW76:AW78)</f>
        <v>309.43515000000002</v>
      </c>
      <c r="AX79" s="87">
        <f>SUM(AX76:AX78)</f>
        <v>356.89119999999991</v>
      </c>
      <c r="AY79" s="87">
        <f>SUM(AY76:AY78)</f>
        <v>372.0575</v>
      </c>
      <c r="AZ79" s="87">
        <f>SUM(AZ76:AZ78)</f>
        <v>532.16345000000013</v>
      </c>
      <c r="BA79" s="196">
        <f>SUM(BA76:BA78)</f>
        <v>1570.5473000000002</v>
      </c>
      <c r="BB79" s="67"/>
      <c r="BC79" s="197">
        <f>SUM(BC76:BC78)</f>
        <v>320.85485</v>
      </c>
      <c r="BD79" s="87">
        <f>SUM(BD76:BD78)</f>
        <v>558.51710000000003</v>
      </c>
      <c r="BE79" s="87">
        <f>SUM(BE76:BE78)</f>
        <v>421.11870000000005</v>
      </c>
      <c r="BF79" s="87">
        <f>SUM(BF76:BF78)</f>
        <v>450.45645000000019</v>
      </c>
      <c r="BG79" s="196">
        <f>SUM(BG76:BG78)</f>
        <v>1750.9471000000001</v>
      </c>
      <c r="BH79" s="67"/>
      <c r="BI79" s="197">
        <f>SUM(BI76:BI78)</f>
        <v>296.24205000000001</v>
      </c>
      <c r="BJ79" s="87">
        <f>SUM(BJ76:BJ78)</f>
        <v>460.32585000000012</v>
      </c>
      <c r="BK79" s="87">
        <f>SUM(BK76:BK78)</f>
        <v>493.5952999999999</v>
      </c>
      <c r="BL79" s="87">
        <f>SUM(BL76:BL78)</f>
        <v>447.94020000000012</v>
      </c>
      <c r="BM79" s="196">
        <f>SUM(BM76:BM78)</f>
        <v>1698.1034000000002</v>
      </c>
      <c r="BN79" s="67"/>
      <c r="BO79" s="197">
        <f>SUM(BO76:BO78)</f>
        <v>377.74159999999995</v>
      </c>
      <c r="BP79" s="87">
        <f>SUM(BP76:BP78)</f>
        <v>487.63159999999993</v>
      </c>
      <c r="BQ79" s="87">
        <f>SUM(BQ76:BQ78)</f>
        <v>530.1772000000002</v>
      </c>
      <c r="BR79" s="87">
        <f>SUM(BR76:BR78)</f>
        <v>508.19615000000005</v>
      </c>
      <c r="BS79" s="196">
        <f>SUM(BS76:BS78)</f>
        <v>1903.7465499999996</v>
      </c>
      <c r="BT79" s="67"/>
      <c r="BU79" s="197">
        <f>SUM(BU76:BU78)</f>
        <v>407.7577</v>
      </c>
      <c r="BV79" s="87">
        <f>SUM(BV76:BV78)</f>
        <v>755.00580000000014</v>
      </c>
      <c r="BW79" s="87">
        <f>SUM(BW76:BW78)</f>
        <v>605.99529999999993</v>
      </c>
      <c r="BX79" s="87">
        <f>SUM(BX76:BX78)</f>
        <v>720.88120000000026</v>
      </c>
      <c r="BY79" s="196">
        <f>SUM(BY76:BY78)</f>
        <v>2489.64</v>
      </c>
      <c r="BZ79" s="67"/>
      <c r="CA79" s="197">
        <f>SUM(CA76:CA78)</f>
        <v>559.21</v>
      </c>
      <c r="CB79" s="87">
        <f>SUM(CB76:CB78)</f>
        <v>958.43499999999995</v>
      </c>
      <c r="CC79" s="87">
        <f>SUM(CC76:CC78)</f>
        <v>896.11000000000013</v>
      </c>
      <c r="CD79" s="87">
        <f>SUM(CD76:CD78)</f>
        <v>732.41999999999985</v>
      </c>
      <c r="CE79" s="196">
        <f>SUM(CE76:CE78)</f>
        <v>3146.1749999999993</v>
      </c>
      <c r="CF79" s="67"/>
      <c r="CG79" s="197">
        <f>SUM(CG76:CG78)</f>
        <v>545.68000000000006</v>
      </c>
      <c r="CH79" s="87">
        <f>SUM(CH76:CH78)</f>
        <v>788.61</v>
      </c>
      <c r="CI79" s="87">
        <f>SUM(CI76:CI78)</f>
        <v>854.84999999999991</v>
      </c>
      <c r="CJ79" s="87">
        <f>SUM(CJ76:CJ78)</f>
        <v>939.49499999999978</v>
      </c>
      <c r="CK79" s="196">
        <f>SUM(CK76:CK78)</f>
        <v>3128.6349999999998</v>
      </c>
      <c r="CL79" s="67"/>
      <c r="CM79" s="197">
        <f>SUM(CM76:CM78)</f>
        <v>401.42500000000007</v>
      </c>
      <c r="CN79" s="87">
        <f>SUM(CN76:CN78)</f>
        <v>865.57999999999993</v>
      </c>
      <c r="CO79" s="87">
        <f>SUM(CO76:CO78)</f>
        <v>836.44</v>
      </c>
      <c r="CP79" s="87">
        <f>SUM(CP76:CP78)</f>
        <v>1011.3700000000002</v>
      </c>
      <c r="CQ79" s="196">
        <f>SUM(CQ76:CQ78)</f>
        <v>3114.8150000000001</v>
      </c>
      <c r="CR79" s="67"/>
      <c r="CS79" s="197">
        <f>SUM(CS76:CS78)</f>
        <v>427.67999999999989</v>
      </c>
      <c r="CT79" s="87">
        <f>SUM(CT76:CT78)</f>
        <v>979.91999999999985</v>
      </c>
      <c r="CU79" s="87">
        <f>SUM(CU76:CU78)</f>
        <v>184.22500000000028</v>
      </c>
      <c r="CV79" s="87">
        <f>SUM(CV76:CV78)</f>
        <v>815.3549999999999</v>
      </c>
      <c r="CW79" s="196">
        <f>SUM(CW76:CW78)</f>
        <v>2407.1799999999994</v>
      </c>
      <c r="CX79" s="67"/>
      <c r="CY79" s="197">
        <f>SUM(CY76:CY78)</f>
        <v>656.18499999999995</v>
      </c>
      <c r="CZ79" s="87">
        <f>SUM(CZ76:CZ78)</f>
        <v>1133.9749999999997</v>
      </c>
      <c r="DA79" s="87">
        <f>SUM(DA76:DA78)</f>
        <v>325.10500000000013</v>
      </c>
      <c r="DB79" s="87">
        <f>SUM(DB76:DB78)</f>
        <v>502.49499999999972</v>
      </c>
      <c r="DC79" s="196">
        <f>SUM(DC76:DC78)</f>
        <v>2617.7599999999993</v>
      </c>
      <c r="DD79" s="67"/>
      <c r="DE79" s="197">
        <f>SUM(DE76:DE78)</f>
        <v>427.79500000000002</v>
      </c>
      <c r="DF79" s="87">
        <f>SUM(DF76:DF78)</f>
        <v>889.05500000000006</v>
      </c>
      <c r="DG79" s="87">
        <f>SUM(DG76:DG78)</f>
        <v>959.03500000000008</v>
      </c>
      <c r="DH79" s="87">
        <f>SUM(DH76:DH78)</f>
        <v>688.06999999999982</v>
      </c>
      <c r="DI79" s="196">
        <f>SUM(DI76:DI78)</f>
        <v>2963.9549999999995</v>
      </c>
      <c r="DJ79" s="67"/>
      <c r="DK79" s="197">
        <f>SUM(DK76:DK78)</f>
        <v>934.92961754857367</v>
      </c>
      <c r="DL79" s="87">
        <f>SUM(DL76:DL78)</f>
        <v>1086.4447814033733</v>
      </c>
      <c r="DM79" s="87">
        <f>SUM(DM76:DM78)</f>
        <v>725.94831222073242</v>
      </c>
      <c r="DN79" s="87">
        <f>SUM(DN76:DN78)</f>
        <v>1007.5849794982939</v>
      </c>
      <c r="DO79" s="196">
        <f>SUM(DO76:DO78)</f>
        <v>3754.9076906709743</v>
      </c>
      <c r="DP79" s="67"/>
      <c r="DQ79" s="197">
        <f>SUM(DQ76:DQ78)</f>
        <v>938.55700981449445</v>
      </c>
      <c r="DR79" s="87">
        <f>SUM(DR76:DR78)</f>
        <v>1164.456559627899</v>
      </c>
      <c r="DS79" s="87">
        <f>SUM(DS76:DS78)</f>
        <v>765.71554489146536</v>
      </c>
      <c r="DT79" s="87">
        <f>SUM(DT76:DT78)</f>
        <v>1062.1954358769938</v>
      </c>
      <c r="DU79" s="196">
        <f>SUM(DU76:DU78)</f>
        <v>3930.9245502108529</v>
      </c>
      <c r="DV79" s="67"/>
      <c r="DW79" s="197">
        <f>SUM(DW76:DW78)</f>
        <v>1150.8472497812668</v>
      </c>
      <c r="DX79" s="87">
        <f>SUM(DX76:DX78)</f>
        <v>1264.1287661491931</v>
      </c>
      <c r="DY79" s="87">
        <f>SUM(DY76:DY78)</f>
        <v>832.1385685572194</v>
      </c>
      <c r="DZ79" s="87">
        <f>SUM(DZ76:DZ78)</f>
        <v>1311.9872755239578</v>
      </c>
      <c r="EA79" s="196">
        <f>SUM(EA76:EA78)</f>
        <v>4559.1018600116358</v>
      </c>
      <c r="EB79" s="67"/>
      <c r="EC79" s="197">
        <f t="shared" ref="EC79:EG79" si="334">SUM(EC76:EC78)</f>
        <v>1380.952879908943</v>
      </c>
      <c r="ED79" s="87">
        <f t="shared" si="334"/>
        <v>1547.5479016806582</v>
      </c>
      <c r="EE79" s="87">
        <f t="shared" si="334"/>
        <v>1099.4627578360855</v>
      </c>
      <c r="EF79" s="87">
        <f t="shared" si="334"/>
        <v>1488.8857150530359</v>
      </c>
      <c r="EG79" s="196">
        <f t="shared" si="334"/>
        <v>5516.8492544787223</v>
      </c>
      <c r="EH79" s="67"/>
      <c r="EI79" s="31"/>
      <c r="EJ79" s="31"/>
      <c r="EK79" s="31"/>
      <c r="EL79" s="31"/>
    </row>
    <row r="80" spans="1:142" ht="12.75" customHeight="1" x14ac:dyDescent="0.2">
      <c r="A80" s="2"/>
      <c r="B80" s="19"/>
      <c r="C80" s="19"/>
      <c r="D80" s="19"/>
      <c r="E80" s="67"/>
      <c r="F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67"/>
      <c r="BI80" s="67"/>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c r="DK80" s="67"/>
      <c r="DL80" s="67"/>
      <c r="DM80" s="67"/>
      <c r="DN80" s="67"/>
      <c r="DO80" s="67"/>
      <c r="DP80" s="67"/>
      <c r="DQ80" s="67"/>
      <c r="DR80" s="67"/>
      <c r="DS80" s="67"/>
      <c r="DT80" s="67"/>
      <c r="DU80" s="67"/>
      <c r="DV80" s="67"/>
      <c r="DW80" s="67"/>
      <c r="DX80" s="67"/>
      <c r="DY80" s="67"/>
      <c r="DZ80" s="67"/>
      <c r="EA80" s="67"/>
      <c r="EB80" s="67"/>
      <c r="EC80" s="67"/>
      <c r="ED80" s="67"/>
      <c r="EE80" s="67"/>
      <c r="EF80" s="67"/>
      <c r="EG80" s="67"/>
      <c r="EH80" s="67"/>
      <c r="EI80" s="6"/>
      <c r="EJ80" s="6"/>
      <c r="EK80" s="6"/>
      <c r="EL80" s="6"/>
    </row>
    <row r="81" spans="1:137" ht="12.75" customHeight="1" x14ac:dyDescent="0.2">
      <c r="A81" s="238" t="s">
        <v>358</v>
      </c>
      <c r="B81" s="239"/>
      <c r="C81" s="239"/>
      <c r="D81" s="239"/>
      <c r="E81" s="240"/>
      <c r="F81" s="240"/>
      <c r="G81" s="240"/>
      <c r="H81" s="240"/>
      <c r="I81" s="240"/>
      <c r="J81" s="240"/>
      <c r="K81" s="240"/>
      <c r="L81" s="240"/>
      <c r="M81" s="241"/>
      <c r="N81" s="241"/>
      <c r="O81" s="241"/>
      <c r="P81" s="241"/>
      <c r="Q81" s="240"/>
      <c r="R81" s="240"/>
      <c r="S81" s="241"/>
      <c r="T81" s="241"/>
      <c r="U81" s="241"/>
      <c r="V81" s="241"/>
      <c r="W81" s="240"/>
      <c r="X81" s="240"/>
      <c r="Y81" s="241"/>
      <c r="Z81" s="241"/>
      <c r="AA81" s="241"/>
      <c r="AB81" s="241"/>
      <c r="AC81" s="240"/>
      <c r="AD81" s="240"/>
      <c r="AE81" s="241"/>
      <c r="AF81" s="241"/>
      <c r="AG81" s="241"/>
      <c r="AH81" s="241"/>
      <c r="AI81" s="240"/>
      <c r="AJ81" s="240"/>
      <c r="AK81" s="241"/>
      <c r="AL81" s="241"/>
      <c r="AM81" s="241"/>
      <c r="AN81" s="241"/>
      <c r="AO81" s="240"/>
      <c r="AP81" s="240"/>
      <c r="AQ81" s="241"/>
      <c r="AR81" s="241"/>
      <c r="AS81" s="241"/>
      <c r="AT81" s="241"/>
      <c r="AU81" s="240"/>
      <c r="AV81" s="240"/>
      <c r="AW81" s="241"/>
      <c r="AX81" s="242"/>
      <c r="AY81" s="242"/>
      <c r="AZ81" s="242"/>
      <c r="BA81" s="240"/>
      <c r="BB81" s="240"/>
      <c r="BC81" s="242"/>
      <c r="BD81" s="242"/>
      <c r="BE81" s="242"/>
      <c r="BF81" s="242"/>
      <c r="BG81" s="240"/>
      <c r="BH81" s="240"/>
      <c r="BI81" s="242"/>
      <c r="BJ81" s="242"/>
      <c r="BK81" s="242"/>
      <c r="BL81" s="242"/>
      <c r="BM81" s="240"/>
      <c r="BN81" s="240"/>
      <c r="BO81" s="242"/>
      <c r="BP81" s="242"/>
      <c r="BQ81" s="242"/>
      <c r="BR81" s="242"/>
      <c r="BS81" s="240"/>
      <c r="BT81" s="240"/>
      <c r="BU81" s="242"/>
      <c r="BV81" s="242"/>
      <c r="BW81" s="242"/>
      <c r="BX81" s="242"/>
      <c r="BY81" s="240"/>
      <c r="BZ81" s="240"/>
      <c r="CA81" s="242"/>
      <c r="CB81" s="242"/>
      <c r="CC81" s="242"/>
      <c r="CD81" s="242"/>
      <c r="CE81" s="240"/>
      <c r="CF81" s="240"/>
      <c r="CG81" s="242"/>
      <c r="CH81" s="242"/>
      <c r="CI81" s="242"/>
      <c r="CJ81" s="242"/>
      <c r="CK81" s="240"/>
      <c r="CL81" s="240"/>
      <c r="CM81" s="242"/>
      <c r="CN81" s="242"/>
      <c r="CO81" s="242"/>
      <c r="CP81" s="242"/>
      <c r="CQ81" s="240"/>
      <c r="CR81" s="240"/>
      <c r="CS81" s="242"/>
      <c r="CT81" s="242"/>
      <c r="CU81" s="242"/>
      <c r="CV81" s="242"/>
      <c r="CW81" s="240"/>
      <c r="CX81" s="240"/>
      <c r="CY81" s="242"/>
      <c r="CZ81" s="242"/>
      <c r="DA81" s="242"/>
      <c r="DB81" s="242"/>
      <c r="DC81" s="240"/>
      <c r="DD81" s="240"/>
      <c r="DE81" s="242"/>
      <c r="DF81" s="242"/>
      <c r="DG81" s="243"/>
      <c r="DH81" s="242"/>
      <c r="DI81" s="240"/>
      <c r="DJ81" s="240"/>
      <c r="DK81" s="240"/>
      <c r="DL81" s="240"/>
      <c r="DM81" s="240"/>
      <c r="DN81" s="240"/>
      <c r="DO81" s="240"/>
      <c r="DP81" s="240"/>
      <c r="DQ81" s="240"/>
      <c r="DR81" s="240"/>
      <c r="DS81" s="240"/>
      <c r="DT81" s="240"/>
      <c r="DU81" s="240"/>
      <c r="DV81" s="240"/>
      <c r="DW81" s="240"/>
      <c r="DX81" s="240"/>
      <c r="DY81" s="240"/>
      <c r="DZ81" s="240"/>
      <c r="EA81" s="240"/>
      <c r="EB81" s="240"/>
      <c r="EC81" s="240"/>
      <c r="ED81" s="240"/>
      <c r="EE81" s="240"/>
      <c r="EF81" s="240"/>
      <c r="EG81" s="240"/>
    </row>
    <row r="82" spans="1:137" ht="12.75" customHeight="1" x14ac:dyDescent="0.2">
      <c r="A82" s="340"/>
      <c r="E82" s="141"/>
      <c r="F82" s="67"/>
      <c r="G82" s="141"/>
      <c r="H82" s="67"/>
      <c r="I82" s="141"/>
      <c r="J82" s="67"/>
      <c r="K82" s="141"/>
      <c r="L82" s="67"/>
      <c r="M82" s="137"/>
      <c r="N82" s="138"/>
      <c r="O82" s="138"/>
      <c r="P82" s="138"/>
      <c r="Q82" s="141"/>
      <c r="R82" s="67"/>
      <c r="S82" s="137"/>
      <c r="T82" s="138"/>
      <c r="U82" s="138"/>
      <c r="V82" s="138"/>
      <c r="W82" s="141"/>
      <c r="X82" s="67"/>
      <c r="Y82" s="137"/>
      <c r="Z82" s="138"/>
      <c r="AA82" s="138"/>
      <c r="AB82" s="138"/>
      <c r="AC82" s="141"/>
      <c r="AD82" s="67"/>
      <c r="AE82" s="137"/>
      <c r="AF82" s="138"/>
      <c r="AG82" s="138"/>
      <c r="AH82" s="138"/>
      <c r="AI82" s="141"/>
      <c r="AJ82" s="67"/>
      <c r="AK82" s="137"/>
      <c r="AL82" s="138"/>
      <c r="AM82" s="138"/>
      <c r="AN82" s="138"/>
      <c r="AO82" s="141"/>
      <c r="AP82" s="67"/>
      <c r="AQ82" s="137"/>
      <c r="AR82" s="138"/>
      <c r="AS82" s="138"/>
      <c r="AT82" s="138"/>
      <c r="AU82" s="141"/>
      <c r="AV82" s="67"/>
      <c r="AW82" s="137"/>
      <c r="AX82" s="138"/>
      <c r="AY82" s="138"/>
      <c r="AZ82" s="138"/>
      <c r="BA82" s="141"/>
      <c r="BB82" s="67"/>
      <c r="BC82" s="137"/>
      <c r="BD82" s="138"/>
      <c r="BE82" s="138"/>
      <c r="BF82" s="138"/>
      <c r="BG82" s="141"/>
      <c r="BH82" s="67"/>
      <c r="BI82" s="137"/>
      <c r="BJ82" s="138"/>
      <c r="BK82" s="138"/>
      <c r="BL82" s="138"/>
      <c r="BM82" s="141"/>
      <c r="BN82" s="67"/>
      <c r="BO82" s="137"/>
      <c r="BP82" s="138"/>
      <c r="BQ82" s="138"/>
      <c r="BR82" s="138"/>
      <c r="BS82" s="141"/>
      <c r="BT82" s="67"/>
      <c r="BU82" s="137"/>
      <c r="BV82" s="138"/>
      <c r="BW82" s="138"/>
      <c r="BX82" s="138"/>
      <c r="BY82" s="141"/>
      <c r="BZ82" s="67"/>
      <c r="CA82" s="137"/>
      <c r="CB82" s="138"/>
      <c r="CC82" s="138"/>
      <c r="CD82" s="138"/>
      <c r="CE82" s="141"/>
      <c r="CF82" s="67"/>
      <c r="CG82" s="137"/>
      <c r="CH82" s="138"/>
      <c r="CI82" s="138"/>
      <c r="CJ82" s="138"/>
      <c r="CK82" s="141"/>
      <c r="CL82" s="67"/>
      <c r="CM82" s="137"/>
      <c r="CN82" s="138"/>
      <c r="CO82" s="138"/>
      <c r="CP82" s="138"/>
      <c r="CQ82" s="141"/>
      <c r="CR82" s="67"/>
      <c r="CS82" s="137"/>
      <c r="CT82" s="138"/>
      <c r="CU82" s="138"/>
      <c r="CV82" s="138"/>
      <c r="CW82" s="141"/>
      <c r="CX82" s="67"/>
      <c r="CY82" s="137"/>
      <c r="CZ82" s="138"/>
      <c r="DA82" s="138"/>
      <c r="DB82" s="138"/>
      <c r="DC82" s="141"/>
      <c r="DD82" s="67"/>
      <c r="DE82" s="137"/>
      <c r="DF82" s="138"/>
      <c r="DG82" s="138"/>
      <c r="DH82" s="138"/>
      <c r="DI82" s="141"/>
      <c r="DJ82" s="67"/>
      <c r="DK82" s="137"/>
      <c r="DL82" s="138"/>
      <c r="DM82" s="138"/>
      <c r="DN82" s="138"/>
      <c r="DO82" s="141"/>
      <c r="DP82" s="67"/>
      <c r="DQ82" s="137"/>
      <c r="DR82" s="138"/>
      <c r="DS82" s="138"/>
      <c r="DT82" s="138"/>
      <c r="DU82" s="141"/>
      <c r="DV82" s="67"/>
      <c r="DW82" s="137"/>
      <c r="DX82" s="138"/>
      <c r="DY82" s="138"/>
      <c r="DZ82" s="138"/>
      <c r="EA82" s="141"/>
      <c r="EB82" s="67"/>
      <c r="EC82" s="137"/>
      <c r="ED82" s="138"/>
      <c r="EE82" s="138"/>
      <c r="EF82" s="138"/>
      <c r="EG82" s="141"/>
    </row>
    <row r="83" spans="1:137" ht="12.75" customHeight="1" x14ac:dyDescent="0.2">
      <c r="A83" s="153" t="s">
        <v>359</v>
      </c>
      <c r="E83" s="93"/>
      <c r="F83" s="67"/>
      <c r="G83" s="93"/>
      <c r="H83" s="67"/>
      <c r="I83" s="93"/>
      <c r="J83" s="67"/>
      <c r="K83" s="93"/>
      <c r="L83" s="67"/>
      <c r="M83" s="82"/>
      <c r="N83" s="67"/>
      <c r="O83" s="67"/>
      <c r="P83" s="67"/>
      <c r="Q83" s="93"/>
      <c r="R83" s="67"/>
      <c r="S83" s="82"/>
      <c r="T83" s="67"/>
      <c r="U83" s="67"/>
      <c r="V83" s="67"/>
      <c r="W83" s="93"/>
      <c r="X83" s="67"/>
      <c r="Y83" s="82"/>
      <c r="Z83" s="67"/>
      <c r="AA83" s="67"/>
      <c r="AB83" s="67"/>
      <c r="AC83" s="93"/>
      <c r="AD83" s="67"/>
      <c r="AE83" s="82"/>
      <c r="AF83" s="67"/>
      <c r="AG83" s="67"/>
      <c r="AH83" s="67"/>
      <c r="AI83" s="93"/>
      <c r="AJ83" s="67"/>
      <c r="AK83" s="82"/>
      <c r="AL83" s="67"/>
      <c r="AM83" s="67"/>
      <c r="AN83" s="67"/>
      <c r="AO83" s="93"/>
      <c r="AP83" s="67"/>
      <c r="AQ83" s="82"/>
      <c r="AR83" s="67"/>
      <c r="AS83" s="67"/>
      <c r="AT83" s="67"/>
      <c r="AU83" s="93"/>
      <c r="AV83" s="67"/>
      <c r="AW83" s="82"/>
      <c r="AX83" s="67"/>
      <c r="AY83" s="67"/>
      <c r="AZ83" s="67"/>
      <c r="BA83" s="93"/>
      <c r="BB83" s="67"/>
      <c r="BC83" s="82"/>
      <c r="BD83" s="67"/>
      <c r="BE83" s="67"/>
      <c r="BF83" s="67"/>
      <c r="BG83" s="93"/>
      <c r="BH83" s="67"/>
      <c r="BI83" s="82"/>
      <c r="BJ83" s="67"/>
      <c r="BK83" s="67"/>
      <c r="BL83" s="67"/>
      <c r="BM83" s="93"/>
      <c r="BN83" s="67"/>
      <c r="BO83" s="82"/>
      <c r="BP83" s="67"/>
      <c r="BQ83" s="67"/>
      <c r="BR83" s="67"/>
      <c r="BS83" s="93"/>
      <c r="BT83" s="67"/>
      <c r="BU83" s="82"/>
      <c r="BV83" s="67"/>
      <c r="BW83" s="67"/>
      <c r="BX83" s="67"/>
      <c r="BY83" s="93"/>
      <c r="BZ83" s="67"/>
      <c r="CA83" s="82"/>
      <c r="CB83" s="67"/>
      <c r="CC83" s="67"/>
      <c r="CD83" s="67"/>
      <c r="CE83" s="93"/>
      <c r="CF83" s="67"/>
      <c r="CG83" s="82"/>
      <c r="CH83" s="67"/>
      <c r="CI83" s="67"/>
      <c r="CJ83" s="67"/>
      <c r="CK83" s="93"/>
      <c r="CL83" s="67"/>
      <c r="CM83" s="82"/>
      <c r="CN83" s="67"/>
      <c r="CO83" s="67"/>
      <c r="CP83" s="67"/>
      <c r="CQ83" s="93"/>
      <c r="CR83" s="67"/>
      <c r="CS83" s="82">
        <v>24.3</v>
      </c>
      <c r="CT83" s="67">
        <f>+CS88</f>
        <v>23.5</v>
      </c>
      <c r="CU83" s="67">
        <f t="shared" ref="CU83:CV83" si="335">+CT88</f>
        <v>21.700000000000003</v>
      </c>
      <c r="CV83" s="67">
        <f t="shared" si="335"/>
        <v>21.400000000000006</v>
      </c>
      <c r="CW83" s="93">
        <v>24.3</v>
      </c>
      <c r="CX83" s="67"/>
      <c r="CY83" s="82">
        <f>+CW88</f>
        <v>20.100000000000001</v>
      </c>
      <c r="CZ83" s="67">
        <f>+CY88</f>
        <v>21.700000000000003</v>
      </c>
      <c r="DA83" s="67">
        <f>+CZ88</f>
        <v>19.900000000000002</v>
      </c>
      <c r="DB83" s="67">
        <f t="shared" ref="DB83" si="336">+DA88</f>
        <v>18.600000000000001</v>
      </c>
      <c r="DC83" s="93">
        <f>+CW88</f>
        <v>20.100000000000001</v>
      </c>
      <c r="DD83" s="67"/>
      <c r="DE83" s="1129">
        <f>+DC88</f>
        <v>18.899999999999999</v>
      </c>
      <c r="DF83" s="1180">
        <f>+DE88</f>
        <v>19.930107526881716</v>
      </c>
      <c r="DG83" s="1180">
        <f>+DF88</f>
        <v>19.782471962076539</v>
      </c>
      <c r="DH83" s="67">
        <f>+DG88</f>
        <v>20.003090543129481</v>
      </c>
      <c r="DI83" s="93">
        <f>+DC88</f>
        <v>18.899999999999999</v>
      </c>
      <c r="DJ83" s="67"/>
      <c r="DK83" s="82">
        <f>+DI88</f>
        <v>18.799999999999997</v>
      </c>
      <c r="DL83" s="67">
        <f>+DK88</f>
        <v>18.687999999999995</v>
      </c>
      <c r="DM83" s="67">
        <f>+DL88</f>
        <v>17.533279999999994</v>
      </c>
      <c r="DN83" s="67">
        <f t="shared" ref="DN83" si="337">+DM88</f>
        <v>16.783616799999997</v>
      </c>
      <c r="DO83" s="93">
        <f>+DI88</f>
        <v>18.799999999999997</v>
      </c>
      <c r="DP83" s="67"/>
      <c r="DQ83" s="82">
        <f>+DO88</f>
        <v>18.092681707999997</v>
      </c>
      <c r="DR83" s="67">
        <f>+DQ88</f>
        <v>17.915657396979995</v>
      </c>
      <c r="DS83" s="67">
        <f>+DR88</f>
        <v>16.805139666176292</v>
      </c>
      <c r="DT83" s="67">
        <f t="shared" ref="DT83" si="338">+DS88</f>
        <v>16.063805587874832</v>
      </c>
      <c r="DU83" s="93">
        <f>+DO88</f>
        <v>18.092681707999997</v>
      </c>
      <c r="DV83" s="67"/>
      <c r="DW83" s="82">
        <f>+DU88</f>
        <v>17.179658224662973</v>
      </c>
      <c r="DX83" s="67">
        <f>+DW88</f>
        <v>16.962080440059875</v>
      </c>
      <c r="DY83" s="67">
        <f>+DX88</f>
        <v>15.908145211455984</v>
      </c>
      <c r="DZ83" s="67">
        <f t="shared" ref="DZ83" si="339">+DY88</f>
        <v>15.190015772711345</v>
      </c>
      <c r="EA83" s="93">
        <f>+DU88</f>
        <v>17.179658224662973</v>
      </c>
      <c r="EB83" s="67"/>
      <c r="EC83" s="82">
        <f t="shared" ref="EC83" si="340">+EA88</f>
        <v>16.146664747485111</v>
      </c>
      <c r="ED83" s="67">
        <f t="shared" ref="ED83:EE83" si="341">+EC88</f>
        <v>15.906321538898577</v>
      </c>
      <c r="EE83" s="67">
        <f t="shared" si="341"/>
        <v>14.916150638870171</v>
      </c>
      <c r="EF83" s="67">
        <f t="shared" ref="EF83" si="342">+EE88</f>
        <v>14.230910847343608</v>
      </c>
      <c r="EG83" s="93">
        <f t="shared" ref="EG83" si="343">+EA88</f>
        <v>16.146664747485111</v>
      </c>
    </row>
    <row r="84" spans="1:137" ht="12.75" customHeight="1" x14ac:dyDescent="0.2">
      <c r="A84" s="153" t="s">
        <v>360</v>
      </c>
      <c r="E84" s="92"/>
      <c r="F84" s="67"/>
      <c r="G84" s="92"/>
      <c r="H84" s="67"/>
      <c r="I84" s="92"/>
      <c r="J84" s="67"/>
      <c r="K84" s="92"/>
      <c r="L84" s="67"/>
      <c r="M84" s="84"/>
      <c r="N84" s="71"/>
      <c r="O84" s="71"/>
      <c r="P84" s="71"/>
      <c r="Q84" s="93"/>
      <c r="R84" s="67"/>
      <c r="S84" s="84"/>
      <c r="T84" s="71"/>
      <c r="U84" s="71"/>
      <c r="V84" s="71"/>
      <c r="W84" s="93"/>
      <c r="X84" s="67"/>
      <c r="Y84" s="84"/>
      <c r="Z84" s="71"/>
      <c r="AA84" s="71"/>
      <c r="AB84" s="71"/>
      <c r="AC84" s="93"/>
      <c r="AD84" s="67"/>
      <c r="AE84" s="84"/>
      <c r="AF84" s="71"/>
      <c r="AG84" s="71"/>
      <c r="AH84" s="71"/>
      <c r="AI84" s="93"/>
      <c r="AJ84" s="67"/>
      <c r="AK84" s="84"/>
      <c r="AL84" s="71"/>
      <c r="AM84" s="71"/>
      <c r="AN84" s="71"/>
      <c r="AO84" s="93"/>
      <c r="AP84" s="67"/>
      <c r="AQ84" s="84"/>
      <c r="AR84" s="71"/>
      <c r="AS84" s="71"/>
      <c r="AT84" s="71"/>
      <c r="AU84" s="93"/>
      <c r="AV84" s="67"/>
      <c r="AW84" s="84"/>
      <c r="AX84" s="71"/>
      <c r="AY84" s="71"/>
      <c r="AZ84" s="71"/>
      <c r="BA84" s="93"/>
      <c r="BB84" s="67"/>
      <c r="BC84" s="84"/>
      <c r="BD84" s="71"/>
      <c r="BE84" s="71"/>
      <c r="BF84" s="71"/>
      <c r="BG84" s="93"/>
      <c r="BH84" s="67"/>
      <c r="BI84" s="84"/>
      <c r="BJ84" s="71"/>
      <c r="BK84" s="71"/>
      <c r="BL84" s="71"/>
      <c r="BM84" s="93"/>
      <c r="BN84" s="67"/>
      <c r="BO84" s="84"/>
      <c r="BP84" s="71"/>
      <c r="BQ84" s="71"/>
      <c r="BR84" s="71"/>
      <c r="BS84" s="93"/>
      <c r="BT84" s="67"/>
      <c r="BU84" s="84"/>
      <c r="BV84" s="71"/>
      <c r="BW84" s="71"/>
      <c r="BX84" s="71"/>
      <c r="BY84" s="93"/>
      <c r="BZ84" s="67"/>
      <c r="CA84" s="84"/>
      <c r="CB84" s="71"/>
      <c r="CC84" s="71"/>
      <c r="CD84" s="71"/>
      <c r="CE84" s="93"/>
      <c r="CF84" s="67"/>
      <c r="CG84" s="84"/>
      <c r="CH84" s="71"/>
      <c r="CI84" s="71"/>
      <c r="CJ84" s="71"/>
      <c r="CK84" s="93"/>
      <c r="CL84" s="67"/>
      <c r="CM84" s="84"/>
      <c r="CN84" s="71"/>
      <c r="CO84" s="71"/>
      <c r="CP84" s="71"/>
      <c r="CQ84" s="93"/>
      <c r="CR84" s="67"/>
      <c r="CS84" s="84">
        <v>1.2</v>
      </c>
      <c r="CT84" s="71">
        <f>1.3-CS84</f>
        <v>0.10000000000000009</v>
      </c>
      <c r="CU84" s="71">
        <f>3.1-SUM(CS84:CT84)</f>
        <v>1.8</v>
      </c>
      <c r="CV84" s="71">
        <f>3.3-SUM(CS84:CU84)</f>
        <v>0.19999999999999973</v>
      </c>
      <c r="CW84" s="93">
        <f t="shared" ref="CW84:CW87" si="344">SUM(CS84:CV84)</f>
        <v>3.3</v>
      </c>
      <c r="CX84" s="67"/>
      <c r="CY84" s="84">
        <v>3.7</v>
      </c>
      <c r="CZ84" s="71">
        <f>3.9-CY84</f>
        <v>0.19999999999999973</v>
      </c>
      <c r="DA84" s="71">
        <f>5.2-SUM(CY84:CZ84)</f>
        <v>1.3000000000000003</v>
      </c>
      <c r="DB84" s="71">
        <f>5.7-SUM(CY84:DA84)</f>
        <v>0.5</v>
      </c>
      <c r="DC84" s="93">
        <f t="shared" ref="DC84:DC87" si="345">SUM(CY84:DB84)</f>
        <v>5.7</v>
      </c>
      <c r="DD84" s="67"/>
      <c r="DE84" s="1129">
        <f>+CY84*(1+DE94)</f>
        <v>1.2333333333333314</v>
      </c>
      <c r="DF84" s="1180">
        <f t="shared" ref="DF84:DG84" si="346">+CZ84*(1+DF94)</f>
        <v>6.6666666666666471E-2</v>
      </c>
      <c r="DG84" s="1180">
        <f t="shared" si="346"/>
        <v>0.43333333333333274</v>
      </c>
      <c r="DH84" s="549">
        <f>4.4-SUM(DE84:DG84)</f>
        <v>2.6666666666666696</v>
      </c>
      <c r="DI84" s="93">
        <f t="shared" ref="DI84:DI87" si="347">SUM(DE84:DH84)</f>
        <v>4.4000000000000004</v>
      </c>
      <c r="DJ84" s="67"/>
      <c r="DK84" s="82">
        <f>+DE84*(1+DK94)</f>
        <v>1.1099999999999983</v>
      </c>
      <c r="DL84" s="67">
        <f t="shared" ref="DL84" si="348">+DF84*(1+DL94)</f>
        <v>5.9999999999999824E-2</v>
      </c>
      <c r="DM84" s="67">
        <f t="shared" ref="DM84" si="349">+DG84*(1+DM94)</f>
        <v>0.38999999999999946</v>
      </c>
      <c r="DN84" s="67">
        <f t="shared" ref="DN84" si="350">+DH84*(1+DN94)</f>
        <v>2.4000000000000026</v>
      </c>
      <c r="DO84" s="93">
        <f t="shared" ref="DO84:DO87" si="351">SUM(DK84:DN84)</f>
        <v>3.96</v>
      </c>
      <c r="DP84" s="67"/>
      <c r="DQ84" s="82">
        <f>+DK84*(1+DQ94)</f>
        <v>0.99899999999999856</v>
      </c>
      <c r="DR84" s="67">
        <f t="shared" ref="DR84" si="352">+DL84*(1+DR94)</f>
        <v>5.399999999999984E-2</v>
      </c>
      <c r="DS84" s="67">
        <f t="shared" ref="DS84" si="353">+DM84*(1+DS94)</f>
        <v>0.35099999999999953</v>
      </c>
      <c r="DT84" s="67">
        <f t="shared" ref="DT84" si="354">+DN84*(1+DT94)</f>
        <v>2.1600000000000024</v>
      </c>
      <c r="DU84" s="93">
        <f t="shared" ref="DU84:DU87" si="355">SUM(DQ84:DT84)</f>
        <v>3.5640000000000001</v>
      </c>
      <c r="DV84" s="67"/>
      <c r="DW84" s="82">
        <f>+DQ84*(1+DW94)</f>
        <v>0.89909999999999868</v>
      </c>
      <c r="DX84" s="67">
        <f t="shared" ref="DX84" si="356">+DR84*(1+DX94)</f>
        <v>4.8599999999999859E-2</v>
      </c>
      <c r="DY84" s="67">
        <f t="shared" ref="DY84" si="357">+DS84*(1+DY94)</f>
        <v>0.31589999999999957</v>
      </c>
      <c r="DZ84" s="67">
        <f t="shared" ref="DZ84" si="358">+DT84*(1+DZ94)</f>
        <v>1.9440000000000022</v>
      </c>
      <c r="EA84" s="93">
        <f t="shared" ref="EA84:EA87" si="359">SUM(DW84:DZ84)</f>
        <v>3.2076000000000002</v>
      </c>
      <c r="EB84" s="67"/>
      <c r="EC84" s="82">
        <f t="shared" ref="EC84" si="360">+DW84*(1+EC94)</f>
        <v>0.80918999999999885</v>
      </c>
      <c r="ED84" s="67">
        <f t="shared" ref="ED84" si="361">+DX84*(1+ED94)</f>
        <v>4.3739999999999876E-2</v>
      </c>
      <c r="EE84" s="67">
        <f t="shared" ref="EE84" si="362">+DY84*(1+EE94)</f>
        <v>0.28430999999999962</v>
      </c>
      <c r="EF84" s="67">
        <f t="shared" ref="EF84" si="363">+DZ84*(1+EF94)</f>
        <v>1.749600000000002</v>
      </c>
      <c r="EG84" s="93">
        <f t="shared" ref="EG84:EG87" si="364">SUM(EC84:EF84)</f>
        <v>2.8868400000000003</v>
      </c>
    </row>
    <row r="85" spans="1:137" ht="10.5" customHeight="1" x14ac:dyDescent="0.2">
      <c r="A85" s="153" t="s">
        <v>361</v>
      </c>
      <c r="E85" s="92"/>
      <c r="F85" s="67"/>
      <c r="G85" s="92"/>
      <c r="H85" s="67"/>
      <c r="I85" s="92"/>
      <c r="J85" s="67"/>
      <c r="K85" s="92"/>
      <c r="L85" s="67"/>
      <c r="M85" s="84"/>
      <c r="N85" s="71"/>
      <c r="O85" s="71"/>
      <c r="P85" s="71"/>
      <c r="Q85" s="93"/>
      <c r="R85" s="67"/>
      <c r="S85" s="84"/>
      <c r="T85" s="71"/>
      <c r="U85" s="71"/>
      <c r="V85" s="71"/>
      <c r="W85" s="93"/>
      <c r="X85" s="67"/>
      <c r="Y85" s="84"/>
      <c r="Z85" s="71"/>
      <c r="AA85" s="71"/>
      <c r="AB85" s="71"/>
      <c r="AC85" s="93"/>
      <c r="AD85" s="67"/>
      <c r="AE85" s="84"/>
      <c r="AF85" s="71"/>
      <c r="AG85" s="71"/>
      <c r="AH85" s="71"/>
      <c r="AI85" s="93"/>
      <c r="AJ85" s="67"/>
      <c r="AK85" s="84"/>
      <c r="AL85" s="71"/>
      <c r="AM85" s="71"/>
      <c r="AN85" s="71"/>
      <c r="AO85" s="93"/>
      <c r="AP85" s="67"/>
      <c r="AQ85" s="84"/>
      <c r="AR85" s="71"/>
      <c r="AS85" s="71"/>
      <c r="AT85" s="71"/>
      <c r="AU85" s="93"/>
      <c r="AV85" s="67"/>
      <c r="AW85" s="84"/>
      <c r="AX85" s="71"/>
      <c r="AY85" s="71"/>
      <c r="AZ85" s="71"/>
      <c r="BA85" s="93"/>
      <c r="BB85" s="67"/>
      <c r="BC85" s="84"/>
      <c r="BD85" s="71"/>
      <c r="BE85" s="71"/>
      <c r="BF85" s="71"/>
      <c r="BG85" s="93"/>
      <c r="BH85" s="67"/>
      <c r="BI85" s="84"/>
      <c r="BJ85" s="71"/>
      <c r="BK85" s="71"/>
      <c r="BL85" s="71"/>
      <c r="BM85" s="93"/>
      <c r="BN85" s="67"/>
      <c r="BO85" s="84"/>
      <c r="BP85" s="71"/>
      <c r="BQ85" s="71"/>
      <c r="BR85" s="71"/>
      <c r="BS85" s="93"/>
      <c r="BT85" s="67"/>
      <c r="BU85" s="84"/>
      <c r="BV85" s="71"/>
      <c r="BW85" s="71"/>
      <c r="BX85" s="71"/>
      <c r="BY85" s="93"/>
      <c r="BZ85" s="67"/>
      <c r="CA85" s="84"/>
      <c r="CB85" s="71"/>
      <c r="CC85" s="71"/>
      <c r="CD85" s="71"/>
      <c r="CE85" s="93"/>
      <c r="CF85" s="67"/>
      <c r="CG85" s="84"/>
      <c r="CH85" s="71"/>
      <c r="CI85" s="71"/>
      <c r="CJ85" s="71"/>
      <c r="CK85" s="93"/>
      <c r="CL85" s="67"/>
      <c r="CM85" s="84"/>
      <c r="CN85" s="71"/>
      <c r="CO85" s="71"/>
      <c r="CP85" s="71"/>
      <c r="CQ85" s="93"/>
      <c r="CR85" s="67"/>
      <c r="CS85" s="84">
        <v>-1.7</v>
      </c>
      <c r="CT85" s="71">
        <f>-3.1-CS85</f>
        <v>-1.4000000000000001</v>
      </c>
      <c r="CU85" s="71">
        <f>-5-SUM(CS85:CT85)</f>
        <v>-1.9</v>
      </c>
      <c r="CV85" s="71">
        <f>-6.2-SUM(CS85:CU85)</f>
        <v>-1.2000000000000002</v>
      </c>
      <c r="CW85" s="93">
        <f t="shared" si="344"/>
        <v>-6.2</v>
      </c>
      <c r="CX85" s="67"/>
      <c r="CY85" s="84">
        <v>-1.4</v>
      </c>
      <c r="CZ85" s="71">
        <f>-3.2-CY85</f>
        <v>-1.8000000000000003</v>
      </c>
      <c r="DA85" s="71">
        <f>-4.9-SUM(CY85:CZ85)</f>
        <v>-1.7000000000000002</v>
      </c>
      <c r="DB85" s="71">
        <f>-5.3-SUM(CY85:DA85)</f>
        <v>-0.39999999999999947</v>
      </c>
      <c r="DC85" s="93">
        <f t="shared" si="345"/>
        <v>-5.3</v>
      </c>
      <c r="DD85" s="67"/>
      <c r="DE85" s="1129">
        <f>+DE83*DE92</f>
        <v>-0.40645161290322523</v>
      </c>
      <c r="DF85" s="1180">
        <f t="shared" ref="DF85:DG85" si="365">+DF83*DF92</f>
        <v>-0.42860446294369225</v>
      </c>
      <c r="DG85" s="1180">
        <f t="shared" si="365"/>
        <v>-0.42542950456078521</v>
      </c>
      <c r="DH85" s="549">
        <f>-3.3-SUM(DE85:DG85)</f>
        <v>-2.0395144195922974</v>
      </c>
      <c r="DI85" s="93">
        <f t="shared" si="347"/>
        <v>-3.3</v>
      </c>
      <c r="DJ85" s="67"/>
      <c r="DK85" s="82">
        <f>+DK83*DK92</f>
        <v>-0.94</v>
      </c>
      <c r="DL85" s="67">
        <f t="shared" ref="DL85:DN85" si="366">+DL83*DL92</f>
        <v>-0.93439999999999979</v>
      </c>
      <c r="DM85" s="67">
        <f t="shared" si="366"/>
        <v>-0.87666399999999978</v>
      </c>
      <c r="DN85" s="67">
        <f t="shared" si="366"/>
        <v>-0.83918083999999993</v>
      </c>
      <c r="DO85" s="93">
        <f t="shared" si="351"/>
        <v>-3.5902448399999995</v>
      </c>
      <c r="DP85" s="67"/>
      <c r="DQ85" s="82">
        <f>+DQ83*DQ92</f>
        <v>-0.9046340853999999</v>
      </c>
      <c r="DR85" s="67">
        <f t="shared" ref="DR85:DT85" si="367">+DR83*DR92</f>
        <v>-0.8957828698489998</v>
      </c>
      <c r="DS85" s="67">
        <f t="shared" si="367"/>
        <v>-0.8402569833088146</v>
      </c>
      <c r="DT85" s="67">
        <f t="shared" si="367"/>
        <v>-0.80319027939374166</v>
      </c>
      <c r="DU85" s="93">
        <f t="shared" si="355"/>
        <v>-3.443864217951556</v>
      </c>
      <c r="DV85" s="67"/>
      <c r="DW85" s="82">
        <f>+DW83*DW92</f>
        <v>-0.85898291123314863</v>
      </c>
      <c r="DX85" s="67">
        <f t="shared" ref="DX85:DZ85" si="368">+DX83*DX92</f>
        <v>-0.84810402200299384</v>
      </c>
      <c r="DY85" s="67">
        <f t="shared" si="368"/>
        <v>-0.79540726057279931</v>
      </c>
      <c r="DZ85" s="67">
        <f t="shared" si="368"/>
        <v>-0.75950078863556725</v>
      </c>
      <c r="EA85" s="93">
        <f t="shared" si="359"/>
        <v>-3.2619949824445089</v>
      </c>
      <c r="EB85" s="67"/>
      <c r="EC85" s="82">
        <f t="shared" ref="EC85:EF85" si="369">+EC83*EC92</f>
        <v>-0.80733323737425566</v>
      </c>
      <c r="ED85" s="67">
        <f t="shared" si="369"/>
        <v>-0.7953160769449289</v>
      </c>
      <c r="EE85" s="67">
        <f t="shared" si="369"/>
        <v>-0.74580753194350857</v>
      </c>
      <c r="EF85" s="67">
        <f t="shared" si="369"/>
        <v>-0.71154554236718048</v>
      </c>
      <c r="EG85" s="93">
        <f t="shared" si="364"/>
        <v>-3.0600023886298735</v>
      </c>
    </row>
    <row r="86" spans="1:137" ht="10.5" customHeight="1" x14ac:dyDescent="0.2">
      <c r="A86" s="153" t="s">
        <v>362</v>
      </c>
      <c r="E86" s="92"/>
      <c r="F86" s="67"/>
      <c r="G86" s="92"/>
      <c r="H86" s="67"/>
      <c r="I86" s="92"/>
      <c r="J86" s="67"/>
      <c r="K86" s="92"/>
      <c r="L86" s="67"/>
      <c r="M86" s="84"/>
      <c r="N86" s="71"/>
      <c r="O86" s="71"/>
      <c r="P86" s="71"/>
      <c r="Q86" s="93"/>
      <c r="R86" s="67"/>
      <c r="S86" s="84"/>
      <c r="T86" s="71"/>
      <c r="U86" s="71"/>
      <c r="V86" s="71"/>
      <c r="W86" s="93"/>
      <c r="X86" s="67"/>
      <c r="Y86" s="84"/>
      <c r="Z86" s="71"/>
      <c r="AA86" s="71"/>
      <c r="AB86" s="71"/>
      <c r="AC86" s="93"/>
      <c r="AD86" s="67"/>
      <c r="AE86" s="84"/>
      <c r="AF86" s="71"/>
      <c r="AG86" s="71"/>
      <c r="AH86" s="71"/>
      <c r="AI86" s="93"/>
      <c r="AJ86" s="67"/>
      <c r="AK86" s="84"/>
      <c r="AL86" s="71"/>
      <c r="AM86" s="71"/>
      <c r="AN86" s="71"/>
      <c r="AO86" s="93"/>
      <c r="AP86" s="67"/>
      <c r="AQ86" s="84"/>
      <c r="AR86" s="71"/>
      <c r="AS86" s="71"/>
      <c r="AT86" s="71"/>
      <c r="AU86" s="93"/>
      <c r="AV86" s="67"/>
      <c r="AW86" s="84"/>
      <c r="AX86" s="71"/>
      <c r="AY86" s="71"/>
      <c r="AZ86" s="71"/>
      <c r="BA86" s="93"/>
      <c r="BB86" s="67"/>
      <c r="BC86" s="84"/>
      <c r="BD86" s="71"/>
      <c r="BE86" s="71"/>
      <c r="BF86" s="71"/>
      <c r="BG86" s="93"/>
      <c r="BH86" s="67"/>
      <c r="BI86" s="84"/>
      <c r="BJ86" s="71"/>
      <c r="BK86" s="71"/>
      <c r="BL86" s="71"/>
      <c r="BM86" s="93"/>
      <c r="BN86" s="67"/>
      <c r="BO86" s="84"/>
      <c r="BP86" s="71"/>
      <c r="BQ86" s="71"/>
      <c r="BR86" s="71"/>
      <c r="BS86" s="93"/>
      <c r="BT86" s="67"/>
      <c r="BU86" s="84"/>
      <c r="BV86" s="71"/>
      <c r="BW86" s="71"/>
      <c r="BX86" s="71"/>
      <c r="BY86" s="93"/>
      <c r="BZ86" s="67"/>
      <c r="CA86" s="84"/>
      <c r="CB86" s="71"/>
      <c r="CC86" s="71"/>
      <c r="CD86" s="71"/>
      <c r="CE86" s="93"/>
      <c r="CF86" s="67"/>
      <c r="CG86" s="84"/>
      <c r="CH86" s="71"/>
      <c r="CI86" s="71"/>
      <c r="CJ86" s="71"/>
      <c r="CK86" s="93"/>
      <c r="CL86" s="67"/>
      <c r="CM86" s="84"/>
      <c r="CN86" s="71"/>
      <c r="CO86" s="71"/>
      <c r="CP86" s="71"/>
      <c r="CQ86" s="93"/>
      <c r="CR86" s="67"/>
      <c r="CS86" s="84">
        <v>-0.3</v>
      </c>
      <c r="CT86" s="71">
        <f>-0.8-CS86</f>
        <v>-0.5</v>
      </c>
      <c r="CU86" s="71">
        <f>-1-SUM(CS86:CT86)</f>
        <v>-0.19999999999999996</v>
      </c>
      <c r="CV86" s="71">
        <f>-1.3-SUM(CS86:CU86)</f>
        <v>-0.30000000000000004</v>
      </c>
      <c r="CW86" s="93">
        <f t="shared" si="344"/>
        <v>-1.3</v>
      </c>
      <c r="CX86" s="67"/>
      <c r="CY86" s="84">
        <v>-0.7</v>
      </c>
      <c r="CZ86" s="71">
        <f>-0.9-CY86</f>
        <v>-0.20000000000000007</v>
      </c>
      <c r="DA86" s="71">
        <f>-1.4-SUM(CY86:CZ86)</f>
        <v>-0.49999999999999989</v>
      </c>
      <c r="DB86" s="71">
        <f>-1.2-SUM(CY86:DA86)</f>
        <v>0.19999999999999996</v>
      </c>
      <c r="DC86" s="93">
        <f t="shared" si="345"/>
        <v>-1.2</v>
      </c>
      <c r="DD86" s="67"/>
      <c r="DE86" s="1129">
        <f>+DE83*DE93</f>
        <v>0.20322580645161284</v>
      </c>
      <c r="DF86" s="1180">
        <f t="shared" ref="DF86:DG86" si="370">+DF83*DF93</f>
        <v>0.21430223147184635</v>
      </c>
      <c r="DG86" s="1180">
        <f t="shared" si="370"/>
        <v>0.21271475228039283</v>
      </c>
      <c r="DH86" s="549">
        <f>-1.2-SUM(DE86:DG86)</f>
        <v>-1.8302427902038518</v>
      </c>
      <c r="DI86" s="93">
        <f t="shared" si="347"/>
        <v>-1.1999999999999997</v>
      </c>
      <c r="DJ86" s="67"/>
      <c r="DK86" s="82">
        <f>+DK83*DK93</f>
        <v>-0.28199999999999997</v>
      </c>
      <c r="DL86" s="67">
        <f t="shared" ref="DL86:DN86" si="371">+DL83*DL93</f>
        <v>-0.2803199999999999</v>
      </c>
      <c r="DM86" s="67">
        <f t="shared" si="371"/>
        <v>-0.26299919999999988</v>
      </c>
      <c r="DN86" s="67">
        <f t="shared" si="371"/>
        <v>-0.25175425199999996</v>
      </c>
      <c r="DO86" s="93">
        <f t="shared" si="351"/>
        <v>-1.0770734519999998</v>
      </c>
      <c r="DP86" s="67"/>
      <c r="DQ86" s="82">
        <f>+DQ83*DQ93</f>
        <v>-0.27139022561999993</v>
      </c>
      <c r="DR86" s="67">
        <f t="shared" ref="DR86:DT86" si="372">+DR83*DR93</f>
        <v>-0.26873486095469989</v>
      </c>
      <c r="DS86" s="67">
        <f t="shared" si="372"/>
        <v>-0.25207709499264436</v>
      </c>
      <c r="DT86" s="67">
        <f t="shared" si="372"/>
        <v>-0.24095708381812248</v>
      </c>
      <c r="DU86" s="93">
        <f t="shared" si="355"/>
        <v>-1.0331592653854667</v>
      </c>
      <c r="DV86" s="67"/>
      <c r="DW86" s="82">
        <f>+DW83*DW93</f>
        <v>-0.25769487336994457</v>
      </c>
      <c r="DX86" s="67">
        <f t="shared" ref="DX86:DZ86" si="373">+DX83*DX93</f>
        <v>-0.25443120660089813</v>
      </c>
      <c r="DY86" s="67">
        <f t="shared" si="373"/>
        <v>-0.23862217817183975</v>
      </c>
      <c r="DZ86" s="67">
        <f t="shared" si="373"/>
        <v>-0.22785023659067016</v>
      </c>
      <c r="EA86" s="93">
        <f t="shared" si="359"/>
        <v>-0.97859849473335259</v>
      </c>
      <c r="EB86" s="67"/>
      <c r="EC86" s="82">
        <f t="shared" ref="EC86:EF86" si="374">+EC83*EC93</f>
        <v>-0.24219997121227665</v>
      </c>
      <c r="ED86" s="67">
        <f t="shared" si="374"/>
        <v>-0.23859482308347865</v>
      </c>
      <c r="EE86" s="67">
        <f t="shared" si="374"/>
        <v>-0.22374225958305255</v>
      </c>
      <c r="EF86" s="67">
        <f t="shared" si="374"/>
        <v>-0.21346366271015413</v>
      </c>
      <c r="EG86" s="93">
        <f t="shared" si="364"/>
        <v>-0.91800071658896198</v>
      </c>
    </row>
    <row r="87" spans="1:137" ht="10.5" customHeight="1" x14ac:dyDescent="0.2">
      <c r="A87" s="153" t="s">
        <v>374</v>
      </c>
      <c r="E87" s="92"/>
      <c r="F87" s="67"/>
      <c r="G87" s="92"/>
      <c r="H87" s="67"/>
      <c r="I87" s="92"/>
      <c r="J87" s="67"/>
      <c r="K87" s="92"/>
      <c r="L87" s="67"/>
      <c r="M87" s="84"/>
      <c r="N87" s="71"/>
      <c r="O87" s="71"/>
      <c r="P87" s="71"/>
      <c r="Q87" s="93"/>
      <c r="R87" s="67"/>
      <c r="S87" s="84"/>
      <c r="T87" s="71"/>
      <c r="U87" s="71"/>
      <c r="V87" s="71"/>
      <c r="W87" s="93"/>
      <c r="X87" s="67"/>
      <c r="Y87" s="84"/>
      <c r="Z87" s="71"/>
      <c r="AA87" s="71"/>
      <c r="AB87" s="71"/>
      <c r="AC87" s="93"/>
      <c r="AD87" s="67"/>
      <c r="AE87" s="84"/>
      <c r="AF87" s="71"/>
      <c r="AG87" s="71"/>
      <c r="AH87" s="71"/>
      <c r="AI87" s="93"/>
      <c r="AJ87" s="67"/>
      <c r="AK87" s="84"/>
      <c r="AL87" s="71"/>
      <c r="AM87" s="71"/>
      <c r="AN87" s="71"/>
      <c r="AO87" s="93"/>
      <c r="AP87" s="67"/>
      <c r="AQ87" s="84"/>
      <c r="AR87" s="71"/>
      <c r="AS87" s="71"/>
      <c r="AT87" s="71"/>
      <c r="AU87" s="93"/>
      <c r="AV87" s="67"/>
      <c r="AW87" s="84"/>
      <c r="AX87" s="71"/>
      <c r="AY87" s="71"/>
      <c r="AZ87" s="71"/>
      <c r="BA87" s="93"/>
      <c r="BB87" s="67"/>
      <c r="BC87" s="84"/>
      <c r="BD87" s="71"/>
      <c r="BE87" s="71"/>
      <c r="BF87" s="71"/>
      <c r="BG87" s="93"/>
      <c r="BH87" s="67"/>
      <c r="BI87" s="84"/>
      <c r="BJ87" s="71"/>
      <c r="BK87" s="71"/>
      <c r="BL87" s="71"/>
      <c r="BM87" s="93"/>
      <c r="BN87" s="67"/>
      <c r="BO87" s="84"/>
      <c r="BP87" s="71"/>
      <c r="BQ87" s="71"/>
      <c r="BR87" s="71"/>
      <c r="BS87" s="93"/>
      <c r="BT87" s="67"/>
      <c r="BU87" s="84"/>
      <c r="BV87" s="71"/>
      <c r="BW87" s="71"/>
      <c r="BX87" s="71"/>
      <c r="BY87" s="93"/>
      <c r="BZ87" s="67"/>
      <c r="CA87" s="84"/>
      <c r="CB87" s="71"/>
      <c r="CC87" s="71"/>
      <c r="CD87" s="71"/>
      <c r="CE87" s="93"/>
      <c r="CF87" s="67"/>
      <c r="CG87" s="84"/>
      <c r="CH87" s="71"/>
      <c r="CI87" s="71"/>
      <c r="CJ87" s="71"/>
      <c r="CK87" s="93"/>
      <c r="CL87" s="67"/>
      <c r="CM87" s="84"/>
      <c r="CN87" s="71"/>
      <c r="CO87" s="71"/>
      <c r="CP87" s="71"/>
      <c r="CQ87" s="93"/>
      <c r="CR87" s="67"/>
      <c r="CS87" s="84">
        <v>0</v>
      </c>
      <c r="CT87" s="71">
        <f t="shared" ref="CT87" si="375">0-CS87</f>
        <v>0</v>
      </c>
      <c r="CU87" s="71">
        <f>0-SUM(CS87:CT87)</f>
        <v>0</v>
      </c>
      <c r="CV87" s="71">
        <f>0-SUM(CS87:CU87)</f>
        <v>0</v>
      </c>
      <c r="CW87" s="93">
        <f t="shared" si="344"/>
        <v>0</v>
      </c>
      <c r="CX87" s="67"/>
      <c r="CY87" s="84">
        <v>0</v>
      </c>
      <c r="CZ87" s="71">
        <f t="shared" ref="CZ87" si="376">0-CY87</f>
        <v>0</v>
      </c>
      <c r="DA87" s="71">
        <f>-5.2+(24.9-20.1)-SUM(CY87:CZ87)</f>
        <v>-0.40000000000000302</v>
      </c>
      <c r="DB87" s="71">
        <f>-5.2+(24.9-20.1)-SUM(CY87:DA87)</f>
        <v>0</v>
      </c>
      <c r="DC87" s="93">
        <f t="shared" si="345"/>
        <v>-0.40000000000000302</v>
      </c>
      <c r="DD87" s="67"/>
      <c r="DE87" s="1130">
        <v>0</v>
      </c>
      <c r="DF87" s="1184">
        <v>0</v>
      </c>
      <c r="DG87" s="1184">
        <v>0</v>
      </c>
      <c r="DH87" s="549">
        <v>0</v>
      </c>
      <c r="DI87" s="93">
        <f t="shared" si="347"/>
        <v>0</v>
      </c>
      <c r="DJ87" s="67"/>
      <c r="DK87" s="81">
        <v>0</v>
      </c>
      <c r="DL87" s="69">
        <v>0</v>
      </c>
      <c r="DM87" s="69">
        <v>0</v>
      </c>
      <c r="DN87" s="69">
        <v>0</v>
      </c>
      <c r="DO87" s="93">
        <f t="shared" si="351"/>
        <v>0</v>
      </c>
      <c r="DP87" s="67"/>
      <c r="DQ87" s="81">
        <v>0</v>
      </c>
      <c r="DR87" s="69">
        <v>0</v>
      </c>
      <c r="DS87" s="69">
        <v>0</v>
      </c>
      <c r="DT87" s="69">
        <v>0</v>
      </c>
      <c r="DU87" s="93">
        <f t="shared" si="355"/>
        <v>0</v>
      </c>
      <c r="DV87" s="67"/>
      <c r="DW87" s="81">
        <v>0</v>
      </c>
      <c r="DX87" s="69">
        <v>0</v>
      </c>
      <c r="DY87" s="69">
        <v>0</v>
      </c>
      <c r="DZ87" s="69">
        <v>0</v>
      </c>
      <c r="EA87" s="93">
        <f t="shared" si="359"/>
        <v>0</v>
      </c>
      <c r="EB87" s="67"/>
      <c r="EC87" s="81">
        <v>0</v>
      </c>
      <c r="ED87" s="69">
        <v>0</v>
      </c>
      <c r="EE87" s="69">
        <v>0</v>
      </c>
      <c r="EF87" s="69">
        <v>0</v>
      </c>
      <c r="EG87" s="93">
        <f t="shared" si="364"/>
        <v>0</v>
      </c>
    </row>
    <row r="88" spans="1:137" ht="10.5" customHeight="1" x14ac:dyDescent="0.2">
      <c r="A88" s="460" t="s">
        <v>363</v>
      </c>
      <c r="B88" s="384"/>
      <c r="C88" s="384"/>
      <c r="D88" s="384"/>
      <c r="E88" s="163"/>
      <c r="F88" s="164"/>
      <c r="G88" s="163"/>
      <c r="H88" s="164"/>
      <c r="I88" s="163"/>
      <c r="J88" s="164"/>
      <c r="K88" s="163"/>
      <c r="L88" s="164"/>
      <c r="M88" s="165"/>
      <c r="N88" s="164"/>
      <c r="O88" s="164"/>
      <c r="P88" s="164"/>
      <c r="Q88" s="163"/>
      <c r="R88" s="164"/>
      <c r="S88" s="165"/>
      <c r="T88" s="164"/>
      <c r="U88" s="164"/>
      <c r="V88" s="164"/>
      <c r="W88" s="163"/>
      <c r="X88" s="164"/>
      <c r="Y88" s="165"/>
      <c r="Z88" s="164"/>
      <c r="AA88" s="164"/>
      <c r="AB88" s="164"/>
      <c r="AC88" s="163"/>
      <c r="AD88" s="164"/>
      <c r="AE88" s="165"/>
      <c r="AF88" s="164"/>
      <c r="AG88" s="164"/>
      <c r="AH88" s="164"/>
      <c r="AI88" s="163"/>
      <c r="AJ88" s="164"/>
      <c r="AK88" s="165"/>
      <c r="AL88" s="164"/>
      <c r="AM88" s="164"/>
      <c r="AN88" s="164"/>
      <c r="AO88" s="163"/>
      <c r="AP88" s="164"/>
      <c r="AQ88" s="165"/>
      <c r="AR88" s="164"/>
      <c r="AS88" s="164"/>
      <c r="AT88" s="164"/>
      <c r="AU88" s="163"/>
      <c r="AV88" s="164"/>
      <c r="AW88" s="165"/>
      <c r="AX88" s="164"/>
      <c r="AY88" s="164"/>
      <c r="AZ88" s="164"/>
      <c r="BA88" s="163"/>
      <c r="BB88" s="164"/>
      <c r="BC88" s="165"/>
      <c r="BD88" s="164"/>
      <c r="BE88" s="164"/>
      <c r="BF88" s="164"/>
      <c r="BG88" s="163"/>
      <c r="BH88" s="164"/>
      <c r="BI88" s="165"/>
      <c r="BJ88" s="164"/>
      <c r="BK88" s="164"/>
      <c r="BL88" s="164"/>
      <c r="BM88" s="163"/>
      <c r="BN88" s="164"/>
      <c r="BO88" s="165"/>
      <c r="BP88" s="164"/>
      <c r="BQ88" s="164"/>
      <c r="BR88" s="164"/>
      <c r="BS88" s="163"/>
      <c r="BT88" s="164"/>
      <c r="BU88" s="165"/>
      <c r="BV88" s="164"/>
      <c r="BW88" s="164"/>
      <c r="BX88" s="164"/>
      <c r="BY88" s="163"/>
      <c r="BZ88" s="164"/>
      <c r="CA88" s="165"/>
      <c r="CB88" s="164"/>
      <c r="CC88" s="164"/>
      <c r="CD88" s="164"/>
      <c r="CE88" s="163"/>
      <c r="CF88" s="164"/>
      <c r="CG88" s="165"/>
      <c r="CH88" s="164"/>
      <c r="CI88" s="164"/>
      <c r="CJ88" s="164"/>
      <c r="CK88" s="163"/>
      <c r="CL88" s="164"/>
      <c r="CM88" s="165"/>
      <c r="CN88" s="164"/>
      <c r="CO88" s="164"/>
      <c r="CP88" s="164"/>
      <c r="CQ88" s="163"/>
      <c r="CR88" s="164"/>
      <c r="CS88" s="165">
        <f>SUM(CS83:CS87)</f>
        <v>23.5</v>
      </c>
      <c r="CT88" s="164">
        <f>SUM(CT83:CT87)</f>
        <v>21.700000000000003</v>
      </c>
      <c r="CU88" s="164">
        <f>SUM(CU83:CU87)</f>
        <v>21.400000000000006</v>
      </c>
      <c r="CV88" s="164">
        <f>SUM(CV83:CV87)</f>
        <v>20.100000000000005</v>
      </c>
      <c r="CW88" s="163">
        <f>SUM(CW83:CW87)</f>
        <v>20.100000000000001</v>
      </c>
      <c r="CX88" s="164"/>
      <c r="CY88" s="165">
        <f>SUM(CY83:CY87)</f>
        <v>21.700000000000003</v>
      </c>
      <c r="CZ88" s="164">
        <f>SUM(CZ83:CZ87)</f>
        <v>19.900000000000002</v>
      </c>
      <c r="DA88" s="164">
        <f>SUM(DA83:DA87)</f>
        <v>18.600000000000001</v>
      </c>
      <c r="DB88" s="164">
        <f>SUM(DB83:DB87)</f>
        <v>18.900000000000002</v>
      </c>
      <c r="DC88" s="163">
        <f>SUM(DC83:DC87)</f>
        <v>18.899999999999999</v>
      </c>
      <c r="DD88" s="164"/>
      <c r="DE88" s="1131">
        <f>SUM(DE83:DE87)</f>
        <v>19.930107526881716</v>
      </c>
      <c r="DF88" s="1185">
        <f>SUM(DF83:DF87)</f>
        <v>19.782471962076539</v>
      </c>
      <c r="DG88" s="1185">
        <f>SUM(DG83:DG87)</f>
        <v>20.003090543129481</v>
      </c>
      <c r="DH88" s="164">
        <f>SUM(DH83:DH87)</f>
        <v>18.800000000000004</v>
      </c>
      <c r="DI88" s="163">
        <f>SUM(DI83:DI87)</f>
        <v>18.799999999999997</v>
      </c>
      <c r="DJ88" s="164"/>
      <c r="DK88" s="165">
        <f>SUM(DK83:DK87)</f>
        <v>18.687999999999995</v>
      </c>
      <c r="DL88" s="164">
        <f>SUM(DL83:DL87)</f>
        <v>17.533279999999994</v>
      </c>
      <c r="DM88" s="164">
        <f>SUM(DM83:DM87)</f>
        <v>16.783616799999997</v>
      </c>
      <c r="DN88" s="164">
        <f>SUM(DN83:DN87)</f>
        <v>18.092681707999997</v>
      </c>
      <c r="DO88" s="163">
        <f>SUM(DO83:DO87)</f>
        <v>18.092681707999997</v>
      </c>
      <c r="DP88" s="164"/>
      <c r="DQ88" s="165">
        <f>SUM(DQ83:DQ87)</f>
        <v>17.915657396979995</v>
      </c>
      <c r="DR88" s="164">
        <f>SUM(DR83:DR87)</f>
        <v>16.805139666176292</v>
      </c>
      <c r="DS88" s="164">
        <f>SUM(DS83:DS87)</f>
        <v>16.063805587874832</v>
      </c>
      <c r="DT88" s="164">
        <f>SUM(DT83:DT87)</f>
        <v>17.179658224662969</v>
      </c>
      <c r="DU88" s="163">
        <f>SUM(DU83:DU87)</f>
        <v>17.179658224662973</v>
      </c>
      <c r="DV88" s="164"/>
      <c r="DW88" s="165">
        <f>SUM(DW83:DW87)</f>
        <v>16.962080440059875</v>
      </c>
      <c r="DX88" s="164">
        <f>SUM(DX83:DX87)</f>
        <v>15.908145211455984</v>
      </c>
      <c r="DY88" s="164">
        <f>SUM(DY83:DY87)</f>
        <v>15.190015772711345</v>
      </c>
      <c r="DZ88" s="164">
        <f>SUM(DZ83:DZ87)</f>
        <v>16.146664747485111</v>
      </c>
      <c r="EA88" s="163">
        <f>SUM(EA83:EA87)</f>
        <v>16.146664747485111</v>
      </c>
      <c r="EB88" s="164"/>
      <c r="EC88" s="165">
        <f t="shared" ref="EC88:EG88" si="377">SUM(EC83:EC87)</f>
        <v>15.906321538898577</v>
      </c>
      <c r="ED88" s="164">
        <f t="shared" si="377"/>
        <v>14.916150638870171</v>
      </c>
      <c r="EE88" s="164">
        <f t="shared" si="377"/>
        <v>14.230910847343608</v>
      </c>
      <c r="EF88" s="164">
        <f t="shared" si="377"/>
        <v>15.055501642266277</v>
      </c>
      <c r="EG88" s="163">
        <f t="shared" si="377"/>
        <v>15.055501642266275</v>
      </c>
    </row>
    <row r="89" spans="1:137" ht="10.5" customHeight="1" x14ac:dyDescent="0.2">
      <c r="A89" s="153" t="s">
        <v>364</v>
      </c>
      <c r="E89" s="223"/>
      <c r="F89" s="73"/>
      <c r="G89" s="223"/>
      <c r="H89" s="73"/>
      <c r="I89" s="223"/>
      <c r="J89" s="73"/>
      <c r="K89" s="223"/>
      <c r="L89" s="73"/>
      <c r="M89" s="218"/>
      <c r="N89" s="192"/>
      <c r="O89" s="192"/>
      <c r="P89" s="192"/>
      <c r="Q89" s="223"/>
      <c r="R89" s="73"/>
      <c r="S89" s="218"/>
      <c r="T89" s="192"/>
      <c r="U89" s="192"/>
      <c r="V89" s="192"/>
      <c r="W89" s="223"/>
      <c r="X89" s="73"/>
      <c r="Y89" s="218"/>
      <c r="Z89" s="192"/>
      <c r="AA89" s="192"/>
      <c r="AB89" s="192"/>
      <c r="AC89" s="223"/>
      <c r="AD89" s="73"/>
      <c r="AE89" s="218"/>
      <c r="AF89" s="192"/>
      <c r="AG89" s="192"/>
      <c r="AH89" s="192"/>
      <c r="AI89" s="223"/>
      <c r="AJ89" s="73"/>
      <c r="AK89" s="218"/>
      <c r="AL89" s="192"/>
      <c r="AM89" s="192"/>
      <c r="AN89" s="192"/>
      <c r="AO89" s="223"/>
      <c r="AP89" s="73"/>
      <c r="AQ89" s="218"/>
      <c r="AR89" s="192"/>
      <c r="AS89" s="192"/>
      <c r="AT89" s="192"/>
      <c r="AU89" s="223"/>
      <c r="AV89" s="73"/>
      <c r="AW89" s="218"/>
      <c r="AX89" s="192"/>
      <c r="AY89" s="192"/>
      <c r="AZ89" s="192"/>
      <c r="BA89" s="223"/>
      <c r="BB89" s="73"/>
      <c r="BC89" s="218"/>
      <c r="BD89" s="192"/>
      <c r="BE89" s="192"/>
      <c r="BF89" s="192"/>
      <c r="BG89" s="223"/>
      <c r="BH89" s="73"/>
      <c r="BI89" s="218"/>
      <c r="BJ89" s="192"/>
      <c r="BK89" s="192"/>
      <c r="BL89" s="192"/>
      <c r="BM89" s="223"/>
      <c r="BN89" s="73"/>
      <c r="BO89" s="218"/>
      <c r="BP89" s="192"/>
      <c r="BQ89" s="192"/>
      <c r="BR89" s="192"/>
      <c r="BS89" s="223"/>
      <c r="BT89" s="73"/>
      <c r="BU89" s="218"/>
      <c r="BV89" s="192"/>
      <c r="BW89" s="192"/>
      <c r="BX89" s="192"/>
      <c r="BY89" s="223"/>
      <c r="BZ89" s="73"/>
      <c r="CA89" s="218"/>
      <c r="CB89" s="192"/>
      <c r="CC89" s="192"/>
      <c r="CD89" s="192"/>
      <c r="CE89" s="223"/>
      <c r="CF89" s="73"/>
      <c r="CG89" s="218"/>
      <c r="CH89" s="192"/>
      <c r="CI89" s="192"/>
      <c r="CJ89" s="192"/>
      <c r="CK89" s="223"/>
      <c r="CL89" s="73"/>
      <c r="CM89" s="218"/>
      <c r="CN89" s="192"/>
      <c r="CO89" s="192"/>
      <c r="CP89" s="192"/>
      <c r="CQ89" s="223"/>
      <c r="CR89" s="73"/>
      <c r="CS89" s="218">
        <v>51.74</v>
      </c>
      <c r="CT89" s="192">
        <v>52.82</v>
      </c>
      <c r="CU89" s="192">
        <v>56.65</v>
      </c>
      <c r="CV89" s="192">
        <v>57.84</v>
      </c>
      <c r="CW89" s="223">
        <v>57.84</v>
      </c>
      <c r="CX89" s="73"/>
      <c r="CY89" s="218">
        <v>63.27</v>
      </c>
      <c r="CZ89" s="192">
        <v>65.27</v>
      </c>
      <c r="DA89" s="192">
        <v>49.31</v>
      </c>
      <c r="DB89" s="192">
        <v>50.07</v>
      </c>
      <c r="DC89" s="223">
        <v>50.07</v>
      </c>
      <c r="DD89" s="73"/>
      <c r="DE89" s="1128">
        <f>DI89</f>
        <v>59.84</v>
      </c>
      <c r="DF89" s="1179">
        <f>DI89</f>
        <v>59.84</v>
      </c>
      <c r="DG89" s="1179">
        <f>DI89</f>
        <v>59.84</v>
      </c>
      <c r="DH89" s="192">
        <f>DI89</f>
        <v>59.84</v>
      </c>
      <c r="DI89" s="223">
        <v>59.84</v>
      </c>
      <c r="DJ89" s="73"/>
      <c r="DK89" s="218">
        <f>+DH89</f>
        <v>59.84</v>
      </c>
      <c r="DL89" s="192">
        <f>+DK89</f>
        <v>59.84</v>
      </c>
      <c r="DM89" s="192">
        <f>+DL89</f>
        <v>59.84</v>
      </c>
      <c r="DN89" s="192">
        <f>+DM89</f>
        <v>59.84</v>
      </c>
      <c r="DO89" s="223">
        <f>+AVERAGE(DK89:DN89)</f>
        <v>59.84</v>
      </c>
      <c r="DP89" s="73"/>
      <c r="DQ89" s="218">
        <f>+DN89</f>
        <v>59.84</v>
      </c>
      <c r="DR89" s="192">
        <f>+DQ89</f>
        <v>59.84</v>
      </c>
      <c r="DS89" s="192">
        <f>+DR89</f>
        <v>59.84</v>
      </c>
      <c r="DT89" s="192">
        <f>+DS89</f>
        <v>59.84</v>
      </c>
      <c r="DU89" s="223">
        <f>+AVERAGE(DQ89:DT89)</f>
        <v>59.84</v>
      </c>
      <c r="DV89" s="73"/>
      <c r="DW89" s="218">
        <f>+DT89</f>
        <v>59.84</v>
      </c>
      <c r="DX89" s="192">
        <f>+DW89</f>
        <v>59.84</v>
      </c>
      <c r="DY89" s="192">
        <f>+DX89</f>
        <v>59.84</v>
      </c>
      <c r="DZ89" s="192">
        <f>+DY89</f>
        <v>59.84</v>
      </c>
      <c r="EA89" s="223">
        <f>+AVERAGE(DW89:DZ89)</f>
        <v>59.84</v>
      </c>
      <c r="EB89" s="73"/>
      <c r="EC89" s="218">
        <f t="shared" ref="EC89" si="378">+DZ89</f>
        <v>59.84</v>
      </c>
      <c r="ED89" s="192">
        <f t="shared" ref="ED89:EF89" si="379">+EC89</f>
        <v>59.84</v>
      </c>
      <c r="EE89" s="192">
        <f t="shared" si="379"/>
        <v>59.84</v>
      </c>
      <c r="EF89" s="192">
        <f t="shared" si="379"/>
        <v>59.84</v>
      </c>
      <c r="EG89" s="223">
        <f t="shared" ref="EG89" si="380">+AVERAGE(EC89:EF89)</f>
        <v>59.84</v>
      </c>
    </row>
    <row r="90" spans="1:137" ht="10.5" customHeight="1" x14ac:dyDescent="0.2">
      <c r="A90" s="153" t="s">
        <v>365</v>
      </c>
      <c r="E90" s="158"/>
      <c r="F90" s="22"/>
      <c r="G90" s="158"/>
      <c r="H90" s="22"/>
      <c r="I90" s="158"/>
      <c r="J90" s="22"/>
      <c r="K90" s="158"/>
      <c r="L90" s="22"/>
      <c r="M90" s="149"/>
      <c r="N90" s="22"/>
      <c r="O90" s="22"/>
      <c r="P90" s="22"/>
      <c r="Q90" s="158"/>
      <c r="R90" s="22"/>
      <c r="S90" s="149"/>
      <c r="T90" s="22"/>
      <c r="U90" s="22"/>
      <c r="V90" s="22"/>
      <c r="W90" s="158"/>
      <c r="X90" s="22"/>
      <c r="Y90" s="149"/>
      <c r="Z90" s="22"/>
      <c r="AA90" s="22"/>
      <c r="AB90" s="22"/>
      <c r="AC90" s="158"/>
      <c r="AD90" s="22"/>
      <c r="AE90" s="149"/>
      <c r="AF90" s="22"/>
      <c r="AG90" s="22"/>
      <c r="AH90" s="22"/>
      <c r="AI90" s="158"/>
      <c r="AJ90" s="22"/>
      <c r="AK90" s="149"/>
      <c r="AL90" s="22"/>
      <c r="AM90" s="22"/>
      <c r="AN90" s="22"/>
      <c r="AO90" s="158"/>
      <c r="AP90" s="22"/>
      <c r="AQ90" s="149"/>
      <c r="AR90" s="22"/>
      <c r="AS90" s="22"/>
      <c r="AT90" s="22"/>
      <c r="AU90" s="158"/>
      <c r="AV90" s="22"/>
      <c r="AW90" s="149"/>
      <c r="AX90" s="22"/>
      <c r="AY90" s="22"/>
      <c r="AZ90" s="22"/>
      <c r="BA90" s="158"/>
      <c r="BB90" s="22"/>
      <c r="BC90" s="149"/>
      <c r="BD90" s="22"/>
      <c r="BE90" s="22"/>
      <c r="BF90" s="22"/>
      <c r="BG90" s="158"/>
      <c r="BH90" s="22"/>
      <c r="BI90" s="149"/>
      <c r="BJ90" s="22"/>
      <c r="BK90" s="22"/>
      <c r="BL90" s="22"/>
      <c r="BM90" s="158"/>
      <c r="BN90" s="22"/>
      <c r="BO90" s="149"/>
      <c r="BP90" s="22"/>
      <c r="BQ90" s="22"/>
      <c r="BR90" s="22"/>
      <c r="BS90" s="158"/>
      <c r="BT90" s="22"/>
      <c r="BU90" s="149"/>
      <c r="BV90" s="22"/>
      <c r="BW90" s="22"/>
      <c r="BX90" s="22"/>
      <c r="BY90" s="158"/>
      <c r="BZ90" s="22"/>
      <c r="CA90" s="149"/>
      <c r="CB90" s="22"/>
      <c r="CC90" s="22"/>
      <c r="CD90" s="22"/>
      <c r="CE90" s="158"/>
      <c r="CF90" s="22"/>
      <c r="CG90" s="149"/>
      <c r="CH90" s="22"/>
      <c r="CI90" s="22"/>
      <c r="CJ90" s="22"/>
      <c r="CK90" s="158"/>
      <c r="CL90" s="22"/>
      <c r="CM90" s="149"/>
      <c r="CN90" s="22"/>
      <c r="CO90" s="22"/>
      <c r="CP90" s="22"/>
      <c r="CQ90" s="158"/>
      <c r="CR90" s="22"/>
      <c r="CS90" s="149" t="str">
        <f>IF(ISERROR(CS89/CM89-1),"-",CS89/CM89-1)</f>
        <v>-</v>
      </c>
      <c r="CT90" s="22" t="str">
        <f>IF(ISERROR(CT89/CN89-1),"-",CT89/CN89-1)</f>
        <v>-</v>
      </c>
      <c r="CU90" s="22" t="str">
        <f>IF(ISERROR(CU89/CO89-1),"-",CU89/CO89-1)</f>
        <v>-</v>
      </c>
      <c r="CV90" s="22" t="str">
        <f t="shared" ref="CV90:CW90" si="381">IF(ISERROR(CV89/CP89-1),"-",CV89/CP89-1)</f>
        <v>-</v>
      </c>
      <c r="CW90" s="158" t="str">
        <f t="shared" si="381"/>
        <v>-</v>
      </c>
      <c r="CX90" s="22"/>
      <c r="CY90" s="149">
        <f>IF(ISERROR(CY89/CS89-1),"-",CY89/CS89-1)</f>
        <v>0.22284499420177806</v>
      </c>
      <c r="CZ90" s="22">
        <f>IF(ISERROR(CZ89/CT89-1),"-",CZ89/CT89-1)</f>
        <v>0.23570617190458143</v>
      </c>
      <c r="DA90" s="22">
        <f>IF(ISERROR(DA89/CU89-1),"-",DA89/CU89-1)</f>
        <v>-0.1295675198587819</v>
      </c>
      <c r="DB90" s="22">
        <f>IF(ISERROR(DB89/CV89-1),"-",DB89/CV89-1)</f>
        <v>-0.13433609958506232</v>
      </c>
      <c r="DC90" s="158">
        <f t="shared" ref="DC90" si="382">IF(ISERROR(DC89/CW89-1),"-",DC89/CW89-1)</f>
        <v>-0.13433609958506232</v>
      </c>
      <c r="DD90" s="22"/>
      <c r="DE90" s="1132">
        <f>IF(ISERROR(DE89/CY89-1),"-",DE89/CY89-1)</f>
        <v>-5.4212106843685826E-2</v>
      </c>
      <c r="DF90" s="1186">
        <f>IF(ISERROR(DF89/CZ89-1),"-",DF89/CZ89-1)</f>
        <v>-8.3192891067871755E-2</v>
      </c>
      <c r="DG90" s="1186">
        <f>IF(ISERROR(DG89/DA89-1),"-",DG89/DA89-1)</f>
        <v>0.21354694788075435</v>
      </c>
      <c r="DH90" s="22">
        <f>IF(ISERROR(DH89/DB89-1),"-",DH89/DB89-1)</f>
        <v>0.19512682244857205</v>
      </c>
      <c r="DI90" s="158">
        <f t="shared" ref="DI90" si="383">IF(ISERROR(DI89/DC89-1),"-",DI89/DC89-1)</f>
        <v>0.19512682244857205</v>
      </c>
      <c r="DJ90" s="22"/>
      <c r="DK90" s="149">
        <f>IF(ISERROR(DK89/DE89-1),"-",DK89/DE89-1)</f>
        <v>0</v>
      </c>
      <c r="DL90" s="22">
        <f>IF(ISERROR(DL89/DF89-1),"-",DL89/DF89-1)</f>
        <v>0</v>
      </c>
      <c r="DM90" s="22">
        <f>IF(ISERROR(DM89/DG89-1),"-",DM89/DG89-1)</f>
        <v>0</v>
      </c>
      <c r="DN90" s="22">
        <f>IF(ISERROR(DN89/DH89-1),"-",DN89/DH89-1)</f>
        <v>0</v>
      </c>
      <c r="DO90" s="158">
        <f t="shared" ref="DO90" si="384">IF(ISERROR(DO89/DI89-1),"-",DO89/DI89-1)</f>
        <v>0</v>
      </c>
      <c r="DP90" s="22"/>
      <c r="DQ90" s="149">
        <f>IF(ISERROR(DQ89/DK89-1),"-",DQ89/DK89-1)</f>
        <v>0</v>
      </c>
      <c r="DR90" s="22">
        <f>IF(ISERROR(DR89/DL89-1),"-",DR89/DL89-1)</f>
        <v>0</v>
      </c>
      <c r="DS90" s="22">
        <f>IF(ISERROR(DS89/DM89-1),"-",DS89/DM89-1)</f>
        <v>0</v>
      </c>
      <c r="DT90" s="22">
        <f>IF(ISERROR(DT89/DN89-1),"-",DT89/DN89-1)</f>
        <v>0</v>
      </c>
      <c r="DU90" s="158">
        <f t="shared" ref="DU90" si="385">IF(ISERROR(DU89/DO89-1),"-",DU89/DO89-1)</f>
        <v>0</v>
      </c>
      <c r="DV90" s="22"/>
      <c r="DW90" s="149">
        <f>IF(ISERROR(DW89/DQ89-1),"-",DW89/DQ89-1)</f>
        <v>0</v>
      </c>
      <c r="DX90" s="22">
        <f>IF(ISERROR(DX89/DR89-1),"-",DX89/DR89-1)</f>
        <v>0</v>
      </c>
      <c r="DY90" s="22">
        <f>IF(ISERROR(DY89/DS89-1),"-",DY89/DS89-1)</f>
        <v>0</v>
      </c>
      <c r="DZ90" s="22">
        <f>IF(ISERROR(DZ89/DT89-1),"-",DZ89/DT89-1)</f>
        <v>0</v>
      </c>
      <c r="EA90" s="158">
        <f t="shared" ref="EA90" si="386">IF(ISERROR(EA89/DU89-1),"-",EA89/DU89-1)</f>
        <v>0</v>
      </c>
      <c r="EB90" s="22"/>
      <c r="EC90" s="149">
        <f t="shared" ref="EC90:EF90" si="387">IF(ISERROR(EC89/DW89-1),"-",EC89/DW89-1)</f>
        <v>0</v>
      </c>
      <c r="ED90" s="22">
        <f t="shared" si="387"/>
        <v>0</v>
      </c>
      <c r="EE90" s="22">
        <f t="shared" si="387"/>
        <v>0</v>
      </c>
      <c r="EF90" s="22">
        <f t="shared" si="387"/>
        <v>0</v>
      </c>
      <c r="EG90" s="158">
        <f t="shared" ref="EG90" si="388">IF(ISERROR(EG89/EA89-1),"-",EG89/EA89-1)</f>
        <v>0</v>
      </c>
    </row>
    <row r="91" spans="1:137" ht="10.5" customHeight="1" x14ac:dyDescent="0.2">
      <c r="A91" s="153"/>
      <c r="E91" s="93"/>
      <c r="F91" s="67"/>
      <c r="G91" s="93"/>
      <c r="H91" s="67"/>
      <c r="I91" s="93"/>
      <c r="J91" s="67"/>
      <c r="K91" s="93"/>
      <c r="L91" s="67"/>
      <c r="M91" s="82"/>
      <c r="N91" s="67"/>
      <c r="O91" s="67"/>
      <c r="P91" s="67"/>
      <c r="Q91" s="93"/>
      <c r="R91" s="67"/>
      <c r="S91" s="82"/>
      <c r="T91" s="67"/>
      <c r="U91" s="67"/>
      <c r="V91" s="67"/>
      <c r="W91" s="93"/>
      <c r="X91" s="67"/>
      <c r="Y91" s="82"/>
      <c r="Z91" s="67"/>
      <c r="AA91" s="67"/>
      <c r="AB91" s="67"/>
      <c r="AC91" s="93"/>
      <c r="AD91" s="67"/>
      <c r="AE91" s="82"/>
      <c r="AF91" s="67"/>
      <c r="AG91" s="67"/>
      <c r="AH91" s="67"/>
      <c r="AI91" s="93"/>
      <c r="AJ91" s="67"/>
      <c r="AK91" s="82"/>
      <c r="AL91" s="67"/>
      <c r="AM91" s="67"/>
      <c r="AN91" s="67"/>
      <c r="AO91" s="93"/>
      <c r="AP91" s="67"/>
      <c r="AQ91" s="82"/>
      <c r="AR91" s="67"/>
      <c r="AS91" s="67"/>
      <c r="AT91" s="67"/>
      <c r="AU91" s="93"/>
      <c r="AV91" s="67"/>
      <c r="AW91" s="82"/>
      <c r="AX91" s="67"/>
      <c r="AY91" s="67"/>
      <c r="AZ91" s="67"/>
      <c r="BA91" s="93"/>
      <c r="BB91" s="67"/>
      <c r="BC91" s="82"/>
      <c r="BD91" s="67"/>
      <c r="BE91" s="67"/>
      <c r="BF91" s="67"/>
      <c r="BG91" s="93"/>
      <c r="BH91" s="67"/>
      <c r="BI91" s="82"/>
      <c r="BJ91" s="67"/>
      <c r="BK91" s="67"/>
      <c r="BL91" s="67"/>
      <c r="BM91" s="93"/>
      <c r="BN91" s="67"/>
      <c r="BO91" s="82"/>
      <c r="BP91" s="67"/>
      <c r="BQ91" s="67"/>
      <c r="BR91" s="67"/>
      <c r="BS91" s="93"/>
      <c r="BT91" s="67"/>
      <c r="BU91" s="82"/>
      <c r="BV91" s="67"/>
      <c r="BW91" s="67"/>
      <c r="BX91" s="67"/>
      <c r="BY91" s="93"/>
      <c r="BZ91" s="67"/>
      <c r="CA91" s="82"/>
      <c r="CB91" s="67"/>
      <c r="CC91" s="67"/>
      <c r="CD91" s="67"/>
      <c r="CE91" s="93"/>
      <c r="CF91" s="67"/>
      <c r="CG91" s="82"/>
      <c r="CH91" s="67"/>
      <c r="CI91" s="67"/>
      <c r="CJ91" s="67"/>
      <c r="CK91" s="93"/>
      <c r="CL91" s="67"/>
      <c r="CM91" s="82"/>
      <c r="CN91" s="67"/>
      <c r="CO91" s="67"/>
      <c r="CP91" s="67"/>
      <c r="CQ91" s="93"/>
      <c r="CR91" s="67"/>
      <c r="CS91" s="82"/>
      <c r="CT91" s="67"/>
      <c r="CU91" s="67"/>
      <c r="CV91" s="67"/>
      <c r="CW91" s="93"/>
      <c r="CX91" s="67"/>
      <c r="CY91" s="1175"/>
      <c r="CZ91" s="1176"/>
      <c r="DA91" s="1176"/>
      <c r="DB91" s="1176"/>
      <c r="DC91" s="1177"/>
      <c r="DD91" s="1176"/>
      <c r="DE91" s="1178"/>
      <c r="DF91" s="1180"/>
      <c r="DG91" s="1180"/>
      <c r="DH91" s="67"/>
      <c r="DI91" s="93"/>
      <c r="DJ91" s="67"/>
      <c r="DK91" s="82"/>
      <c r="DL91" s="67"/>
      <c r="DM91" s="67"/>
      <c r="DN91" s="67"/>
      <c r="DO91" s="93"/>
      <c r="DP91" s="67"/>
      <c r="DQ91" s="82"/>
      <c r="DR91" s="67"/>
      <c r="DS91" s="67"/>
      <c r="DT91" s="67"/>
      <c r="DU91" s="93"/>
      <c r="DV91" s="67"/>
      <c r="DW91" s="82"/>
      <c r="DX91" s="67"/>
      <c r="DY91" s="67"/>
      <c r="DZ91" s="67"/>
      <c r="EA91" s="93"/>
      <c r="EB91" s="67"/>
      <c r="EC91" s="82"/>
      <c r="ED91" s="67"/>
      <c r="EE91" s="67"/>
      <c r="EF91" s="67"/>
      <c r="EG91" s="93"/>
    </row>
    <row r="92" spans="1:137" ht="10.5" customHeight="1" x14ac:dyDescent="0.2">
      <c r="A92" s="153" t="s">
        <v>366</v>
      </c>
      <c r="E92" s="158"/>
      <c r="F92" s="22"/>
      <c r="G92" s="158"/>
      <c r="H92" s="22"/>
      <c r="I92" s="158"/>
      <c r="J92" s="22"/>
      <c r="K92" s="158"/>
      <c r="L92" s="22"/>
      <c r="M92" s="149"/>
      <c r="N92" s="22"/>
      <c r="O92" s="22"/>
      <c r="P92" s="22"/>
      <c r="Q92" s="158"/>
      <c r="R92" s="22"/>
      <c r="S92" s="149"/>
      <c r="T92" s="22"/>
      <c r="U92" s="22"/>
      <c r="V92" s="22"/>
      <c r="W92" s="158"/>
      <c r="X92" s="22"/>
      <c r="Y92" s="149"/>
      <c r="Z92" s="22"/>
      <c r="AA92" s="22"/>
      <c r="AB92" s="22"/>
      <c r="AC92" s="158"/>
      <c r="AD92" s="22"/>
      <c r="AE92" s="149"/>
      <c r="AF92" s="22"/>
      <c r="AG92" s="22"/>
      <c r="AH92" s="22"/>
      <c r="AI92" s="158"/>
      <c r="AJ92" s="22"/>
      <c r="AK92" s="149"/>
      <c r="AL92" s="22"/>
      <c r="AM92" s="22"/>
      <c r="AN92" s="22"/>
      <c r="AO92" s="158"/>
      <c r="AP92" s="22"/>
      <c r="AQ92" s="149"/>
      <c r="AR92" s="22"/>
      <c r="AS92" s="22"/>
      <c r="AT92" s="22"/>
      <c r="AU92" s="158"/>
      <c r="AV92" s="22"/>
      <c r="AW92" s="149"/>
      <c r="AX92" s="22"/>
      <c r="AY92" s="22"/>
      <c r="AZ92" s="22"/>
      <c r="BA92" s="158"/>
      <c r="BB92" s="22"/>
      <c r="BC92" s="149"/>
      <c r="BD92" s="22"/>
      <c r="BE92" s="22"/>
      <c r="BF92" s="22"/>
      <c r="BG92" s="158"/>
      <c r="BH92" s="22"/>
      <c r="BI92" s="149"/>
      <c r="BJ92" s="22"/>
      <c r="BK92" s="22"/>
      <c r="BL92" s="22"/>
      <c r="BM92" s="158"/>
      <c r="BN92" s="22"/>
      <c r="BO92" s="149"/>
      <c r="BP92" s="22"/>
      <c r="BQ92" s="22"/>
      <c r="BR92" s="22"/>
      <c r="BS92" s="158"/>
      <c r="BT92" s="22"/>
      <c r="BU92" s="149"/>
      <c r="BV92" s="22"/>
      <c r="BW92" s="22"/>
      <c r="BX92" s="22"/>
      <c r="BY92" s="158"/>
      <c r="BZ92" s="22"/>
      <c r="CA92" s="149"/>
      <c r="CB92" s="22"/>
      <c r="CC92" s="22"/>
      <c r="CD92" s="22"/>
      <c r="CE92" s="158"/>
      <c r="CF92" s="22"/>
      <c r="CG92" s="149"/>
      <c r="CH92" s="22"/>
      <c r="CI92" s="22"/>
      <c r="CJ92" s="22"/>
      <c r="CK92" s="158"/>
      <c r="CL92" s="22"/>
      <c r="CM92" s="149"/>
      <c r="CN92" s="22"/>
      <c r="CO92" s="22"/>
      <c r="CP92" s="22"/>
      <c r="CQ92" s="158"/>
      <c r="CR92" s="22"/>
      <c r="CS92" s="149">
        <f t="shared" ref="CS92:CW93" si="389">+CS85/CS$83</f>
        <v>-6.9958847736625515E-2</v>
      </c>
      <c r="CT92" s="22">
        <f t="shared" si="389"/>
        <v>-5.9574468085106386E-2</v>
      </c>
      <c r="CU92" s="22">
        <f t="shared" si="389"/>
        <v>-8.7557603686635926E-2</v>
      </c>
      <c r="CV92" s="22">
        <f t="shared" si="389"/>
        <v>-5.6074766355140179E-2</v>
      </c>
      <c r="CW92" s="158">
        <f t="shared" si="389"/>
        <v>-0.2551440329218107</v>
      </c>
      <c r="CX92" s="22"/>
      <c r="CY92" s="149">
        <f t="shared" ref="CY92:DC93" si="390">+CY85/CY$83</f>
        <v>-6.9651741293532327E-2</v>
      </c>
      <c r="CZ92" s="22">
        <f t="shared" si="390"/>
        <v>-8.294930875576037E-2</v>
      </c>
      <c r="DA92" s="22">
        <f t="shared" si="390"/>
        <v>-8.5427135678391955E-2</v>
      </c>
      <c r="DB92" s="22">
        <f t="shared" si="390"/>
        <v>-2.1505376344085992E-2</v>
      </c>
      <c r="DC92" s="158">
        <f t="shared" si="390"/>
        <v>-0.26368159203980096</v>
      </c>
      <c r="DD92" s="22"/>
      <c r="DE92" s="1133">
        <f>+DB92</f>
        <v>-2.1505376344085992E-2</v>
      </c>
      <c r="DF92" s="1187">
        <f>+DE92</f>
        <v>-2.1505376344085992E-2</v>
      </c>
      <c r="DG92" s="1187">
        <f t="shared" ref="DG92:DG94" si="391">+DF92</f>
        <v>-2.1505376344085992E-2</v>
      </c>
      <c r="DH92" s="22">
        <f t="shared" ref="DH92:DI92" si="392">+DH85/DH$83</f>
        <v>-0.10195996539608802</v>
      </c>
      <c r="DI92" s="158">
        <f t="shared" si="392"/>
        <v>-0.17460317460317459</v>
      </c>
      <c r="DJ92" s="22"/>
      <c r="DK92" s="1321">
        <v>-0.05</v>
      </c>
      <c r="DL92" s="341">
        <f>+DK92</f>
        <v>-0.05</v>
      </c>
      <c r="DM92" s="341">
        <f t="shared" ref="DM92:DM94" si="393">+DL92</f>
        <v>-0.05</v>
      </c>
      <c r="DN92" s="341">
        <f t="shared" ref="DN92:DN94" si="394">+DM92</f>
        <v>-0.05</v>
      </c>
      <c r="DO92" s="158">
        <f t="shared" ref="DO92:DO93" si="395">+DO85/DO$83</f>
        <v>-0.19097047021276597</v>
      </c>
      <c r="DP92" s="22"/>
      <c r="DQ92" s="365">
        <f>+DN92</f>
        <v>-0.05</v>
      </c>
      <c r="DR92" s="341">
        <f>+DQ92</f>
        <v>-0.05</v>
      </c>
      <c r="DS92" s="341">
        <f t="shared" ref="DS92:DS94" si="396">+DR92</f>
        <v>-0.05</v>
      </c>
      <c r="DT92" s="341">
        <f t="shared" ref="DT92:DT94" si="397">+DS92</f>
        <v>-0.05</v>
      </c>
      <c r="DU92" s="158">
        <f t="shared" ref="DU92:DU93" si="398">+DU85/DU$83</f>
        <v>-0.1903457029495407</v>
      </c>
      <c r="DV92" s="22"/>
      <c r="DW92" s="365">
        <f>+DT92</f>
        <v>-0.05</v>
      </c>
      <c r="DX92" s="341">
        <f>+DW92</f>
        <v>-0.05</v>
      </c>
      <c r="DY92" s="341">
        <f t="shared" ref="DY92:DY94" si="399">+DX92</f>
        <v>-0.05</v>
      </c>
      <c r="DZ92" s="341">
        <f t="shared" ref="DZ92:DZ94" si="400">+DY92</f>
        <v>-0.05</v>
      </c>
      <c r="EA92" s="158">
        <f t="shared" ref="EA92:EA93" si="401">+EA85/EA$83</f>
        <v>-0.1898754294053194</v>
      </c>
      <c r="EB92" s="22"/>
      <c r="EC92" s="365">
        <f t="shared" ref="EC92:EC94" si="402">+DZ92</f>
        <v>-0.05</v>
      </c>
      <c r="ED92" s="341">
        <f t="shared" ref="ED92:ED94" si="403">+EC92</f>
        <v>-0.05</v>
      </c>
      <c r="EE92" s="341">
        <f t="shared" ref="EE92:EE94" si="404">+ED92</f>
        <v>-0.05</v>
      </c>
      <c r="EF92" s="341">
        <f t="shared" ref="EF92:EF94" si="405">+EE92</f>
        <v>-0.05</v>
      </c>
      <c r="EG92" s="158">
        <f t="shared" ref="EG92:EG93" si="406">+EG85/EG$83</f>
        <v>-0.18951296979808027</v>
      </c>
    </row>
    <row r="93" spans="1:137" x14ac:dyDescent="0.2">
      <c r="A93" s="153" t="s">
        <v>367</v>
      </c>
      <c r="E93" s="158"/>
      <c r="F93" s="22"/>
      <c r="G93" s="158"/>
      <c r="H93" s="22"/>
      <c r="I93" s="158"/>
      <c r="J93" s="22"/>
      <c r="K93" s="158"/>
      <c r="L93" s="22"/>
      <c r="M93" s="149"/>
      <c r="N93" s="22"/>
      <c r="O93" s="22"/>
      <c r="P93" s="22"/>
      <c r="Q93" s="158"/>
      <c r="R93" s="22"/>
      <c r="S93" s="149"/>
      <c r="T93" s="22"/>
      <c r="U93" s="22"/>
      <c r="V93" s="22"/>
      <c r="W93" s="158"/>
      <c r="X93" s="22"/>
      <c r="Y93" s="149"/>
      <c r="Z93" s="22"/>
      <c r="AA93" s="22"/>
      <c r="AB93" s="22"/>
      <c r="AC93" s="158"/>
      <c r="AD93" s="22"/>
      <c r="AE93" s="149"/>
      <c r="AF93" s="22"/>
      <c r="AG93" s="22"/>
      <c r="AH93" s="22"/>
      <c r="AI93" s="158"/>
      <c r="AJ93" s="22"/>
      <c r="AK93" s="149"/>
      <c r="AL93" s="22"/>
      <c r="AM93" s="22"/>
      <c r="AN93" s="22"/>
      <c r="AO93" s="158"/>
      <c r="AP93" s="22"/>
      <c r="AQ93" s="149"/>
      <c r="AR93" s="22"/>
      <c r="AS93" s="22"/>
      <c r="AT93" s="22"/>
      <c r="AU93" s="158"/>
      <c r="AV93" s="22"/>
      <c r="AW93" s="149"/>
      <c r="AX93" s="22"/>
      <c r="AY93" s="22"/>
      <c r="AZ93" s="22"/>
      <c r="BA93" s="158"/>
      <c r="BB93" s="22"/>
      <c r="BC93" s="149"/>
      <c r="BD93" s="22"/>
      <c r="BE93" s="22"/>
      <c r="BF93" s="22"/>
      <c r="BG93" s="158"/>
      <c r="BH93" s="22"/>
      <c r="BI93" s="149"/>
      <c r="BJ93" s="22"/>
      <c r="BK93" s="22"/>
      <c r="BL93" s="22"/>
      <c r="BM93" s="158"/>
      <c r="BN93" s="22"/>
      <c r="BO93" s="149"/>
      <c r="BP93" s="22"/>
      <c r="BQ93" s="22"/>
      <c r="BR93" s="22"/>
      <c r="BS93" s="158"/>
      <c r="BT93" s="22"/>
      <c r="BU93" s="149"/>
      <c r="BV93" s="22"/>
      <c r="BW93" s="22"/>
      <c r="BX93" s="22"/>
      <c r="BY93" s="158"/>
      <c r="BZ93" s="22"/>
      <c r="CA93" s="149"/>
      <c r="CB93" s="22"/>
      <c r="CC93" s="22"/>
      <c r="CD93" s="22"/>
      <c r="CE93" s="158"/>
      <c r="CF93" s="22"/>
      <c r="CG93" s="149"/>
      <c r="CH93" s="22"/>
      <c r="CI93" s="22"/>
      <c r="CJ93" s="22"/>
      <c r="CK93" s="158"/>
      <c r="CL93" s="22"/>
      <c r="CM93" s="149"/>
      <c r="CN93" s="22"/>
      <c r="CO93" s="22"/>
      <c r="CP93" s="22"/>
      <c r="CQ93" s="158"/>
      <c r="CR93" s="22"/>
      <c r="CS93" s="149">
        <f t="shared" si="389"/>
        <v>-1.2345679012345678E-2</v>
      </c>
      <c r="CT93" s="22">
        <f t="shared" si="389"/>
        <v>-2.1276595744680851E-2</v>
      </c>
      <c r="CU93" s="22">
        <f t="shared" si="389"/>
        <v>-9.2165898617511486E-3</v>
      </c>
      <c r="CV93" s="22">
        <f t="shared" si="389"/>
        <v>-1.4018691588785045E-2</v>
      </c>
      <c r="CW93" s="158">
        <f t="shared" si="389"/>
        <v>-5.3497942386831275E-2</v>
      </c>
      <c r="CX93" s="22"/>
      <c r="CY93" s="149">
        <f t="shared" si="390"/>
        <v>-3.4825870646766163E-2</v>
      </c>
      <c r="CZ93" s="22">
        <f t="shared" si="390"/>
        <v>-9.2165898617511538E-3</v>
      </c>
      <c r="DA93" s="22">
        <f t="shared" si="390"/>
        <v>-2.5125628140703508E-2</v>
      </c>
      <c r="DB93" s="22">
        <f>+DB86/DB$83</f>
        <v>1.0752688172043008E-2</v>
      </c>
      <c r="DC93" s="158">
        <f t="shared" si="390"/>
        <v>-5.9701492537313425E-2</v>
      </c>
      <c r="DD93" s="22"/>
      <c r="DE93" s="1133">
        <f t="shared" ref="DE93:DE94" si="407">+DB93</f>
        <v>1.0752688172043008E-2</v>
      </c>
      <c r="DF93" s="1187">
        <f t="shared" ref="DF93:DF94" si="408">+DE93</f>
        <v>1.0752688172043008E-2</v>
      </c>
      <c r="DG93" s="1187">
        <f t="shared" si="391"/>
        <v>1.0752688172043008E-2</v>
      </c>
      <c r="DH93" s="22">
        <f>+DH86/DH$83</f>
        <v>-9.1498000584339226E-2</v>
      </c>
      <c r="DI93" s="158">
        <f t="shared" ref="DI93" si="409">+DI86/DI$83</f>
        <v>-6.3492063492063489E-2</v>
      </c>
      <c r="DJ93" s="22"/>
      <c r="DK93" s="1321">
        <v>-1.4999999999999999E-2</v>
      </c>
      <c r="DL93" s="341">
        <f t="shared" ref="DL93:DL94" si="410">+DK93</f>
        <v>-1.4999999999999999E-2</v>
      </c>
      <c r="DM93" s="341">
        <f t="shared" si="393"/>
        <v>-1.4999999999999999E-2</v>
      </c>
      <c r="DN93" s="341">
        <f t="shared" si="394"/>
        <v>-1.4999999999999999E-2</v>
      </c>
      <c r="DO93" s="158">
        <f t="shared" si="395"/>
        <v>-5.7291141063829785E-2</v>
      </c>
      <c r="DP93" s="22"/>
      <c r="DQ93" s="365">
        <f t="shared" ref="DQ93:DQ94" si="411">+DN93</f>
        <v>-1.4999999999999999E-2</v>
      </c>
      <c r="DR93" s="341">
        <f t="shared" ref="DR93:DR94" si="412">+DQ93</f>
        <v>-1.4999999999999999E-2</v>
      </c>
      <c r="DS93" s="341">
        <f t="shared" si="396"/>
        <v>-1.4999999999999999E-2</v>
      </c>
      <c r="DT93" s="341">
        <f t="shared" si="397"/>
        <v>-1.4999999999999999E-2</v>
      </c>
      <c r="DU93" s="158">
        <f t="shared" si="398"/>
        <v>-5.7103710884862199E-2</v>
      </c>
      <c r="DV93" s="22"/>
      <c r="DW93" s="365">
        <f t="shared" ref="DW93:DW94" si="413">+DT93</f>
        <v>-1.4999999999999999E-2</v>
      </c>
      <c r="DX93" s="341">
        <f t="shared" ref="DX93:DX94" si="414">+DW93</f>
        <v>-1.4999999999999999E-2</v>
      </c>
      <c r="DY93" s="341">
        <f t="shared" si="399"/>
        <v>-1.4999999999999999E-2</v>
      </c>
      <c r="DZ93" s="341">
        <f t="shared" si="400"/>
        <v>-1.4999999999999999E-2</v>
      </c>
      <c r="EA93" s="158">
        <f t="shared" si="401"/>
        <v>-5.6962628821595813E-2</v>
      </c>
      <c r="EB93" s="22"/>
      <c r="EC93" s="365">
        <f t="shared" si="402"/>
        <v>-1.4999999999999999E-2</v>
      </c>
      <c r="ED93" s="341">
        <f t="shared" si="403"/>
        <v>-1.4999999999999999E-2</v>
      </c>
      <c r="EE93" s="341">
        <f t="shared" si="404"/>
        <v>-1.4999999999999999E-2</v>
      </c>
      <c r="EF93" s="341">
        <f t="shared" si="405"/>
        <v>-1.4999999999999999E-2</v>
      </c>
      <c r="EG93" s="158">
        <f t="shared" si="406"/>
        <v>-5.6853890939424077E-2</v>
      </c>
    </row>
    <row r="94" spans="1:137" x14ac:dyDescent="0.2">
      <c r="A94" s="153" t="s">
        <v>368</v>
      </c>
      <c r="E94" s="158"/>
      <c r="F94" s="22"/>
      <c r="G94" s="158"/>
      <c r="H94" s="22"/>
      <c r="I94" s="158"/>
      <c r="J94" s="22"/>
      <c r="K94" s="158"/>
      <c r="L94" s="22"/>
      <c r="M94" s="149"/>
      <c r="N94" s="22"/>
      <c r="O94" s="22"/>
      <c r="P94" s="22"/>
      <c r="Q94" s="158"/>
      <c r="R94" s="22"/>
      <c r="S94" s="149"/>
      <c r="T94" s="22"/>
      <c r="U94" s="22"/>
      <c r="V94" s="22"/>
      <c r="W94" s="158"/>
      <c r="X94" s="22"/>
      <c r="Y94" s="149"/>
      <c r="Z94" s="22"/>
      <c r="AA94" s="22"/>
      <c r="AB94" s="22"/>
      <c r="AC94" s="158"/>
      <c r="AD94" s="22"/>
      <c r="AE94" s="149"/>
      <c r="AF94" s="22"/>
      <c r="AG94" s="22"/>
      <c r="AH94" s="22"/>
      <c r="AI94" s="158"/>
      <c r="AJ94" s="22"/>
      <c r="AK94" s="149"/>
      <c r="AL94" s="22"/>
      <c r="AM94" s="22"/>
      <c r="AN94" s="22"/>
      <c r="AO94" s="158"/>
      <c r="AP94" s="22"/>
      <c r="AQ94" s="149"/>
      <c r="AR94" s="22"/>
      <c r="AS94" s="22"/>
      <c r="AT94" s="22"/>
      <c r="AU94" s="158"/>
      <c r="AV94" s="22"/>
      <c r="AW94" s="149"/>
      <c r="AX94" s="22"/>
      <c r="AY94" s="22"/>
      <c r="AZ94" s="22"/>
      <c r="BA94" s="158"/>
      <c r="BB94" s="22"/>
      <c r="BC94" s="149"/>
      <c r="BD94" s="22"/>
      <c r="BE94" s="22"/>
      <c r="BF94" s="22"/>
      <c r="BG94" s="158"/>
      <c r="BH94" s="22"/>
      <c r="BI94" s="149"/>
      <c r="BJ94" s="22"/>
      <c r="BK94" s="22"/>
      <c r="BL94" s="22"/>
      <c r="BM94" s="158"/>
      <c r="BN94" s="22"/>
      <c r="BO94" s="149"/>
      <c r="BP94" s="22"/>
      <c r="BQ94" s="22"/>
      <c r="BR94" s="22"/>
      <c r="BS94" s="158"/>
      <c r="BT94" s="22"/>
      <c r="BU94" s="149"/>
      <c r="BV94" s="22"/>
      <c r="BW94" s="22"/>
      <c r="BX94" s="22"/>
      <c r="BY94" s="158"/>
      <c r="BZ94" s="22"/>
      <c r="CA94" s="149"/>
      <c r="CB94" s="22"/>
      <c r="CC94" s="22"/>
      <c r="CD94" s="22"/>
      <c r="CE94" s="158"/>
      <c r="CF94" s="22"/>
      <c r="CG94" s="149"/>
      <c r="CH94" s="22"/>
      <c r="CI94" s="22"/>
      <c r="CJ94" s="22"/>
      <c r="CK94" s="158"/>
      <c r="CL94" s="22"/>
      <c r="CM94" s="149"/>
      <c r="CN94" s="22"/>
      <c r="CO94" s="22"/>
      <c r="CP94" s="22"/>
      <c r="CQ94" s="158"/>
      <c r="CR94" s="22"/>
      <c r="CS94" s="149" t="str">
        <f t="shared" ref="CS94:CW94" si="415">IF(ISERROR(CS85/CM85-1),"-",CS85/CM85-1)</f>
        <v>-</v>
      </c>
      <c r="CT94" s="22" t="str">
        <f t="shared" si="415"/>
        <v>-</v>
      </c>
      <c r="CU94" s="22" t="str">
        <f t="shared" si="415"/>
        <v>-</v>
      </c>
      <c r="CV94" s="22" t="str">
        <f t="shared" si="415"/>
        <v>-</v>
      </c>
      <c r="CW94" s="158" t="str">
        <f t="shared" si="415"/>
        <v>-</v>
      </c>
      <c r="CX94" s="22"/>
      <c r="CY94" s="149">
        <f>IF(ISERROR(CY85/CS85-1),"-",CY85/CS85-1)</f>
        <v>-0.17647058823529416</v>
      </c>
      <c r="CZ94" s="22">
        <f>IF(ISERROR(CZ85/CT85-1),"-",CZ85/CT85-1)</f>
        <v>0.28571428571428581</v>
      </c>
      <c r="DA94" s="22">
        <f>IF(ISERROR(DA85/CU85-1),"-",DA85/CU85-1)</f>
        <v>-0.10526315789473673</v>
      </c>
      <c r="DB94" s="22">
        <f t="shared" ref="DB94" si="416">IF(ISERROR(DB85/CV85-1),"-",DB85/CV85-1)</f>
        <v>-0.66666666666666718</v>
      </c>
      <c r="DC94" s="158">
        <f t="shared" ref="DC94" si="417">IF(ISERROR(DC85/CW85-1),"-",DC85/CW85-1)</f>
        <v>-0.14516129032258074</v>
      </c>
      <c r="DD94" s="22"/>
      <c r="DE94" s="1133">
        <f t="shared" si="407"/>
        <v>-0.66666666666666718</v>
      </c>
      <c r="DF94" s="1187">
        <f t="shared" si="408"/>
        <v>-0.66666666666666718</v>
      </c>
      <c r="DG94" s="1187">
        <f t="shared" si="391"/>
        <v>-0.66666666666666718</v>
      </c>
      <c r="DH94" s="22">
        <f t="shared" ref="DH94" si="418">IF(ISERROR(DH85/DB85-1),"-",DH85/DB85-1)</f>
        <v>4.0987860489807506</v>
      </c>
      <c r="DI94" s="158">
        <f t="shared" ref="DI94" si="419">IF(ISERROR(DI85/DC85-1),"-",DI85/DC85-1)</f>
        <v>-0.37735849056603776</v>
      </c>
      <c r="DJ94" s="22"/>
      <c r="DK94" s="1321">
        <v>-0.1</v>
      </c>
      <c r="DL94" s="341">
        <f t="shared" si="410"/>
        <v>-0.1</v>
      </c>
      <c r="DM94" s="341">
        <f t="shared" si="393"/>
        <v>-0.1</v>
      </c>
      <c r="DN94" s="341">
        <f t="shared" si="394"/>
        <v>-0.1</v>
      </c>
      <c r="DO94" s="158">
        <f t="shared" ref="DO94" si="420">IF(ISERROR(DO85/DI85-1),"-",DO85/DI85-1)</f>
        <v>8.7952981818181675E-2</v>
      </c>
      <c r="DP94" s="22"/>
      <c r="DQ94" s="365">
        <f t="shared" si="411"/>
        <v>-0.1</v>
      </c>
      <c r="DR94" s="341">
        <f t="shared" si="412"/>
        <v>-0.1</v>
      </c>
      <c r="DS94" s="341">
        <f t="shared" si="396"/>
        <v>-0.1</v>
      </c>
      <c r="DT94" s="341">
        <f t="shared" si="397"/>
        <v>-0.1</v>
      </c>
      <c r="DU94" s="158">
        <f t="shared" ref="DU94" si="421">IF(ISERROR(DU85/DO85-1),"-",DU85/DO85-1)</f>
        <v>-4.0771765874453192E-2</v>
      </c>
      <c r="DV94" s="22"/>
      <c r="DW94" s="365">
        <f t="shared" si="413"/>
        <v>-0.1</v>
      </c>
      <c r="DX94" s="341">
        <f t="shared" si="414"/>
        <v>-0.1</v>
      </c>
      <c r="DY94" s="341">
        <f t="shared" si="399"/>
        <v>-0.1</v>
      </c>
      <c r="DZ94" s="341">
        <f t="shared" si="400"/>
        <v>-0.1</v>
      </c>
      <c r="EA94" s="158">
        <f t="shared" ref="EA94" si="422">IF(ISERROR(EA85/DU85-1),"-",EA85/DU85-1)</f>
        <v>-5.2809641727171397E-2</v>
      </c>
      <c r="EB94" s="22"/>
      <c r="EC94" s="365">
        <f t="shared" si="402"/>
        <v>-0.1</v>
      </c>
      <c r="ED94" s="341">
        <f t="shared" si="403"/>
        <v>-0.1</v>
      </c>
      <c r="EE94" s="341">
        <f t="shared" si="404"/>
        <v>-0.1</v>
      </c>
      <c r="EF94" s="341">
        <f t="shared" si="405"/>
        <v>-0.1</v>
      </c>
      <c r="EG94" s="158">
        <f t="shared" ref="EG94" si="423">IF(ISERROR(EG85/EA85-1),"-",EG85/EA85-1)</f>
        <v>-6.192302407015482E-2</v>
      </c>
    </row>
    <row r="95" spans="1:137" x14ac:dyDescent="0.2">
      <c r="A95" s="153"/>
      <c r="E95" s="93"/>
      <c r="F95" s="67"/>
      <c r="G95" s="93"/>
      <c r="H95" s="67"/>
      <c r="I95" s="93"/>
      <c r="J95" s="67"/>
      <c r="K95" s="93"/>
      <c r="L95" s="67"/>
      <c r="M95" s="82"/>
      <c r="N95" s="67"/>
      <c r="O95" s="67"/>
      <c r="P95" s="67"/>
      <c r="Q95" s="93"/>
      <c r="R95" s="67"/>
      <c r="S95" s="82"/>
      <c r="T95" s="67"/>
      <c r="U95" s="67"/>
      <c r="V95" s="67"/>
      <c r="W95" s="93"/>
      <c r="X95" s="67"/>
      <c r="Y95" s="82"/>
      <c r="Z95" s="67"/>
      <c r="AA95" s="67"/>
      <c r="AB95" s="67"/>
      <c r="AC95" s="93"/>
      <c r="AD95" s="67"/>
      <c r="AE95" s="82"/>
      <c r="AF95" s="67"/>
      <c r="AG95" s="67"/>
      <c r="AH95" s="67"/>
      <c r="AI95" s="93"/>
      <c r="AJ95" s="67"/>
      <c r="AK95" s="82"/>
      <c r="AL95" s="67"/>
      <c r="AM95" s="67"/>
      <c r="AN95" s="67"/>
      <c r="AO95" s="93"/>
      <c r="AP95" s="67"/>
      <c r="AQ95" s="82"/>
      <c r="AR95" s="67"/>
      <c r="AS95" s="67"/>
      <c r="AT95" s="67"/>
      <c r="AU95" s="93"/>
      <c r="AV95" s="67"/>
      <c r="AW95" s="82"/>
      <c r="AX95" s="67"/>
      <c r="AY95" s="67"/>
      <c r="AZ95" s="67"/>
      <c r="BA95" s="93"/>
      <c r="BB95" s="67"/>
      <c r="BC95" s="82"/>
      <c r="BD95" s="67"/>
      <c r="BE95" s="67"/>
      <c r="BF95" s="67"/>
      <c r="BG95" s="93"/>
      <c r="BH95" s="67"/>
      <c r="BI95" s="82"/>
      <c r="BJ95" s="67"/>
      <c r="BK95" s="67"/>
      <c r="BL95" s="67"/>
      <c r="BM95" s="93"/>
      <c r="BN95" s="67"/>
      <c r="BO95" s="82"/>
      <c r="BP95" s="67"/>
      <c r="BQ95" s="67"/>
      <c r="BR95" s="67"/>
      <c r="BS95" s="93"/>
      <c r="BT95" s="67"/>
      <c r="BU95" s="82"/>
      <c r="BV95" s="67"/>
      <c r="BW95" s="67"/>
      <c r="BX95" s="67"/>
      <c r="BY95" s="93"/>
      <c r="BZ95" s="67"/>
      <c r="CA95" s="82"/>
      <c r="CB95" s="67"/>
      <c r="CC95" s="67"/>
      <c r="CD95" s="67"/>
      <c r="CE95" s="93"/>
      <c r="CF95" s="67"/>
      <c r="CG95" s="82"/>
      <c r="CH95" s="67"/>
      <c r="CI95" s="67"/>
      <c r="CJ95" s="67"/>
      <c r="CK95" s="93"/>
      <c r="CL95" s="67"/>
      <c r="CM95" s="82"/>
      <c r="CN95" s="67"/>
      <c r="CO95" s="67"/>
      <c r="CP95" s="67"/>
      <c r="CQ95" s="93"/>
      <c r="CR95" s="67"/>
      <c r="CS95" s="82"/>
      <c r="CT95" s="67"/>
      <c r="CU95" s="67"/>
      <c r="CV95" s="67"/>
      <c r="CW95" s="93"/>
      <c r="CX95" s="67"/>
      <c r="CY95" s="82"/>
      <c r="CZ95" s="67"/>
      <c r="DA95" s="67"/>
      <c r="DB95" s="67"/>
      <c r="DC95" s="93"/>
      <c r="DD95" s="67"/>
      <c r="DE95" s="1129"/>
      <c r="DF95" s="1180"/>
      <c r="DG95" s="1180"/>
      <c r="DH95" s="67"/>
      <c r="DI95" s="93"/>
      <c r="DJ95" s="67"/>
      <c r="DK95" s="82"/>
      <c r="DL95" s="67"/>
      <c r="DM95" s="67"/>
      <c r="DN95" s="67"/>
      <c r="DO95" s="93"/>
      <c r="DP95" s="67"/>
      <c r="DQ95" s="82"/>
      <c r="DR95" s="67"/>
      <c r="DS95" s="67"/>
      <c r="DT95" s="67"/>
      <c r="DU95" s="93"/>
      <c r="DV95" s="67"/>
      <c r="DW95" s="82"/>
      <c r="DX95" s="67"/>
      <c r="DY95" s="67"/>
      <c r="DZ95" s="67"/>
      <c r="EA95" s="93"/>
      <c r="EB95" s="67"/>
      <c r="EC95" s="82"/>
      <c r="ED95" s="67"/>
      <c r="EE95" s="67"/>
      <c r="EF95" s="67"/>
      <c r="EG95" s="93"/>
    </row>
    <row r="96" spans="1:137" x14ac:dyDescent="0.2">
      <c r="A96" s="495" t="s">
        <v>369</v>
      </c>
      <c r="B96" s="384"/>
      <c r="C96" s="384"/>
      <c r="D96" s="384"/>
      <c r="E96" s="405"/>
      <c r="F96" s="164"/>
      <c r="G96" s="405"/>
      <c r="H96" s="164"/>
      <c r="I96" s="405"/>
      <c r="J96" s="164"/>
      <c r="K96" s="405"/>
      <c r="L96" s="164"/>
      <c r="M96" s="402"/>
      <c r="N96" s="403"/>
      <c r="O96" s="403"/>
      <c r="P96" s="403"/>
      <c r="Q96" s="405"/>
      <c r="R96" s="164"/>
      <c r="S96" s="402"/>
      <c r="T96" s="403"/>
      <c r="U96" s="403"/>
      <c r="V96" s="403"/>
      <c r="W96" s="405"/>
      <c r="X96" s="164"/>
      <c r="Y96" s="402"/>
      <c r="Z96" s="403"/>
      <c r="AA96" s="403"/>
      <c r="AB96" s="403"/>
      <c r="AC96" s="405"/>
      <c r="AD96" s="164"/>
      <c r="AE96" s="402"/>
      <c r="AF96" s="403"/>
      <c r="AG96" s="403"/>
      <c r="AH96" s="403"/>
      <c r="AI96" s="405"/>
      <c r="AJ96" s="164"/>
      <c r="AK96" s="402"/>
      <c r="AL96" s="403"/>
      <c r="AM96" s="403"/>
      <c r="AN96" s="403"/>
      <c r="AO96" s="405"/>
      <c r="AP96" s="164"/>
      <c r="AQ96" s="402"/>
      <c r="AR96" s="403"/>
      <c r="AS96" s="403"/>
      <c r="AT96" s="403"/>
      <c r="AU96" s="405"/>
      <c r="AV96" s="164"/>
      <c r="AW96" s="402"/>
      <c r="AX96" s="403"/>
      <c r="AY96" s="403"/>
      <c r="AZ96" s="403"/>
      <c r="BA96" s="405"/>
      <c r="BB96" s="164"/>
      <c r="BC96" s="402"/>
      <c r="BD96" s="403"/>
      <c r="BE96" s="403"/>
      <c r="BF96" s="403"/>
      <c r="BG96" s="405"/>
      <c r="BH96" s="164"/>
      <c r="BI96" s="402"/>
      <c r="BJ96" s="403"/>
      <c r="BK96" s="403"/>
      <c r="BL96" s="403"/>
      <c r="BM96" s="405"/>
      <c r="BN96" s="164"/>
      <c r="BO96" s="402"/>
      <c r="BP96" s="403"/>
      <c r="BQ96" s="403"/>
      <c r="BR96" s="403"/>
      <c r="BS96" s="405"/>
      <c r="BT96" s="164"/>
      <c r="BU96" s="402"/>
      <c r="BV96" s="403"/>
      <c r="BW96" s="403"/>
      <c r="BX96" s="403"/>
      <c r="BY96" s="405"/>
      <c r="BZ96" s="164"/>
      <c r="CA96" s="402"/>
      <c r="CB96" s="403"/>
      <c r="CC96" s="403"/>
      <c r="CD96" s="403"/>
      <c r="CE96" s="405"/>
      <c r="CF96" s="164"/>
      <c r="CG96" s="402"/>
      <c r="CH96" s="403"/>
      <c r="CI96" s="403"/>
      <c r="CJ96" s="403"/>
      <c r="CK96" s="405"/>
      <c r="CL96" s="164"/>
      <c r="CM96" s="402"/>
      <c r="CN96" s="403"/>
      <c r="CO96" s="403"/>
      <c r="CP96" s="403"/>
      <c r="CQ96" s="405"/>
      <c r="CR96" s="164"/>
      <c r="CS96" s="402">
        <f t="shared" ref="CS96:CW96" si="424">-CS89*CS85</f>
        <v>87.957999999999998</v>
      </c>
      <c r="CT96" s="403">
        <f t="shared" si="424"/>
        <v>73.948000000000008</v>
      </c>
      <c r="CU96" s="403">
        <f t="shared" si="424"/>
        <v>107.63499999999999</v>
      </c>
      <c r="CV96" s="403">
        <f t="shared" si="424"/>
        <v>69.408000000000015</v>
      </c>
      <c r="CW96" s="405">
        <f t="shared" si="424"/>
        <v>358.608</v>
      </c>
      <c r="CX96" s="164"/>
      <c r="CY96" s="402">
        <f t="shared" ref="CY96:DI96" si="425">-CY89*CY85</f>
        <v>88.578000000000003</v>
      </c>
      <c r="CZ96" s="403">
        <f t="shared" si="425"/>
        <v>117.486</v>
      </c>
      <c r="DA96" s="403">
        <f t="shared" si="425"/>
        <v>83.827000000000012</v>
      </c>
      <c r="DB96" s="403">
        <f t="shared" si="425"/>
        <v>20.027999999999974</v>
      </c>
      <c r="DC96" s="405">
        <f t="shared" si="425"/>
        <v>265.37099999999998</v>
      </c>
      <c r="DD96" s="164"/>
      <c r="DE96" s="1134">
        <f t="shared" si="425"/>
        <v>24.322064516129</v>
      </c>
      <c r="DF96" s="1188">
        <f t="shared" si="425"/>
        <v>25.647691062550546</v>
      </c>
      <c r="DG96" s="1188">
        <f t="shared" si="425"/>
        <v>25.457701552917388</v>
      </c>
      <c r="DH96" s="403">
        <f t="shared" si="425"/>
        <v>122.04454286840308</v>
      </c>
      <c r="DI96" s="405">
        <f t="shared" si="425"/>
        <v>197.47200000000001</v>
      </c>
      <c r="DJ96" s="164"/>
      <c r="DK96" s="402">
        <f t="shared" ref="DK96:DO96" si="426">-DK89*DK85</f>
        <v>56.249600000000001</v>
      </c>
      <c r="DL96" s="403">
        <f t="shared" si="426"/>
        <v>55.914495999999993</v>
      </c>
      <c r="DM96" s="403">
        <f t="shared" si="426"/>
        <v>52.459573759999991</v>
      </c>
      <c r="DN96" s="403">
        <f t="shared" si="426"/>
        <v>50.216581465600001</v>
      </c>
      <c r="DO96" s="405">
        <f t="shared" si="426"/>
        <v>214.84025122559999</v>
      </c>
      <c r="DP96" s="164"/>
      <c r="DQ96" s="402">
        <f t="shared" ref="DQ96:DU96" si="427">-DQ89*DQ85</f>
        <v>54.133303670335998</v>
      </c>
      <c r="DR96" s="403">
        <f t="shared" si="427"/>
        <v>53.603646931764153</v>
      </c>
      <c r="DS96" s="403">
        <f t="shared" si="427"/>
        <v>50.280977881199469</v>
      </c>
      <c r="DT96" s="403">
        <f t="shared" si="427"/>
        <v>48.062906318921506</v>
      </c>
      <c r="DU96" s="405">
        <f t="shared" si="427"/>
        <v>206.08083480222112</v>
      </c>
      <c r="DV96" s="164"/>
      <c r="DW96" s="402">
        <f t="shared" ref="DW96:EA96" si="428">-DW89*DW85</f>
        <v>51.401537408191615</v>
      </c>
      <c r="DX96" s="403">
        <f t="shared" si="428"/>
        <v>50.750544676659153</v>
      </c>
      <c r="DY96" s="403">
        <f t="shared" si="428"/>
        <v>47.597170472676311</v>
      </c>
      <c r="DZ96" s="403">
        <f t="shared" si="428"/>
        <v>45.448527191952344</v>
      </c>
      <c r="EA96" s="405">
        <f t="shared" si="428"/>
        <v>195.19777974947942</v>
      </c>
      <c r="EB96" s="164"/>
      <c r="EC96" s="402">
        <f t="shared" ref="EC96:EG96" si="429">-EC89*EC85</f>
        <v>48.310820924475465</v>
      </c>
      <c r="ED96" s="403">
        <f t="shared" si="429"/>
        <v>47.591714044384545</v>
      </c>
      <c r="EE96" s="403">
        <f t="shared" si="429"/>
        <v>44.629122711499555</v>
      </c>
      <c r="EF96" s="403">
        <f t="shared" si="429"/>
        <v>42.578885255252082</v>
      </c>
      <c r="EG96" s="405">
        <f t="shared" si="429"/>
        <v>183.11054293561165</v>
      </c>
    </row>
    <row r="97" spans="1:142" x14ac:dyDescent="0.2">
      <c r="E97" s="67"/>
      <c r="F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67"/>
      <c r="BI97" s="67"/>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c r="DK97" s="67"/>
      <c r="DL97" s="67"/>
      <c r="DM97" s="67"/>
      <c r="DN97" s="67"/>
      <c r="DO97" s="67"/>
      <c r="DP97" s="67"/>
      <c r="DQ97" s="67"/>
      <c r="DR97" s="67"/>
      <c r="DS97" s="67"/>
      <c r="DT97" s="67"/>
      <c r="DU97" s="67"/>
      <c r="DV97" s="67"/>
      <c r="DW97" s="67"/>
      <c r="DX97" s="67"/>
      <c r="DY97" s="67"/>
      <c r="DZ97" s="67"/>
      <c r="EA97" s="67"/>
      <c r="EB97" s="67"/>
      <c r="EC97" s="67"/>
      <c r="ED97" s="67"/>
      <c r="EE97" s="67"/>
      <c r="EF97" s="67"/>
      <c r="EG97" s="67"/>
    </row>
    <row r="98" spans="1:142" ht="12.75" customHeight="1" x14ac:dyDescent="0.2">
      <c r="A98" s="238" t="s">
        <v>83</v>
      </c>
      <c r="B98" s="239"/>
      <c r="C98" s="239"/>
      <c r="D98" s="239"/>
      <c r="E98" s="240"/>
      <c r="F98" s="240"/>
      <c r="G98" s="240"/>
      <c r="H98" s="240"/>
      <c r="I98" s="240"/>
      <c r="J98" s="240"/>
      <c r="K98" s="240"/>
      <c r="L98" s="240"/>
      <c r="M98" s="241"/>
      <c r="N98" s="241"/>
      <c r="O98" s="241"/>
      <c r="P98" s="241"/>
      <c r="Q98" s="240"/>
      <c r="R98" s="240"/>
      <c r="S98" s="241"/>
      <c r="T98" s="241"/>
      <c r="U98" s="241"/>
      <c r="V98" s="241"/>
      <c r="W98" s="240"/>
      <c r="X98" s="240"/>
      <c r="Y98" s="241"/>
      <c r="Z98" s="241"/>
      <c r="AA98" s="241"/>
      <c r="AB98" s="241"/>
      <c r="AC98" s="240"/>
      <c r="AD98" s="240"/>
      <c r="AE98" s="241"/>
      <c r="AF98" s="241"/>
      <c r="AG98" s="241"/>
      <c r="AH98" s="241"/>
      <c r="AI98" s="240"/>
      <c r="AJ98" s="240"/>
      <c r="AK98" s="241"/>
      <c r="AL98" s="241"/>
      <c r="AM98" s="241"/>
      <c r="AN98" s="241"/>
      <c r="AO98" s="240"/>
      <c r="AP98" s="240"/>
      <c r="AQ98" s="241"/>
      <c r="AR98" s="241"/>
      <c r="AS98" s="241"/>
      <c r="AT98" s="241"/>
      <c r="AU98" s="240"/>
      <c r="AV98" s="240"/>
      <c r="AW98" s="241"/>
      <c r="AX98" s="242"/>
      <c r="AY98" s="242"/>
      <c r="AZ98" s="242"/>
      <c r="BA98" s="240"/>
      <c r="BB98" s="240"/>
      <c r="BC98" s="242"/>
      <c r="BD98" s="242"/>
      <c r="BE98" s="242"/>
      <c r="BF98" s="242"/>
      <c r="BG98" s="240"/>
      <c r="BH98" s="240"/>
      <c r="BI98" s="242"/>
      <c r="BJ98" s="242"/>
      <c r="BK98" s="242"/>
      <c r="BL98" s="242"/>
      <c r="BM98" s="240"/>
      <c r="BN98" s="240"/>
      <c r="BO98" s="242"/>
      <c r="BP98" s="242"/>
      <c r="BQ98" s="242"/>
      <c r="BR98" s="242"/>
      <c r="BS98" s="240"/>
      <c r="BT98" s="240"/>
      <c r="BU98" s="242"/>
      <c r="BV98" s="242"/>
      <c r="BW98" s="242"/>
      <c r="BX98" s="242"/>
      <c r="BY98" s="240"/>
      <c r="BZ98" s="240"/>
      <c r="CA98" s="242"/>
      <c r="CB98" s="242"/>
      <c r="CC98" s="242"/>
      <c r="CD98" s="242"/>
      <c r="CE98" s="240"/>
      <c r="CF98" s="240"/>
      <c r="CG98" s="242"/>
      <c r="CH98" s="242"/>
      <c r="CI98" s="242"/>
      <c r="CJ98" s="242"/>
      <c r="CK98" s="240"/>
      <c r="CL98" s="240"/>
      <c r="CM98" s="242"/>
      <c r="CN98" s="242"/>
      <c r="CO98" s="242"/>
      <c r="CP98" s="242"/>
      <c r="CQ98" s="240"/>
      <c r="CR98" s="240"/>
      <c r="CS98" s="242"/>
      <c r="CT98" s="242"/>
      <c r="CU98" s="242"/>
      <c r="CV98" s="242"/>
      <c r="CW98" s="240"/>
      <c r="CX98" s="240"/>
      <c r="CY98" s="242"/>
      <c r="CZ98" s="242"/>
      <c r="DA98" s="242"/>
      <c r="DB98" s="242"/>
      <c r="DC98" s="240"/>
      <c r="DD98" s="240"/>
      <c r="DE98" s="242"/>
      <c r="DF98" s="242"/>
      <c r="DG98" s="243"/>
      <c r="DH98" s="242"/>
      <c r="DI98" s="240"/>
      <c r="DJ98" s="240"/>
      <c r="DK98" s="240"/>
      <c r="DL98" s="240"/>
      <c r="DM98" s="240"/>
      <c r="DN98" s="240"/>
      <c r="DO98" s="240"/>
      <c r="DP98" s="240"/>
      <c r="DQ98" s="240"/>
      <c r="DR98" s="240"/>
      <c r="DS98" s="240"/>
      <c r="DT98" s="240"/>
      <c r="DU98" s="240"/>
      <c r="DV98" s="240"/>
      <c r="DW98" s="240"/>
      <c r="DX98" s="240"/>
      <c r="DY98" s="240"/>
      <c r="DZ98" s="240"/>
      <c r="EA98" s="240"/>
      <c r="EB98" s="240"/>
      <c r="EC98" s="240"/>
      <c r="ED98" s="240"/>
      <c r="EE98" s="240"/>
      <c r="EF98" s="240"/>
      <c r="EG98" s="240"/>
      <c r="EH98" s="120"/>
      <c r="EI98" s="27"/>
      <c r="EJ98" s="27"/>
      <c r="EK98" s="27"/>
      <c r="EL98" s="27"/>
    </row>
    <row r="99" spans="1:142" ht="12.75" customHeight="1" x14ac:dyDescent="0.2">
      <c r="A99" s="128" t="s">
        <v>50</v>
      </c>
      <c r="B99" s="19"/>
      <c r="C99" s="19"/>
      <c r="D99" s="19"/>
      <c r="E99" s="224">
        <f>58.889067*4*2</f>
        <v>471.11253599999998</v>
      </c>
      <c r="F99" s="67"/>
      <c r="G99" s="141">
        <f>E101</f>
        <v>467.82609600000001</v>
      </c>
      <c r="H99" s="67"/>
      <c r="I99" s="141">
        <f>G101</f>
        <v>540.428</v>
      </c>
      <c r="J99" s="67"/>
      <c r="K99" s="141">
        <f>I101</f>
        <v>569.76</v>
      </c>
      <c r="L99" s="67"/>
      <c r="M99" s="137">
        <f>K101</f>
        <v>570</v>
      </c>
      <c r="N99" s="138">
        <f>M101</f>
        <v>570.12217999999996</v>
      </c>
      <c r="O99" s="138">
        <f>N101</f>
        <v>573.03987199999995</v>
      </c>
      <c r="P99" s="138">
        <f>O101</f>
        <v>571.68893200000002</v>
      </c>
      <c r="Q99" s="141">
        <f>K101</f>
        <v>570</v>
      </c>
      <c r="R99" s="67"/>
      <c r="S99" s="137">
        <f>Q101</f>
        <v>573.25599999999997</v>
      </c>
      <c r="T99" s="138">
        <f>S101</f>
        <v>603.88972000000001</v>
      </c>
      <c r="U99" s="138">
        <f>T101</f>
        <v>604.86297999999999</v>
      </c>
      <c r="V99" s="138">
        <f>U101</f>
        <v>609.63669600000003</v>
      </c>
      <c r="W99" s="141">
        <f>Q101</f>
        <v>573.25599999999997</v>
      </c>
      <c r="X99" s="67"/>
      <c r="Y99" s="137">
        <f>W101</f>
        <v>610.12800000000004</v>
      </c>
      <c r="Z99" s="138">
        <f>Y101</f>
        <v>611.29915200000005</v>
      </c>
      <c r="AA99" s="138">
        <f>Z101</f>
        <v>612.63253199999997</v>
      </c>
      <c r="AB99" s="138">
        <f>AA101</f>
        <v>614.22501199999999</v>
      </c>
      <c r="AC99" s="141">
        <f>W101</f>
        <v>610.12800000000004</v>
      </c>
      <c r="AD99" s="67"/>
      <c r="AE99" s="137">
        <f>AC101</f>
        <v>614.72400000000005</v>
      </c>
      <c r="AF99" s="138">
        <f>AE101</f>
        <v>615.50300000000004</v>
      </c>
      <c r="AG99" s="138">
        <f>AF101</f>
        <v>672.53200000000004</v>
      </c>
      <c r="AH99" s="138">
        <f>AG101</f>
        <v>673.31100000000004</v>
      </c>
      <c r="AI99" s="141">
        <f>AC101</f>
        <v>614.72400000000005</v>
      </c>
      <c r="AJ99" s="67"/>
      <c r="AK99" s="137">
        <f>AI101</f>
        <v>617.84</v>
      </c>
      <c r="AL99" s="138">
        <f>AK101</f>
        <v>618.24</v>
      </c>
      <c r="AM99" s="138">
        <f>AL101</f>
        <v>616.15687767471525</v>
      </c>
      <c r="AN99" s="138">
        <f>AM101</f>
        <v>614.2523001297227</v>
      </c>
      <c r="AO99" s="141">
        <f>AK99</f>
        <v>617.84</v>
      </c>
      <c r="AP99" s="67"/>
      <c r="AQ99" s="137">
        <f>AO101</f>
        <v>611.14200000000005</v>
      </c>
      <c r="AR99" s="138">
        <f>AQ101</f>
        <v>612.77</v>
      </c>
      <c r="AS99" s="138">
        <f>AR101</f>
        <v>614.67200000000003</v>
      </c>
      <c r="AT99" s="138">
        <f>AS101</f>
        <v>615.54200000000003</v>
      </c>
      <c r="AU99" s="141">
        <f>AQ99</f>
        <v>611.14200000000005</v>
      </c>
      <c r="AV99" s="67"/>
      <c r="AW99" s="137">
        <f>AU101</f>
        <v>616.48400000000004</v>
      </c>
      <c r="AX99" s="138">
        <f>AW101</f>
        <v>618.24199999999996</v>
      </c>
      <c r="AY99" s="138">
        <f>AX101</f>
        <v>619.43799999999999</v>
      </c>
      <c r="AZ99" s="138">
        <f>AY101</f>
        <v>624.04600000000005</v>
      </c>
      <c r="BA99" s="141">
        <f>AW99</f>
        <v>616.48400000000004</v>
      </c>
      <c r="BB99" s="67"/>
      <c r="BC99" s="137">
        <f>BA101</f>
        <v>635.96799999999996</v>
      </c>
      <c r="BD99" s="138">
        <f>BC101</f>
        <v>636.86297000000002</v>
      </c>
      <c r="BE99" s="138">
        <f>BD101</f>
        <v>637.87889399999995</v>
      </c>
      <c r="BF99" s="138">
        <f>BE101</f>
        <v>639.21901800000001</v>
      </c>
      <c r="BG99" s="141">
        <f>BA101</f>
        <v>635.96799999999996</v>
      </c>
      <c r="BH99" s="67"/>
      <c r="BI99" s="137">
        <f>BG101</f>
        <v>636.76</v>
      </c>
      <c r="BJ99" s="138">
        <f>BI101</f>
        <v>637.48958400000004</v>
      </c>
      <c r="BK99" s="138">
        <f>BJ101</f>
        <v>639.47647199999994</v>
      </c>
      <c r="BL99" s="138">
        <f>BK101</f>
        <v>642.46971399999995</v>
      </c>
      <c r="BM99" s="141">
        <f>BG101</f>
        <v>636.76</v>
      </c>
      <c r="BN99" s="67"/>
      <c r="BO99" s="137">
        <f>BM101</f>
        <v>645.47</v>
      </c>
      <c r="BP99" s="138">
        <f>BO101</f>
        <v>649.29322000000002</v>
      </c>
      <c r="BQ99" s="138">
        <f>BP101</f>
        <v>652.62289599999997</v>
      </c>
      <c r="BR99" s="138">
        <f>BQ101</f>
        <v>653.95425299999999</v>
      </c>
      <c r="BS99" s="141">
        <f>BM101</f>
        <v>645.47</v>
      </c>
      <c r="BT99" s="67"/>
      <c r="BU99" s="137">
        <f>BS101</f>
        <v>656.36</v>
      </c>
      <c r="BV99" s="138">
        <f>BU101</f>
        <v>664.05643299999997</v>
      </c>
      <c r="BW99" s="138">
        <f>BV101</f>
        <v>685.55465600000002</v>
      </c>
      <c r="BX99" s="138">
        <f>BW101</f>
        <v>686.34731499999998</v>
      </c>
      <c r="BY99" s="141">
        <f>BS101</f>
        <v>656.36</v>
      </c>
      <c r="BZ99" s="67"/>
      <c r="CA99" s="137">
        <f>BY101</f>
        <v>689.29469400000005</v>
      </c>
      <c r="CB99" s="138">
        <f>CA101</f>
        <v>692.75367500000004</v>
      </c>
      <c r="CC99" s="138">
        <f>CB101</f>
        <v>695.35547699999995</v>
      </c>
      <c r="CD99" s="138">
        <f>CC101</f>
        <v>692.68794700000001</v>
      </c>
      <c r="CE99" s="141">
        <f>BY101</f>
        <v>689.29469400000005</v>
      </c>
      <c r="CF99" s="67"/>
      <c r="CG99" s="137">
        <f>CE101</f>
        <v>687.5</v>
      </c>
      <c r="CH99" s="138">
        <f>CG101</f>
        <v>692.70707300000004</v>
      </c>
      <c r="CI99" s="138">
        <f>CH101</f>
        <v>695.56893100000002</v>
      </c>
      <c r="CJ99" s="138">
        <f>CI101</f>
        <v>697.19983000000002</v>
      </c>
      <c r="CK99" s="141">
        <f>CE101</f>
        <v>687.5</v>
      </c>
      <c r="CL99" s="67"/>
      <c r="CM99" s="137">
        <f>CK101</f>
        <v>698.1</v>
      </c>
      <c r="CN99" s="138">
        <f>CM101</f>
        <v>699.53200000000004</v>
      </c>
      <c r="CO99" s="138">
        <f>CN101</f>
        <v>700.68407500000001</v>
      </c>
      <c r="CP99" s="138">
        <f>CO101</f>
        <v>702.69159500000001</v>
      </c>
      <c r="CQ99" s="141">
        <f>CK101</f>
        <v>698.1</v>
      </c>
      <c r="CR99" s="67"/>
      <c r="CS99" s="137">
        <f>CQ101</f>
        <v>704.3</v>
      </c>
      <c r="CT99" s="138">
        <f>CS101</f>
        <v>707.52574500000003</v>
      </c>
      <c r="CU99" s="138">
        <f>CT101</f>
        <v>683.48807399999998</v>
      </c>
      <c r="CV99" s="138">
        <f>CU101</f>
        <v>685.2</v>
      </c>
      <c r="CW99" s="141">
        <f>CQ101</f>
        <v>704.3</v>
      </c>
      <c r="CX99" s="67"/>
      <c r="CY99" s="137">
        <f>CW101</f>
        <v>686.8</v>
      </c>
      <c r="CZ99" s="138">
        <f>CY101</f>
        <v>688.6</v>
      </c>
      <c r="DA99" s="138">
        <f>CZ101</f>
        <v>690.5</v>
      </c>
      <c r="DB99" s="138">
        <f>DA101</f>
        <v>691.6</v>
      </c>
      <c r="DC99" s="141">
        <f>+CV101</f>
        <v>686.8</v>
      </c>
      <c r="DD99" s="67"/>
      <c r="DE99" s="137">
        <f>DC101</f>
        <v>692.2</v>
      </c>
      <c r="DF99" s="138">
        <f>DE101</f>
        <v>694.1</v>
      </c>
      <c r="DG99" s="138">
        <f>DF101</f>
        <v>694.7</v>
      </c>
      <c r="DH99" s="138">
        <f>DG101</f>
        <v>695.5</v>
      </c>
      <c r="DI99" s="141">
        <f>+DB101</f>
        <v>692.2</v>
      </c>
      <c r="DJ99" s="67"/>
      <c r="DK99" s="137">
        <f>DI101</f>
        <v>696.6</v>
      </c>
      <c r="DL99" s="138">
        <f>DK101</f>
        <v>698.80000000000007</v>
      </c>
      <c r="DM99" s="138">
        <f>DL101</f>
        <v>701.00000000000011</v>
      </c>
      <c r="DN99" s="138">
        <f>DM101</f>
        <v>703.20000000000016</v>
      </c>
      <c r="DO99" s="141">
        <f>+DH101</f>
        <v>696.6</v>
      </c>
      <c r="DP99" s="67"/>
      <c r="DQ99" s="137">
        <f>DO101</f>
        <v>705.4</v>
      </c>
      <c r="DR99" s="138">
        <f>DQ101</f>
        <v>707.6</v>
      </c>
      <c r="DS99" s="138">
        <f>DR101</f>
        <v>709.80000000000007</v>
      </c>
      <c r="DT99" s="138">
        <f>DS101</f>
        <v>712.00000000000011</v>
      </c>
      <c r="DU99" s="141">
        <f>+DN101</f>
        <v>705.4000000000002</v>
      </c>
      <c r="DV99" s="67"/>
      <c r="DW99" s="137">
        <f>DU101</f>
        <v>714.20000000000016</v>
      </c>
      <c r="DX99" s="138">
        <f>DW101</f>
        <v>716.4000000000002</v>
      </c>
      <c r="DY99" s="138">
        <f>DX101</f>
        <v>718.60000000000025</v>
      </c>
      <c r="DZ99" s="138">
        <f>DY101</f>
        <v>720.8000000000003</v>
      </c>
      <c r="EA99" s="141">
        <f>+DT101</f>
        <v>714.20000000000016</v>
      </c>
      <c r="EB99" s="67"/>
      <c r="EC99" s="137">
        <f t="shared" ref="EC99" si="430">EA101</f>
        <v>723.00000000000011</v>
      </c>
      <c r="ED99" s="138">
        <f t="shared" ref="ED99:EF99" si="431">EC101</f>
        <v>725.20000000000016</v>
      </c>
      <c r="EE99" s="138">
        <f t="shared" si="431"/>
        <v>727.4000000000002</v>
      </c>
      <c r="EF99" s="138">
        <f t="shared" si="431"/>
        <v>729.60000000000025</v>
      </c>
      <c r="EG99" s="141">
        <f t="shared" ref="EG99" si="432">+DZ101</f>
        <v>723.00000000000034</v>
      </c>
      <c r="EH99" s="67"/>
      <c r="EI99" s="6"/>
      <c r="EJ99" s="6"/>
      <c r="EK99" s="6"/>
      <c r="EL99" s="6"/>
    </row>
    <row r="100" spans="1:142" ht="12.75" customHeight="1" x14ac:dyDescent="0.2">
      <c r="A100" s="51" t="s">
        <v>36</v>
      </c>
      <c r="B100" s="19"/>
      <c r="C100" s="19"/>
      <c r="D100" s="19"/>
      <c r="E100" s="93">
        <f>E101-E99</f>
        <v>-3.2864399999999705</v>
      </c>
      <c r="F100" s="67"/>
      <c r="G100" s="93">
        <f>G101-G99</f>
        <v>72.60190399999999</v>
      </c>
      <c r="H100" s="67"/>
      <c r="I100" s="93">
        <f>I101-I99</f>
        <v>29.331999999999994</v>
      </c>
      <c r="J100" s="67"/>
      <c r="K100" s="93">
        <f>K101-K99</f>
        <v>0.24000000000000909</v>
      </c>
      <c r="L100" s="67"/>
      <c r="M100" s="82">
        <f>Q100/4</f>
        <v>0.81399999999999295</v>
      </c>
      <c r="N100" s="67">
        <f>M100</f>
        <v>0.81399999999999295</v>
      </c>
      <c r="O100" s="67">
        <f>N100</f>
        <v>0.81399999999999295</v>
      </c>
      <c r="P100" s="67">
        <f>O100</f>
        <v>0.81399999999999295</v>
      </c>
      <c r="Q100" s="93">
        <f>Q101-Q99</f>
        <v>3.2559999999999718</v>
      </c>
      <c r="R100" s="67"/>
      <c r="S100" s="82">
        <f>(6.9+0.735)*4</f>
        <v>30.540000000000003</v>
      </c>
      <c r="T100" s="67">
        <f>(6.9+0.992)*4-S100</f>
        <v>1.0279999999999987</v>
      </c>
      <c r="U100" s="67">
        <f>(6.9+2.19)*4-S100-T100</f>
        <v>4.791999999999998</v>
      </c>
      <c r="V100" s="67">
        <f>W100-S100-T100-U100</f>
        <v>0.51200000000007151</v>
      </c>
      <c r="W100" s="93">
        <f>W101-W99</f>
        <v>36.872000000000071</v>
      </c>
      <c r="X100" s="67"/>
      <c r="Y100" s="82">
        <f>AC100/4</f>
        <v>1.1490000000000009</v>
      </c>
      <c r="Z100" s="67">
        <f>Y100</f>
        <v>1.1490000000000009</v>
      </c>
      <c r="AA100" s="67">
        <f>Z100</f>
        <v>1.1490000000000009</v>
      </c>
      <c r="AB100" s="67">
        <f>AA100</f>
        <v>1.1490000000000009</v>
      </c>
      <c r="AC100" s="93">
        <f>AC101-AC99</f>
        <v>4.5960000000000036</v>
      </c>
      <c r="AD100" s="67"/>
      <c r="AE100" s="82">
        <f>AF100</f>
        <v>0.77899999999999636</v>
      </c>
      <c r="AF100" s="67">
        <f>AG100</f>
        <v>0.77899999999999636</v>
      </c>
      <c r="AG100" s="67">
        <f>AH100</f>
        <v>0.77899999999999636</v>
      </c>
      <c r="AH100" s="67">
        <f>AI100/4</f>
        <v>0.77899999999999636</v>
      </c>
      <c r="AI100" s="93">
        <f>AI101-AI99</f>
        <v>3.1159999999999854</v>
      </c>
      <c r="AJ100" s="67"/>
      <c r="AK100" s="82">
        <f>AK105-AK110</f>
        <v>0.4</v>
      </c>
      <c r="AL100" s="67">
        <f>AL105-AL110</f>
        <v>-2.083122325284716</v>
      </c>
      <c r="AM100" s="67">
        <f>AM105-AM110</f>
        <v>-1.9045775449925317</v>
      </c>
      <c r="AN100" s="67">
        <f>AO100-AM100-AL100-AK100</f>
        <v>-3.1103001297227313</v>
      </c>
      <c r="AO100" s="93">
        <f>AO101-AO99</f>
        <v>-6.6979999999999791</v>
      </c>
      <c r="AP100" s="67"/>
      <c r="AQ100" s="82">
        <f>AQ101-AQ99</f>
        <v>1.6279999999999291</v>
      </c>
      <c r="AR100" s="67">
        <f>AR101-AR99</f>
        <v>1.9020000000000437</v>
      </c>
      <c r="AS100" s="67">
        <f>AS101-AS99</f>
        <v>0.87000000000000455</v>
      </c>
      <c r="AT100" s="67">
        <f>AT101-AT99</f>
        <v>0.94200000000000728</v>
      </c>
      <c r="AU100" s="93">
        <f>SUM(AQ100:AT100)</f>
        <v>5.3419999999999845</v>
      </c>
      <c r="AV100" s="67"/>
      <c r="AW100" s="82">
        <f>AW101-AW99</f>
        <v>1.7579999999999245</v>
      </c>
      <c r="AX100" s="67">
        <f>AX101-AX99</f>
        <v>1.1960000000000264</v>
      </c>
      <c r="AY100" s="67">
        <f>AY101-AY99</f>
        <v>4.6080000000000609</v>
      </c>
      <c r="AZ100" s="67">
        <f>AZ101-AZ99</f>
        <v>11.921999999999912</v>
      </c>
      <c r="BA100" s="93">
        <f>SUM(AW100:AZ100)</f>
        <v>19.483999999999924</v>
      </c>
      <c r="BB100" s="67"/>
      <c r="BC100" s="82">
        <f>BC101-BC99</f>
        <v>0.89497000000005755</v>
      </c>
      <c r="BD100" s="67">
        <f>BD101-BD99</f>
        <v>1.0159239999999272</v>
      </c>
      <c r="BE100" s="67">
        <f>BE101-BE99</f>
        <v>1.3401240000000598</v>
      </c>
      <c r="BF100" s="67">
        <f>BF101-BF99</f>
        <v>-2.4590180000000146</v>
      </c>
      <c r="BG100" s="93">
        <f>SUM(BC100:BF100)</f>
        <v>0.79200000000003001</v>
      </c>
      <c r="BH100" s="67"/>
      <c r="BI100" s="82">
        <f>BI101-BI99</f>
        <v>0.72958400000004531</v>
      </c>
      <c r="BJ100" s="67">
        <f>BJ101-BJ99</f>
        <v>1.9868879999999081</v>
      </c>
      <c r="BK100" s="67">
        <f>BK101-BK99</f>
        <v>2.9932420000000093</v>
      </c>
      <c r="BL100" s="67">
        <f>BL101-BL99</f>
        <v>3.0002860000000737</v>
      </c>
      <c r="BM100" s="93">
        <f>SUM(BI100:BL100)</f>
        <v>8.7100000000000364</v>
      </c>
      <c r="BN100" s="67"/>
      <c r="BO100" s="82">
        <f>BO101-BO99</f>
        <v>3.8232199999999921</v>
      </c>
      <c r="BP100" s="67">
        <f>BP101-BP99</f>
        <v>3.3296759999999495</v>
      </c>
      <c r="BQ100" s="67">
        <f>BQ101-BQ99</f>
        <v>1.3313570000000254</v>
      </c>
      <c r="BR100" s="67">
        <f>BR101-BR99</f>
        <v>2.4057470000000194</v>
      </c>
      <c r="BS100" s="93">
        <f>SUM(BO100:BR100)</f>
        <v>10.889999999999986</v>
      </c>
      <c r="BT100" s="67"/>
      <c r="BU100" s="82">
        <f>BU101-BU99</f>
        <v>7.6964329999999563</v>
      </c>
      <c r="BV100" s="67">
        <f>BV101-BV99</f>
        <v>21.498223000000053</v>
      </c>
      <c r="BW100" s="67">
        <f>BW101-BW99</f>
        <v>0.79265899999995781</v>
      </c>
      <c r="BX100" s="67">
        <f>BX101-BX99</f>
        <v>2.947379000000069</v>
      </c>
      <c r="BY100" s="93">
        <f>SUM(BU100:BX100)</f>
        <v>32.934694000000036</v>
      </c>
      <c r="BZ100" s="67"/>
      <c r="CA100" s="82">
        <f>CA101-CA99</f>
        <v>3.4589809999999943</v>
      </c>
      <c r="CB100" s="67">
        <f>CB101-CB99</f>
        <v>2.6018019999999069</v>
      </c>
      <c r="CC100" s="67">
        <f>CC101-CC99</f>
        <v>-2.6675299999999424</v>
      </c>
      <c r="CD100" s="67">
        <f>CD101-CD99</f>
        <v>-5.1879470000000083</v>
      </c>
      <c r="CE100" s="93">
        <f>SUM(CA100:CD100)</f>
        <v>-1.7946940000000495</v>
      </c>
      <c r="CF100" s="67"/>
      <c r="CG100" s="82">
        <f>CG101-CG99</f>
        <v>5.2070730000000367</v>
      </c>
      <c r="CH100" s="67">
        <f>CH101-CH99</f>
        <v>2.8618579999999838</v>
      </c>
      <c r="CI100" s="67">
        <f>CI101-CI99</f>
        <v>1.6308989999999994</v>
      </c>
      <c r="CJ100" s="67">
        <f>CJ101-CJ99</f>
        <v>0.9001700000000028</v>
      </c>
      <c r="CK100" s="93">
        <f>CK105</f>
        <v>10.600000000000023</v>
      </c>
      <c r="CL100" s="67"/>
      <c r="CM100" s="82">
        <f>CM101-CM99</f>
        <v>1.4320000000000164</v>
      </c>
      <c r="CN100" s="67">
        <f>CN101-CN99</f>
        <v>1.152074999999968</v>
      </c>
      <c r="CO100" s="67">
        <f>CO101-CO99</f>
        <v>2.0075199999999995</v>
      </c>
      <c r="CP100" s="67">
        <f>CP101-CP99</f>
        <v>1.6084049999999479</v>
      </c>
      <c r="CQ100" s="93">
        <f>+SUM(CM100:CP100)</f>
        <v>6.1999999999999318</v>
      </c>
      <c r="CR100" s="67"/>
      <c r="CS100" s="82">
        <f>CS101-CS99</f>
        <v>3.2257450000000745</v>
      </c>
      <c r="CT100" s="67">
        <f>CT101-CT99</f>
        <v>-24.037671000000046</v>
      </c>
      <c r="CU100" s="67">
        <f>CU101-CU99</f>
        <v>1.7119260000000622</v>
      </c>
      <c r="CV100" s="67">
        <f>CV101-CV99</f>
        <v>1.5999999999999091</v>
      </c>
      <c r="CW100" s="93">
        <f>+SUM(CS100:CV100)</f>
        <v>-17.5</v>
      </c>
      <c r="CX100" s="67"/>
      <c r="CY100" s="82">
        <f>CY101-CY99</f>
        <v>1.8000000000000682</v>
      </c>
      <c r="CZ100" s="67">
        <f>CZ101-CZ99</f>
        <v>1.8999999999999773</v>
      </c>
      <c r="DA100" s="67">
        <f>DA101-DA99</f>
        <v>1.1000000000000227</v>
      </c>
      <c r="DB100" s="67">
        <f>DB101-DB99</f>
        <v>0.60000000000002274</v>
      </c>
      <c r="DC100" s="93">
        <f>+SUM(CY100:DB100)</f>
        <v>5.4000000000000909</v>
      </c>
      <c r="DD100" s="67"/>
      <c r="DE100" s="82">
        <f>DE101-DE99</f>
        <v>1.8999999999999773</v>
      </c>
      <c r="DF100" s="67">
        <f>DF101-DF99</f>
        <v>0.60000000000002274</v>
      </c>
      <c r="DG100" s="67">
        <f>DG101-DG99</f>
        <v>0.79999999999995453</v>
      </c>
      <c r="DH100" s="67">
        <f>DH101-DH99</f>
        <v>1.1000000000000227</v>
      </c>
      <c r="DI100" s="93">
        <f>+SUM(DE100:DH100)</f>
        <v>4.3999999999999773</v>
      </c>
      <c r="DJ100" s="67"/>
      <c r="DK100" s="82">
        <f>DK105-DK110</f>
        <v>2.2000000000000002</v>
      </c>
      <c r="DL100" s="67">
        <f>DL105-DL110</f>
        <v>2.2000000000000002</v>
      </c>
      <c r="DM100" s="67">
        <f>DM105+DM110</f>
        <v>2.2000000000000002</v>
      </c>
      <c r="DN100" s="67">
        <f>DN105-DN110</f>
        <v>2.2000000000000002</v>
      </c>
      <c r="DO100" s="93">
        <f>DO105</f>
        <v>8.8000000000000007</v>
      </c>
      <c r="DP100" s="67"/>
      <c r="DQ100" s="82">
        <f>DQ105-DQ110</f>
        <v>2.2000000000000002</v>
      </c>
      <c r="DR100" s="67">
        <f>DR105-DR110</f>
        <v>2.2000000000000002</v>
      </c>
      <c r="DS100" s="67">
        <f>DS105+DS110</f>
        <v>2.2000000000000002</v>
      </c>
      <c r="DT100" s="67">
        <f>DT105-DT110</f>
        <v>2.2000000000000002</v>
      </c>
      <c r="DU100" s="93">
        <f>DU105</f>
        <v>8.8000000000000007</v>
      </c>
      <c r="DV100" s="67"/>
      <c r="DW100" s="82">
        <f>DW105-DW110</f>
        <v>2.2000000000000002</v>
      </c>
      <c r="DX100" s="67">
        <f>DX105-DX110</f>
        <v>2.2000000000000002</v>
      </c>
      <c r="DY100" s="67">
        <f>DY105+DY110</f>
        <v>2.2000000000000002</v>
      </c>
      <c r="DZ100" s="67">
        <f>DZ105-DZ110</f>
        <v>2.2000000000000002</v>
      </c>
      <c r="EA100" s="93">
        <f>EA105</f>
        <v>8.8000000000000007</v>
      </c>
      <c r="EB100" s="67"/>
      <c r="EC100" s="82">
        <f t="shared" ref="EC100:ED100" si="433">EC105-EC110</f>
        <v>2.2000000000000002</v>
      </c>
      <c r="ED100" s="67">
        <f t="shared" si="433"/>
        <v>2.2000000000000002</v>
      </c>
      <c r="EE100" s="67">
        <f t="shared" ref="EE100" si="434">EE105+EE110</f>
        <v>2.2000000000000002</v>
      </c>
      <c r="EF100" s="67">
        <f t="shared" ref="EF100" si="435">EF105-EF110</f>
        <v>2.2000000000000002</v>
      </c>
      <c r="EG100" s="93">
        <f t="shared" ref="EG100" si="436">EG105</f>
        <v>8.8000000000000007</v>
      </c>
      <c r="EH100" s="67"/>
      <c r="EI100" s="6"/>
      <c r="EJ100" s="6"/>
      <c r="EK100" s="6"/>
      <c r="EL100" s="6"/>
    </row>
    <row r="101" spans="1:142" ht="12.75" customHeight="1" x14ac:dyDescent="0.2">
      <c r="A101" s="50" t="s">
        <v>51</v>
      </c>
      <c r="B101" s="480"/>
      <c r="C101" s="480"/>
      <c r="D101" s="480"/>
      <c r="E101" s="476">
        <f>58.478262*2*4</f>
        <v>467.82609600000001</v>
      </c>
      <c r="F101" s="344"/>
      <c r="G101" s="476">
        <f>135.107*4</f>
        <v>540.428</v>
      </c>
      <c r="H101" s="344"/>
      <c r="I101" s="476">
        <f>142.44*4</f>
        <v>569.76</v>
      </c>
      <c r="J101" s="344"/>
      <c r="K101" s="476">
        <f>142.5*4</f>
        <v>570</v>
      </c>
      <c r="L101" s="344"/>
      <c r="M101" s="475">
        <f>142.530545*4</f>
        <v>570.12217999999996</v>
      </c>
      <c r="N101" s="344">
        <f>143.259968*4</f>
        <v>573.03987199999995</v>
      </c>
      <c r="O101" s="344">
        <f>142.922233*4</f>
        <v>571.68893200000002</v>
      </c>
      <c r="P101" s="164">
        <f>Q101</f>
        <v>573.25599999999997</v>
      </c>
      <c r="Q101" s="476">
        <f>286.628*2</f>
        <v>573.25599999999997</v>
      </c>
      <c r="R101" s="344"/>
      <c r="S101" s="475">
        <f>150.97243*4</f>
        <v>603.88972000000001</v>
      </c>
      <c r="T101" s="344">
        <f>151.215745*4</f>
        <v>604.86297999999999</v>
      </c>
      <c r="U101" s="344">
        <f>152.409174*4</f>
        <v>609.63669600000003</v>
      </c>
      <c r="V101" s="164">
        <f>W101</f>
        <v>610.12800000000004</v>
      </c>
      <c r="W101" s="476">
        <f>305.064*2</f>
        <v>610.12800000000004</v>
      </c>
      <c r="X101" s="344"/>
      <c r="Y101" s="475">
        <f>152.824788*4</f>
        <v>611.29915200000005</v>
      </c>
      <c r="Z101" s="344">
        <f>153.158133*4</f>
        <v>612.63253199999997</v>
      </c>
      <c r="AA101" s="344">
        <f>153.556253*4</f>
        <v>614.22501199999999</v>
      </c>
      <c r="AB101" s="164">
        <f>AC101</f>
        <v>614.72400000000005</v>
      </c>
      <c r="AC101" s="476">
        <f>307.362*2</f>
        <v>614.72400000000005</v>
      </c>
      <c r="AD101" s="164"/>
      <c r="AE101" s="165">
        <f>SUM(AE99:AE100)</f>
        <v>615.50300000000004</v>
      </c>
      <c r="AF101" s="164">
        <f>336.266*2</f>
        <v>672.53200000000004</v>
      </c>
      <c r="AG101" s="164">
        <f>SUM(AG99:AG100)</f>
        <v>673.31100000000004</v>
      </c>
      <c r="AH101" s="164">
        <f>AI101</f>
        <v>617.84</v>
      </c>
      <c r="AI101" s="163">
        <f>308.92*2</f>
        <v>617.84</v>
      </c>
      <c r="AJ101" s="164"/>
      <c r="AK101" s="165">
        <f>(SUM(AK99:AK100)+AK110)</f>
        <v>618.24</v>
      </c>
      <c r="AL101" s="164">
        <f>SUM(AL99:AL100)</f>
        <v>616.15687767471525</v>
      </c>
      <c r="AM101" s="164">
        <f>SUM(AM99:AM100)</f>
        <v>614.2523001297227</v>
      </c>
      <c r="AN101" s="164">
        <f>SUM(AN99:AN100)</f>
        <v>611.14199999999994</v>
      </c>
      <c r="AO101" s="476">
        <f>305.571*2</f>
        <v>611.14200000000005</v>
      </c>
      <c r="AP101" s="344"/>
      <c r="AQ101" s="475">
        <f>(339.361-32.976)*2</f>
        <v>612.77</v>
      </c>
      <c r="AR101" s="344">
        <f>(340.312-32.976)*2</f>
        <v>614.67200000000003</v>
      </c>
      <c r="AS101" s="344">
        <f>(340.747-32.976)*2</f>
        <v>615.54200000000003</v>
      </c>
      <c r="AT101" s="344">
        <f>308.242*2</f>
        <v>616.48400000000004</v>
      </c>
      <c r="AU101" s="163">
        <f>SUM(AU99:AU100)</f>
        <v>616.48400000000004</v>
      </c>
      <c r="AV101" s="164"/>
      <c r="AW101" s="475">
        <f>+(342.097-32.976)*2</f>
        <v>618.24199999999996</v>
      </c>
      <c r="AX101" s="344">
        <f>(342.695-32.976)*2</f>
        <v>619.43799999999999</v>
      </c>
      <c r="AY101" s="344">
        <f>(344.999-32.976)*2</f>
        <v>624.04600000000005</v>
      </c>
      <c r="AZ101" s="344">
        <f>317.984*2</f>
        <v>635.96799999999996</v>
      </c>
      <c r="BA101" s="163">
        <f>SUM(BA99:BA100)</f>
        <v>635.96799999999996</v>
      </c>
      <c r="BB101" s="164"/>
      <c r="BC101" s="475">
        <f>318.431485*2</f>
        <v>636.86297000000002</v>
      </c>
      <c r="BD101" s="344">
        <f>318.939447*2</f>
        <v>637.87889399999995</v>
      </c>
      <c r="BE101" s="344">
        <f>319.609509*2</f>
        <v>639.21901800000001</v>
      </c>
      <c r="BF101" s="344">
        <f>318.38*2</f>
        <v>636.76</v>
      </c>
      <c r="BG101" s="163">
        <f>SUM(BG99:BG100)</f>
        <v>636.76</v>
      </c>
      <c r="BH101" s="164"/>
      <c r="BI101" s="475">
        <f>318.744792*2</f>
        <v>637.48958400000004</v>
      </c>
      <c r="BJ101" s="344">
        <f>319.738236*2</f>
        <v>639.47647199999994</v>
      </c>
      <c r="BK101" s="344">
        <f>321.234857*2</f>
        <v>642.46971399999995</v>
      </c>
      <c r="BL101" s="344">
        <f>322.735*2</f>
        <v>645.47</v>
      </c>
      <c r="BM101" s="163">
        <f>SUM(BM99:BM100)</f>
        <v>645.47</v>
      </c>
      <c r="BN101" s="164"/>
      <c r="BO101" s="475">
        <f>324.64661*2</f>
        <v>649.29322000000002</v>
      </c>
      <c r="BP101" s="344">
        <v>652.62289599999997</v>
      </c>
      <c r="BQ101" s="344">
        <v>653.95425299999999</v>
      </c>
      <c r="BR101" s="344">
        <v>656.36</v>
      </c>
      <c r="BS101" s="163">
        <f>SUM(BS99:BS100)</f>
        <v>656.36</v>
      </c>
      <c r="BT101" s="164"/>
      <c r="BU101" s="475">
        <v>664.05643299999997</v>
      </c>
      <c r="BV101" s="344">
        <v>685.55465600000002</v>
      </c>
      <c r="BW101" s="344">
        <v>686.34731499999998</v>
      </c>
      <c r="BX101" s="344">
        <v>689.29469400000005</v>
      </c>
      <c r="BY101" s="163">
        <f>SUM(BY99:BY100)</f>
        <v>689.29469400000005</v>
      </c>
      <c r="BZ101" s="164"/>
      <c r="CA101" s="475">
        <v>692.75367500000004</v>
      </c>
      <c r="CB101" s="344">
        <v>695.35547699999995</v>
      </c>
      <c r="CC101" s="344">
        <v>692.68794700000001</v>
      </c>
      <c r="CD101" s="344">
        <v>687.5</v>
      </c>
      <c r="CE101" s="163">
        <f>SUM(CE99:CE100)</f>
        <v>687.5</v>
      </c>
      <c r="CF101" s="164"/>
      <c r="CG101" s="475">
        <v>692.70707300000004</v>
      </c>
      <c r="CH101" s="344">
        <v>695.56893100000002</v>
      </c>
      <c r="CI101" s="344">
        <v>697.19983000000002</v>
      </c>
      <c r="CJ101" s="344">
        <v>698.1</v>
      </c>
      <c r="CK101" s="163">
        <f>SUM(CK99:CK100)</f>
        <v>698.1</v>
      </c>
      <c r="CL101" s="164"/>
      <c r="CM101" s="475">
        <v>699.53200000000004</v>
      </c>
      <c r="CN101" s="344">
        <v>700.68407500000001</v>
      </c>
      <c r="CO101" s="344">
        <v>702.69159500000001</v>
      </c>
      <c r="CP101" s="344">
        <v>704.3</v>
      </c>
      <c r="CQ101" s="163">
        <f>SUM(CQ99:CQ100)</f>
        <v>704.3</v>
      </c>
      <c r="CR101" s="164"/>
      <c r="CS101" s="475">
        <v>707.52574500000003</v>
      </c>
      <c r="CT101" s="344">
        <f>683.488074</f>
        <v>683.48807399999998</v>
      </c>
      <c r="CU101" s="344">
        <v>685.2</v>
      </c>
      <c r="CV101" s="344">
        <v>686.8</v>
      </c>
      <c r="CW101" s="163">
        <f>SUM(CW99:CW100)</f>
        <v>686.8</v>
      </c>
      <c r="CX101" s="164"/>
      <c r="CY101" s="475">
        <v>688.6</v>
      </c>
      <c r="CZ101" s="344">
        <v>690.5</v>
      </c>
      <c r="DA101" s="344">
        <v>691.6</v>
      </c>
      <c r="DB101" s="344">
        <v>692.2</v>
      </c>
      <c r="DC101" s="163">
        <f>SUM(DC99:DC100)</f>
        <v>692.2</v>
      </c>
      <c r="DD101" s="164"/>
      <c r="DE101" s="475">
        <v>694.1</v>
      </c>
      <c r="DF101" s="344">
        <v>694.7</v>
      </c>
      <c r="DG101" s="344">
        <v>695.5</v>
      </c>
      <c r="DH101" s="344">
        <v>696.6</v>
      </c>
      <c r="DI101" s="163">
        <f>SUM(DI99:DI100)</f>
        <v>696.6</v>
      </c>
      <c r="DJ101" s="164"/>
      <c r="DK101" s="165">
        <f>SUM(DK99:DK100)</f>
        <v>698.80000000000007</v>
      </c>
      <c r="DL101" s="164">
        <f>SUM(DL99:DL100)</f>
        <v>701.00000000000011</v>
      </c>
      <c r="DM101" s="164">
        <f>SUM(DM99:DM100)</f>
        <v>703.20000000000016</v>
      </c>
      <c r="DN101" s="164">
        <f>SUM(DN99:DN100)</f>
        <v>705.4000000000002</v>
      </c>
      <c r="DO101" s="163">
        <f>SUM(DO99:DO100)</f>
        <v>705.4</v>
      </c>
      <c r="DP101" s="164"/>
      <c r="DQ101" s="165">
        <f>SUM(DQ99:DQ100)</f>
        <v>707.6</v>
      </c>
      <c r="DR101" s="164">
        <f>SUM(DR99:DR100)</f>
        <v>709.80000000000007</v>
      </c>
      <c r="DS101" s="164">
        <f>SUM(DS99:DS100)</f>
        <v>712.00000000000011</v>
      </c>
      <c r="DT101" s="164">
        <f>SUM(DT99:DT100)</f>
        <v>714.20000000000016</v>
      </c>
      <c r="DU101" s="163">
        <f>SUM(DU99:DU100)</f>
        <v>714.20000000000016</v>
      </c>
      <c r="DV101" s="164"/>
      <c r="DW101" s="165">
        <f>SUM(DW99:DW100)</f>
        <v>716.4000000000002</v>
      </c>
      <c r="DX101" s="164">
        <f>SUM(DX99:DX100)</f>
        <v>718.60000000000025</v>
      </c>
      <c r="DY101" s="164">
        <f>SUM(DY99:DY100)</f>
        <v>720.8000000000003</v>
      </c>
      <c r="DZ101" s="164">
        <f>SUM(DZ99:DZ100)</f>
        <v>723.00000000000034</v>
      </c>
      <c r="EA101" s="163">
        <f>SUM(EA99:EA100)</f>
        <v>723.00000000000011</v>
      </c>
      <c r="EB101" s="164"/>
      <c r="EC101" s="165">
        <f t="shared" ref="EC101:EG101" si="437">SUM(EC99:EC100)</f>
        <v>725.20000000000016</v>
      </c>
      <c r="ED101" s="164">
        <f t="shared" si="437"/>
        <v>727.4000000000002</v>
      </c>
      <c r="EE101" s="164">
        <f t="shared" si="437"/>
        <v>729.60000000000025</v>
      </c>
      <c r="EF101" s="164">
        <f t="shared" si="437"/>
        <v>731.8000000000003</v>
      </c>
      <c r="EG101" s="163">
        <f t="shared" si="437"/>
        <v>731.8000000000003</v>
      </c>
      <c r="EH101" s="67"/>
      <c r="EI101" s="6"/>
      <c r="EJ101" s="6"/>
      <c r="EK101" s="6"/>
      <c r="EL101" s="6"/>
    </row>
    <row r="102" spans="1:142" ht="12.75" customHeight="1" x14ac:dyDescent="0.2">
      <c r="A102" s="51"/>
      <c r="B102" s="19"/>
      <c r="C102" s="19"/>
      <c r="D102" s="19"/>
      <c r="E102" s="93"/>
      <c r="F102" s="67"/>
      <c r="G102" s="93"/>
      <c r="H102" s="67"/>
      <c r="I102" s="93"/>
      <c r="J102" s="67"/>
      <c r="K102" s="93"/>
      <c r="L102" s="67"/>
      <c r="M102" s="82"/>
      <c r="N102" s="67"/>
      <c r="O102" s="67"/>
      <c r="P102" s="67"/>
      <c r="Q102" s="93"/>
      <c r="R102" s="67"/>
      <c r="S102" s="82"/>
      <c r="T102" s="67"/>
      <c r="U102" s="67"/>
      <c r="V102" s="67"/>
      <c r="W102" s="93"/>
      <c r="X102" s="67"/>
      <c r="Y102" s="82"/>
      <c r="Z102" s="67"/>
      <c r="AA102" s="67"/>
      <c r="AB102" s="67"/>
      <c r="AC102" s="93"/>
      <c r="AD102" s="67"/>
      <c r="AE102" s="82"/>
      <c r="AF102" s="67"/>
      <c r="AG102" s="67"/>
      <c r="AH102" s="67"/>
      <c r="AI102" s="93"/>
      <c r="AJ102" s="67"/>
      <c r="AK102" s="82"/>
      <c r="AL102" s="67"/>
      <c r="AM102" s="67"/>
      <c r="AN102" s="67"/>
      <c r="AO102" s="93"/>
      <c r="AP102" s="67"/>
      <c r="AQ102" s="82"/>
      <c r="AR102" s="67"/>
      <c r="AS102" s="67"/>
      <c r="AT102" s="67"/>
      <c r="AU102" s="93"/>
      <c r="AV102" s="67"/>
      <c r="AW102" s="82"/>
      <c r="AX102" s="67"/>
      <c r="AY102" s="67"/>
      <c r="AZ102" s="67"/>
      <c r="BA102" s="93"/>
      <c r="BB102" s="67"/>
      <c r="BC102" s="82"/>
      <c r="BD102" s="67"/>
      <c r="BE102" s="67"/>
      <c r="BF102" s="67"/>
      <c r="BG102" s="93"/>
      <c r="BH102" s="67"/>
      <c r="BI102" s="82"/>
      <c r="BJ102" s="67"/>
      <c r="BK102" s="67"/>
      <c r="BL102" s="67"/>
      <c r="BM102" s="93"/>
      <c r="BN102" s="67"/>
      <c r="BO102" s="82"/>
      <c r="BP102" s="67"/>
      <c r="BQ102" s="67"/>
      <c r="BR102" s="67"/>
      <c r="BS102" s="93"/>
      <c r="BT102" s="67"/>
      <c r="BU102" s="82"/>
      <c r="BV102" s="67"/>
      <c r="BW102" s="67"/>
      <c r="BX102" s="67"/>
      <c r="BY102" s="93"/>
      <c r="BZ102" s="67"/>
      <c r="CA102" s="82"/>
      <c r="CB102" s="67"/>
      <c r="CC102" s="67"/>
      <c r="CD102" s="67"/>
      <c r="CE102" s="93"/>
      <c r="CF102" s="67"/>
      <c r="CG102" s="82"/>
      <c r="CH102" s="67"/>
      <c r="CI102" s="67"/>
      <c r="CJ102" s="67"/>
      <c r="CK102" s="93"/>
      <c r="CL102" s="67"/>
      <c r="CM102" s="82"/>
      <c r="CN102" s="67"/>
      <c r="CO102" s="67"/>
      <c r="CP102" s="67"/>
      <c r="CQ102" s="93"/>
      <c r="CR102" s="67"/>
      <c r="CS102" s="82"/>
      <c r="CT102" s="67"/>
      <c r="CU102" s="67"/>
      <c r="CV102" s="67"/>
      <c r="CW102" s="93"/>
      <c r="CX102" s="67"/>
      <c r="CY102" s="82"/>
      <c r="CZ102" s="67"/>
      <c r="DA102" s="67"/>
      <c r="DB102" s="67"/>
      <c r="DC102" s="93"/>
      <c r="DD102" s="67"/>
      <c r="DE102" s="82"/>
      <c r="DF102" s="67"/>
      <c r="DG102" s="67"/>
      <c r="DH102" s="67"/>
      <c r="DI102" s="93"/>
      <c r="DJ102" s="67"/>
      <c r="DK102" s="82"/>
      <c r="DL102" s="67"/>
      <c r="DM102" s="67"/>
      <c r="DN102" s="67"/>
      <c r="DO102" s="93"/>
      <c r="DP102" s="67"/>
      <c r="DQ102" s="82"/>
      <c r="DR102" s="67"/>
      <c r="DS102" s="67"/>
      <c r="DT102" s="67"/>
      <c r="DU102" s="93"/>
      <c r="DV102" s="67"/>
      <c r="DW102" s="82"/>
      <c r="DX102" s="67"/>
      <c r="DY102" s="67"/>
      <c r="DZ102" s="67"/>
      <c r="EA102" s="93"/>
      <c r="EB102" s="67"/>
      <c r="EC102" s="82"/>
      <c r="ED102" s="67"/>
      <c r="EE102" s="67"/>
      <c r="EF102" s="67"/>
      <c r="EG102" s="93"/>
      <c r="EH102" s="67"/>
      <c r="EI102" s="6"/>
      <c r="EJ102" s="6"/>
      <c r="EK102" s="6"/>
      <c r="EL102" s="6"/>
    </row>
    <row r="103" spans="1:142" ht="12.75" customHeight="1" x14ac:dyDescent="0.2">
      <c r="A103" s="51" t="s">
        <v>0</v>
      </c>
      <c r="B103" s="19"/>
      <c r="C103" s="19"/>
      <c r="D103" s="19"/>
      <c r="E103" s="93"/>
      <c r="F103" s="67"/>
      <c r="G103" s="93"/>
      <c r="H103" s="67"/>
      <c r="I103" s="93"/>
      <c r="J103" s="67"/>
      <c r="K103" s="93">
        <f>K101-K111</f>
        <v>570</v>
      </c>
      <c r="L103" s="67"/>
      <c r="M103" s="82">
        <f>M101-M111</f>
        <v>570.12217999999996</v>
      </c>
      <c r="N103" s="67">
        <f>N101-N111</f>
        <v>573.03987199999995</v>
      </c>
      <c r="O103" s="67">
        <f>O101-O111</f>
        <v>571.68893200000002</v>
      </c>
      <c r="P103" s="67">
        <f>P101-P111</f>
        <v>573.25599999999997</v>
      </c>
      <c r="Q103" s="93">
        <f>Q101-Q111</f>
        <v>573.25599999999997</v>
      </c>
      <c r="R103" s="67"/>
      <c r="S103" s="82">
        <f>S101-S111</f>
        <v>603.88972000000001</v>
      </c>
      <c r="T103" s="67">
        <f>T101-T111</f>
        <v>604.86297999999999</v>
      </c>
      <c r="U103" s="67">
        <f>U101-U111</f>
        <v>609.63669600000003</v>
      </c>
      <c r="V103" s="67">
        <f>V101-V111</f>
        <v>610.12800000000004</v>
      </c>
      <c r="W103" s="93">
        <f>W101-W111</f>
        <v>610.12800000000004</v>
      </c>
      <c r="X103" s="67"/>
      <c r="Y103" s="82">
        <f>Y101-Y111</f>
        <v>611.29915200000005</v>
      </c>
      <c r="Z103" s="67">
        <f>Z101-Z111</f>
        <v>612.63253199999997</v>
      </c>
      <c r="AA103" s="67">
        <f>AA101-AA111</f>
        <v>614.22501199999999</v>
      </c>
      <c r="AB103" s="67">
        <f>AB101-AB111</f>
        <v>614.72400000000005</v>
      </c>
      <c r="AC103" s="93">
        <f>AC101-AC111</f>
        <v>614.72400000000005</v>
      </c>
      <c r="AD103" s="67"/>
      <c r="AE103" s="82">
        <f>AE101-AE111</f>
        <v>615.50300000000004</v>
      </c>
      <c r="AF103" s="67">
        <f>AF101-AF111</f>
        <v>672.53200000000004</v>
      </c>
      <c r="AG103" s="67">
        <f>AG101-AG111</f>
        <v>673.31100000000004</v>
      </c>
      <c r="AH103" s="67">
        <f>AH101-AH111</f>
        <v>617.84</v>
      </c>
      <c r="AI103" s="93">
        <f>AI101-AI111</f>
        <v>617.84</v>
      </c>
      <c r="AJ103" s="67"/>
      <c r="AK103" s="82">
        <f>AK101</f>
        <v>618.24</v>
      </c>
      <c r="AL103" s="67">
        <f>AL101</f>
        <v>616.15687767471525</v>
      </c>
      <c r="AM103" s="67">
        <f>AM101</f>
        <v>614.2523001297227</v>
      </c>
      <c r="AN103" s="67">
        <f>AN101</f>
        <v>611.14199999999994</v>
      </c>
      <c r="AO103" s="93">
        <f>AO101</f>
        <v>611.14200000000005</v>
      </c>
      <c r="AP103" s="67"/>
      <c r="AQ103" s="82">
        <f>AQ101</f>
        <v>612.77</v>
      </c>
      <c r="AR103" s="67">
        <f>AR101</f>
        <v>614.67200000000003</v>
      </c>
      <c r="AS103" s="67">
        <f>AS101</f>
        <v>615.54200000000003</v>
      </c>
      <c r="AT103" s="67">
        <f>AT101</f>
        <v>616.48400000000004</v>
      </c>
      <c r="AU103" s="93">
        <f>AU101</f>
        <v>616.48400000000004</v>
      </c>
      <c r="AV103" s="67"/>
      <c r="AW103" s="82">
        <f>AW101</f>
        <v>618.24199999999996</v>
      </c>
      <c r="AX103" s="67">
        <f>AX101</f>
        <v>619.43799999999999</v>
      </c>
      <c r="AY103" s="67">
        <f>AY101</f>
        <v>624.04600000000005</v>
      </c>
      <c r="AZ103" s="67">
        <f>AZ101</f>
        <v>635.96799999999996</v>
      </c>
      <c r="BA103" s="93">
        <f>BA101</f>
        <v>635.96799999999996</v>
      </c>
      <c r="BB103" s="67"/>
      <c r="BC103" s="82">
        <f>BC101</f>
        <v>636.86297000000002</v>
      </c>
      <c r="BD103" s="67">
        <f>BD101</f>
        <v>637.87889399999995</v>
      </c>
      <c r="BE103" s="67">
        <f>BE101</f>
        <v>639.21901800000001</v>
      </c>
      <c r="BF103" s="67">
        <f>BF101</f>
        <v>636.76</v>
      </c>
      <c r="BG103" s="93">
        <f>BG101</f>
        <v>636.76</v>
      </c>
      <c r="BH103" s="67"/>
      <c r="BI103" s="82">
        <f>BI101</f>
        <v>637.48958400000004</v>
      </c>
      <c r="BJ103" s="67">
        <f>BJ101</f>
        <v>639.47647199999994</v>
      </c>
      <c r="BK103" s="67">
        <f>BK101</f>
        <v>642.46971399999995</v>
      </c>
      <c r="BL103" s="67">
        <f>BL101</f>
        <v>645.47</v>
      </c>
      <c r="BM103" s="93">
        <f>BM101</f>
        <v>645.47</v>
      </c>
      <c r="BN103" s="67"/>
      <c r="BO103" s="82">
        <f>BO101</f>
        <v>649.29322000000002</v>
      </c>
      <c r="BP103" s="67">
        <f>BP101</f>
        <v>652.62289599999997</v>
      </c>
      <c r="BQ103" s="67">
        <f>BQ101</f>
        <v>653.95425299999999</v>
      </c>
      <c r="BR103" s="67">
        <f>BR101</f>
        <v>656.36</v>
      </c>
      <c r="BS103" s="93">
        <f>BS101</f>
        <v>656.36</v>
      </c>
      <c r="BT103" s="67"/>
      <c r="BU103" s="82">
        <f>BU101</f>
        <v>664.05643299999997</v>
      </c>
      <c r="BV103" s="67">
        <f>BV101</f>
        <v>685.55465600000002</v>
      </c>
      <c r="BW103" s="67">
        <f>BW101</f>
        <v>686.34731499999998</v>
      </c>
      <c r="BX103" s="67">
        <f>BX101</f>
        <v>689.29469400000005</v>
      </c>
      <c r="BY103" s="93">
        <f>BY101</f>
        <v>689.29469400000005</v>
      </c>
      <c r="BZ103" s="67"/>
      <c r="CA103" s="82">
        <f>CA101</f>
        <v>692.75367500000004</v>
      </c>
      <c r="CB103" s="67">
        <f>CB101</f>
        <v>695.35547699999995</v>
      </c>
      <c r="CC103" s="67">
        <f>CC101</f>
        <v>692.68794700000001</v>
      </c>
      <c r="CD103" s="67">
        <f>CD101</f>
        <v>687.5</v>
      </c>
      <c r="CE103" s="93">
        <f>CE101</f>
        <v>687.5</v>
      </c>
      <c r="CF103" s="67"/>
      <c r="CG103" s="82">
        <f>CG101</f>
        <v>692.70707300000004</v>
      </c>
      <c r="CH103" s="67">
        <f>CH101</f>
        <v>695.56893100000002</v>
      </c>
      <c r="CI103" s="67">
        <f>CI101</f>
        <v>697.19983000000002</v>
      </c>
      <c r="CJ103" s="67">
        <f>CJ101</f>
        <v>698.1</v>
      </c>
      <c r="CK103" s="93">
        <f>CK101</f>
        <v>698.1</v>
      </c>
      <c r="CL103" s="67"/>
      <c r="CM103" s="82">
        <f>CM101</f>
        <v>699.53200000000004</v>
      </c>
      <c r="CN103" s="67">
        <f>CN101</f>
        <v>700.68407500000001</v>
      </c>
      <c r="CO103" s="67">
        <f>CO101</f>
        <v>702.69159500000001</v>
      </c>
      <c r="CP103" s="67">
        <f>CP101</f>
        <v>704.3</v>
      </c>
      <c r="CQ103" s="93">
        <f>CQ101</f>
        <v>704.3</v>
      </c>
      <c r="CR103" s="67"/>
      <c r="CS103" s="82">
        <f>CS101</f>
        <v>707.52574500000003</v>
      </c>
      <c r="CT103" s="67">
        <f>CT101</f>
        <v>683.48807399999998</v>
      </c>
      <c r="CU103" s="67">
        <f>CU101</f>
        <v>685.2</v>
      </c>
      <c r="CV103" s="67">
        <f>CV101</f>
        <v>686.8</v>
      </c>
      <c r="CW103" s="93">
        <f>CW101</f>
        <v>686.8</v>
      </c>
      <c r="CX103" s="67"/>
      <c r="CY103" s="82">
        <f>CY101</f>
        <v>688.6</v>
      </c>
      <c r="CZ103" s="67">
        <f>CZ101</f>
        <v>690.5</v>
      </c>
      <c r="DA103" s="67">
        <f>DA101</f>
        <v>691.6</v>
      </c>
      <c r="DB103" s="67">
        <f>DB101</f>
        <v>692.2</v>
      </c>
      <c r="DC103" s="93">
        <f>DC101</f>
        <v>692.2</v>
      </c>
      <c r="DD103" s="67"/>
      <c r="DE103" s="82">
        <f>DE101</f>
        <v>694.1</v>
      </c>
      <c r="DF103" s="67">
        <f>DF101</f>
        <v>694.7</v>
      </c>
      <c r="DG103" s="67">
        <f>DG101</f>
        <v>695.5</v>
      </c>
      <c r="DH103" s="67">
        <f>DH101</f>
        <v>696.6</v>
      </c>
      <c r="DI103" s="93">
        <f>DI101</f>
        <v>696.6</v>
      </c>
      <c r="DJ103" s="67"/>
      <c r="DK103" s="82">
        <f>DK101</f>
        <v>698.80000000000007</v>
      </c>
      <c r="DL103" s="67">
        <f>DL101</f>
        <v>701.00000000000011</v>
      </c>
      <c r="DM103" s="67">
        <f>DM101</f>
        <v>703.20000000000016</v>
      </c>
      <c r="DN103" s="67">
        <f>DN101</f>
        <v>705.4000000000002</v>
      </c>
      <c r="DO103" s="93">
        <f>DO101</f>
        <v>705.4</v>
      </c>
      <c r="DP103" s="67"/>
      <c r="DQ103" s="82">
        <f>DQ101</f>
        <v>707.6</v>
      </c>
      <c r="DR103" s="67">
        <f>DR101</f>
        <v>709.80000000000007</v>
      </c>
      <c r="DS103" s="67">
        <f>DS101</f>
        <v>712.00000000000011</v>
      </c>
      <c r="DT103" s="67">
        <f>DT101</f>
        <v>714.20000000000016</v>
      </c>
      <c r="DU103" s="93">
        <f>DU101</f>
        <v>714.20000000000016</v>
      </c>
      <c r="DV103" s="67"/>
      <c r="DW103" s="82">
        <f>DW101</f>
        <v>716.4000000000002</v>
      </c>
      <c r="DX103" s="67">
        <f>DX101</f>
        <v>718.60000000000025</v>
      </c>
      <c r="DY103" s="67">
        <f>DY101</f>
        <v>720.8000000000003</v>
      </c>
      <c r="DZ103" s="67">
        <f>DZ101</f>
        <v>723.00000000000034</v>
      </c>
      <c r="EA103" s="93">
        <f>EA101</f>
        <v>723.00000000000011</v>
      </c>
      <c r="EB103" s="67"/>
      <c r="EC103" s="82">
        <f t="shared" ref="EC103:EG103" si="438">EC101</f>
        <v>725.20000000000016</v>
      </c>
      <c r="ED103" s="67">
        <f t="shared" si="438"/>
        <v>727.4000000000002</v>
      </c>
      <c r="EE103" s="67">
        <f t="shared" si="438"/>
        <v>729.60000000000025</v>
      </c>
      <c r="EF103" s="67">
        <f t="shared" si="438"/>
        <v>731.8000000000003</v>
      </c>
      <c r="EG103" s="93">
        <f t="shared" si="438"/>
        <v>731.8000000000003</v>
      </c>
      <c r="EH103" s="67"/>
      <c r="EI103" s="6"/>
      <c r="EJ103" s="6"/>
      <c r="EK103" s="6"/>
      <c r="EL103" s="6"/>
    </row>
    <row r="104" spans="1:142" ht="12.75" customHeight="1" x14ac:dyDescent="0.2">
      <c r="A104" s="51"/>
      <c r="B104" s="19"/>
      <c r="C104" s="19"/>
      <c r="D104" s="19"/>
      <c r="E104" s="93"/>
      <c r="F104" s="67"/>
      <c r="G104" s="93"/>
      <c r="H104" s="67"/>
      <c r="I104" s="93"/>
      <c r="J104" s="67"/>
      <c r="K104" s="93"/>
      <c r="L104" s="67"/>
      <c r="M104" s="82"/>
      <c r="N104" s="67"/>
      <c r="O104" s="67"/>
      <c r="P104" s="67"/>
      <c r="Q104" s="93"/>
      <c r="R104" s="67"/>
      <c r="S104" s="82"/>
      <c r="T104" s="67"/>
      <c r="U104" s="67"/>
      <c r="V104" s="67"/>
      <c r="W104" s="93"/>
      <c r="X104" s="67"/>
      <c r="Y104" s="82"/>
      <c r="Z104" s="67"/>
      <c r="AA104" s="67"/>
      <c r="AB104" s="67"/>
      <c r="AC104" s="93"/>
      <c r="AD104" s="67"/>
      <c r="AE104" s="82"/>
      <c r="AF104" s="67"/>
      <c r="AG104" s="67"/>
      <c r="AH104" s="67"/>
      <c r="AI104" s="93"/>
      <c r="AJ104" s="67"/>
      <c r="AK104" s="82"/>
      <c r="AL104" s="67"/>
      <c r="AM104" s="67"/>
      <c r="AN104" s="67"/>
      <c r="AO104" s="93"/>
      <c r="AP104" s="67"/>
      <c r="AQ104" s="82"/>
      <c r="AR104" s="67"/>
      <c r="AS104" s="67"/>
      <c r="AT104" s="67"/>
      <c r="AU104" s="93"/>
      <c r="AV104" s="67"/>
      <c r="AW104" s="82"/>
      <c r="AX104" s="67"/>
      <c r="AY104" s="67"/>
      <c r="AZ104" s="67"/>
      <c r="BA104" s="93"/>
      <c r="BB104" s="67"/>
      <c r="BC104" s="82"/>
      <c r="BD104" s="67"/>
      <c r="BE104" s="67"/>
      <c r="BF104" s="67"/>
      <c r="BG104" s="93"/>
      <c r="BH104" s="67"/>
      <c r="BI104" s="82"/>
      <c r="BJ104" s="67"/>
      <c r="BK104" s="67"/>
      <c r="BL104" s="67"/>
      <c r="BM104" s="93"/>
      <c r="BN104" s="67"/>
      <c r="BO104" s="82"/>
      <c r="BP104" s="67"/>
      <c r="BQ104" s="67"/>
      <c r="BR104" s="67"/>
      <c r="BS104" s="93"/>
      <c r="BT104" s="67"/>
      <c r="BU104" s="82" t="s">
        <v>108</v>
      </c>
      <c r="BV104" s="67"/>
      <c r="BW104" s="67"/>
      <c r="BX104" s="67"/>
      <c r="BY104" s="93"/>
      <c r="BZ104" s="67"/>
      <c r="CA104" s="82"/>
      <c r="CB104" s="67"/>
      <c r="CC104" s="67"/>
      <c r="CD104" s="67"/>
      <c r="CE104" s="93"/>
      <c r="CF104" s="67"/>
      <c r="CG104" s="82"/>
      <c r="CH104" s="67"/>
      <c r="CI104" s="67"/>
      <c r="CJ104" s="67"/>
      <c r="CK104" s="93"/>
      <c r="CL104" s="67"/>
      <c r="CM104" s="82"/>
      <c r="CN104" s="67"/>
      <c r="CO104" s="67"/>
      <c r="CP104" s="67"/>
      <c r="CQ104" s="93"/>
      <c r="CR104" s="67"/>
      <c r="CS104" s="82"/>
      <c r="CT104" s="67"/>
      <c r="CU104" s="67"/>
      <c r="CV104" s="67"/>
      <c r="CW104" s="93"/>
      <c r="CX104" s="67"/>
      <c r="CY104" s="82"/>
      <c r="CZ104" s="67"/>
      <c r="DA104" s="67"/>
      <c r="DB104" s="67"/>
      <c r="DC104" s="93"/>
      <c r="DD104" s="67"/>
      <c r="DE104" s="82"/>
      <c r="DF104" s="67"/>
      <c r="DG104" s="67"/>
      <c r="DH104" s="67"/>
      <c r="DI104" s="93"/>
      <c r="DJ104" s="67"/>
      <c r="DK104" s="82"/>
      <c r="DL104" s="67"/>
      <c r="DM104" s="67"/>
      <c r="DN104" s="67"/>
      <c r="DO104" s="93"/>
      <c r="DP104" s="67"/>
      <c r="DQ104" s="82"/>
      <c r="DR104" s="67"/>
      <c r="DS104" s="67"/>
      <c r="DT104" s="67"/>
      <c r="DU104" s="93"/>
      <c r="DV104" s="67"/>
      <c r="DW104" s="82"/>
      <c r="DX104" s="67"/>
      <c r="DY104" s="67"/>
      <c r="DZ104" s="67"/>
      <c r="EA104" s="93"/>
      <c r="EB104" s="67"/>
      <c r="EC104" s="82"/>
      <c r="ED104" s="67"/>
      <c r="EE104" s="67"/>
      <c r="EF104" s="67"/>
      <c r="EG104" s="93"/>
      <c r="EH104" s="67"/>
      <c r="EI104" s="6"/>
      <c r="EJ104" s="6"/>
      <c r="EK104" s="6"/>
      <c r="EL104" s="6"/>
    </row>
    <row r="105" spans="1:142" ht="12.75" customHeight="1" thickBot="1" x14ac:dyDescent="0.25">
      <c r="A105" s="51" t="s">
        <v>52</v>
      </c>
      <c r="B105" s="19"/>
      <c r="C105" s="19"/>
      <c r="D105" s="19"/>
      <c r="E105" s="93"/>
      <c r="F105" s="67"/>
      <c r="G105" s="93"/>
      <c r="H105" s="67"/>
      <c r="I105" s="93"/>
      <c r="J105" s="67"/>
      <c r="K105" s="93"/>
      <c r="L105" s="67"/>
      <c r="M105" s="82">
        <f>M100</f>
        <v>0.81399999999999295</v>
      </c>
      <c r="N105" s="67">
        <f>N100</f>
        <v>0.81399999999999295</v>
      </c>
      <c r="O105" s="67">
        <f>O100</f>
        <v>0.81399999999999295</v>
      </c>
      <c r="P105" s="67">
        <f>P100</f>
        <v>0.81399999999999295</v>
      </c>
      <c r="Q105" s="93">
        <f>Q100</f>
        <v>3.2559999999999718</v>
      </c>
      <c r="R105" s="67"/>
      <c r="S105" s="82">
        <f>S100</f>
        <v>30.540000000000003</v>
      </c>
      <c r="T105" s="67">
        <f>T100</f>
        <v>1.0279999999999987</v>
      </c>
      <c r="U105" s="67">
        <f>U100</f>
        <v>4.791999999999998</v>
      </c>
      <c r="V105" s="67">
        <f>V100</f>
        <v>0.51200000000007151</v>
      </c>
      <c r="W105" s="93">
        <f>W100</f>
        <v>36.872000000000071</v>
      </c>
      <c r="X105" s="67"/>
      <c r="Y105" s="82">
        <f>Y100</f>
        <v>1.1490000000000009</v>
      </c>
      <c r="Z105" s="67">
        <f>Z100</f>
        <v>1.1490000000000009</v>
      </c>
      <c r="AA105" s="67">
        <f>AA100</f>
        <v>1.1490000000000009</v>
      </c>
      <c r="AB105" s="67">
        <f>AB100</f>
        <v>1.1490000000000009</v>
      </c>
      <c r="AC105" s="93">
        <f>AC100</f>
        <v>4.5960000000000036</v>
      </c>
      <c r="AD105" s="67"/>
      <c r="AE105" s="82">
        <f>AE100</f>
        <v>0.77899999999999636</v>
      </c>
      <c r="AF105" s="67">
        <f>AF100</f>
        <v>0.77899999999999636</v>
      </c>
      <c r="AG105" s="67">
        <f>AG100</f>
        <v>0.77899999999999636</v>
      </c>
      <c r="AH105" s="67">
        <f>AH100</f>
        <v>0.77899999999999636</v>
      </c>
      <c r="AI105" s="93">
        <f>AI100</f>
        <v>3.1159999999999854</v>
      </c>
      <c r="AJ105" s="67"/>
      <c r="AK105" s="84">
        <v>0.4</v>
      </c>
      <c r="AL105" s="71">
        <v>0.4</v>
      </c>
      <c r="AM105" s="71">
        <v>0.4</v>
      </c>
      <c r="AN105" s="71">
        <v>0.4</v>
      </c>
      <c r="AO105" s="93">
        <f>SUM(AK105:AN105)</f>
        <v>1.6</v>
      </c>
      <c r="AP105" s="67"/>
      <c r="AQ105" s="84">
        <v>0.81399999999999995</v>
      </c>
      <c r="AR105" s="71">
        <f>1.765-AQ105</f>
        <v>0.95099999999999996</v>
      </c>
      <c r="AS105" s="71">
        <f>2.2-AR105-AQ105</f>
        <v>0.43500000000000016</v>
      </c>
      <c r="AT105" s="71">
        <f>2.676-AS105-AR105-AQ105</f>
        <v>0.47600000000000009</v>
      </c>
      <c r="AU105" s="93">
        <f>SUM(AQ105:AT105)</f>
        <v>2.6760000000000002</v>
      </c>
      <c r="AV105" s="67"/>
      <c r="AW105" s="84">
        <v>0.874</v>
      </c>
      <c r="AX105" s="71">
        <f>1.472-AW105</f>
        <v>0.59799999999999998</v>
      </c>
      <c r="AY105" s="71">
        <f>3.776-AX105-AW105</f>
        <v>2.3039999999999998</v>
      </c>
      <c r="AZ105" s="71">
        <f>4.436+6.9+0.049-SUM(AW105:AY105)</f>
        <v>7.609</v>
      </c>
      <c r="BA105" s="93">
        <f>SUM(AW105:AZ105)</f>
        <v>11.385</v>
      </c>
      <c r="BB105" s="67"/>
      <c r="BC105" s="84">
        <f>0.433+0.013</f>
        <v>0.44600000000000001</v>
      </c>
      <c r="BD105" s="71">
        <f>0.951+0.013-BC105</f>
        <v>0.51800000000000002</v>
      </c>
      <c r="BE105" s="71">
        <f>1.622+0.18-SUM(BC105:BD105)</f>
        <v>0.83800000000000008</v>
      </c>
      <c r="BF105" s="71">
        <f>1.861+0.018-SUM(BC105:BE105)</f>
        <v>7.6999999999999957E-2</v>
      </c>
      <c r="BG105" s="93">
        <f>SUM(BC105:BF105)</f>
        <v>1.879</v>
      </c>
      <c r="BH105" s="67"/>
      <c r="BI105" s="84">
        <v>0.35499999999999998</v>
      </c>
      <c r="BJ105" s="71">
        <f>1.276-BI105</f>
        <v>0.92100000000000004</v>
      </c>
      <c r="BK105" s="71">
        <f>2.62-BJ105-BI105</f>
        <v>1.3440000000000001</v>
      </c>
      <c r="BL105" s="71">
        <f>4.435-BI105-BJ105-BK105</f>
        <v>1.8149999999999997</v>
      </c>
      <c r="BM105" s="93">
        <f>SUM(BI105:BL105)</f>
        <v>4.4349999999999996</v>
      </c>
      <c r="BN105" s="67"/>
      <c r="BO105" s="82">
        <v>1.696</v>
      </c>
      <c r="BP105" s="67">
        <f>2.959-BO105</f>
        <v>1.2630000000000001</v>
      </c>
      <c r="BQ105" s="67">
        <f>4.179-BP105-BO105</f>
        <v>1.2200000000000004</v>
      </c>
      <c r="BR105" s="67">
        <f>6.023-BQ105-BP105-BO105</f>
        <v>1.8439999999999992</v>
      </c>
      <c r="BS105" s="93">
        <f>SUM(BO105:BR105)</f>
        <v>6.0229999999999997</v>
      </c>
      <c r="BT105" s="67"/>
      <c r="BU105" s="82">
        <v>1.704</v>
      </c>
      <c r="BV105" s="67">
        <v>19.25</v>
      </c>
      <c r="BW105" s="67">
        <f>BW100</f>
        <v>0.79265899999995781</v>
      </c>
      <c r="BX105" s="67">
        <f>BX100</f>
        <v>2.947379000000069</v>
      </c>
      <c r="BY105" s="93">
        <f>SUM(BU105:BX105)</f>
        <v>24.694038000000027</v>
      </c>
      <c r="BZ105" s="67"/>
      <c r="CA105" s="82">
        <f>CA100</f>
        <v>3.4589809999999943</v>
      </c>
      <c r="CB105" s="67">
        <f>CB100</f>
        <v>2.6018019999999069</v>
      </c>
      <c r="CC105" s="67">
        <f>CC100-CC110</f>
        <v>-9.0886961140271456</v>
      </c>
      <c r="CD105" s="67">
        <f>CD100-CD110</f>
        <v>-14.715924595959995</v>
      </c>
      <c r="CE105" s="93">
        <f>SUM(CA105:CD105)</f>
        <v>-17.74383770998724</v>
      </c>
      <c r="CF105" s="67"/>
      <c r="CG105" s="82">
        <f>CG100-CG110</f>
        <v>5.2070730000000367</v>
      </c>
      <c r="CH105" s="67">
        <f>CH100-CH110</f>
        <v>2.8618579999999838</v>
      </c>
      <c r="CI105" s="67">
        <f>CI100-CI110</f>
        <v>1.6308989999999994</v>
      </c>
      <c r="CJ105" s="67">
        <f>CJ100-CJ110</f>
        <v>0.9001700000000028</v>
      </c>
      <c r="CK105" s="93">
        <f>SUM(CG105:CJ105)</f>
        <v>10.600000000000023</v>
      </c>
      <c r="CL105" s="67"/>
      <c r="CM105" s="82">
        <f>CM100-CM110</f>
        <v>1.4320000000000164</v>
      </c>
      <c r="CN105" s="67">
        <f>CN100-CN110</f>
        <v>1.152074999999968</v>
      </c>
      <c r="CO105" s="67">
        <f>CO100-CO110</f>
        <v>2.0075199999999995</v>
      </c>
      <c r="CP105" s="67">
        <f>CP100-CP110</f>
        <v>1.6084049999999479</v>
      </c>
      <c r="CQ105" s="93">
        <f>SUM(CM105:CP105)</f>
        <v>6.1999999999999318</v>
      </c>
      <c r="CR105" s="67"/>
      <c r="CS105" s="82">
        <f>CS100-CS110</f>
        <v>3.2257450000000745</v>
      </c>
      <c r="CT105" s="67">
        <f>CT100-CT110</f>
        <v>-24.037671000000046</v>
      </c>
      <c r="CU105" s="67">
        <f>CU100-CU110</f>
        <v>1.7119260000000622</v>
      </c>
      <c r="CV105" s="67">
        <f>CV100-CV110</f>
        <v>1.5999999999999091</v>
      </c>
      <c r="CW105" s="93">
        <f>SUM(CS105:CV105)</f>
        <v>-17.5</v>
      </c>
      <c r="CX105" s="67"/>
      <c r="CY105" s="82">
        <f>CY100-CY110</f>
        <v>1.8000000000000682</v>
      </c>
      <c r="CZ105" s="67">
        <f>CZ100-CZ110</f>
        <v>1.8999999999999773</v>
      </c>
      <c r="DA105" s="67">
        <f>DA100-DA110</f>
        <v>1.1000000000000227</v>
      </c>
      <c r="DB105" s="67">
        <f>DB100-DB110</f>
        <v>0.60000000000002274</v>
      </c>
      <c r="DC105" s="93">
        <f>SUM(CY105:DB105)</f>
        <v>5.4000000000000909</v>
      </c>
      <c r="DD105" s="67"/>
      <c r="DE105" s="82">
        <f>DE100-DE110</f>
        <v>1.8999999999999773</v>
      </c>
      <c r="DF105" s="67">
        <f>DF100-DF110</f>
        <v>0.60000000000002274</v>
      </c>
      <c r="DG105" s="67">
        <f>DG100-DG110</f>
        <v>0.79999999999995453</v>
      </c>
      <c r="DH105" s="67">
        <f>DH100-DH110</f>
        <v>1.1000000000000227</v>
      </c>
      <c r="DI105" s="93">
        <f>SUM(DE105:DH105)</f>
        <v>4.3999999999999773</v>
      </c>
      <c r="DJ105" s="67"/>
      <c r="DK105" s="84">
        <v>2.2000000000000002</v>
      </c>
      <c r="DL105" s="71">
        <f t="shared" ref="DL105:DN106" si="439">+DK105</f>
        <v>2.2000000000000002</v>
      </c>
      <c r="DM105" s="71">
        <f t="shared" si="439"/>
        <v>2.2000000000000002</v>
      </c>
      <c r="DN105" s="71">
        <f t="shared" si="439"/>
        <v>2.2000000000000002</v>
      </c>
      <c r="DO105" s="93">
        <f>SUM(DK105:DN105)</f>
        <v>8.8000000000000007</v>
      </c>
      <c r="DP105" s="67"/>
      <c r="DQ105" s="84">
        <f>+DN105</f>
        <v>2.2000000000000002</v>
      </c>
      <c r="DR105" s="71">
        <f>+DQ105</f>
        <v>2.2000000000000002</v>
      </c>
      <c r="DS105" s="71">
        <f>+DR105</f>
        <v>2.2000000000000002</v>
      </c>
      <c r="DT105" s="71">
        <f>+DS105</f>
        <v>2.2000000000000002</v>
      </c>
      <c r="DU105" s="93">
        <f>SUM(DQ105:DT105)</f>
        <v>8.8000000000000007</v>
      </c>
      <c r="DV105" s="67"/>
      <c r="DW105" s="84">
        <f t="shared" ref="DW105" si="440">+DT105</f>
        <v>2.2000000000000002</v>
      </c>
      <c r="DX105" s="71">
        <f t="shared" ref="DX105:DZ105" si="441">+DW105</f>
        <v>2.2000000000000002</v>
      </c>
      <c r="DY105" s="71">
        <f t="shared" si="441"/>
        <v>2.2000000000000002</v>
      </c>
      <c r="DZ105" s="71">
        <f t="shared" si="441"/>
        <v>2.2000000000000002</v>
      </c>
      <c r="EA105" s="93">
        <f t="shared" ref="EA105" si="442">SUM(DW105:DZ105)</f>
        <v>8.8000000000000007</v>
      </c>
      <c r="EB105" s="67"/>
      <c r="EC105" s="84">
        <f t="shared" ref="EC105" si="443">+DZ105</f>
        <v>2.2000000000000002</v>
      </c>
      <c r="ED105" s="71">
        <f t="shared" ref="ED105" si="444">+EC105</f>
        <v>2.2000000000000002</v>
      </c>
      <c r="EE105" s="71">
        <f t="shared" ref="EE105" si="445">+ED105</f>
        <v>2.2000000000000002</v>
      </c>
      <c r="EF105" s="71">
        <f t="shared" ref="EF105" si="446">+EE105</f>
        <v>2.2000000000000002</v>
      </c>
      <c r="EG105" s="93">
        <f t="shared" ref="EG105" si="447">SUM(EC105:EF105)</f>
        <v>8.8000000000000007</v>
      </c>
      <c r="EH105" s="67"/>
      <c r="EI105" s="6"/>
      <c r="EJ105" s="6"/>
      <c r="EK105" s="6"/>
      <c r="EL105" s="6"/>
    </row>
    <row r="106" spans="1:142" ht="12.75" customHeight="1" x14ac:dyDescent="0.2">
      <c r="A106" s="51" t="s">
        <v>18</v>
      </c>
      <c r="B106" s="19"/>
      <c r="C106" s="19"/>
      <c r="D106" s="19"/>
      <c r="E106" s="95"/>
      <c r="F106" s="67"/>
      <c r="G106" s="95"/>
      <c r="H106" s="67"/>
      <c r="I106" s="95"/>
      <c r="J106" s="67"/>
      <c r="K106" s="95"/>
      <c r="L106" s="67"/>
      <c r="M106" s="85">
        <f>M107/M105</f>
        <v>16.11179361179375</v>
      </c>
      <c r="N106" s="73">
        <f>N107/N105</f>
        <v>12.695331695331808</v>
      </c>
      <c r="O106" s="73">
        <f>O107/O105</f>
        <v>4.1461916461916841</v>
      </c>
      <c r="P106" s="73">
        <f>P107/P105</f>
        <v>1.652334152334163</v>
      </c>
      <c r="Q106" s="95">
        <f>Q107/Q105</f>
        <v>8.6514127764128528</v>
      </c>
      <c r="R106" s="67"/>
      <c r="S106" s="85">
        <f>S107/S105</f>
        <v>0.20740013097576945</v>
      </c>
      <c r="T106" s="73">
        <f>T107/T105</f>
        <v>468.37548638132358</v>
      </c>
      <c r="U106" s="73">
        <f>U107/U105</f>
        <v>4.0893155258764642</v>
      </c>
      <c r="V106" s="73">
        <f>V107/V105</f>
        <v>9.1503906249987192</v>
      </c>
      <c r="W106" s="95">
        <f>W107/W105</f>
        <v>13.888723150357968</v>
      </c>
      <c r="X106" s="67"/>
      <c r="Y106" s="85">
        <f>Y107/Y105</f>
        <v>5.5126196692776279</v>
      </c>
      <c r="Z106" s="73">
        <f>Z107/Z105</f>
        <v>7.1523063533507338</v>
      </c>
      <c r="AA106" s="73">
        <f>AA107/AA105</f>
        <v>11.489991296779801</v>
      </c>
      <c r="AB106" s="73">
        <f>AB107/AB105</f>
        <v>19.793733681462118</v>
      </c>
      <c r="AC106" s="95">
        <f>AC107/AC105</f>
        <v>10.987162750217569</v>
      </c>
      <c r="AD106" s="67"/>
      <c r="AE106" s="85">
        <f>AE107/AE105</f>
        <v>14.765083440308157</v>
      </c>
      <c r="AF106" s="73">
        <f>AF107/AF105</f>
        <v>15.050064184852443</v>
      </c>
      <c r="AG106" s="73">
        <f>AG107/AG105</f>
        <v>13.750962772785691</v>
      </c>
      <c r="AH106" s="73">
        <f>AH107/AH105</f>
        <v>15.428754813863998</v>
      </c>
      <c r="AI106" s="95">
        <f>AI107/AI105</f>
        <v>14.748716302952573</v>
      </c>
      <c r="AJ106" s="67"/>
      <c r="AK106" s="85">
        <f>AK107/AK105</f>
        <v>32.707499999999996</v>
      </c>
      <c r="AL106" s="73">
        <f>AL107/AL105</f>
        <v>27.864999999999995</v>
      </c>
      <c r="AM106" s="73">
        <f>AM107/AM105</f>
        <v>33.78</v>
      </c>
      <c r="AN106" s="73">
        <f>AN107/AN105</f>
        <v>55.474999999999994</v>
      </c>
      <c r="AO106" s="95">
        <f>AO107/AO105</f>
        <v>37.456874999999997</v>
      </c>
      <c r="AP106" s="67"/>
      <c r="AQ106" s="85">
        <f>AQ107/AQ105</f>
        <v>34.955773955773957</v>
      </c>
      <c r="AR106" s="73">
        <f>AR107/AR105</f>
        <v>33.5993690851735</v>
      </c>
      <c r="AS106" s="73">
        <f>AS107/AS105</f>
        <v>41.073563218390802</v>
      </c>
      <c r="AT106" s="73">
        <f>AT107/AT105</f>
        <v>42.313025210084035</v>
      </c>
      <c r="AU106" s="95">
        <f>AU107/AU105</f>
        <v>36.776905829596416</v>
      </c>
      <c r="AV106" s="67"/>
      <c r="AW106" s="85">
        <f>AW107/AW105</f>
        <v>42.056064073226544</v>
      </c>
      <c r="AX106" s="73">
        <f>AX107/AX105</f>
        <v>41.954849498327761</v>
      </c>
      <c r="AY106" s="73">
        <f>AY107/AY105</f>
        <v>44.887152777777779</v>
      </c>
      <c r="AZ106" s="73">
        <f>AZ107/AZ105</f>
        <v>74.617163884873179</v>
      </c>
      <c r="BA106" s="95">
        <f>BA107/BA105</f>
        <v>64.385419411506376</v>
      </c>
      <c r="BB106" s="67"/>
      <c r="BC106" s="85">
        <f>BC107/BC105</f>
        <v>61.183856502242151</v>
      </c>
      <c r="BD106" s="73">
        <f>BD107/BD105</f>
        <v>30.144787644787641</v>
      </c>
      <c r="BE106" s="73">
        <f>BE107/BE105</f>
        <v>34.952267303102623</v>
      </c>
      <c r="BF106" s="73">
        <f>BF107/BF105</f>
        <v>132.94805194805218</v>
      </c>
      <c r="BG106" s="95">
        <f>BG107/BG105</f>
        <v>43.869079297498672</v>
      </c>
      <c r="BH106" s="67"/>
      <c r="BI106" s="85">
        <f>BI107/BI105</f>
        <v>48.445070422535217</v>
      </c>
      <c r="BJ106" s="73">
        <f>BJ107/BJ105</f>
        <v>32.098805646036915</v>
      </c>
      <c r="BK106" s="73">
        <f>BK107/BK105</f>
        <v>37.075892857142854</v>
      </c>
      <c r="BL106" s="73">
        <f>BL107/BL105</f>
        <v>42.777961432506892</v>
      </c>
      <c r="BM106" s="95">
        <f>BM107/BM105</f>
        <v>39.285907553551304</v>
      </c>
      <c r="BN106" s="67"/>
      <c r="BO106" s="85">
        <f>BO107/BO105</f>
        <v>17.873231132075471</v>
      </c>
      <c r="BP106" s="73">
        <f>BP107/BP105</f>
        <v>49.51464766429136</v>
      </c>
      <c r="BQ106" s="73">
        <f>BQ107/BQ105</f>
        <v>19.959016393442624</v>
      </c>
      <c r="BR106" s="73">
        <f>BR107/BR105</f>
        <v>33.191973969631256</v>
      </c>
      <c r="BS106" s="95">
        <f>BS107/BS105</f>
        <v>29.62078698323095</v>
      </c>
      <c r="BT106" s="67"/>
      <c r="BU106" s="85">
        <f>BU107/BU105</f>
        <v>29.624413145539904</v>
      </c>
      <c r="BV106" s="73">
        <f>BV107/BV105</f>
        <v>51.939844155844149</v>
      </c>
      <c r="BW106" s="73">
        <f>BW107/BW105</f>
        <v>12.552686590325191</v>
      </c>
      <c r="BX106" s="73">
        <f>BX107/BX105</f>
        <v>17.720150683030191</v>
      </c>
      <c r="BY106" s="95">
        <f>BY107/BY105</f>
        <v>45.051360170418413</v>
      </c>
      <c r="BZ106" s="67"/>
      <c r="CA106" s="85">
        <f>CA107/CA105</f>
        <v>20.52627638024034</v>
      </c>
      <c r="CB106" s="73">
        <f>CB107/CB105</f>
        <v>12.798821739702403</v>
      </c>
      <c r="CC106" s="73">
        <f>CC107/CC105</f>
        <v>-4.2800418797106907</v>
      </c>
      <c r="CD106" s="73">
        <f>CD107/CD105</f>
        <v>-4.6752074292965506</v>
      </c>
      <c r="CE106" s="95">
        <f>CE107/CE105</f>
        <v>-11.947809908150498</v>
      </c>
      <c r="CF106" s="67"/>
      <c r="CG106" s="85">
        <f>CG107/CG105</f>
        <v>10.428123439022194</v>
      </c>
      <c r="CH106" s="73">
        <f>CH107/CH105</f>
        <v>19.462880408462027</v>
      </c>
      <c r="CI106" s="73">
        <f>CI107/CI105</f>
        <v>23.729243809702503</v>
      </c>
      <c r="CJ106" s="73">
        <f>CJ107/CJ105</f>
        <v>31.882866569647874</v>
      </c>
      <c r="CK106" s="95">
        <f>CK107/CK105</f>
        <v>16.735849056603737</v>
      </c>
      <c r="CL106" s="67"/>
      <c r="CM106" s="85">
        <f>CM107/CM105</f>
        <v>20.949720670390821</v>
      </c>
      <c r="CN106" s="73">
        <f>CN107/CN105</f>
        <v>26.821170496713197</v>
      </c>
      <c r="CO106" s="73">
        <f>CO107/CO105</f>
        <v>7.0235912967243186</v>
      </c>
      <c r="CP106" s="73">
        <f>CP107/CP105</f>
        <v>35.998395926400306</v>
      </c>
      <c r="CQ106" s="95">
        <f>CQ107/CQ105</f>
        <v>21.435483870967978</v>
      </c>
      <c r="CR106" s="67"/>
      <c r="CS106" s="85">
        <f>CS107/CS105</f>
        <v>19.096363785729679</v>
      </c>
      <c r="CT106" s="73">
        <f>CT107/CT105</f>
        <v>-2.9079356315343476</v>
      </c>
      <c r="CU106" s="73">
        <f>CU107/CU105</f>
        <v>38.903550737588873</v>
      </c>
      <c r="CV106" s="1135">
        <f>CV107/CV105</f>
        <v>31.812500000001812</v>
      </c>
      <c r="CW106" s="95">
        <f>CW107/CW105</f>
        <v>-14.228571428571428</v>
      </c>
      <c r="CX106" s="67"/>
      <c r="CY106" s="85">
        <f t="shared" ref="CY106:DB106" si="448">CY107/CY105</f>
        <v>24.388888888887966</v>
      </c>
      <c r="CZ106" s="73">
        <f t="shared" si="448"/>
        <v>53.105263157895372</v>
      </c>
      <c r="DA106" s="73">
        <f t="shared" si="448"/>
        <v>10.72727272727249</v>
      </c>
      <c r="DB106" s="73">
        <f t="shared" si="448"/>
        <v>13.166666666666178</v>
      </c>
      <c r="DC106" s="95">
        <f>DC107/DC105</f>
        <v>30.46296296296245</v>
      </c>
      <c r="DD106" s="67"/>
      <c r="DE106" s="85">
        <f t="shared" ref="DE106:DF106" si="449">DE107/DE105</f>
        <v>10.789473684210655</v>
      </c>
      <c r="DF106" s="73">
        <f t="shared" si="449"/>
        <v>25.49999999999903</v>
      </c>
      <c r="DG106" s="73">
        <f t="shared" ref="DG106:DH106" si="450">DG107/DG105</f>
        <v>16.500000000000941</v>
      </c>
      <c r="DH106" s="73">
        <f t="shared" si="450"/>
        <v>17.999999999999627</v>
      </c>
      <c r="DI106" s="95">
        <f>DI107/DI105</f>
        <v>15.636363636363717</v>
      </c>
      <c r="DJ106" s="67"/>
      <c r="DK106" s="218">
        <v>30</v>
      </c>
      <c r="DL106" s="192">
        <f t="shared" si="439"/>
        <v>30</v>
      </c>
      <c r="DM106" s="192">
        <f t="shared" si="439"/>
        <v>30</v>
      </c>
      <c r="DN106" s="192">
        <f t="shared" si="439"/>
        <v>30</v>
      </c>
      <c r="DO106" s="95">
        <f>DO107/DO105</f>
        <v>29.999999999999996</v>
      </c>
      <c r="DP106" s="67"/>
      <c r="DQ106" s="218">
        <v>41.352262579314015</v>
      </c>
      <c r="DR106" s="192">
        <v>41.352262579314015</v>
      </c>
      <c r="DS106" s="192">
        <v>41.352262579314015</v>
      </c>
      <c r="DT106" s="192">
        <v>41.352262579314015</v>
      </c>
      <c r="DU106" s="95">
        <f>DU107/DU105</f>
        <v>41.352262579314015</v>
      </c>
      <c r="DV106" s="67"/>
      <c r="DW106" s="218">
        <v>41.352262579314015</v>
      </c>
      <c r="DX106" s="192">
        <v>41.352262579314015</v>
      </c>
      <c r="DY106" s="192">
        <v>41.352262579314015</v>
      </c>
      <c r="DZ106" s="192">
        <v>41.352262579314015</v>
      </c>
      <c r="EA106" s="95">
        <f>EA107/EA105</f>
        <v>41.352262579314015</v>
      </c>
      <c r="EB106" s="67"/>
      <c r="EC106" s="218">
        <v>41.352262579314015</v>
      </c>
      <c r="ED106" s="192">
        <v>41.352262579314015</v>
      </c>
      <c r="EE106" s="192">
        <v>41.352262579314015</v>
      </c>
      <c r="EF106" s="192">
        <v>41.352262579314015</v>
      </c>
      <c r="EG106" s="95">
        <f t="shared" ref="EG106" si="451">EG107/EG105</f>
        <v>41.352262579314015</v>
      </c>
      <c r="EH106" s="73"/>
      <c r="EI106" s="227" t="s">
        <v>177</v>
      </c>
      <c r="EJ106" s="228"/>
      <c r="EK106" s="229"/>
      <c r="EL106" s="6"/>
    </row>
    <row r="107" spans="1:142" ht="12.75" customHeight="1" x14ac:dyDescent="0.2">
      <c r="A107" s="50" t="s">
        <v>22</v>
      </c>
      <c r="B107" s="480"/>
      <c r="C107" s="480"/>
      <c r="D107" s="480"/>
      <c r="E107" s="163">
        <f>E40</f>
        <v>-11.166999999999998</v>
      </c>
      <c r="F107" s="164"/>
      <c r="G107" s="163">
        <f>G40</f>
        <v>28.479000000000003</v>
      </c>
      <c r="H107" s="164"/>
      <c r="I107" s="163">
        <f>I40</f>
        <v>87.986000000000004</v>
      </c>
      <c r="J107" s="164"/>
      <c r="K107" s="163">
        <f>K40</f>
        <v>26.58</v>
      </c>
      <c r="L107" s="164"/>
      <c r="M107" s="165">
        <f>M40</f>
        <v>13.115</v>
      </c>
      <c r="N107" s="164">
        <f>N40</f>
        <v>10.334000000000001</v>
      </c>
      <c r="O107" s="164">
        <f>O40</f>
        <v>3.3750000000000018</v>
      </c>
      <c r="P107" s="164">
        <f>P40</f>
        <v>1.3449999999999971</v>
      </c>
      <c r="Q107" s="163">
        <f>Q40</f>
        <v>28.169000000000004</v>
      </c>
      <c r="R107" s="164"/>
      <c r="S107" s="165">
        <f>S40</f>
        <v>6.3339999999999996</v>
      </c>
      <c r="T107" s="164">
        <f>T40</f>
        <v>481.49</v>
      </c>
      <c r="U107" s="164">
        <f>U40</f>
        <v>19.596000000000007</v>
      </c>
      <c r="V107" s="164">
        <f>V40</f>
        <v>4.6849999999999987</v>
      </c>
      <c r="W107" s="163">
        <f>W40</f>
        <v>512.10500000000002</v>
      </c>
      <c r="X107" s="164"/>
      <c r="Y107" s="165">
        <f>Y40</f>
        <v>6.3339999999999996</v>
      </c>
      <c r="Z107" s="164">
        <f>Z40</f>
        <v>8.218</v>
      </c>
      <c r="AA107" s="164">
        <f>AA40</f>
        <v>13.202000000000002</v>
      </c>
      <c r="AB107" s="164">
        <f>AB40</f>
        <v>22.742999999999991</v>
      </c>
      <c r="AC107" s="163">
        <f>AC40</f>
        <v>50.496999999999993</v>
      </c>
      <c r="AD107" s="164"/>
      <c r="AE107" s="165">
        <f>AE40</f>
        <v>11.502000000000001</v>
      </c>
      <c r="AF107" s="164">
        <f>AF40</f>
        <v>11.723999999999998</v>
      </c>
      <c r="AG107" s="164">
        <f>AG40</f>
        <v>10.712000000000003</v>
      </c>
      <c r="AH107" s="164">
        <f>AH40</f>
        <v>12.018999999999998</v>
      </c>
      <c r="AI107" s="163">
        <f>AI40</f>
        <v>45.957000000000001</v>
      </c>
      <c r="AJ107" s="164"/>
      <c r="AK107" s="165">
        <f>AK40</f>
        <v>13.083</v>
      </c>
      <c r="AL107" s="164">
        <f>AL40</f>
        <v>11.145999999999999</v>
      </c>
      <c r="AM107" s="164">
        <f>AM40</f>
        <v>13.512000000000002</v>
      </c>
      <c r="AN107" s="164">
        <f>AN40</f>
        <v>22.189999999999998</v>
      </c>
      <c r="AO107" s="163">
        <f>SUM(AK107:AN107)</f>
        <v>59.930999999999997</v>
      </c>
      <c r="AP107" s="164"/>
      <c r="AQ107" s="165">
        <f>AQ40</f>
        <v>28.454000000000001</v>
      </c>
      <c r="AR107" s="164">
        <f>AR40</f>
        <v>31.952999999999996</v>
      </c>
      <c r="AS107" s="164">
        <f>AS40</f>
        <v>17.867000000000004</v>
      </c>
      <c r="AT107" s="164">
        <f>AT40</f>
        <v>20.141000000000005</v>
      </c>
      <c r="AU107" s="163">
        <f>AU40</f>
        <v>98.415000000000006</v>
      </c>
      <c r="AV107" s="164"/>
      <c r="AW107" s="165">
        <f>AW40</f>
        <v>36.756999999999998</v>
      </c>
      <c r="AX107" s="164">
        <f>AX40</f>
        <v>25.088999999999999</v>
      </c>
      <c r="AY107" s="164">
        <f>AY40</f>
        <v>103.41999999999999</v>
      </c>
      <c r="AZ107" s="164">
        <f>AZ40</f>
        <v>567.76200000000006</v>
      </c>
      <c r="BA107" s="163">
        <f>SUM(AW107:AZ107)</f>
        <v>733.02800000000002</v>
      </c>
      <c r="BB107" s="164"/>
      <c r="BC107" s="165">
        <f>BC40</f>
        <v>27.288</v>
      </c>
      <c r="BD107" s="164">
        <f>BD40</f>
        <v>15.614999999999998</v>
      </c>
      <c r="BE107" s="164">
        <f>BE40</f>
        <v>29.290000000000003</v>
      </c>
      <c r="BF107" s="164">
        <f>BF40</f>
        <v>10.237000000000013</v>
      </c>
      <c r="BG107" s="163">
        <f>SUM(BC107:BF107)</f>
        <v>82.43</v>
      </c>
      <c r="BH107" s="164"/>
      <c r="BI107" s="165">
        <f>BI40</f>
        <v>17.198</v>
      </c>
      <c r="BJ107" s="164">
        <f>BJ40</f>
        <v>29.563000000000002</v>
      </c>
      <c r="BK107" s="164">
        <f>BK40</f>
        <v>49.83</v>
      </c>
      <c r="BL107" s="164">
        <f>BL40</f>
        <v>77.641999999999996</v>
      </c>
      <c r="BM107" s="163">
        <f>SUM(BI107:BL107)</f>
        <v>174.233</v>
      </c>
      <c r="BN107" s="164"/>
      <c r="BO107" s="165">
        <f>BO40</f>
        <v>30.312999999999999</v>
      </c>
      <c r="BP107" s="164">
        <f>BP40</f>
        <v>62.536999999999992</v>
      </c>
      <c r="BQ107" s="164">
        <f>BQ40</f>
        <v>24.350000000000009</v>
      </c>
      <c r="BR107" s="164">
        <f>BR40</f>
        <v>61.206000000000003</v>
      </c>
      <c r="BS107" s="163">
        <f>SUM(BO107:BR107)</f>
        <v>178.40600000000001</v>
      </c>
      <c r="BT107" s="164"/>
      <c r="BU107" s="165">
        <f>BU40</f>
        <v>50.48</v>
      </c>
      <c r="BV107" s="164">
        <f>BV40</f>
        <v>999.84199999999987</v>
      </c>
      <c r="BW107" s="164">
        <f>BW40</f>
        <v>9.9500000000000455</v>
      </c>
      <c r="BX107" s="164">
        <f>BX40</f>
        <v>52.228000000000065</v>
      </c>
      <c r="BY107" s="163">
        <f>SUM(BU107:BX107)</f>
        <v>1112.5</v>
      </c>
      <c r="BZ107" s="164"/>
      <c r="CA107" s="165">
        <f>CA40</f>
        <v>71</v>
      </c>
      <c r="CB107" s="164">
        <f>CB40</f>
        <v>33.299999999999997</v>
      </c>
      <c r="CC107" s="164">
        <f>CC40</f>
        <v>38.899999999999991</v>
      </c>
      <c r="CD107" s="164">
        <f>CD40</f>
        <v>68.800000000000011</v>
      </c>
      <c r="CE107" s="163">
        <f>SUM(CA107:CD107)</f>
        <v>212</v>
      </c>
      <c r="CF107" s="164"/>
      <c r="CG107" s="165">
        <f>CG40</f>
        <v>54.3</v>
      </c>
      <c r="CH107" s="164">
        <f>CH40</f>
        <v>55.7</v>
      </c>
      <c r="CI107" s="164">
        <f>CI40</f>
        <v>38.699999999999989</v>
      </c>
      <c r="CJ107" s="164">
        <f>CJ40</f>
        <v>28.700000000000017</v>
      </c>
      <c r="CK107" s="163">
        <f>SUM(CG107:CJ107)</f>
        <v>177.4</v>
      </c>
      <c r="CL107" s="164"/>
      <c r="CM107" s="165">
        <f>CM40</f>
        <v>30</v>
      </c>
      <c r="CN107" s="164">
        <f>CN40</f>
        <v>30.9</v>
      </c>
      <c r="CO107" s="164">
        <f>CO40</f>
        <v>14.100000000000001</v>
      </c>
      <c r="CP107" s="164">
        <f>CP40</f>
        <v>57.900000000000006</v>
      </c>
      <c r="CQ107" s="163">
        <f>SUM(CM107:CP107)</f>
        <v>132.9</v>
      </c>
      <c r="CR107" s="164"/>
      <c r="CS107" s="165">
        <f>CS40</f>
        <v>61.6</v>
      </c>
      <c r="CT107" s="164">
        <f>CT40</f>
        <v>69.900000000000006</v>
      </c>
      <c r="CU107" s="164">
        <f>CU40</f>
        <v>66.599999999999994</v>
      </c>
      <c r="CV107" s="164">
        <f>CV40</f>
        <v>50.900000000000006</v>
      </c>
      <c r="CW107" s="163">
        <f>SUM(CS107:CV107)</f>
        <v>249</v>
      </c>
      <c r="CX107" s="164"/>
      <c r="CY107" s="165">
        <f>CY40</f>
        <v>43.9</v>
      </c>
      <c r="CZ107" s="164">
        <f>CZ40</f>
        <v>100.9</v>
      </c>
      <c r="DA107" s="164">
        <f>DA40</f>
        <v>11.799999999999983</v>
      </c>
      <c r="DB107" s="164">
        <f>DB40</f>
        <v>7.9000000000000057</v>
      </c>
      <c r="DC107" s="163">
        <f>SUM(CY107:DB107)</f>
        <v>164.5</v>
      </c>
      <c r="DD107" s="164"/>
      <c r="DE107" s="165">
        <f>DE40</f>
        <v>20.5</v>
      </c>
      <c r="DF107" s="164">
        <f>DF40</f>
        <v>15.299999999999997</v>
      </c>
      <c r="DG107" s="164">
        <f>DG40</f>
        <v>13.200000000000003</v>
      </c>
      <c r="DH107" s="164">
        <f>DH40</f>
        <v>19.799999999999997</v>
      </c>
      <c r="DI107" s="163">
        <f>SUM(DE107:DH107)</f>
        <v>68.8</v>
      </c>
      <c r="DJ107" s="164"/>
      <c r="DK107" s="165">
        <f>DK105*DK106</f>
        <v>66</v>
      </c>
      <c r="DL107" s="164">
        <f>DL105*DL106</f>
        <v>66</v>
      </c>
      <c r="DM107" s="164">
        <f>DM105*DM106</f>
        <v>66</v>
      </c>
      <c r="DN107" s="164">
        <f>DN105*DN106</f>
        <v>66</v>
      </c>
      <c r="DO107" s="163">
        <f>SUM(DK107:DN107)</f>
        <v>264</v>
      </c>
      <c r="DP107" s="164"/>
      <c r="DQ107" s="165">
        <f>DQ105*DQ106</f>
        <v>90.974977674490844</v>
      </c>
      <c r="DR107" s="164">
        <f>DR105*DR106</f>
        <v>90.974977674490844</v>
      </c>
      <c r="DS107" s="164">
        <f>DS105*DS106</f>
        <v>90.974977674490844</v>
      </c>
      <c r="DT107" s="164">
        <f>DT105*DT106</f>
        <v>90.974977674490844</v>
      </c>
      <c r="DU107" s="163">
        <f>SUM(DQ107:DT107)</f>
        <v>363.89991069796338</v>
      </c>
      <c r="DV107" s="164"/>
      <c r="DW107" s="165">
        <f>DW105*DW106</f>
        <v>90.974977674490844</v>
      </c>
      <c r="DX107" s="164">
        <f>DX105*DX106</f>
        <v>90.974977674490844</v>
      </c>
      <c r="DY107" s="164">
        <f>DY105*DY106</f>
        <v>90.974977674490844</v>
      </c>
      <c r="DZ107" s="164">
        <f>DZ105*DZ106</f>
        <v>90.974977674490844</v>
      </c>
      <c r="EA107" s="163">
        <f>SUM(DW107:DZ107)</f>
        <v>363.89991069796338</v>
      </c>
      <c r="EB107" s="164"/>
      <c r="EC107" s="165">
        <f t="shared" ref="EC107:EF107" si="452">EC105*EC106</f>
        <v>90.974977674490844</v>
      </c>
      <c r="ED107" s="164">
        <f t="shared" si="452"/>
        <v>90.974977674490844</v>
      </c>
      <c r="EE107" s="164">
        <f t="shared" si="452"/>
        <v>90.974977674490844</v>
      </c>
      <c r="EF107" s="164">
        <f t="shared" si="452"/>
        <v>90.974977674490844</v>
      </c>
      <c r="EG107" s="163">
        <f t="shared" ref="EG107" si="453">SUM(EC107:EF107)</f>
        <v>363.89991069796338</v>
      </c>
      <c r="EH107" s="67"/>
      <c r="EI107" s="230" t="s">
        <v>178</v>
      </c>
      <c r="EJ107" s="73">
        <v>62.5</v>
      </c>
      <c r="EK107" s="231" t="s">
        <v>181</v>
      </c>
      <c r="EL107" s="6"/>
    </row>
    <row r="108" spans="1:142" ht="12.75" customHeight="1" x14ac:dyDescent="0.2">
      <c r="A108" s="51"/>
      <c r="B108" s="19"/>
      <c r="C108" s="19"/>
      <c r="D108" s="19"/>
      <c r="E108" s="93"/>
      <c r="F108" s="67"/>
      <c r="G108" s="93"/>
      <c r="H108" s="67"/>
      <c r="I108" s="93"/>
      <c r="J108" s="67"/>
      <c r="K108" s="93"/>
      <c r="L108" s="67"/>
      <c r="M108" s="82"/>
      <c r="N108" s="67"/>
      <c r="O108" s="67"/>
      <c r="P108" s="67"/>
      <c r="Q108" s="93"/>
      <c r="R108" s="67"/>
      <c r="S108" s="82"/>
      <c r="T108" s="67"/>
      <c r="U108" s="67"/>
      <c r="V108" s="67"/>
      <c r="W108" s="93"/>
      <c r="X108" s="67"/>
      <c r="Y108" s="82"/>
      <c r="Z108" s="67"/>
      <c r="AA108" s="67"/>
      <c r="AB108" s="67"/>
      <c r="AC108" s="93"/>
      <c r="AD108" s="67"/>
      <c r="AE108" s="82"/>
      <c r="AF108" s="67"/>
      <c r="AG108" s="67"/>
      <c r="AH108" s="67"/>
      <c r="AI108" s="93"/>
      <c r="AJ108" s="67"/>
      <c r="AK108" s="82"/>
      <c r="AL108" s="67"/>
      <c r="AM108" s="67"/>
      <c r="AN108" s="67"/>
      <c r="AO108" s="93"/>
      <c r="AP108" s="67"/>
      <c r="AQ108" s="82"/>
      <c r="AR108" s="67"/>
      <c r="AS108" s="67"/>
      <c r="AT108" s="67"/>
      <c r="AU108" s="93"/>
      <c r="AV108" s="67"/>
      <c r="AW108" s="82"/>
      <c r="AX108" s="67"/>
      <c r="AY108" s="67"/>
      <c r="AZ108" s="67"/>
      <c r="BA108" s="93"/>
      <c r="BB108" s="67"/>
      <c r="BC108" s="82"/>
      <c r="BD108" s="67"/>
      <c r="BE108" s="67"/>
      <c r="BF108" s="67"/>
      <c r="BG108" s="93"/>
      <c r="BH108" s="67"/>
      <c r="BI108" s="82"/>
      <c r="BJ108" s="67"/>
      <c r="BK108" s="67"/>
      <c r="BL108" s="67"/>
      <c r="BM108" s="93"/>
      <c r="BN108" s="67"/>
      <c r="BO108" s="82"/>
      <c r="BP108" s="67"/>
      <c r="BQ108" s="67"/>
      <c r="BR108" s="67"/>
      <c r="BS108" s="93"/>
      <c r="BT108" s="67"/>
      <c r="BU108" s="82"/>
      <c r="BV108" s="67"/>
      <c r="BW108" s="67"/>
      <c r="BX108" s="67"/>
      <c r="BY108" s="93"/>
      <c r="BZ108" s="67"/>
      <c r="CA108" s="82"/>
      <c r="CB108" s="67"/>
      <c r="CC108" s="67"/>
      <c r="CD108" s="67"/>
      <c r="CE108" s="93"/>
      <c r="CF108" s="67"/>
      <c r="CG108" s="82"/>
      <c r="CH108" s="67"/>
      <c r="CI108" s="67"/>
      <c r="CJ108" s="67"/>
      <c r="CK108" s="93"/>
      <c r="CL108" s="67"/>
      <c r="CM108" s="82"/>
      <c r="CN108" s="67"/>
      <c r="CO108" s="67"/>
      <c r="CP108" s="67"/>
      <c r="CQ108" s="93"/>
      <c r="CR108" s="67"/>
      <c r="CS108" s="82"/>
      <c r="CT108" s="67"/>
      <c r="CU108" s="67"/>
      <c r="CV108" s="67"/>
      <c r="CW108" s="93"/>
      <c r="CX108" s="67"/>
      <c r="CY108" s="82"/>
      <c r="CZ108" s="67"/>
      <c r="DA108" s="67"/>
      <c r="DB108" s="67"/>
      <c r="DC108" s="93"/>
      <c r="DD108" s="67"/>
      <c r="DE108" s="82"/>
      <c r="DF108" s="67"/>
      <c r="DG108" s="67"/>
      <c r="DH108" s="67"/>
      <c r="DI108" s="93"/>
      <c r="DJ108" s="67"/>
      <c r="DK108" s="82"/>
      <c r="DL108" s="67"/>
      <c r="DM108" s="67"/>
      <c r="DN108" s="67"/>
      <c r="DO108" s="93"/>
      <c r="DP108" s="67"/>
      <c r="DQ108" s="82"/>
      <c r="DR108" s="67"/>
      <c r="DS108" s="67"/>
      <c r="DT108" s="67"/>
      <c r="DU108" s="93"/>
      <c r="DV108" s="67"/>
      <c r="DW108" s="82"/>
      <c r="DX108" s="67"/>
      <c r="DY108" s="67"/>
      <c r="DZ108" s="67"/>
      <c r="EA108" s="93"/>
      <c r="EB108" s="67"/>
      <c r="EC108" s="82"/>
      <c r="ED108" s="67"/>
      <c r="EE108" s="67"/>
      <c r="EF108" s="67"/>
      <c r="EG108" s="93"/>
      <c r="EH108" s="67"/>
      <c r="EI108" s="230" t="s">
        <v>179</v>
      </c>
      <c r="EJ108" s="73">
        <v>36.74</v>
      </c>
      <c r="EK108" s="232">
        <v>42181</v>
      </c>
      <c r="EL108" s="6"/>
    </row>
    <row r="109" spans="1:142" ht="12.75" customHeight="1" x14ac:dyDescent="0.2">
      <c r="A109" s="51" t="s">
        <v>19</v>
      </c>
      <c r="B109" s="19"/>
      <c r="C109" s="19"/>
      <c r="D109" s="19"/>
      <c r="E109" s="92">
        <v>0</v>
      </c>
      <c r="F109" s="71"/>
      <c r="G109" s="92">
        <v>0</v>
      </c>
      <c r="H109" s="71"/>
      <c r="I109" s="92">
        <v>0</v>
      </c>
      <c r="J109" s="67"/>
      <c r="K109" s="92">
        <v>0</v>
      </c>
      <c r="L109" s="67"/>
      <c r="M109" s="84">
        <v>0</v>
      </c>
      <c r="N109" s="71">
        <v>0</v>
      </c>
      <c r="O109" s="71">
        <v>0</v>
      </c>
      <c r="P109" s="71">
        <v>0</v>
      </c>
      <c r="Q109" s="93">
        <f>K111</f>
        <v>0</v>
      </c>
      <c r="R109" s="67"/>
      <c r="S109" s="84">
        <v>0</v>
      </c>
      <c r="T109" s="71">
        <v>0</v>
      </c>
      <c r="U109" s="71">
        <v>0</v>
      </c>
      <c r="V109" s="71">
        <v>0</v>
      </c>
      <c r="W109" s="93">
        <f>Q111</f>
        <v>0</v>
      </c>
      <c r="X109" s="67"/>
      <c r="Y109" s="84">
        <v>0</v>
      </c>
      <c r="Z109" s="71">
        <v>0</v>
      </c>
      <c r="AA109" s="71">
        <v>0</v>
      </c>
      <c r="AB109" s="71">
        <v>0</v>
      </c>
      <c r="AC109" s="93">
        <f>W111</f>
        <v>0</v>
      </c>
      <c r="AD109" s="67"/>
      <c r="AE109" s="82">
        <f>AC111</f>
        <v>0</v>
      </c>
      <c r="AF109" s="67">
        <f>AE111</f>
        <v>0</v>
      </c>
      <c r="AG109" s="67">
        <f>AF111</f>
        <v>0</v>
      </c>
      <c r="AH109" s="67">
        <f>AG111</f>
        <v>0</v>
      </c>
      <c r="AI109" s="93">
        <f>AG111</f>
        <v>0</v>
      </c>
      <c r="AJ109" s="67"/>
      <c r="AK109" s="82">
        <f>AI111</f>
        <v>0</v>
      </c>
      <c r="AL109" s="67">
        <f>AK111</f>
        <v>0</v>
      </c>
      <c r="AM109" s="67">
        <f>AL111</f>
        <v>2.4831223252847159</v>
      </c>
      <c r="AN109" s="67">
        <f>AM111</f>
        <v>4.7876998702772475</v>
      </c>
      <c r="AO109" s="93">
        <f>AK109</f>
        <v>0</v>
      </c>
      <c r="AP109" s="67"/>
      <c r="AQ109" s="82">
        <f>AO111</f>
        <v>12.61812937770652</v>
      </c>
      <c r="AR109" s="67">
        <f>AQ111</f>
        <v>12.61812937770652</v>
      </c>
      <c r="AS109" s="67">
        <f>AR111</f>
        <v>12.61812937770652</v>
      </c>
      <c r="AT109" s="67">
        <f>AS111</f>
        <v>12.61812937770652</v>
      </c>
      <c r="AU109" s="93">
        <f>AQ109</f>
        <v>12.61812937770652</v>
      </c>
      <c r="AV109" s="67"/>
      <c r="AW109" s="82">
        <f>AU111</f>
        <v>12.61812937770652</v>
      </c>
      <c r="AX109" s="67">
        <f>AW111</f>
        <v>12.61812937770652</v>
      </c>
      <c r="AY109" s="67">
        <f>AX111</f>
        <v>16.903806379617155</v>
      </c>
      <c r="AZ109" s="67">
        <f>AY111</f>
        <v>16.903806379617155</v>
      </c>
      <c r="BA109" s="93">
        <f>AU111</f>
        <v>12.61812937770652</v>
      </c>
      <c r="BB109" s="67"/>
      <c r="BC109" s="82">
        <f>BA111</f>
        <v>16.903806379617155</v>
      </c>
      <c r="BD109" s="67">
        <f>BC111</f>
        <v>16.903806379617155</v>
      </c>
      <c r="BE109" s="67">
        <f>BD111</f>
        <v>16.903806379617155</v>
      </c>
      <c r="BF109" s="67">
        <f>BE111</f>
        <v>16.903806379617155</v>
      </c>
      <c r="BG109" s="93">
        <f>BA111</f>
        <v>16.903806379617155</v>
      </c>
      <c r="BH109" s="67"/>
      <c r="BI109" s="82">
        <f>BG111</f>
        <v>20.433012779770891</v>
      </c>
      <c r="BJ109" s="67">
        <f>BI111</f>
        <v>20.433012779770891</v>
      </c>
      <c r="BK109" s="67">
        <f>BJ111</f>
        <v>20.433012779770891</v>
      </c>
      <c r="BL109" s="67">
        <f>BK111</f>
        <v>20.433012779770891</v>
      </c>
      <c r="BM109" s="93">
        <f>BG111</f>
        <v>20.433012779770891</v>
      </c>
      <c r="BN109" s="67"/>
      <c r="BO109" s="82">
        <f>BM111</f>
        <v>20.433012779770891</v>
      </c>
      <c r="BP109" s="67">
        <f>BO111</f>
        <v>20.433012779770891</v>
      </c>
      <c r="BQ109" s="67">
        <f>BP111</f>
        <v>20.433012779770891</v>
      </c>
      <c r="BR109" s="67">
        <f>BQ111</f>
        <v>20.433012779770891</v>
      </c>
      <c r="BS109" s="93">
        <f>BM111</f>
        <v>20.433012779770891</v>
      </c>
      <c r="BT109" s="67"/>
      <c r="BU109" s="82">
        <f>BS111</f>
        <v>20.433012779770891</v>
      </c>
      <c r="BV109" s="67">
        <f>BU111</f>
        <v>20.433012779770891</v>
      </c>
      <c r="BW109" s="67">
        <f>BV111</f>
        <v>20.433012779770891</v>
      </c>
      <c r="BX109" s="67">
        <f>BW111</f>
        <v>20.433012779770891</v>
      </c>
      <c r="BY109" s="93">
        <f>BS111</f>
        <v>20.433012779770891</v>
      </c>
      <c r="BZ109" s="67"/>
      <c r="CA109" s="82">
        <f>BY111</f>
        <v>20.433012779770891</v>
      </c>
      <c r="CB109" s="67">
        <f>CA111</f>
        <v>20.433012779770891</v>
      </c>
      <c r="CC109" s="67">
        <f>CB111</f>
        <v>20.433012779770891</v>
      </c>
      <c r="CD109" s="67">
        <f>CC111</f>
        <v>26.854178893798093</v>
      </c>
      <c r="CE109" s="93">
        <f>BY111</f>
        <v>20.433012779770891</v>
      </c>
      <c r="CF109" s="67"/>
      <c r="CG109" s="82">
        <f>CD111</f>
        <v>36.382156489758081</v>
      </c>
      <c r="CH109" s="67">
        <f>CG111</f>
        <v>36.382156489758081</v>
      </c>
      <c r="CI109" s="67">
        <f>CH111</f>
        <v>36.382156489758081</v>
      </c>
      <c r="CJ109" s="67">
        <f>CI111</f>
        <v>36.382156489758081</v>
      </c>
      <c r="CK109" s="93">
        <f>CE111</f>
        <v>36.382156489758081</v>
      </c>
      <c r="CL109" s="67"/>
      <c r="CM109" s="82">
        <f>CJ111</f>
        <v>36.382156489758081</v>
      </c>
      <c r="CN109" s="67">
        <f>+CM111</f>
        <v>36.382156489758081</v>
      </c>
      <c r="CO109" s="67">
        <f>+CN111</f>
        <v>36.382156489758081</v>
      </c>
      <c r="CP109" s="67">
        <f>+CO111</f>
        <v>36.382156489758081</v>
      </c>
      <c r="CQ109" s="93">
        <f>CK111</f>
        <v>36.382156489758081</v>
      </c>
      <c r="CR109" s="67"/>
      <c r="CS109" s="82">
        <f>CP111</f>
        <v>36.382156489758081</v>
      </c>
      <c r="CT109" s="67">
        <f>+CS111</f>
        <v>36.382156489758081</v>
      </c>
      <c r="CU109" s="67">
        <f>+CT111</f>
        <v>36.382156489758081</v>
      </c>
      <c r="CV109" s="67">
        <f>+CU111</f>
        <v>36.382156489758081</v>
      </c>
      <c r="CW109" s="93">
        <f>CQ111</f>
        <v>36.382156489758081</v>
      </c>
      <c r="CX109" s="67"/>
      <c r="CY109" s="82">
        <f>CV111</f>
        <v>36.382156489758081</v>
      </c>
      <c r="CZ109" s="67">
        <f>+CY111</f>
        <v>36.382156489758081</v>
      </c>
      <c r="DA109" s="67">
        <f>+CZ111</f>
        <v>36.382156489758081</v>
      </c>
      <c r="DB109" s="67">
        <f>+DA111</f>
        <v>36.382156489758081</v>
      </c>
      <c r="DC109" s="93">
        <f>CW111</f>
        <v>36.382156489758081</v>
      </c>
      <c r="DD109" s="67"/>
      <c r="DE109" s="82">
        <f>DB111</f>
        <v>36.382156489758081</v>
      </c>
      <c r="DF109" s="67">
        <f>+DE111</f>
        <v>36.382156489758081</v>
      </c>
      <c r="DG109" s="67">
        <f>+DF111</f>
        <v>36.382156489758081</v>
      </c>
      <c r="DH109" s="67">
        <f>+DG111</f>
        <v>36.382156489758081</v>
      </c>
      <c r="DI109" s="93">
        <f>DC111</f>
        <v>36.382156489758081</v>
      </c>
      <c r="DJ109" s="67"/>
      <c r="DK109" s="82">
        <f>+DI111</f>
        <v>36.382156489758081</v>
      </c>
      <c r="DL109" s="67">
        <f>+DK111</f>
        <v>36.382156489758081</v>
      </c>
      <c r="DM109" s="67">
        <f>+DL111</f>
        <v>36.382156489758081</v>
      </c>
      <c r="DN109" s="67">
        <f>+DM111</f>
        <v>36.382156489758081</v>
      </c>
      <c r="DO109" s="93">
        <f>DI111</f>
        <v>36.382156489758081</v>
      </c>
      <c r="DP109" s="67"/>
      <c r="DQ109" s="82">
        <f>+DO111</f>
        <v>36.382156489758081</v>
      </c>
      <c r="DR109" s="67">
        <f>+DQ111</f>
        <v>36.382156489758081</v>
      </c>
      <c r="DS109" s="67">
        <f>+DR111</f>
        <v>36.382156489758081</v>
      </c>
      <c r="DT109" s="67">
        <f>+DS111</f>
        <v>36.382156489758081</v>
      </c>
      <c r="DU109" s="93">
        <f>DO111</f>
        <v>36.382156489758081</v>
      </c>
      <c r="DV109" s="67"/>
      <c r="DW109" s="82">
        <f>+DU111</f>
        <v>36.382156489758081</v>
      </c>
      <c r="DX109" s="67">
        <f>+DW111</f>
        <v>36.382156489758081</v>
      </c>
      <c r="DY109" s="67">
        <f>+DX111</f>
        <v>36.382156489758081</v>
      </c>
      <c r="DZ109" s="67">
        <f>+DY111</f>
        <v>36.382156489758081</v>
      </c>
      <c r="EA109" s="93">
        <f>DU111</f>
        <v>36.382156489758081</v>
      </c>
      <c r="EB109" s="67"/>
      <c r="EC109" s="82">
        <f t="shared" ref="EC109" si="454">+EA111</f>
        <v>36.382156489758081</v>
      </c>
      <c r="ED109" s="67">
        <f t="shared" ref="ED109:EF109" si="455">+EC111</f>
        <v>36.382156489758081</v>
      </c>
      <c r="EE109" s="67">
        <f t="shared" si="455"/>
        <v>36.382156489758081</v>
      </c>
      <c r="EF109" s="67">
        <f t="shared" si="455"/>
        <v>36.382156489758081</v>
      </c>
      <c r="EG109" s="93">
        <f t="shared" ref="EG109" si="456">EA111</f>
        <v>36.382156489758081</v>
      </c>
      <c r="EH109" s="67"/>
      <c r="EI109" s="230" t="s">
        <v>180</v>
      </c>
      <c r="EJ109" s="67">
        <f>+EJ107*EJ108</f>
        <v>2296.25</v>
      </c>
      <c r="EK109" s="231"/>
      <c r="EL109" s="6"/>
    </row>
    <row r="110" spans="1:142" ht="12.75" customHeight="1" x14ac:dyDescent="0.2">
      <c r="A110" s="51" t="s">
        <v>20</v>
      </c>
      <c r="B110" s="19"/>
      <c r="C110" s="19"/>
      <c r="D110" s="19"/>
      <c r="E110" s="92">
        <v>0</v>
      </c>
      <c r="F110" s="71"/>
      <c r="G110" s="92">
        <v>0</v>
      </c>
      <c r="H110" s="71"/>
      <c r="I110" s="92">
        <v>0</v>
      </c>
      <c r="J110" s="67"/>
      <c r="K110" s="92">
        <v>0</v>
      </c>
      <c r="L110" s="67"/>
      <c r="M110" s="84">
        <v>0</v>
      </c>
      <c r="N110" s="71">
        <v>0</v>
      </c>
      <c r="O110" s="71">
        <v>0</v>
      </c>
      <c r="P110" s="71">
        <v>0</v>
      </c>
      <c r="Q110" s="92">
        <v>0</v>
      </c>
      <c r="R110" s="67"/>
      <c r="S110" s="84">
        <v>0</v>
      </c>
      <c r="T110" s="71">
        <v>0</v>
      </c>
      <c r="U110" s="71">
        <v>0</v>
      </c>
      <c r="V110" s="71">
        <v>0</v>
      </c>
      <c r="W110" s="92">
        <v>0</v>
      </c>
      <c r="X110" s="67"/>
      <c r="Y110" s="84">
        <v>0</v>
      </c>
      <c r="Z110" s="71">
        <v>0</v>
      </c>
      <c r="AA110" s="71">
        <v>0</v>
      </c>
      <c r="AB110" s="71">
        <v>0</v>
      </c>
      <c r="AC110" s="92">
        <v>0</v>
      </c>
      <c r="AD110" s="67"/>
      <c r="AE110" s="84">
        <v>0</v>
      </c>
      <c r="AF110" s="71">
        <v>0</v>
      </c>
      <c r="AG110" s="71">
        <v>0</v>
      </c>
      <c r="AH110" s="71">
        <v>0</v>
      </c>
      <c r="AI110" s="92">
        <v>0</v>
      </c>
      <c r="AJ110" s="67"/>
      <c r="AK110" s="82">
        <f>AK114</f>
        <v>0</v>
      </c>
      <c r="AL110" s="67">
        <f>AL114</f>
        <v>2.4831223252847159</v>
      </c>
      <c r="AM110" s="67">
        <f>AM114</f>
        <v>2.3045775449925316</v>
      </c>
      <c r="AN110" s="67">
        <f>AN114</f>
        <v>7.8304295074292734</v>
      </c>
      <c r="AO110" s="93">
        <f>AO114</f>
        <v>12.61812937770652</v>
      </c>
      <c r="AP110" s="67"/>
      <c r="AQ110" s="82">
        <f>AQ114</f>
        <v>0</v>
      </c>
      <c r="AR110" s="67">
        <f>AR114</f>
        <v>0</v>
      </c>
      <c r="AS110" s="67">
        <f>AS114</f>
        <v>0</v>
      </c>
      <c r="AT110" s="67">
        <f>AT114</f>
        <v>0</v>
      </c>
      <c r="AU110" s="93">
        <f>AU114</f>
        <v>0</v>
      </c>
      <c r="AV110" s="67"/>
      <c r="AW110" s="82">
        <f>AW114</f>
        <v>0</v>
      </c>
      <c r="AX110" s="67">
        <f>AX114</f>
        <v>4.2856770019106349</v>
      </c>
      <c r="AY110" s="67">
        <f>AY114</f>
        <v>0</v>
      </c>
      <c r="AZ110" s="67">
        <f>AZ114</f>
        <v>0</v>
      </c>
      <c r="BA110" s="93">
        <f>BA114</f>
        <v>4.2856770019106349</v>
      </c>
      <c r="BB110" s="67"/>
      <c r="BC110" s="82">
        <f>BC114</f>
        <v>0</v>
      </c>
      <c r="BD110" s="67">
        <f>BD114</f>
        <v>0</v>
      </c>
      <c r="BE110" s="67">
        <f>BE114</f>
        <v>0</v>
      </c>
      <c r="BF110" s="67">
        <f>BF114</f>
        <v>3.5292064001537367</v>
      </c>
      <c r="BG110" s="93">
        <f>BG114</f>
        <v>3.5292064001537367</v>
      </c>
      <c r="BH110" s="67"/>
      <c r="BI110" s="82">
        <f>BI114</f>
        <v>0</v>
      </c>
      <c r="BJ110" s="67">
        <f>BJ114</f>
        <v>0</v>
      </c>
      <c r="BK110" s="67">
        <f>BK114</f>
        <v>0</v>
      </c>
      <c r="BL110" s="67">
        <f>BL114</f>
        <v>0</v>
      </c>
      <c r="BM110" s="93">
        <f>BM114</f>
        <v>0</v>
      </c>
      <c r="BN110" s="67"/>
      <c r="BO110" s="82">
        <f>BO114</f>
        <v>0</v>
      </c>
      <c r="BP110" s="67">
        <f>BP114</f>
        <v>0</v>
      </c>
      <c r="BQ110" s="67">
        <f>BQ114</f>
        <v>0</v>
      </c>
      <c r="BR110" s="67">
        <f>BR114</f>
        <v>0</v>
      </c>
      <c r="BS110" s="93">
        <f>BS114</f>
        <v>0</v>
      </c>
      <c r="BT110" s="67"/>
      <c r="BU110" s="82">
        <f>BU114</f>
        <v>0</v>
      </c>
      <c r="BV110" s="67">
        <f>BV114</f>
        <v>0</v>
      </c>
      <c r="BW110" s="67">
        <f>BW114</f>
        <v>0</v>
      </c>
      <c r="BX110" s="67">
        <f>BX114</f>
        <v>0</v>
      </c>
      <c r="BY110" s="93">
        <f>BY114</f>
        <v>0</v>
      </c>
      <c r="BZ110" s="67"/>
      <c r="CA110" s="82">
        <f>CA114</f>
        <v>0</v>
      </c>
      <c r="CB110" s="67">
        <f>CB114</f>
        <v>0</v>
      </c>
      <c r="CC110" s="67">
        <f>CC114</f>
        <v>6.4211661140272032</v>
      </c>
      <c r="CD110" s="67">
        <f>CD114</f>
        <v>9.5279775959599871</v>
      </c>
      <c r="CE110" s="93">
        <f>CE114</f>
        <v>15.94914370998719</v>
      </c>
      <c r="CF110" s="67"/>
      <c r="CG110" s="82">
        <f>CG114</f>
        <v>0</v>
      </c>
      <c r="CH110" s="67">
        <f>CH114</f>
        <v>0</v>
      </c>
      <c r="CI110" s="67">
        <f>CI114</f>
        <v>0</v>
      </c>
      <c r="CJ110" s="67">
        <f>CJ114</f>
        <v>0</v>
      </c>
      <c r="CK110" s="93">
        <f>CK114</f>
        <v>0</v>
      </c>
      <c r="CL110" s="67"/>
      <c r="CM110" s="82">
        <f>CM114</f>
        <v>0</v>
      </c>
      <c r="CN110" s="67">
        <f>CN114</f>
        <v>0</v>
      </c>
      <c r="CO110" s="67">
        <f>CO114</f>
        <v>0</v>
      </c>
      <c r="CP110" s="67">
        <f>CP114</f>
        <v>0</v>
      </c>
      <c r="CQ110" s="93">
        <f>CQ114</f>
        <v>0</v>
      </c>
      <c r="CR110" s="67"/>
      <c r="CS110" s="82">
        <f>CS114</f>
        <v>0</v>
      </c>
      <c r="CT110" s="67">
        <f>CT114</f>
        <v>0</v>
      </c>
      <c r="CU110" s="67">
        <f>-CU114</f>
        <v>0</v>
      </c>
      <c r="CV110" s="67">
        <f>CV114</f>
        <v>0</v>
      </c>
      <c r="CW110" s="93">
        <f>SUM(CS110:CV110)</f>
        <v>0</v>
      </c>
      <c r="CX110" s="67"/>
      <c r="CY110" s="82">
        <f>CY114</f>
        <v>0</v>
      </c>
      <c r="CZ110" s="67">
        <f>CZ114</f>
        <v>0</v>
      </c>
      <c r="DA110" s="67">
        <f>DA114</f>
        <v>0</v>
      </c>
      <c r="DB110" s="67">
        <f>DB114</f>
        <v>0</v>
      </c>
      <c r="DC110" s="93">
        <f>DC114</f>
        <v>0</v>
      </c>
      <c r="DD110" s="67"/>
      <c r="DE110" s="82">
        <f>DE114</f>
        <v>0</v>
      </c>
      <c r="DF110" s="67">
        <f>DF114</f>
        <v>0</v>
      </c>
      <c r="DG110" s="67">
        <f>DG114</f>
        <v>0</v>
      </c>
      <c r="DH110" s="67">
        <f>DH114</f>
        <v>0</v>
      </c>
      <c r="DI110" s="93">
        <f>DI114</f>
        <v>0</v>
      </c>
      <c r="DJ110" s="67"/>
      <c r="DK110" s="82">
        <f>DK114</f>
        <v>0</v>
      </c>
      <c r="DL110" s="67">
        <f>DL114</f>
        <v>0</v>
      </c>
      <c r="DM110" s="67">
        <f>-DM114</f>
        <v>0</v>
      </c>
      <c r="DN110" s="67">
        <f>DN114</f>
        <v>0</v>
      </c>
      <c r="DO110" s="93">
        <f>DO114</f>
        <v>0</v>
      </c>
      <c r="DP110" s="67"/>
      <c r="DQ110" s="82">
        <f>DQ114</f>
        <v>0</v>
      </c>
      <c r="DR110" s="67">
        <f>DR114</f>
        <v>0</v>
      </c>
      <c r="DS110" s="67">
        <f>-DS114</f>
        <v>0</v>
      </c>
      <c r="DT110" s="67">
        <f>DT114</f>
        <v>0</v>
      </c>
      <c r="DU110" s="93">
        <f>DU114</f>
        <v>0</v>
      </c>
      <c r="DV110" s="67"/>
      <c r="DW110" s="82">
        <f>DW114</f>
        <v>0</v>
      </c>
      <c r="DX110" s="67">
        <f>DX114</f>
        <v>0</v>
      </c>
      <c r="DY110" s="67">
        <f>-DY114</f>
        <v>0</v>
      </c>
      <c r="DZ110" s="67">
        <f>DZ114</f>
        <v>0</v>
      </c>
      <c r="EA110" s="93">
        <f>EA114</f>
        <v>0</v>
      </c>
      <c r="EB110" s="67"/>
      <c r="EC110" s="82">
        <f t="shared" ref="EC110:ED110" si="457">EC114</f>
        <v>0</v>
      </c>
      <c r="ED110" s="67">
        <f t="shared" si="457"/>
        <v>0</v>
      </c>
      <c r="EE110" s="67">
        <f t="shared" ref="EE110" si="458">-EE114</f>
        <v>0</v>
      </c>
      <c r="EF110" s="67">
        <f t="shared" ref="EF110:EG110" si="459">EF114</f>
        <v>0</v>
      </c>
      <c r="EG110" s="93">
        <f t="shared" si="459"/>
        <v>0</v>
      </c>
      <c r="EH110" s="67"/>
      <c r="EI110" s="230" t="s">
        <v>183</v>
      </c>
      <c r="EJ110" s="22">
        <v>7.0000000000000007E-2</v>
      </c>
      <c r="EK110" s="231"/>
      <c r="EL110" s="6"/>
    </row>
    <row r="111" spans="1:142" ht="12.75" customHeight="1" x14ac:dyDescent="0.2">
      <c r="A111" s="51" t="s">
        <v>21</v>
      </c>
      <c r="B111" s="19"/>
      <c r="C111" s="19"/>
      <c r="D111" s="19"/>
      <c r="E111" s="93">
        <v>0</v>
      </c>
      <c r="F111" s="71"/>
      <c r="G111" s="93">
        <v>0</v>
      </c>
      <c r="H111" s="71"/>
      <c r="I111" s="93">
        <v>0</v>
      </c>
      <c r="J111" s="67"/>
      <c r="K111" s="93">
        <f>SUM(K109:K110)</f>
        <v>0</v>
      </c>
      <c r="L111" s="67"/>
      <c r="M111" s="84">
        <v>0</v>
      </c>
      <c r="N111" s="71">
        <v>0</v>
      </c>
      <c r="O111" s="71">
        <v>0</v>
      </c>
      <c r="P111" s="71">
        <v>0</v>
      </c>
      <c r="Q111" s="93">
        <f>SUM(Q109:Q110)</f>
        <v>0</v>
      </c>
      <c r="R111" s="67"/>
      <c r="S111" s="84">
        <v>0</v>
      </c>
      <c r="T111" s="71">
        <v>0</v>
      </c>
      <c r="U111" s="71">
        <v>0</v>
      </c>
      <c r="V111" s="71">
        <v>0</v>
      </c>
      <c r="W111" s="93">
        <f>SUM(W109:W110)</f>
        <v>0</v>
      </c>
      <c r="X111" s="67"/>
      <c r="Y111" s="84">
        <v>0</v>
      </c>
      <c r="Z111" s="71">
        <v>0</v>
      </c>
      <c r="AA111" s="71">
        <v>0</v>
      </c>
      <c r="AB111" s="71">
        <v>0</v>
      </c>
      <c r="AC111" s="93">
        <f>SUM(AC109:AC110)</f>
        <v>0</v>
      </c>
      <c r="AD111" s="67"/>
      <c r="AE111" s="82">
        <f>SUM(AE109:AE110)</f>
        <v>0</v>
      </c>
      <c r="AF111" s="67">
        <f>SUM(AF109:AF110)</f>
        <v>0</v>
      </c>
      <c r="AG111" s="67">
        <f>SUM(AG109:AG110)</f>
        <v>0</v>
      </c>
      <c r="AH111" s="67">
        <f>SUM(AH109:AH110)</f>
        <v>0</v>
      </c>
      <c r="AI111" s="93">
        <f>SUM(AI109:AI110)</f>
        <v>0</v>
      </c>
      <c r="AJ111" s="67"/>
      <c r="AK111" s="82">
        <f>SUM(AK109:AK110)</f>
        <v>0</v>
      </c>
      <c r="AL111" s="67">
        <f>SUM(AL109:AL110)</f>
        <v>2.4831223252847159</v>
      </c>
      <c r="AM111" s="67">
        <f>SUM(AM109:AM110)</f>
        <v>4.7876998702772475</v>
      </c>
      <c r="AN111" s="67">
        <f>SUM(AN109:AN110)</f>
        <v>12.61812937770652</v>
      </c>
      <c r="AO111" s="93">
        <f>SUM(AO109:AO110)</f>
        <v>12.61812937770652</v>
      </c>
      <c r="AP111" s="67"/>
      <c r="AQ111" s="82">
        <f>SUM(AQ109:AQ110)</f>
        <v>12.61812937770652</v>
      </c>
      <c r="AR111" s="67">
        <f>SUM(AR109:AR110)</f>
        <v>12.61812937770652</v>
      </c>
      <c r="AS111" s="67">
        <f>SUM(AS109:AS110)</f>
        <v>12.61812937770652</v>
      </c>
      <c r="AT111" s="67">
        <f>SUM(AT109:AT110)</f>
        <v>12.61812937770652</v>
      </c>
      <c r="AU111" s="93">
        <f>SUM(AU109:AU110)</f>
        <v>12.61812937770652</v>
      </c>
      <c r="AV111" s="67"/>
      <c r="AW111" s="82">
        <f>SUM(AW109:AW110)</f>
        <v>12.61812937770652</v>
      </c>
      <c r="AX111" s="67">
        <f>SUM(AX109:AX110)</f>
        <v>16.903806379617155</v>
      </c>
      <c r="AY111" s="67">
        <f>SUM(AY109:AY110)</f>
        <v>16.903806379617155</v>
      </c>
      <c r="AZ111" s="67">
        <f>SUM(AZ109:AZ110)</f>
        <v>16.903806379617155</v>
      </c>
      <c r="BA111" s="93">
        <f>SUM(BA109:BA110)</f>
        <v>16.903806379617155</v>
      </c>
      <c r="BB111" s="67"/>
      <c r="BC111" s="82">
        <f>SUM(BC109:BC110)</f>
        <v>16.903806379617155</v>
      </c>
      <c r="BD111" s="67">
        <f>SUM(BD109:BD110)</f>
        <v>16.903806379617155</v>
      </c>
      <c r="BE111" s="67">
        <f>SUM(BE109:BE110)</f>
        <v>16.903806379617155</v>
      </c>
      <c r="BF111" s="67">
        <f>SUM(BF109:BF110)</f>
        <v>20.433012779770891</v>
      </c>
      <c r="BG111" s="93">
        <f>SUM(BG109:BG110)</f>
        <v>20.433012779770891</v>
      </c>
      <c r="BH111" s="67"/>
      <c r="BI111" s="82">
        <f>SUM(BI109:BI110)</f>
        <v>20.433012779770891</v>
      </c>
      <c r="BJ111" s="67">
        <f>SUM(BJ109:BJ110)</f>
        <v>20.433012779770891</v>
      </c>
      <c r="BK111" s="67">
        <f>SUM(BK109:BK110)</f>
        <v>20.433012779770891</v>
      </c>
      <c r="BL111" s="67">
        <f>SUM(BL109:BL110)</f>
        <v>20.433012779770891</v>
      </c>
      <c r="BM111" s="93">
        <f>SUM(BM109:BM110)</f>
        <v>20.433012779770891</v>
      </c>
      <c r="BN111" s="67"/>
      <c r="BO111" s="82">
        <f>SUM(BO109:BO110)</f>
        <v>20.433012779770891</v>
      </c>
      <c r="BP111" s="67">
        <f>SUM(BP109:BP110)</f>
        <v>20.433012779770891</v>
      </c>
      <c r="BQ111" s="67">
        <f>SUM(BQ109:BQ110)</f>
        <v>20.433012779770891</v>
      </c>
      <c r="BR111" s="67">
        <f>SUM(BR109:BR110)</f>
        <v>20.433012779770891</v>
      </c>
      <c r="BS111" s="93">
        <f>SUM(BS109:BS110)</f>
        <v>20.433012779770891</v>
      </c>
      <c r="BT111" s="67"/>
      <c r="BU111" s="82">
        <f>SUM(BU109:BU110)</f>
        <v>20.433012779770891</v>
      </c>
      <c r="BV111" s="67">
        <f>SUM(BV109:BV110)</f>
        <v>20.433012779770891</v>
      </c>
      <c r="BW111" s="67">
        <f>SUM(BW109:BW110)</f>
        <v>20.433012779770891</v>
      </c>
      <c r="BX111" s="67">
        <f>SUM(BX109:BX110)</f>
        <v>20.433012779770891</v>
      </c>
      <c r="BY111" s="93">
        <f>SUM(BY109:BY110)</f>
        <v>20.433012779770891</v>
      </c>
      <c r="BZ111" s="67"/>
      <c r="CA111" s="82">
        <f>SUM(CA109:CA110)</f>
        <v>20.433012779770891</v>
      </c>
      <c r="CB111" s="67">
        <f>SUM(CB109:CB110)</f>
        <v>20.433012779770891</v>
      </c>
      <c r="CC111" s="67">
        <f>SUM(CC109:CC110)</f>
        <v>26.854178893798093</v>
      </c>
      <c r="CD111" s="67">
        <f>SUM(CD109:CD110)</f>
        <v>36.382156489758081</v>
      </c>
      <c r="CE111" s="93">
        <f>SUM(CE109:CE110)</f>
        <v>36.382156489758081</v>
      </c>
      <c r="CF111" s="67"/>
      <c r="CG111" s="82">
        <f>SUM(CG109:CG110)</f>
        <v>36.382156489758081</v>
      </c>
      <c r="CH111" s="67">
        <f>SUM(CH109:CH110)</f>
        <v>36.382156489758081</v>
      </c>
      <c r="CI111" s="67">
        <f>SUM(CI109:CI110)</f>
        <v>36.382156489758081</v>
      </c>
      <c r="CJ111" s="67">
        <f>SUM(CJ109:CJ110)</f>
        <v>36.382156489758081</v>
      </c>
      <c r="CK111" s="93">
        <f>SUM(CK109:CK110)</f>
        <v>36.382156489758081</v>
      </c>
      <c r="CL111" s="67"/>
      <c r="CM111" s="82">
        <f>SUM(CM109:CM110)</f>
        <v>36.382156489758081</v>
      </c>
      <c r="CN111" s="67">
        <f>SUM(CN109:CN110)</f>
        <v>36.382156489758081</v>
      </c>
      <c r="CO111" s="67">
        <f>SUM(CO109:CO110)</f>
        <v>36.382156489758081</v>
      </c>
      <c r="CP111" s="67">
        <f>SUM(CP109:CP110)</f>
        <v>36.382156489758081</v>
      </c>
      <c r="CQ111" s="93">
        <f>SUM(CQ109:CQ110)</f>
        <v>36.382156489758081</v>
      </c>
      <c r="CR111" s="67"/>
      <c r="CS111" s="82">
        <f>SUM(CS109:CS110)</f>
        <v>36.382156489758081</v>
      </c>
      <c r="CT111" s="67">
        <f>SUM(CT109:CT110)</f>
        <v>36.382156489758081</v>
      </c>
      <c r="CU111" s="67">
        <f>SUM(CU109:CU110)</f>
        <v>36.382156489758081</v>
      </c>
      <c r="CV111" s="67">
        <f>SUM(CV109:CV110)</f>
        <v>36.382156489758081</v>
      </c>
      <c r="CW111" s="93">
        <f>SUM(CW109:CW110)</f>
        <v>36.382156489758081</v>
      </c>
      <c r="CX111" s="67"/>
      <c r="CY111" s="82">
        <f>SUM(CY109:CY110)</f>
        <v>36.382156489758081</v>
      </c>
      <c r="CZ111" s="67">
        <f>SUM(CZ109:CZ110)</f>
        <v>36.382156489758081</v>
      </c>
      <c r="DA111" s="67">
        <f>SUM(DA109:DA110)</f>
        <v>36.382156489758081</v>
      </c>
      <c r="DB111" s="67">
        <f>SUM(DB109:DB110)</f>
        <v>36.382156489758081</v>
      </c>
      <c r="DC111" s="93">
        <f>SUM(DC109:DC110)</f>
        <v>36.382156489758081</v>
      </c>
      <c r="DD111" s="67"/>
      <c r="DE111" s="82">
        <f>SUM(DE109:DE110)</f>
        <v>36.382156489758081</v>
      </c>
      <c r="DF111" s="67">
        <f>SUM(DF109:DF110)</f>
        <v>36.382156489758081</v>
      </c>
      <c r="DG111" s="67">
        <f>SUM(DG109:DG110)</f>
        <v>36.382156489758081</v>
      </c>
      <c r="DH111" s="67">
        <f>SUM(DH109:DH110)</f>
        <v>36.382156489758081</v>
      </c>
      <c r="DI111" s="93">
        <f>SUM(DI109:DI110)</f>
        <v>36.382156489758081</v>
      </c>
      <c r="DJ111" s="67"/>
      <c r="DK111" s="82">
        <f>SUM(DK109:DK110)</f>
        <v>36.382156489758081</v>
      </c>
      <c r="DL111" s="67">
        <f>SUM(DL109:DL110)</f>
        <v>36.382156489758081</v>
      </c>
      <c r="DM111" s="67">
        <f>SUM(DM109:DM110)</f>
        <v>36.382156489758081</v>
      </c>
      <c r="DN111" s="67">
        <f>SUM(DN109:DN110)</f>
        <v>36.382156489758081</v>
      </c>
      <c r="DO111" s="93">
        <f>SUM(DO109:DO110)</f>
        <v>36.382156489758081</v>
      </c>
      <c r="DP111" s="67"/>
      <c r="DQ111" s="82">
        <f>SUM(DQ109:DQ110)</f>
        <v>36.382156489758081</v>
      </c>
      <c r="DR111" s="67">
        <f>SUM(DR109:DR110)</f>
        <v>36.382156489758081</v>
      </c>
      <c r="DS111" s="67">
        <f>SUM(DS109:DS110)</f>
        <v>36.382156489758081</v>
      </c>
      <c r="DT111" s="67">
        <f>SUM(DT109:DT110)</f>
        <v>36.382156489758081</v>
      </c>
      <c r="DU111" s="93">
        <f>SUM(DU109:DU110)</f>
        <v>36.382156489758081</v>
      </c>
      <c r="DV111" s="67"/>
      <c r="DW111" s="82">
        <f>SUM(DW109:DW110)</f>
        <v>36.382156489758081</v>
      </c>
      <c r="DX111" s="67">
        <f>SUM(DX109:DX110)</f>
        <v>36.382156489758081</v>
      </c>
      <c r="DY111" s="67">
        <f>SUM(DY109:DY110)</f>
        <v>36.382156489758081</v>
      </c>
      <c r="DZ111" s="67">
        <f>SUM(DZ109:DZ110)</f>
        <v>36.382156489758081</v>
      </c>
      <c r="EA111" s="93">
        <f>SUM(EA109:EA110)</f>
        <v>36.382156489758081</v>
      </c>
      <c r="EB111" s="67"/>
      <c r="EC111" s="82">
        <f t="shared" ref="EC111:EG111" si="460">SUM(EC109:EC110)</f>
        <v>36.382156489758081</v>
      </c>
      <c r="ED111" s="67">
        <f t="shared" si="460"/>
        <v>36.382156489758081</v>
      </c>
      <c r="EE111" s="67">
        <f t="shared" si="460"/>
        <v>36.382156489758081</v>
      </c>
      <c r="EF111" s="67">
        <f t="shared" si="460"/>
        <v>36.382156489758081</v>
      </c>
      <c r="EG111" s="93">
        <f t="shared" si="460"/>
        <v>36.382156489758081</v>
      </c>
      <c r="EH111" s="67"/>
      <c r="EI111" s="230" t="s">
        <v>184</v>
      </c>
      <c r="EJ111" s="67">
        <f>+EJ109*(1-EJ110)</f>
        <v>2135.5124999999998</v>
      </c>
      <c r="EK111" s="233"/>
      <c r="EL111" s="6"/>
    </row>
    <row r="112" spans="1:142" ht="12.75" customHeight="1" x14ac:dyDescent="0.2">
      <c r="A112" s="51"/>
      <c r="B112" s="19"/>
      <c r="C112" s="19"/>
      <c r="D112" s="19"/>
      <c r="E112" s="93"/>
      <c r="F112" s="67"/>
      <c r="G112" s="93"/>
      <c r="H112" s="67"/>
      <c r="I112" s="93"/>
      <c r="J112" s="67"/>
      <c r="K112" s="93"/>
      <c r="L112" s="67"/>
      <c r="M112" s="82"/>
      <c r="N112" s="67"/>
      <c r="O112" s="67"/>
      <c r="P112" s="67"/>
      <c r="Q112" s="93"/>
      <c r="R112" s="67"/>
      <c r="S112" s="82"/>
      <c r="T112" s="67"/>
      <c r="U112" s="67"/>
      <c r="V112" s="67"/>
      <c r="W112" s="93"/>
      <c r="X112" s="67"/>
      <c r="Y112" s="82"/>
      <c r="Z112" s="67"/>
      <c r="AA112" s="67"/>
      <c r="AB112" s="67"/>
      <c r="AC112" s="93"/>
      <c r="AD112" s="67"/>
      <c r="AE112" s="82"/>
      <c r="AF112" s="67"/>
      <c r="AG112" s="67"/>
      <c r="AH112" s="67"/>
      <c r="AI112" s="93"/>
      <c r="AJ112" s="67"/>
      <c r="AK112" s="82"/>
      <c r="AL112" s="67"/>
      <c r="AM112" s="67"/>
      <c r="AN112" s="67"/>
      <c r="AO112" s="93"/>
      <c r="AP112" s="67"/>
      <c r="AQ112" s="82"/>
      <c r="AR112" s="67"/>
      <c r="AS112" s="67"/>
      <c r="AT112" s="67"/>
      <c r="AU112" s="93"/>
      <c r="AV112" s="67"/>
      <c r="AW112" s="82"/>
      <c r="AX112" s="67"/>
      <c r="AY112" s="67"/>
      <c r="AZ112" s="67"/>
      <c r="BA112" s="93"/>
      <c r="BB112" s="67"/>
      <c r="BC112" s="82"/>
      <c r="BD112" s="67"/>
      <c r="BE112" s="67"/>
      <c r="BF112" s="67"/>
      <c r="BG112" s="93"/>
      <c r="BH112" s="67"/>
      <c r="BI112" s="82"/>
      <c r="BJ112" s="67"/>
      <c r="BK112" s="67"/>
      <c r="BL112" s="67"/>
      <c r="BM112" s="93"/>
      <c r="BN112" s="67"/>
      <c r="BO112" s="82"/>
      <c r="BP112" s="67"/>
      <c r="BQ112" s="67"/>
      <c r="BR112" s="67"/>
      <c r="BS112" s="93"/>
      <c r="BT112" s="67"/>
      <c r="BU112" s="82"/>
      <c r="BV112" s="67"/>
      <c r="BW112" s="67"/>
      <c r="BX112" s="67"/>
      <c r="BY112" s="93"/>
      <c r="BZ112" s="67"/>
      <c r="CA112" s="82"/>
      <c r="CB112" s="67"/>
      <c r="CC112" s="67"/>
      <c r="CD112" s="67"/>
      <c r="CE112" s="93"/>
      <c r="CF112" s="67"/>
      <c r="CG112" s="82"/>
      <c r="CH112" s="67"/>
      <c r="CI112" s="67"/>
      <c r="CJ112" s="67"/>
      <c r="CK112" s="93"/>
      <c r="CL112" s="67"/>
      <c r="CM112" s="82"/>
      <c r="CN112" s="67"/>
      <c r="CO112" s="67"/>
      <c r="CP112" s="67"/>
      <c r="CQ112" s="93"/>
      <c r="CR112" s="67"/>
      <c r="CS112" s="82"/>
      <c r="CT112" s="67"/>
      <c r="CU112" s="67"/>
      <c r="CV112" s="67"/>
      <c r="CW112" s="93"/>
      <c r="CX112" s="67"/>
      <c r="CY112" s="82"/>
      <c r="CZ112" s="67"/>
      <c r="DA112" s="67"/>
      <c r="DB112" s="67"/>
      <c r="DC112" s="93"/>
      <c r="DD112" s="67"/>
      <c r="DE112" s="82"/>
      <c r="DF112" s="67"/>
      <c r="DG112" s="67"/>
      <c r="DH112" s="67"/>
      <c r="DI112" s="93"/>
      <c r="DJ112" s="67"/>
      <c r="DK112" s="82"/>
      <c r="DL112" s="67"/>
      <c r="DM112" s="67"/>
      <c r="DN112" s="67"/>
      <c r="DO112" s="93"/>
      <c r="DP112" s="67"/>
      <c r="DQ112" s="82"/>
      <c r="DR112" s="67"/>
      <c r="DS112" s="67"/>
      <c r="DT112" s="67"/>
      <c r="DU112" s="93"/>
      <c r="DV112" s="67"/>
      <c r="DW112" s="82"/>
      <c r="DX112" s="67"/>
      <c r="DY112" s="67"/>
      <c r="DZ112" s="67"/>
      <c r="EA112" s="93"/>
      <c r="EB112" s="67"/>
      <c r="EC112" s="82"/>
      <c r="ED112" s="67"/>
      <c r="EE112" s="67"/>
      <c r="EF112" s="67"/>
      <c r="EG112" s="93"/>
      <c r="EH112" s="67"/>
      <c r="EI112" s="234"/>
      <c r="EJ112" s="67"/>
      <c r="EK112" s="232"/>
      <c r="EL112" s="6"/>
    </row>
    <row r="113" spans="1:148" ht="12.75" customHeight="1" x14ac:dyDescent="0.2">
      <c r="A113" s="50" t="s">
        <v>370</v>
      </c>
      <c r="B113" s="19"/>
      <c r="C113" s="19"/>
      <c r="D113" s="19"/>
      <c r="E113" s="93"/>
      <c r="F113" s="67"/>
      <c r="G113" s="93"/>
      <c r="H113" s="67"/>
      <c r="I113" s="93"/>
      <c r="J113" s="67"/>
      <c r="K113" s="93"/>
      <c r="L113" s="67"/>
      <c r="M113" s="82"/>
      <c r="N113" s="67"/>
      <c r="O113" s="67"/>
      <c r="P113" s="67"/>
      <c r="Q113" s="93"/>
      <c r="R113" s="67"/>
      <c r="S113" s="82"/>
      <c r="T113" s="67"/>
      <c r="U113" s="67"/>
      <c r="V113" s="67"/>
      <c r="W113" s="93"/>
      <c r="X113" s="67"/>
      <c r="Y113" s="82"/>
      <c r="Z113" s="67"/>
      <c r="AA113" s="67"/>
      <c r="AB113" s="67"/>
      <c r="AC113" s="93"/>
      <c r="AD113" s="67"/>
      <c r="AE113" s="82"/>
      <c r="AF113" s="67"/>
      <c r="AG113" s="67"/>
      <c r="AH113" s="67"/>
      <c r="AI113" s="93"/>
      <c r="AJ113" s="67"/>
      <c r="AK113" s="82"/>
      <c r="AL113" s="67"/>
      <c r="AM113" s="67"/>
      <c r="AN113" s="67"/>
      <c r="AO113" s="93"/>
      <c r="AP113" s="67"/>
      <c r="AQ113" s="82"/>
      <c r="AR113" s="67"/>
      <c r="AS113" s="67"/>
      <c r="AT113" s="67"/>
      <c r="AU113" s="93"/>
      <c r="AV113" s="67"/>
      <c r="AW113" s="82"/>
      <c r="AX113" s="67"/>
      <c r="AY113" s="67"/>
      <c r="AZ113" s="67"/>
      <c r="BA113" s="93"/>
      <c r="BB113" s="67"/>
      <c r="BC113" s="82"/>
      <c r="BD113" s="67"/>
      <c r="BE113" s="67"/>
      <c r="BF113" s="67"/>
      <c r="BG113" s="93"/>
      <c r="BH113" s="67"/>
      <c r="BI113" s="82"/>
      <c r="BJ113" s="67"/>
      <c r="BK113" s="67"/>
      <c r="BL113" s="67"/>
      <c r="BM113" s="93"/>
      <c r="BN113" s="67"/>
      <c r="BO113" s="82"/>
      <c r="BP113" s="67"/>
      <c r="BQ113" s="67"/>
      <c r="BR113" s="67"/>
      <c r="BS113" s="93"/>
      <c r="BT113" s="67"/>
      <c r="BU113" s="82"/>
      <c r="BV113" s="67"/>
      <c r="BW113" s="67"/>
      <c r="BX113" s="67"/>
      <c r="BY113" s="93"/>
      <c r="BZ113" s="67"/>
      <c r="CA113" s="82"/>
      <c r="CB113" s="67"/>
      <c r="CC113" s="67"/>
      <c r="CD113" s="67"/>
      <c r="CE113" s="93"/>
      <c r="CF113" s="67"/>
      <c r="CG113" s="82"/>
      <c r="CH113" s="67"/>
      <c r="CI113" s="67"/>
      <c r="CJ113" s="67"/>
      <c r="CK113" s="93"/>
      <c r="CL113" s="67"/>
      <c r="CM113" s="82"/>
      <c r="CN113" s="67"/>
      <c r="CO113" s="67"/>
      <c r="CP113" s="67"/>
      <c r="CQ113" s="93"/>
      <c r="CR113" s="67"/>
      <c r="CS113" s="82"/>
      <c r="CT113" s="67"/>
      <c r="CU113" s="67"/>
      <c r="CV113" s="67"/>
      <c r="CW113" s="93"/>
      <c r="CX113" s="67"/>
      <c r="CY113" s="82"/>
      <c r="CZ113" s="67"/>
      <c r="DA113" s="67"/>
      <c r="DB113" s="67"/>
      <c r="DC113" s="93"/>
      <c r="DD113" s="67"/>
      <c r="DE113" s="82"/>
      <c r="DF113" s="67"/>
      <c r="DG113" s="67"/>
      <c r="DH113" s="67"/>
      <c r="DI113" s="93"/>
      <c r="DJ113" s="67"/>
      <c r="DK113" s="82"/>
      <c r="DL113" s="67"/>
      <c r="DM113" s="67"/>
      <c r="DN113" s="67"/>
      <c r="DO113" s="93"/>
      <c r="DP113" s="67"/>
      <c r="DQ113" s="82"/>
      <c r="DR113" s="67"/>
      <c r="DS113" s="67"/>
      <c r="DT113" s="67"/>
      <c r="DU113" s="93"/>
      <c r="DV113" s="67"/>
      <c r="DW113" s="82"/>
      <c r="DX113" s="67"/>
      <c r="DY113" s="67"/>
      <c r="DZ113" s="67"/>
      <c r="EA113" s="93"/>
      <c r="EB113" s="67"/>
      <c r="EC113" s="82"/>
      <c r="ED113" s="67"/>
      <c r="EE113" s="67"/>
      <c r="EF113" s="67"/>
      <c r="EG113" s="93"/>
      <c r="EH113" s="67"/>
      <c r="EI113" s="234"/>
      <c r="EJ113" s="67"/>
      <c r="EK113" s="232"/>
      <c r="EL113" s="6"/>
    </row>
    <row r="114" spans="1:148" ht="12.75" customHeight="1" x14ac:dyDescent="0.2">
      <c r="A114" s="51" t="s">
        <v>20</v>
      </c>
      <c r="B114" s="19"/>
      <c r="C114" s="19"/>
      <c r="D114" s="19"/>
      <c r="E114" s="93">
        <f>+E115/E116</f>
        <v>0</v>
      </c>
      <c r="F114" s="67"/>
      <c r="G114" s="93">
        <f>+G115/G116</f>
        <v>0</v>
      </c>
      <c r="H114" s="67"/>
      <c r="I114" s="93">
        <f>+I115/I116</f>
        <v>0</v>
      </c>
      <c r="J114" s="67"/>
      <c r="K114" s="93">
        <f>+K115/K116</f>
        <v>8.4221020634251076</v>
      </c>
      <c r="L114" s="67"/>
      <c r="M114" s="82">
        <f>+M115/M116</f>
        <v>0</v>
      </c>
      <c r="N114" s="67">
        <f>+N115/N116</f>
        <v>0</v>
      </c>
      <c r="O114" s="67">
        <f>+O115/O116</f>
        <v>0.8763679598345413</v>
      </c>
      <c r="P114" s="67">
        <f>+P115/P116</f>
        <v>0.74928368154409553</v>
      </c>
      <c r="Q114" s="93">
        <f>SUM(M114:P114)</f>
        <v>1.6256516413786368</v>
      </c>
      <c r="R114" s="67"/>
      <c r="S114" s="82">
        <f>+S115/S116</f>
        <v>0</v>
      </c>
      <c r="T114" s="67">
        <f>+T115/T116</f>
        <v>0</v>
      </c>
      <c r="U114" s="67">
        <f>+U115/U116</f>
        <v>0</v>
      </c>
      <c r="V114" s="67">
        <f>+V115/V116</f>
        <v>0</v>
      </c>
      <c r="W114" s="93">
        <f>SUM(S114:V114)</f>
        <v>0</v>
      </c>
      <c r="X114" s="67"/>
      <c r="Y114" s="82">
        <f>+Y115/Y116</f>
        <v>0</v>
      </c>
      <c r="Z114" s="67">
        <f>+Z115/Z116</f>
        <v>0</v>
      </c>
      <c r="AA114" s="67">
        <f>+AA115/AA116</f>
        <v>0</v>
      </c>
      <c r="AB114" s="67">
        <f>+AB115/AB116</f>
        <v>0</v>
      </c>
      <c r="AC114" s="93">
        <f>SUM(Y114:AB114)</f>
        <v>0</v>
      </c>
      <c r="AD114" s="67"/>
      <c r="AE114" s="82">
        <f>+AE115/AE116</f>
        <v>0</v>
      </c>
      <c r="AF114" s="67">
        <f>+AF115/AF116</f>
        <v>0</v>
      </c>
      <c r="AG114" s="67">
        <f>+AG115/AG116</f>
        <v>0</v>
      </c>
      <c r="AH114" s="67">
        <f>+AH115/AH116</f>
        <v>0</v>
      </c>
      <c r="AI114" s="93">
        <f>SUM(AE114:AH114)</f>
        <v>0</v>
      </c>
      <c r="AJ114" s="67"/>
      <c r="AK114" s="82">
        <f>+AK115/AK116</f>
        <v>0</v>
      </c>
      <c r="AL114" s="67">
        <f>+AL115/AL116</f>
        <v>2.4831223252847159</v>
      </c>
      <c r="AM114" s="67">
        <f>+AM115/AM116</f>
        <v>2.3045775449925316</v>
      </c>
      <c r="AN114" s="67">
        <f>+AN115/AN116</f>
        <v>7.8304295074292734</v>
      </c>
      <c r="AO114" s="93">
        <f>SUM(AK114:AN114)</f>
        <v>12.61812937770652</v>
      </c>
      <c r="AP114" s="67"/>
      <c r="AQ114" s="82">
        <f>+AQ115/AQ116</f>
        <v>0</v>
      </c>
      <c r="AR114" s="67">
        <f>+AR115/AR116</f>
        <v>0</v>
      </c>
      <c r="AS114" s="67">
        <f>+AS115/AS116</f>
        <v>0</v>
      </c>
      <c r="AT114" s="67">
        <f>+AT115/AT116</f>
        <v>0</v>
      </c>
      <c r="AU114" s="93">
        <f>SUM(AQ114:AT114)</f>
        <v>0</v>
      </c>
      <c r="AV114" s="67"/>
      <c r="AW114" s="82">
        <f>+AW115/AW116</f>
        <v>0</v>
      </c>
      <c r="AX114" s="67">
        <f>+AX115/AX116</f>
        <v>4.2856770019106349</v>
      </c>
      <c r="AY114" s="67">
        <f>+AY115/AY116</f>
        <v>0</v>
      </c>
      <c r="AZ114" s="67">
        <f>+AZ115/AZ116</f>
        <v>0</v>
      </c>
      <c r="BA114" s="93">
        <f>SUM(AW114:AZ114)</f>
        <v>4.2856770019106349</v>
      </c>
      <c r="BB114" s="67"/>
      <c r="BC114" s="82">
        <f>+BC115/BC116</f>
        <v>0</v>
      </c>
      <c r="BD114" s="67">
        <f>+BD115/BD116</f>
        <v>0</v>
      </c>
      <c r="BE114" s="67">
        <f>+BE115/BE116</f>
        <v>0</v>
      </c>
      <c r="BF114" s="67">
        <f>+BF115/BF116</f>
        <v>3.5292064001537367</v>
      </c>
      <c r="BG114" s="93">
        <f>SUM(BC114:BF114)</f>
        <v>3.5292064001537367</v>
      </c>
      <c r="BH114" s="67"/>
      <c r="BI114" s="82">
        <f>+BI115/BI116</f>
        <v>0</v>
      </c>
      <c r="BJ114" s="67">
        <f>+BJ115/BJ116</f>
        <v>0</v>
      </c>
      <c r="BK114" s="67">
        <f>+BK115/BK116</f>
        <v>0</v>
      </c>
      <c r="BL114" s="67">
        <f>+BL115/BL116</f>
        <v>0</v>
      </c>
      <c r="BM114" s="93">
        <f>SUM(BI114:BL114)</f>
        <v>0</v>
      </c>
      <c r="BN114" s="67"/>
      <c r="BO114" s="82">
        <f>+BO115/BO116</f>
        <v>0</v>
      </c>
      <c r="BP114" s="67">
        <f>+BP115/BP116</f>
        <v>0</v>
      </c>
      <c r="BQ114" s="67">
        <f>+BQ115/BQ116</f>
        <v>0</v>
      </c>
      <c r="BR114" s="67">
        <f>+BR115/BR116</f>
        <v>0</v>
      </c>
      <c r="BS114" s="93">
        <f>SUM(BO114:BR114)</f>
        <v>0</v>
      </c>
      <c r="BT114" s="67"/>
      <c r="BU114" s="82">
        <f>+BU115/BU116</f>
        <v>0</v>
      </c>
      <c r="BV114" s="67">
        <f>+BV115/BV116</f>
        <v>0</v>
      </c>
      <c r="BW114" s="67">
        <f>+BW115/BW116</f>
        <v>0</v>
      </c>
      <c r="BX114" s="67">
        <f>+BX115/BX116</f>
        <v>0</v>
      </c>
      <c r="BY114" s="93">
        <f>SUM(BU114:BX114)</f>
        <v>0</v>
      </c>
      <c r="BZ114" s="67"/>
      <c r="CA114" s="82">
        <f>+CA115/CA116</f>
        <v>0</v>
      </c>
      <c r="CB114" s="67">
        <f>+CB115/CB116</f>
        <v>0</v>
      </c>
      <c r="CC114" s="67">
        <f>+CC115/CC116</f>
        <v>6.4211661140272032</v>
      </c>
      <c r="CD114" s="67">
        <f>+CD115/CD116</f>
        <v>9.5279775959599871</v>
      </c>
      <c r="CE114" s="93">
        <f>SUM(CA114:CD114)</f>
        <v>15.94914370998719</v>
      </c>
      <c r="CF114" s="67"/>
      <c r="CG114" s="82">
        <f>+CG115/CG116</f>
        <v>0</v>
      </c>
      <c r="CH114" s="67">
        <f>+CH115/CH116</f>
        <v>0</v>
      </c>
      <c r="CI114" s="67">
        <f>+CI115/CI116</f>
        <v>0</v>
      </c>
      <c r="CJ114" s="67">
        <f>+CJ115/CJ116</f>
        <v>0</v>
      </c>
      <c r="CK114" s="93">
        <f>SUM(CG114:CJ114)</f>
        <v>0</v>
      </c>
      <c r="CL114" s="67"/>
      <c r="CM114" s="82">
        <f>+CM115/CM116</f>
        <v>0</v>
      </c>
      <c r="CN114" s="67">
        <f>+CN115/CN116</f>
        <v>0</v>
      </c>
      <c r="CO114" s="67">
        <f>+CO115/CO116</f>
        <v>0</v>
      </c>
      <c r="CP114" s="67">
        <f>+CP115/CP116</f>
        <v>0</v>
      </c>
      <c r="CQ114" s="93">
        <f>SUM(CM114:CP114)</f>
        <v>0</v>
      </c>
      <c r="CR114" s="67"/>
      <c r="CS114" s="82">
        <f>+CS115/CS116</f>
        <v>0</v>
      </c>
      <c r="CT114" s="67">
        <f>+CT115/CT116</f>
        <v>0</v>
      </c>
      <c r="CU114" s="67">
        <f>+CU115/CU116</f>
        <v>0</v>
      </c>
      <c r="CV114" s="67">
        <f>+CV115/CV116</f>
        <v>0</v>
      </c>
      <c r="CW114" s="93">
        <f>SUM(CS114:CV114)</f>
        <v>0</v>
      </c>
      <c r="CX114" s="67"/>
      <c r="CY114" s="82">
        <f>+CY115/CY116</f>
        <v>0</v>
      </c>
      <c r="CZ114" s="67">
        <f>+CZ115/CZ116</f>
        <v>0</v>
      </c>
      <c r="DA114" s="67">
        <f>+DA115/DA116</f>
        <v>0</v>
      </c>
      <c r="DB114" s="67">
        <f>+DB115/DB116</f>
        <v>0</v>
      </c>
      <c r="DC114" s="93">
        <f>SUM(CY114:DB114)</f>
        <v>0</v>
      </c>
      <c r="DD114" s="67"/>
      <c r="DE114" s="82">
        <f>+DE115/DE116</f>
        <v>0</v>
      </c>
      <c r="DF114" s="67">
        <f>+DF115/DF116</f>
        <v>0</v>
      </c>
      <c r="DG114" s="67">
        <f>+DG115/DG116</f>
        <v>0</v>
      </c>
      <c r="DH114" s="67">
        <f>+DH115/DH116</f>
        <v>0</v>
      </c>
      <c r="DI114" s="93">
        <f>SUM(DE114:DH114)</f>
        <v>0</v>
      </c>
      <c r="DJ114" s="67"/>
      <c r="DK114" s="82">
        <f>+DK115/DK116</f>
        <v>0</v>
      </c>
      <c r="DL114" s="67">
        <f>+DL115/DL116</f>
        <v>0</v>
      </c>
      <c r="DM114" s="67">
        <f>+DM115/DM116</f>
        <v>0</v>
      </c>
      <c r="DN114" s="67">
        <f>+DN115/DN116</f>
        <v>0</v>
      </c>
      <c r="DO114" s="93">
        <f>SUM(DK114:DN114)</f>
        <v>0</v>
      </c>
      <c r="DP114" s="67"/>
      <c r="DQ114" s="82">
        <f>+DQ115/DQ116</f>
        <v>0</v>
      </c>
      <c r="DR114" s="67">
        <f>+DR115/DR116</f>
        <v>0</v>
      </c>
      <c r="DS114" s="67">
        <f>+DS115/DS116</f>
        <v>0</v>
      </c>
      <c r="DT114" s="67">
        <f>+DT115/DT116</f>
        <v>0</v>
      </c>
      <c r="DU114" s="93">
        <f>SUM(DQ114:DT114)</f>
        <v>0</v>
      </c>
      <c r="DV114" s="67"/>
      <c r="DW114" s="82">
        <f>+DW115/DW116</f>
        <v>0</v>
      </c>
      <c r="DX114" s="67">
        <f>+DX115/DX116</f>
        <v>0</v>
      </c>
      <c r="DY114" s="67">
        <f>+DY115/DY116</f>
        <v>0</v>
      </c>
      <c r="DZ114" s="67">
        <f>+DZ115/DZ116</f>
        <v>0</v>
      </c>
      <c r="EA114" s="93">
        <f>SUM(DW114:DZ114)</f>
        <v>0</v>
      </c>
      <c r="EB114" s="67"/>
      <c r="EC114" s="82">
        <f t="shared" ref="EC114:EF114" si="461">+EC115/EC116</f>
        <v>0</v>
      </c>
      <c r="ED114" s="67">
        <f t="shared" si="461"/>
        <v>0</v>
      </c>
      <c r="EE114" s="67">
        <f t="shared" si="461"/>
        <v>0</v>
      </c>
      <c r="EF114" s="67">
        <f t="shared" si="461"/>
        <v>0</v>
      </c>
      <c r="EG114" s="93">
        <f t="shared" ref="EG114:EG115" si="462">SUM(EC114:EF114)</f>
        <v>0</v>
      </c>
      <c r="EH114" s="67"/>
      <c r="EI114" s="230" t="s">
        <v>182</v>
      </c>
      <c r="EJ114" s="73">
        <v>85.68</v>
      </c>
      <c r="EK114" s="232">
        <v>42181</v>
      </c>
      <c r="EL114" s="6"/>
    </row>
    <row r="115" spans="1:148" ht="12.75" customHeight="1" x14ac:dyDescent="0.2">
      <c r="A115" s="50" t="s">
        <v>371</v>
      </c>
      <c r="B115" s="480"/>
      <c r="C115" s="480"/>
      <c r="D115" s="480"/>
      <c r="E115" s="163">
        <f>-E47</f>
        <v>0</v>
      </c>
      <c r="F115" s="164"/>
      <c r="G115" s="163">
        <f>-G47</f>
        <v>0</v>
      </c>
      <c r="H115" s="164"/>
      <c r="I115" s="163">
        <f>-I47</f>
        <v>0</v>
      </c>
      <c r="J115" s="164"/>
      <c r="K115" s="163">
        <f>-K47</f>
        <v>82.174000000000007</v>
      </c>
      <c r="L115" s="164"/>
      <c r="M115" s="165">
        <f>-M47</f>
        <v>0</v>
      </c>
      <c r="N115" s="164">
        <f>-N47</f>
        <v>0</v>
      </c>
      <c r="O115" s="164">
        <f>-O47</f>
        <v>9.1679999999999993</v>
      </c>
      <c r="P115" s="164">
        <f>-P47</f>
        <v>8.1310000000000002</v>
      </c>
      <c r="Q115" s="163">
        <f>-Q47</f>
        <v>17.298999999999999</v>
      </c>
      <c r="R115" s="164"/>
      <c r="S115" s="165">
        <f>-S47</f>
        <v>0</v>
      </c>
      <c r="T115" s="164">
        <f>-T47</f>
        <v>0</v>
      </c>
      <c r="U115" s="164">
        <f>-U47</f>
        <v>0</v>
      </c>
      <c r="V115" s="164">
        <f>-V47</f>
        <v>0</v>
      </c>
      <c r="W115" s="163">
        <f>-W47</f>
        <v>0</v>
      </c>
      <c r="X115" s="164"/>
      <c r="Y115" s="165">
        <f>-Y47</f>
        <v>0</v>
      </c>
      <c r="Z115" s="164">
        <f>-Z47</f>
        <v>0</v>
      </c>
      <c r="AA115" s="164">
        <f>-AA47</f>
        <v>0</v>
      </c>
      <c r="AB115" s="164">
        <f>-AB47</f>
        <v>0</v>
      </c>
      <c r="AC115" s="163">
        <f>-AC47</f>
        <v>0</v>
      </c>
      <c r="AD115" s="164"/>
      <c r="AE115" s="165">
        <f>-AE47</f>
        <v>0</v>
      </c>
      <c r="AF115" s="164">
        <f>-AF47</f>
        <v>0</v>
      </c>
      <c r="AG115" s="164">
        <f>-AG47</f>
        <v>0</v>
      </c>
      <c r="AH115" s="164">
        <f>-AH47</f>
        <v>0</v>
      </c>
      <c r="AI115" s="163">
        <f>-AI47</f>
        <v>0</v>
      </c>
      <c r="AJ115" s="164"/>
      <c r="AK115" s="165">
        <f>-AK47</f>
        <v>0</v>
      </c>
      <c r="AL115" s="164">
        <f>-AL47</f>
        <v>49.578000000000003</v>
      </c>
      <c r="AM115" s="164">
        <f>-AM47</f>
        <v>47.125999999999991</v>
      </c>
      <c r="AN115" s="164">
        <f>-AN47</f>
        <v>160.99200000000002</v>
      </c>
      <c r="AO115" s="163">
        <f>-AO47</f>
        <v>257.69600000000003</v>
      </c>
      <c r="AP115" s="164"/>
      <c r="AQ115" s="165">
        <f>-AQ47</f>
        <v>0</v>
      </c>
      <c r="AR115" s="164">
        <f>-AR47</f>
        <v>0</v>
      </c>
      <c r="AS115" s="164">
        <f>-AS47</f>
        <v>0</v>
      </c>
      <c r="AT115" s="164">
        <f>-AT47</f>
        <v>0</v>
      </c>
      <c r="AU115" s="163">
        <f>-AU47</f>
        <v>0</v>
      </c>
      <c r="AV115" s="164"/>
      <c r="AW115" s="165">
        <f>-AW47</f>
        <v>0</v>
      </c>
      <c r="AX115" s="164">
        <f>-AX47</f>
        <v>117.486</v>
      </c>
      <c r="AY115" s="164">
        <f>-AY47</f>
        <v>0</v>
      </c>
      <c r="AZ115" s="164">
        <f>-AZ47</f>
        <v>0</v>
      </c>
      <c r="BA115" s="163">
        <f>-BA47</f>
        <v>117.486</v>
      </c>
      <c r="BB115" s="164"/>
      <c r="BC115" s="165">
        <f>-BC47</f>
        <v>0</v>
      </c>
      <c r="BD115" s="164">
        <f>-BD47</f>
        <v>0</v>
      </c>
      <c r="BE115" s="164">
        <f>-BE47</f>
        <v>0</v>
      </c>
      <c r="BF115" s="164">
        <f>-BF47</f>
        <v>74.165000000000006</v>
      </c>
      <c r="BG115" s="163">
        <f>-BG47</f>
        <v>74.165000000000006</v>
      </c>
      <c r="BH115" s="164"/>
      <c r="BI115" s="165">
        <f>-BI47</f>
        <v>0</v>
      </c>
      <c r="BJ115" s="164">
        <f>-BJ47</f>
        <v>0</v>
      </c>
      <c r="BK115" s="164">
        <f>-BK47</f>
        <v>0</v>
      </c>
      <c r="BL115" s="164">
        <f>-BL47</f>
        <v>0</v>
      </c>
      <c r="BM115" s="163">
        <f>-BM47</f>
        <v>0</v>
      </c>
      <c r="BN115" s="164"/>
      <c r="BO115" s="165">
        <f>-BO47</f>
        <v>0</v>
      </c>
      <c r="BP115" s="164">
        <f>-BP47</f>
        <v>0</v>
      </c>
      <c r="BQ115" s="164">
        <f>-BQ47</f>
        <v>0</v>
      </c>
      <c r="BR115" s="164">
        <f>-BR47</f>
        <v>0</v>
      </c>
      <c r="BS115" s="163">
        <f>-BS47</f>
        <v>0</v>
      </c>
      <c r="BT115" s="164"/>
      <c r="BU115" s="165">
        <f>-BU47</f>
        <v>0</v>
      </c>
      <c r="BV115" s="164">
        <f>-BV47</f>
        <v>0</v>
      </c>
      <c r="BW115" s="164">
        <f>-BW47</f>
        <v>0</v>
      </c>
      <c r="BX115" s="164">
        <f>-BX47</f>
        <v>0</v>
      </c>
      <c r="BY115" s="163">
        <f>-BY47</f>
        <v>0</v>
      </c>
      <c r="BZ115" s="164"/>
      <c r="CA115" s="165">
        <f>-CA47</f>
        <v>0</v>
      </c>
      <c r="CB115" s="164">
        <f>-CB47</f>
        <v>0</v>
      </c>
      <c r="CC115" s="164">
        <f>-CC47</f>
        <v>258.5</v>
      </c>
      <c r="CD115" s="164">
        <f>-CD47</f>
        <v>389.9</v>
      </c>
      <c r="CE115" s="163">
        <f>-CE47</f>
        <v>648.4</v>
      </c>
      <c r="CF115" s="164"/>
      <c r="CG115" s="165">
        <f>-CG47</f>
        <v>0</v>
      </c>
      <c r="CH115" s="164">
        <f>-CH47</f>
        <v>0</v>
      </c>
      <c r="CI115" s="164">
        <f>-CI47</f>
        <v>0</v>
      </c>
      <c r="CJ115" s="164">
        <f>-CJ47</f>
        <v>0</v>
      </c>
      <c r="CK115" s="163">
        <f>-CK47</f>
        <v>0</v>
      </c>
      <c r="CL115" s="164"/>
      <c r="CM115" s="165">
        <f>-CM47</f>
        <v>0</v>
      </c>
      <c r="CN115" s="164">
        <f>-CN47</f>
        <v>0</v>
      </c>
      <c r="CO115" s="164">
        <f>-CO47</f>
        <v>0</v>
      </c>
      <c r="CP115" s="164">
        <f>-CP47</f>
        <v>0</v>
      </c>
      <c r="CQ115" s="163">
        <f>-CQ47</f>
        <v>0</v>
      </c>
      <c r="CR115" s="164"/>
      <c r="CS115" s="165">
        <f>-CS47</f>
        <v>0</v>
      </c>
      <c r="CT115" s="164">
        <f>-CT47</f>
        <v>0</v>
      </c>
      <c r="CU115" s="164">
        <f>-CU47</f>
        <v>0</v>
      </c>
      <c r="CV115" s="164">
        <f>-CV47</f>
        <v>0</v>
      </c>
      <c r="CW115" s="163">
        <f>-CW47</f>
        <v>0</v>
      </c>
      <c r="CX115" s="164"/>
      <c r="CY115" s="165">
        <f>-CY47</f>
        <v>0</v>
      </c>
      <c r="CZ115" s="164">
        <f>-CZ47</f>
        <v>0</v>
      </c>
      <c r="DA115" s="164">
        <f>-DA47</f>
        <v>0</v>
      </c>
      <c r="DB115" s="164">
        <f>-DB47</f>
        <v>0</v>
      </c>
      <c r="DC115" s="163">
        <f>-DC47</f>
        <v>0</v>
      </c>
      <c r="DD115" s="164"/>
      <c r="DE115" s="165">
        <f>-DE47</f>
        <v>0</v>
      </c>
      <c r="DF115" s="164">
        <f>-DF47</f>
        <v>0</v>
      </c>
      <c r="DG115" s="164">
        <f>-DG47</f>
        <v>0</v>
      </c>
      <c r="DH115" s="164">
        <f>-DH47</f>
        <v>0</v>
      </c>
      <c r="DI115" s="163">
        <f>-DI47</f>
        <v>0</v>
      </c>
      <c r="DJ115" s="164"/>
      <c r="DK115" s="496">
        <v>0</v>
      </c>
      <c r="DL115" s="497">
        <v>0</v>
      </c>
      <c r="DM115" s="497">
        <v>0</v>
      </c>
      <c r="DN115" s="497">
        <v>0</v>
      </c>
      <c r="DO115" s="163">
        <f t="shared" ref="DO115" si="463">SUM(DK115:DN115)</f>
        <v>0</v>
      </c>
      <c r="DP115" s="164"/>
      <c r="DQ115" s="496">
        <v>0</v>
      </c>
      <c r="DR115" s="497">
        <v>0</v>
      </c>
      <c r="DS115" s="497">
        <v>0</v>
      </c>
      <c r="DT115" s="497">
        <v>0</v>
      </c>
      <c r="DU115" s="163">
        <f t="shared" ref="DU115" si="464">SUM(DQ115:DT115)</f>
        <v>0</v>
      </c>
      <c r="DV115" s="164"/>
      <c r="DW115" s="496">
        <v>0</v>
      </c>
      <c r="DX115" s="497">
        <v>0</v>
      </c>
      <c r="DY115" s="497">
        <v>0</v>
      </c>
      <c r="DZ115" s="497">
        <v>0</v>
      </c>
      <c r="EA115" s="163">
        <f t="shared" ref="EA115" si="465">SUM(DW115:DZ115)</f>
        <v>0</v>
      </c>
      <c r="EB115" s="164"/>
      <c r="EC115" s="496">
        <v>0</v>
      </c>
      <c r="ED115" s="497">
        <v>0</v>
      </c>
      <c r="EE115" s="497">
        <v>0</v>
      </c>
      <c r="EF115" s="497">
        <v>0</v>
      </c>
      <c r="EG115" s="163">
        <f t="shared" si="462"/>
        <v>0</v>
      </c>
      <c r="EH115" s="67"/>
      <c r="EI115" s="230"/>
      <c r="EJ115" s="6"/>
      <c r="EK115" s="231"/>
      <c r="EL115" s="6"/>
    </row>
    <row r="116" spans="1:148" ht="12.75" customHeight="1" thickBot="1" x14ac:dyDescent="0.25">
      <c r="A116" s="51" t="s">
        <v>372</v>
      </c>
      <c r="B116" s="19"/>
      <c r="C116" s="19"/>
      <c r="D116" s="19"/>
      <c r="E116" s="95">
        <f>+E65</f>
        <v>4.8594735834696419</v>
      </c>
      <c r="F116" s="67"/>
      <c r="G116" s="95">
        <f>+G65</f>
        <v>7.2440952392178222</v>
      </c>
      <c r="H116" s="67"/>
      <c r="I116" s="95">
        <f>+I65</f>
        <v>10.387086443222238</v>
      </c>
      <c r="J116" s="67"/>
      <c r="K116" s="95">
        <f>+K65</f>
        <v>9.7569465890064766</v>
      </c>
      <c r="L116" s="67"/>
      <c r="M116" s="85">
        <f>+M65</f>
        <v>11.751677488517728</v>
      </c>
      <c r="N116" s="73">
        <f>+N65</f>
        <v>11.221757134741649</v>
      </c>
      <c r="O116" s="73">
        <f>+O65</f>
        <v>10.46135917809104</v>
      </c>
      <c r="P116" s="73">
        <f>+P65</f>
        <v>10.851697695115877</v>
      </c>
      <c r="Q116" s="95">
        <f>+Q65</f>
        <v>11.077836886175847</v>
      </c>
      <c r="R116" s="67"/>
      <c r="S116" s="85">
        <f>+S65</f>
        <v>12.480190932302513</v>
      </c>
      <c r="T116" s="73">
        <f>+T65</f>
        <v>13.193865461100224</v>
      </c>
      <c r="U116" s="73">
        <f>+U65</f>
        <v>11.308431012520344</v>
      </c>
      <c r="V116" s="73">
        <f>+V65</f>
        <v>11.371343825085491</v>
      </c>
      <c r="W116" s="95">
        <f>+W65</f>
        <v>12.082239821648168</v>
      </c>
      <c r="X116" s="67"/>
      <c r="Y116" s="85">
        <f>+Y65</f>
        <v>12.159953334242486</v>
      </c>
      <c r="Z116" s="73">
        <f>+Z65</f>
        <v>12.98162594104698</v>
      </c>
      <c r="AA116" s="73">
        <f>+AA65</f>
        <v>13.830633377014555</v>
      </c>
      <c r="AB116" s="73">
        <f>+AB65</f>
        <v>15.812968691106072</v>
      </c>
      <c r="AC116" s="95">
        <f>+AC65</f>
        <v>13.717421111247907</v>
      </c>
      <c r="AD116" s="67"/>
      <c r="AE116" s="85">
        <f>+AE65</f>
        <v>17.308630081219146</v>
      </c>
      <c r="AF116" s="73">
        <f>+AF65</f>
        <v>17.913098216963043</v>
      </c>
      <c r="AG116" s="73">
        <f>+AG65</f>
        <v>19.122810268189035</v>
      </c>
      <c r="AH116" s="73">
        <f>+AH65</f>
        <v>21.247698469658648</v>
      </c>
      <c r="AI116" s="95">
        <f>+AI65</f>
        <v>18.918490927418848</v>
      </c>
      <c r="AJ116" s="67"/>
      <c r="AK116" s="85">
        <f>+AK65</f>
        <v>20.70943079430188</v>
      </c>
      <c r="AL116" s="73">
        <f>+AL65</f>
        <v>19.965991806028068</v>
      </c>
      <c r="AM116" s="73">
        <f>+AM65</f>
        <v>20.448867126383767</v>
      </c>
      <c r="AN116" s="73">
        <f>+AN65</f>
        <v>20.559791751813322</v>
      </c>
      <c r="AO116" s="95">
        <f>+AO65</f>
        <v>20.41703623210719</v>
      </c>
      <c r="AP116" s="67"/>
      <c r="AQ116" s="85">
        <f>+AQ65</f>
        <v>22.373493896573549</v>
      </c>
      <c r="AR116" s="73">
        <f>+AR65</f>
        <v>24.432381757245622</v>
      </c>
      <c r="AS116" s="73">
        <f>+AS65</f>
        <v>24.630282116852484</v>
      </c>
      <c r="AT116" s="73">
        <f>+AT65</f>
        <v>27.15107421392586</v>
      </c>
      <c r="AU116" s="95">
        <f>+AU65</f>
        <v>24.655865024434544</v>
      </c>
      <c r="AV116" s="67"/>
      <c r="AW116" s="85">
        <f>+AW65</f>
        <v>27.523281670892963</v>
      </c>
      <c r="AX116" s="73">
        <f>+AX65</f>
        <v>27.413638486433427</v>
      </c>
      <c r="AY116" s="73">
        <f>+AY65</f>
        <v>29.591083323444526</v>
      </c>
      <c r="AZ116" s="73">
        <f>+AZ65</f>
        <v>31.86231239151439</v>
      </c>
      <c r="BA116" s="95">
        <f>+BA65</f>
        <v>29.121138043839455</v>
      </c>
      <c r="BB116" s="67"/>
      <c r="BC116" s="85">
        <f>+BC65</f>
        <v>28.819691040219737</v>
      </c>
      <c r="BD116" s="73">
        <f>+BD65</f>
        <v>29.585958882630969</v>
      </c>
      <c r="BE116" s="73">
        <f>+BE65</f>
        <v>29.811379471532653</v>
      </c>
      <c r="BF116" s="73">
        <f>+BF65</f>
        <v>21.014639437571372</v>
      </c>
      <c r="BG116" s="95">
        <f>+BG65</f>
        <v>27.289991036064976</v>
      </c>
      <c r="BH116" s="67"/>
      <c r="BI116" s="85">
        <f>+BI65</f>
        <v>20.544801077993238</v>
      </c>
      <c r="BJ116" s="73">
        <f>+BJ65</f>
        <v>22.45752950768664</v>
      </c>
      <c r="BK116" s="73">
        <f>+BK65</f>
        <v>23.807560054539636</v>
      </c>
      <c r="BL116" s="73">
        <f>+BL65</f>
        <v>26.981155638570517</v>
      </c>
      <c r="BM116" s="95">
        <f>+BM65</f>
        <v>23.486250115479738</v>
      </c>
      <c r="BN116" s="67"/>
      <c r="BO116" s="85">
        <f>+BO65</f>
        <v>28.564430118937388</v>
      </c>
      <c r="BP116" s="73">
        <f>+BP65</f>
        <v>30.619863083272616</v>
      </c>
      <c r="BQ116" s="73">
        <f>+BQ65</f>
        <v>29.105390054597901</v>
      </c>
      <c r="BR116" s="73">
        <f>+BR65</f>
        <v>33.292046704299388</v>
      </c>
      <c r="BS116" s="95">
        <f>+BS65</f>
        <v>30.3945523703043</v>
      </c>
      <c r="BT116" s="67"/>
      <c r="BU116" s="85">
        <f>+BU65</f>
        <v>37.392392197249329</v>
      </c>
      <c r="BV116" s="73">
        <f>+BV65</f>
        <v>40.22945384008765</v>
      </c>
      <c r="BW116" s="73">
        <f>+BW65</f>
        <v>35.270799559688683</v>
      </c>
      <c r="BX116" s="73">
        <f>+BX65</f>
        <v>35.356895824274382</v>
      </c>
      <c r="BY116" s="95">
        <f>+BY65</f>
        <v>37.053966336922002</v>
      </c>
      <c r="BZ116" s="67"/>
      <c r="CA116" s="85">
        <f>+CA65</f>
        <v>39.859530538978852</v>
      </c>
      <c r="CB116" s="73">
        <f>+CB65</f>
        <v>40.014470222392994</v>
      </c>
      <c r="CC116" s="73">
        <f>+CC65</f>
        <v>40.257485230805678</v>
      </c>
      <c r="CD116" s="73">
        <f>+CD65</f>
        <v>40.92159076500387</v>
      </c>
      <c r="CE116" s="95">
        <f>+CE65</f>
        <v>40.262250857593806</v>
      </c>
      <c r="CF116" s="67"/>
      <c r="CG116" s="85">
        <f>+CG65</f>
        <v>46.057665766846682</v>
      </c>
      <c r="CH116" s="73">
        <f>+CH65</f>
        <v>46.691764896921768</v>
      </c>
      <c r="CI116" s="73">
        <f>+CI65</f>
        <v>51.149139736924496</v>
      </c>
      <c r="CJ116" s="73">
        <f>+CJ65</f>
        <v>55.443799392141884</v>
      </c>
      <c r="CK116" s="95">
        <f>+CK65</f>
        <v>49.895559538389044</v>
      </c>
      <c r="CL116" s="67"/>
      <c r="CM116" s="85">
        <f>+CM65</f>
        <v>57.394861097679197</v>
      </c>
      <c r="CN116" s="73">
        <f>+CN65</f>
        <v>57.918732077039586</v>
      </c>
      <c r="CO116" s="73">
        <f>+CO65</f>
        <v>57.979265846093128</v>
      </c>
      <c r="CP116" s="73">
        <f>+CP65</f>
        <v>61.160028941022247</v>
      </c>
      <c r="CQ116" s="95">
        <f>+CQ65</f>
        <v>58.630482199155985</v>
      </c>
      <c r="CR116" s="67"/>
      <c r="CS116" s="85">
        <f>+CS65</f>
        <v>64.697200512016664</v>
      </c>
      <c r="CT116" s="73">
        <f>+CT65</f>
        <v>64.587556076394208</v>
      </c>
      <c r="CU116" s="73">
        <f>+CU65</f>
        <v>66.619513475722698</v>
      </c>
      <c r="CV116" s="73">
        <f>+CV65</f>
        <v>70.582229835277843</v>
      </c>
      <c r="CW116" s="95">
        <f>+CW65</f>
        <v>66.652606491864603</v>
      </c>
      <c r="CX116" s="67"/>
      <c r="CY116" s="85">
        <f>+CY65</f>
        <v>67.22752173384491</v>
      </c>
      <c r="CZ116" s="73">
        <f>+CZ65</f>
        <v>73.756240561873398</v>
      </c>
      <c r="DA116" s="73">
        <f>+DA65</f>
        <v>79.947812048832347</v>
      </c>
      <c r="DB116" s="73">
        <f>+DB65</f>
        <v>78.321271857142861</v>
      </c>
      <c r="DC116" s="95">
        <f>+DC65</f>
        <v>74.889596507340059</v>
      </c>
      <c r="DD116" s="67"/>
      <c r="DE116" s="85" t="str">
        <f>+DE65</f>
        <v xml:space="preserve">$83.96 </v>
      </c>
      <c r="DF116" s="73">
        <f>+DF65</f>
        <v>84.431746634920628</v>
      </c>
      <c r="DG116" s="73">
        <f>+DG65</f>
        <v>83.474445174603176</v>
      </c>
      <c r="DH116" s="73">
        <f>+DH65</f>
        <v>91.72222390476189</v>
      </c>
      <c r="DI116" s="95">
        <f>+DI65</f>
        <v>85.904781673306815</v>
      </c>
      <c r="DJ116" s="67"/>
      <c r="DK116" s="85">
        <f>+DK65</f>
        <v>91.72222390476189</v>
      </c>
      <c r="DL116" s="73">
        <f>+DL65</f>
        <v>91.72222390476189</v>
      </c>
      <c r="DM116" s="73">
        <f>+DM65</f>
        <v>91.72222390476189</v>
      </c>
      <c r="DN116" s="73">
        <f>+DN65</f>
        <v>91.72222390476189</v>
      </c>
      <c r="DO116" s="95">
        <f>+DO65</f>
        <v>91.72222390476189</v>
      </c>
      <c r="DP116" s="67"/>
      <c r="DQ116" s="85">
        <f>+DQ65</f>
        <v>91.72222390476189</v>
      </c>
      <c r="DR116" s="73">
        <f>+DR65</f>
        <v>91.72222390476189</v>
      </c>
      <c r="DS116" s="73">
        <f>+DS65</f>
        <v>91.72222390476189</v>
      </c>
      <c r="DT116" s="73">
        <f>+DT65</f>
        <v>91.72222390476189</v>
      </c>
      <c r="DU116" s="95">
        <f>+DU65</f>
        <v>91.72222390476189</v>
      </c>
      <c r="DV116" s="67"/>
      <c r="DW116" s="85">
        <f>+DW65</f>
        <v>91.72222390476189</v>
      </c>
      <c r="DX116" s="73">
        <f>+DX65</f>
        <v>91.72222390476189</v>
      </c>
      <c r="DY116" s="73">
        <f>+DY65</f>
        <v>91.72222390476189</v>
      </c>
      <c r="DZ116" s="73">
        <f>+DZ65</f>
        <v>91.72222390476189</v>
      </c>
      <c r="EA116" s="95">
        <f>+EA65</f>
        <v>91.72222390476189</v>
      </c>
      <c r="EB116" s="67"/>
      <c r="EC116" s="85">
        <f t="shared" ref="EC116:EG116" si="466">+EC65</f>
        <v>91.72222390476189</v>
      </c>
      <c r="ED116" s="73">
        <f t="shared" si="466"/>
        <v>91.72222390476189</v>
      </c>
      <c r="EE116" s="73">
        <f t="shared" si="466"/>
        <v>91.72222390476189</v>
      </c>
      <c r="EF116" s="73">
        <f t="shared" si="466"/>
        <v>91.72222390476189</v>
      </c>
      <c r="EG116" s="95">
        <f t="shared" si="466"/>
        <v>91.72222390476189</v>
      </c>
      <c r="EH116" s="73"/>
      <c r="EI116" s="235" t="s">
        <v>185</v>
      </c>
      <c r="EJ116" s="236">
        <f>+EJ107/2.4</f>
        <v>26.041666666666668</v>
      </c>
      <c r="EK116" s="237" t="s">
        <v>192</v>
      </c>
      <c r="EL116" s="6"/>
    </row>
    <row r="117" spans="1:148" x14ac:dyDescent="0.2">
      <c r="A117" s="339" t="s">
        <v>373</v>
      </c>
      <c r="E117" s="196"/>
      <c r="F117" s="67"/>
      <c r="G117" s="214">
        <f>IF(ISERROR(G116/E116-1),"-",G116/E116-1)</f>
        <v>0.49071604460612606</v>
      </c>
      <c r="H117" s="67"/>
      <c r="I117" s="214">
        <f>IF(ISERROR(I116/G116-1),"-",I116/G116-1)</f>
        <v>0.43386939296283722</v>
      </c>
      <c r="J117" s="67"/>
      <c r="K117" s="214">
        <f>IF(ISERROR(K116/I116-1),"-",K116/I116-1)</f>
        <v>-6.0665698476682905E-2</v>
      </c>
      <c r="L117" s="67"/>
      <c r="M117" s="212"/>
      <c r="N117" s="157"/>
      <c r="O117" s="157"/>
      <c r="P117" s="157"/>
      <c r="Q117" s="214">
        <f t="shared" ref="Q117" si="467">IF(ISERROR(Q116/K116-1),"-",Q116/K116-1)</f>
        <v>0.13537947401061601</v>
      </c>
      <c r="R117" s="67"/>
      <c r="S117" s="212">
        <f>IF(ISERROR(S116/M116-1),"-",S116/M116-1)</f>
        <v>6.1992293823294409E-2</v>
      </c>
      <c r="T117" s="157">
        <f>IF(ISERROR(T116/N116-1),"-",T116/N116-1)</f>
        <v>0.17573970837892117</v>
      </c>
      <c r="U117" s="157">
        <f>IF(ISERROR(U116/O116-1),"-",U116/O116-1)</f>
        <v>8.0971489460308854E-2</v>
      </c>
      <c r="V117" s="157">
        <f t="shared" ref="V117" si="468">IF(ISERROR(V116/P116-1),"-",V116/P116-1)</f>
        <v>4.7886159803686379E-2</v>
      </c>
      <c r="W117" s="214">
        <f t="shared" ref="W117" si="469">IF(ISERROR(W116/Q116-1),"-",W116/Q116-1)</f>
        <v>9.066778521768315E-2</v>
      </c>
      <c r="X117" s="67"/>
      <c r="Y117" s="212">
        <f>IF(ISERROR(Y116/S116-1),"-",Y116/S116-1)</f>
        <v>-2.5659671378196247E-2</v>
      </c>
      <c r="Z117" s="157">
        <f>IF(ISERROR(Z116/T116-1),"-",Z116/T116-1)</f>
        <v>-1.6086227397042463E-2</v>
      </c>
      <c r="AA117" s="157">
        <f>IF(ISERROR(AA116/U116-1),"-",AA116/U116-1)</f>
        <v>0.22303733928267389</v>
      </c>
      <c r="AB117" s="157">
        <f t="shared" ref="AB117" si="470">IF(ISERROR(AB116/V116-1),"-",AB116/V116-1)</f>
        <v>0.39059806249303941</v>
      </c>
      <c r="AC117" s="214">
        <f t="shared" ref="AC117" si="471">IF(ISERROR(AC116/W116-1),"-",AC116/W116-1)</f>
        <v>0.13533759582142446</v>
      </c>
      <c r="AD117" s="67"/>
      <c r="AE117" s="212">
        <f>IF(ISERROR(AE116/Y116-1),"-",AE116/Y116-1)</f>
        <v>0.42341254159898467</v>
      </c>
      <c r="AF117" s="157">
        <f>IF(ISERROR(AF116/Z116-1),"-",AF116/Z116-1)</f>
        <v>0.37988094082445389</v>
      </c>
      <c r="AG117" s="157">
        <f>IF(ISERROR(AG116/AA116-1),"-",AG116/AA116-1)</f>
        <v>0.38264168725415493</v>
      </c>
      <c r="AH117" s="157">
        <f t="shared" ref="AH117" si="472">IF(ISERROR(AH116/AB116-1),"-",AH116/AB116-1)</f>
        <v>0.34368813881287918</v>
      </c>
      <c r="AI117" s="214">
        <f t="shared" ref="AI117" si="473">IF(ISERROR(AI116/AC116-1),"-",AI116/AC116-1)</f>
        <v>0.37915798997423855</v>
      </c>
      <c r="AJ117" s="67"/>
      <c r="AK117" s="212">
        <f>IF(ISERROR(AK116/AE116-1),"-",AK116/AE116-1)</f>
        <v>0.1964800620918461</v>
      </c>
      <c r="AL117" s="157">
        <f>IF(ISERROR(AL116/AF116-1),"-",AL116/AF116-1)</f>
        <v>0.11460293268090327</v>
      </c>
      <c r="AM117" s="157">
        <f>IF(ISERROR(AM116/AG116-1),"-",AM116/AG116-1)</f>
        <v>6.9344245934429338E-2</v>
      </c>
      <c r="AN117" s="157">
        <f t="shared" ref="AN117" si="474">IF(ISERROR(AN116/AH116-1),"-",AN116/AH116-1)</f>
        <v>-3.2375587352561741E-2</v>
      </c>
      <c r="AO117" s="214">
        <f t="shared" ref="AO117" si="475">IF(ISERROR(AO116/AI116-1),"-",AO116/AI116-1)</f>
        <v>7.921061518265593E-2</v>
      </c>
      <c r="AP117" s="67"/>
      <c r="AQ117" s="212">
        <f>IF(ISERROR(AQ116/AK116-1),"-",AQ116/AK116-1)</f>
        <v>8.0352913549392557E-2</v>
      </c>
      <c r="AR117" s="157">
        <f>IF(ISERROR(AR116/AL116-1),"-",AR116/AL116-1)</f>
        <v>0.22369987900471222</v>
      </c>
      <c r="AS117" s="157">
        <f>IF(ISERROR(AS116/AM116-1),"-",AS116/AM116-1)</f>
        <v>0.20448149839429131</v>
      </c>
      <c r="AT117" s="157">
        <f t="shared" ref="AT117" si="476">IF(ISERROR(AT116/AN116-1),"-",AT116/AN116-1)</f>
        <v>0.32059091559286856</v>
      </c>
      <c r="AU117" s="214">
        <f t="shared" ref="AU117" si="477">IF(ISERROR(AU116/AO116-1),"-",AU116/AO116-1)</f>
        <v>0.20761234608877777</v>
      </c>
      <c r="AV117" s="67"/>
      <c r="AW117" s="212">
        <f>IF(ISERROR(AW116/AQ116-1),"-",AW116/AQ116-1)</f>
        <v>0.2301736062380535</v>
      </c>
      <c r="AX117" s="157">
        <f>IF(ISERROR(AX116/AR116-1),"-",AX116/AR116-1)</f>
        <v>0.12202071655595703</v>
      </c>
      <c r="AY117" s="157">
        <f>IF(ISERROR(AY116/AS116-1),"-",AY116/AS116-1)</f>
        <v>0.20141065307562078</v>
      </c>
      <c r="AZ117" s="157">
        <f t="shared" ref="AZ117" si="478">IF(ISERROR(AZ116/AT116-1),"-",AZ116/AT116-1)</f>
        <v>0.1735194026014677</v>
      </c>
      <c r="BA117" s="214">
        <f t="shared" ref="BA117" si="479">IF(ISERROR(BA116/AU116-1),"-",BA116/AU116-1)</f>
        <v>0.18110388805988831</v>
      </c>
      <c r="BB117" s="67"/>
      <c r="BC117" s="212">
        <f>IF(ISERROR(BC116/AW116-1),"-",BC116/AW116-1)</f>
        <v>4.7102281800130763E-2</v>
      </c>
      <c r="BD117" s="157">
        <f>IF(ISERROR(BD116/AX116-1),"-",BD116/AX116-1)</f>
        <v>7.9242323023723582E-2</v>
      </c>
      <c r="BE117" s="157">
        <f>IF(ISERROR(BE116/AY116-1),"-",BE116/AY116-1)</f>
        <v>7.4446800639296207E-3</v>
      </c>
      <c r="BF117" s="157">
        <f t="shared" ref="BF117" si="480">IF(ISERROR(BF116/AZ116-1),"-",BF116/AZ116-1)</f>
        <v>-0.34045466696359372</v>
      </c>
      <c r="BG117" s="214">
        <f t="shared" ref="BG117" si="481">IF(ISERROR(BG116/BA116-1),"-",BG116/BA116-1)</f>
        <v>-6.2880338159100768E-2</v>
      </c>
      <c r="BH117" s="67"/>
      <c r="BI117" s="212">
        <f>IF(ISERROR(BI116/BC116-1),"-",BI116/BC116-1)</f>
        <v>-0.28712625512460754</v>
      </c>
      <c r="BJ117" s="157">
        <f>IF(ISERROR(BJ116/BD116-1),"-",BJ116/BD116-1)</f>
        <v>-0.2409396093337105</v>
      </c>
      <c r="BK117" s="157">
        <f>IF(ISERROR(BK116/BE116-1),"-",BK116/BE116-1)</f>
        <v>-0.20139354580106428</v>
      </c>
      <c r="BL117" s="157">
        <f t="shared" ref="BL117" si="482">IF(ISERROR(BL116/BF116-1),"-",BL116/BF116-1)</f>
        <v>0.28392189257988454</v>
      </c>
      <c r="BM117" s="214">
        <f t="shared" ref="BM117" si="483">IF(ISERROR(BM116/BG116-1),"-",BM116/BG116-1)</f>
        <v>-0.13938227079512122</v>
      </c>
      <c r="BN117" s="67"/>
      <c r="BO117" s="212">
        <f>IF(ISERROR(BO116/BI116-1),"-",BO116/BI116-1)</f>
        <v>0.39034834216693648</v>
      </c>
      <c r="BP117" s="157">
        <f>IF(ISERROR(BP116/BJ116-1),"-",BP116/BJ116-1)</f>
        <v>0.36345643329967414</v>
      </c>
      <c r="BQ117" s="157">
        <f>IF(ISERROR(BQ116/BK116-1),"-",BQ116/BK116-1)</f>
        <v>0.22252721353728444</v>
      </c>
      <c r="BR117" s="157">
        <f t="shared" ref="BR117" si="484">IF(ISERROR(BR116/BL116-1),"-",BR116/BL116-1)</f>
        <v>0.23389995411120301</v>
      </c>
      <c r="BS117" s="214">
        <f t="shared" ref="BS117" si="485">IF(ISERROR(BS116/BM116-1),"-",BS116/BM116-1)</f>
        <v>0.29414241187320544</v>
      </c>
      <c r="BT117" s="67"/>
      <c r="BU117" s="212">
        <f>IF(ISERROR(BU116/BO116-1),"-",BU116/BO116-1)</f>
        <v>0.30905437432337424</v>
      </c>
      <c r="BV117" s="157">
        <f>IF(ISERROR(BV116/BP116-1),"-",BV116/BP116-1)</f>
        <v>0.31383519680284522</v>
      </c>
      <c r="BW117" s="157">
        <f>IF(ISERROR(BW116/BQ116-1),"-",BW116/BQ116-1)</f>
        <v>0.2118305060858241</v>
      </c>
      <c r="BX117" s="157">
        <f t="shared" ref="BX117" si="486">IF(ISERROR(BX116/BR116-1),"-",BX116/BR116-1)</f>
        <v>6.2022294343001105E-2</v>
      </c>
      <c r="BY117" s="214">
        <f t="shared" ref="BY117" si="487">IF(ISERROR(BY116/BS116-1),"-",BY116/BS116-1)</f>
        <v>0.21909893212061249</v>
      </c>
      <c r="BZ117" s="67"/>
      <c r="CA117" s="212">
        <f>IF(ISERROR(CA116/BU116-1),"-",CA116/BU116-1)</f>
        <v>6.5979687223943095E-2</v>
      </c>
      <c r="CB117" s="157">
        <f>IF(ISERROR(CB116/BV116-1),"-",CB116/BV116-1)</f>
        <v>-5.3439357777318452E-3</v>
      </c>
      <c r="CC117" s="157">
        <f>IF(ISERROR(CC116/BW116-1),"-",CC116/BW116-1)</f>
        <v>0.14138283603914448</v>
      </c>
      <c r="CD117" s="157">
        <f t="shared" ref="CD117" si="488">IF(ISERROR(CD116/BX116-1),"-",CD116/BX116-1)</f>
        <v>0.157386411080495</v>
      </c>
      <c r="CE117" s="214">
        <f t="shared" ref="CE117" si="489">IF(ISERROR(CE116/BY116-1),"-",CE116/BY116-1)</f>
        <v>8.658410523450355E-2</v>
      </c>
      <c r="CF117" s="67"/>
      <c r="CG117" s="212">
        <f>IF(ISERROR(CG116/CA116-1),"-",CG116/CA116-1)</f>
        <v>0.1554994538083343</v>
      </c>
      <c r="CH117" s="157">
        <f>IF(ISERROR(CH116/CB116-1),"-",CH116/CB116-1)</f>
        <v>0.16687199998944413</v>
      </c>
      <c r="CI117" s="157">
        <f>IF(ISERROR(CI116/CC116-1),"-",CI116/CC116-1)</f>
        <v>0.27054979822198</v>
      </c>
      <c r="CJ117" s="157">
        <f t="shared" ref="CJ117" si="490">IF(ISERROR(CJ116/CD116-1),"-",CJ116/CD116-1)</f>
        <v>0.35487888803084844</v>
      </c>
      <c r="CK117" s="214">
        <f t="shared" ref="CK117" si="491">IF(ISERROR(CK116/CE116-1),"-",CK116/CE116-1)</f>
        <v>0.23926403704720633</v>
      </c>
      <c r="CL117" s="67"/>
      <c r="CM117" s="212">
        <f>IF(ISERROR(CM116/CG116-1),"-",CM116/CG116-1)</f>
        <v>0.24615219078239248</v>
      </c>
      <c r="CN117" s="157">
        <f>IF(ISERROR(CN116/CH116-1),"-",CN116/CH116-1)</f>
        <v>0.2404485502936724</v>
      </c>
      <c r="CO117" s="157">
        <f>IF(ISERROR(CO116/CI116-1),"-",CO116/CI116-1)</f>
        <v>0.13353354805766116</v>
      </c>
      <c r="CP117" s="157">
        <f t="shared" ref="CP117" si="492">IF(ISERROR(CP116/CJ116-1),"-",CP116/CJ116-1)</f>
        <v>0.10309952801846634</v>
      </c>
      <c r="CQ117" s="214">
        <f t="shared" ref="CQ117" si="493">IF(ISERROR(CQ116/CK116-1),"-",CQ116/CK116-1)</f>
        <v>0.17506412878377287</v>
      </c>
      <c r="CR117" s="67"/>
      <c r="CS117" s="212">
        <f>IF(ISERROR(CS116/CM116-1),"-",CS116/CM116-1)</f>
        <v>0.12722984731873055</v>
      </c>
      <c r="CT117" s="157">
        <f>IF(ISERROR(CT116/CN116-1),"-",CT116/CN116-1)</f>
        <v>0.11514105644585237</v>
      </c>
      <c r="CU117" s="157">
        <f>IF(ISERROR(CU116/CO116-1),"-",CU116/CO116-1)</f>
        <v>0.1490230602878837</v>
      </c>
      <c r="CV117" s="157">
        <f t="shared" ref="CV117" si="494">IF(ISERROR(CV116/CP116-1),"-",CV116/CP116-1)</f>
        <v>0.15405814970005327</v>
      </c>
      <c r="CW117" s="214">
        <f t="shared" ref="CW117" si="495">IF(ISERROR(CW116/CQ116-1),"-",CW116/CQ116-1)</f>
        <v>0.13682514609822016</v>
      </c>
      <c r="CX117" s="22"/>
      <c r="CY117" s="212">
        <f>IF(ISERROR(CY116/CS116-1),"-",CY116/CS116-1)</f>
        <v>3.9110211907210202E-2</v>
      </c>
      <c r="CZ117" s="157">
        <f>IF(ISERROR(CZ116/CT116-1),"-",CZ116/CT116-1)</f>
        <v>0.1419574457134507</v>
      </c>
      <c r="DA117" s="157">
        <f>IF(ISERROR(DA116/CU116-1),"-",DA116/CU116-1)</f>
        <v>0.20006598484041338</v>
      </c>
      <c r="DB117" s="157">
        <f t="shared" ref="DB117" si="496">IF(ISERROR(DB116/CV116-1),"-",DB116/CV116-1)</f>
        <v>0.10964575701173085</v>
      </c>
      <c r="DC117" s="214">
        <f t="shared" ref="DC117" si="497">IF(ISERROR(DC116/CW116-1),"-",DC116/CW116-1)</f>
        <v>0.12358091377087921</v>
      </c>
      <c r="DE117" s="212">
        <f>IF(ISERROR(DE116/CY116-1),"-",DE116/CY116-1)</f>
        <v>0.24889327814878115</v>
      </c>
      <c r="DF117" s="157">
        <f>IF(ISERROR(DF116/CZ116-1),"-",DF116/CZ116-1)</f>
        <v>0.14474037710872278</v>
      </c>
      <c r="DG117" s="157">
        <f>IF(ISERROR(DG116/DA116-1),"-",DG116/DA116-1)</f>
        <v>4.4111690306380735E-2</v>
      </c>
      <c r="DH117" s="157">
        <f t="shared" ref="DH117" si="498">IF(ISERROR(DH116/DB116-1),"-",DH116/DB116-1)</f>
        <v>0.17110232928880698</v>
      </c>
      <c r="DI117" s="214">
        <f t="shared" ref="DI117" si="499">IF(ISERROR(DI116/DC116-1),"-",DI116/DC116-1)</f>
        <v>0.1470856524762707</v>
      </c>
      <c r="DK117" s="212">
        <f>IF(ISERROR(DK116/DE116-1),"-",DK116/DE116-1)</f>
        <v>9.2451451938564855E-2</v>
      </c>
      <c r="DL117" s="157">
        <f>IF(ISERROR(DL116/DF116-1),"-",DL116/DF116-1)</f>
        <v>8.6347583230333758E-2</v>
      </c>
      <c r="DM117" s="157">
        <f>IF(ISERROR(DM116/DG116-1),"-",DM116/DG116-1)</f>
        <v>9.8806032348066175E-2</v>
      </c>
      <c r="DN117" s="157">
        <f t="shared" ref="DN117" si="500">IF(ISERROR(DN116/DH116-1),"-",DN116/DH116-1)</f>
        <v>0</v>
      </c>
      <c r="DO117" s="214">
        <f t="shared" ref="DO117" si="501">IF(ISERROR(DO116/DI116-1),"-",DO116/DI116-1)</f>
        <v>6.771965562497595E-2</v>
      </c>
      <c r="DQ117" s="212">
        <f>IF(ISERROR(DQ116/DK116-1),"-",DQ116/DK116-1)</f>
        <v>0</v>
      </c>
      <c r="DR117" s="157">
        <f>IF(ISERROR(DR116/DL116-1),"-",DR116/DL116-1)</f>
        <v>0</v>
      </c>
      <c r="DS117" s="157">
        <f>IF(ISERROR(DS116/DM116-1),"-",DS116/DM116-1)</f>
        <v>0</v>
      </c>
      <c r="DT117" s="157">
        <f t="shared" ref="DT117" si="502">IF(ISERROR(DT116/DN116-1),"-",DT116/DN116-1)</f>
        <v>0</v>
      </c>
      <c r="DU117" s="214">
        <f t="shared" ref="DU117" si="503">IF(ISERROR(DU116/DO116-1),"-",DU116/DO116-1)</f>
        <v>0</v>
      </c>
      <c r="DW117" s="212">
        <f>IF(ISERROR(DW116/DQ116-1),"-",DW116/DQ116-1)</f>
        <v>0</v>
      </c>
      <c r="DX117" s="157">
        <f>IF(ISERROR(DX116/DR116-1),"-",DX116/DR116-1)</f>
        <v>0</v>
      </c>
      <c r="DY117" s="157">
        <f>IF(ISERROR(DY116/DS116-1),"-",DY116/DS116-1)</f>
        <v>0</v>
      </c>
      <c r="DZ117" s="157">
        <f t="shared" ref="DZ117" si="504">IF(ISERROR(DZ116/DT116-1),"-",DZ116/DT116-1)</f>
        <v>0</v>
      </c>
      <c r="EA117" s="214">
        <f t="shared" ref="EA117" si="505">IF(ISERROR(EA116/DU116-1),"-",EA116/DU116-1)</f>
        <v>0</v>
      </c>
      <c r="EC117" s="212">
        <f t="shared" ref="EC117:EE117" si="506">IF(ISERROR(EC116/DW116-1),"-",EC116/DW116-1)</f>
        <v>0</v>
      </c>
      <c r="ED117" s="157">
        <f t="shared" si="506"/>
        <v>0</v>
      </c>
      <c r="EE117" s="157">
        <f t="shared" si="506"/>
        <v>0</v>
      </c>
      <c r="EF117" s="157">
        <f t="shared" ref="EF117" si="507">IF(ISERROR(EF116/DZ116-1),"-",EF116/DZ116-1)</f>
        <v>0</v>
      </c>
      <c r="EG117" s="214">
        <f t="shared" ref="EG117" si="508">IF(ISERROR(EG116/EA116-1),"-",EG116/EA116-1)</f>
        <v>0</v>
      </c>
    </row>
    <row r="118" spans="1:148" x14ac:dyDescent="0.2">
      <c r="E118" s="67"/>
      <c r="F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row>
    <row r="119" spans="1:148" ht="12.75" customHeight="1" x14ac:dyDescent="0.2">
      <c r="A119" s="106" t="s">
        <v>590</v>
      </c>
      <c r="B119" s="239"/>
      <c r="C119" s="239"/>
      <c r="D119" s="239"/>
      <c r="E119" s="240"/>
      <c r="F119" s="240"/>
      <c r="G119" s="240"/>
      <c r="H119" s="240"/>
      <c r="I119" s="240"/>
      <c r="J119" s="240"/>
      <c r="K119" s="240"/>
      <c r="L119" s="240"/>
      <c r="M119" s="241"/>
      <c r="N119" s="241"/>
      <c r="O119" s="241"/>
      <c r="P119" s="241"/>
      <c r="Q119" s="240"/>
      <c r="R119" s="240"/>
      <c r="S119" s="241"/>
      <c r="T119" s="241"/>
      <c r="U119" s="241"/>
      <c r="V119" s="241"/>
      <c r="W119" s="240"/>
      <c r="X119" s="240"/>
      <c r="Y119" s="241"/>
      <c r="Z119" s="241"/>
      <c r="AA119" s="241"/>
      <c r="AB119" s="241"/>
      <c r="AC119" s="240"/>
      <c r="AD119" s="240"/>
      <c r="AE119" s="241"/>
      <c r="AF119" s="241"/>
      <c r="AG119" s="241"/>
      <c r="AH119" s="241"/>
      <c r="AI119" s="240"/>
      <c r="AJ119" s="240"/>
      <c r="AK119" s="241"/>
      <c r="AL119" s="241"/>
      <c r="AM119" s="241"/>
      <c r="AN119" s="241"/>
      <c r="AO119" s="240"/>
      <c r="AP119" s="240"/>
      <c r="AQ119" s="241"/>
      <c r="AR119" s="241"/>
      <c r="AS119" s="241"/>
      <c r="AT119" s="241"/>
      <c r="AU119" s="240"/>
      <c r="AV119" s="240"/>
      <c r="AW119" s="241"/>
      <c r="AX119" s="242"/>
      <c r="AY119" s="242"/>
      <c r="AZ119" s="242"/>
      <c r="BA119" s="240"/>
      <c r="BB119" s="240"/>
      <c r="BC119" s="242"/>
      <c r="BD119" s="242"/>
      <c r="BE119" s="242"/>
      <c r="BF119" s="242"/>
      <c r="BG119" s="240"/>
      <c r="BH119" s="240"/>
      <c r="BI119" s="242"/>
      <c r="BJ119" s="242"/>
      <c r="BK119" s="242"/>
      <c r="BL119" s="242"/>
      <c r="BM119" s="240"/>
      <c r="BN119" s="240"/>
      <c r="BO119" s="242"/>
      <c r="BP119" s="242"/>
      <c r="BQ119" s="242"/>
      <c r="BR119" s="242"/>
      <c r="BS119" s="240"/>
      <c r="BT119" s="240"/>
      <c r="BU119" s="242"/>
      <c r="BV119" s="242"/>
      <c r="BW119" s="242"/>
      <c r="BX119" s="242"/>
      <c r="BY119" s="240"/>
      <c r="BZ119" s="240"/>
      <c r="CA119" s="242"/>
      <c r="CB119" s="242"/>
      <c r="CC119" s="242"/>
      <c r="CD119" s="242"/>
      <c r="CE119" s="240"/>
      <c r="CF119" s="240"/>
      <c r="CG119" s="242"/>
      <c r="CH119" s="242"/>
      <c r="CI119" s="242"/>
      <c r="CJ119" s="242"/>
      <c r="CK119" s="240"/>
      <c r="CL119" s="240"/>
      <c r="CM119" s="242"/>
      <c r="CN119" s="242"/>
      <c r="CO119" s="242"/>
      <c r="CP119" s="242"/>
      <c r="CQ119" s="240"/>
      <c r="CR119" s="240"/>
      <c r="CS119" s="242"/>
      <c r="CT119" s="242"/>
      <c r="CU119" s="242"/>
      <c r="CV119" s="242"/>
      <c r="CW119" s="240"/>
      <c r="CX119" s="240"/>
      <c r="CY119" s="242"/>
      <c r="CZ119" s="242"/>
      <c r="DA119" s="242"/>
      <c r="DB119" s="242"/>
      <c r="DC119" s="240"/>
      <c r="DD119" s="240"/>
      <c r="DE119" s="242"/>
      <c r="DF119" s="242"/>
      <c r="DG119" s="243"/>
      <c r="DH119" s="242"/>
      <c r="DI119" s="240"/>
      <c r="DJ119" s="240"/>
      <c r="DK119" s="240"/>
      <c r="DL119" s="240"/>
      <c r="DM119" s="240"/>
      <c r="DN119" s="240"/>
      <c r="DO119" s="240"/>
      <c r="DP119" s="240"/>
      <c r="DQ119" s="240"/>
      <c r="DR119" s="240"/>
      <c r="DS119" s="240"/>
      <c r="DT119" s="240"/>
      <c r="DU119" s="240"/>
      <c r="DV119" s="240"/>
      <c r="DW119" s="240"/>
      <c r="DX119" s="240"/>
      <c r="DY119" s="240"/>
      <c r="DZ119" s="240"/>
      <c r="EA119" s="240"/>
      <c r="EB119" s="240"/>
      <c r="EC119" s="240"/>
      <c r="ED119" s="240"/>
      <c r="EE119" s="240"/>
      <c r="EF119" s="240"/>
      <c r="EG119" s="240"/>
      <c r="EH119" s="120"/>
      <c r="EI119" s="27"/>
      <c r="EJ119" s="27"/>
      <c r="EK119" s="27"/>
      <c r="EL119" s="27"/>
    </row>
    <row r="120" spans="1:148" ht="12.75" customHeight="1" x14ac:dyDescent="0.2">
      <c r="A120" s="51" t="s">
        <v>238</v>
      </c>
      <c r="B120" s="19"/>
      <c r="C120" s="19"/>
      <c r="D120" s="19"/>
      <c r="E120" s="141"/>
      <c r="F120" s="67"/>
      <c r="G120" s="141"/>
      <c r="H120" s="67"/>
      <c r="I120" s="141"/>
      <c r="J120" s="67"/>
      <c r="K120" s="141"/>
      <c r="L120" s="67"/>
      <c r="M120" s="137"/>
      <c r="N120" s="138"/>
      <c r="O120" s="138"/>
      <c r="P120" s="138"/>
      <c r="Q120" s="141"/>
      <c r="R120" s="67"/>
      <c r="S120" s="137"/>
      <c r="T120" s="138"/>
      <c r="U120" s="138"/>
      <c r="V120" s="138"/>
      <c r="W120" s="141"/>
      <c r="X120" s="67"/>
      <c r="Y120" s="137"/>
      <c r="Z120" s="138"/>
      <c r="AA120" s="138"/>
      <c r="AB120" s="138"/>
      <c r="AC120" s="141"/>
      <c r="AD120" s="67"/>
      <c r="AE120" s="137"/>
      <c r="AF120" s="138"/>
      <c r="AG120" s="138"/>
      <c r="AH120" s="138"/>
      <c r="AI120" s="141"/>
      <c r="AJ120" s="67"/>
      <c r="AK120" s="137"/>
      <c r="AL120" s="138"/>
      <c r="AM120" s="138"/>
      <c r="AN120" s="138"/>
      <c r="AO120" s="141"/>
      <c r="AP120" s="67"/>
      <c r="AQ120" s="137"/>
      <c r="AR120" s="138"/>
      <c r="AS120" s="138"/>
      <c r="AT120" s="138"/>
      <c r="AU120" s="141"/>
      <c r="AV120" s="67"/>
      <c r="AW120" s="137"/>
      <c r="AX120" s="138"/>
      <c r="AY120" s="138"/>
      <c r="AZ120" s="138"/>
      <c r="BA120" s="141"/>
      <c r="BB120" s="67"/>
      <c r="BC120" s="137"/>
      <c r="BD120" s="138"/>
      <c r="BE120" s="138"/>
      <c r="BF120" s="138"/>
      <c r="BG120" s="141"/>
      <c r="BH120" s="67"/>
      <c r="BI120" s="137"/>
      <c r="BJ120" s="138"/>
      <c r="BK120" s="138"/>
      <c r="BL120" s="138"/>
      <c r="BM120" s="141"/>
      <c r="BN120" s="67"/>
      <c r="BO120" s="137"/>
      <c r="BP120" s="138"/>
      <c r="BQ120" s="138"/>
      <c r="BR120" s="138"/>
      <c r="BS120" s="141"/>
      <c r="BT120" s="67"/>
      <c r="BU120" s="137"/>
      <c r="BV120" s="138"/>
      <c r="BW120" s="138"/>
      <c r="BX120" s="138"/>
      <c r="BY120" s="370">
        <v>7913.9</v>
      </c>
      <c r="BZ120" s="355"/>
      <c r="CA120" s="368">
        <v>2080.6999999999998</v>
      </c>
      <c r="CB120" s="369">
        <v>2198</v>
      </c>
      <c r="CC120" s="369">
        <v>2137.5</v>
      </c>
      <c r="CD120" s="369">
        <v>2429.9000000000005</v>
      </c>
      <c r="CE120" s="370">
        <v>8846.1</v>
      </c>
      <c r="CF120" s="355"/>
      <c r="CG120" s="368">
        <v>2119</v>
      </c>
      <c r="CH120" s="369">
        <v>2242</v>
      </c>
      <c r="CI120" s="369">
        <v>2244.4</v>
      </c>
      <c r="CJ120" s="369">
        <v>2554.9999999999995</v>
      </c>
      <c r="CK120" s="370">
        <v>9160.4</v>
      </c>
      <c r="CL120" s="355"/>
      <c r="CM120" s="368">
        <v>2209.8000000000002</v>
      </c>
      <c r="CN120" s="369">
        <v>2343.4</v>
      </c>
      <c r="CO120" s="369">
        <v>2254.8000000000002</v>
      </c>
      <c r="CP120" s="369">
        <v>2453.3999999999987</v>
      </c>
      <c r="CQ120" s="370">
        <v>9261.4</v>
      </c>
      <c r="CR120" s="355"/>
      <c r="CS120" s="368">
        <f>+'Pro Forma IS'!CS12</f>
        <v>1450.6</v>
      </c>
      <c r="CT120" s="369">
        <f>+'Pro Forma IS'!CT12</f>
        <v>1527.4</v>
      </c>
      <c r="CU120" s="369">
        <f>+'Pro Forma IS'!CU12</f>
        <v>1618.8</v>
      </c>
      <c r="CV120" s="369">
        <f>+'Pro Forma IS'!CV12</f>
        <v>2065.8000000000002</v>
      </c>
      <c r="CW120" s="370">
        <f>+'Pro Forma IS'!CW12</f>
        <v>6662.6</v>
      </c>
      <c r="CX120" s="355"/>
      <c r="CY120" s="368">
        <f>+'Pro Forma IS'!CY12</f>
        <v>1756.8</v>
      </c>
      <c r="CZ120" s="369">
        <f>+'Pro Forma IS'!CZ12</f>
        <v>1860.6</v>
      </c>
      <c r="DA120" s="369">
        <f>+'Pro Forma IS'!DA12</f>
        <v>1846.1</v>
      </c>
      <c r="DB120" s="369">
        <f>+'Pro Forma IS'!DB12</f>
        <v>2084.3000000000002</v>
      </c>
      <c r="DC120" s="370">
        <f>+'Pro Forma IS'!DC12</f>
        <v>7547.8</v>
      </c>
      <c r="DD120" s="355"/>
      <c r="DE120" s="368">
        <f>+'Pro Forma IS'!DE12</f>
        <v>1871.4</v>
      </c>
      <c r="DF120" s="369">
        <f>+'Pro Forma IS'!DF12</f>
        <v>2006.8</v>
      </c>
      <c r="DG120" s="369">
        <f>+'Pro Forma IS'!DG12</f>
        <v>1991.4</v>
      </c>
      <c r="DH120" s="369">
        <f>+'Pro Forma IS'!DH12</f>
        <v>2246.6</v>
      </c>
      <c r="DI120" s="370">
        <f>+'Pro Forma IS'!DI12</f>
        <v>8116.2000000000007</v>
      </c>
      <c r="DJ120" s="355"/>
      <c r="DK120" s="368">
        <f>+'Pro Forma IS'!DK12</f>
        <v>2051.8000000000002</v>
      </c>
      <c r="DL120" s="369">
        <f>+'Pro Forma IS'!DL12</f>
        <v>2186.021837535719</v>
      </c>
      <c r="DM120" s="369">
        <f>+'Pro Forma IS'!DM12</f>
        <v>2126.4268297508424</v>
      </c>
      <c r="DN120" s="369">
        <f>+'Pro Forma IS'!DN12</f>
        <v>2340.8363348983999</v>
      </c>
      <c r="DO120" s="370">
        <f>+'Pro Forma IS'!DO12</f>
        <v>8705.0850021849619</v>
      </c>
      <c r="DP120" s="355"/>
      <c r="DQ120" s="368">
        <f>+'Pro Forma IS'!DQ12</f>
        <v>2110.9075869921512</v>
      </c>
      <c r="DR120" s="369">
        <f>+'Pro Forma IS'!DR12</f>
        <v>2260.6462968641231</v>
      </c>
      <c r="DS120" s="369">
        <f>+'Pro Forma IS'!DS12</f>
        <v>2186.4608237242223</v>
      </c>
      <c r="DT120" s="369">
        <f>+'Pro Forma IS'!DT12</f>
        <v>2413.9251342076445</v>
      </c>
      <c r="DU120" s="370">
        <f>+'Pro Forma IS'!DU12</f>
        <v>8971.9398417881403</v>
      </c>
      <c r="DV120" s="355"/>
      <c r="DW120" s="368">
        <f>+'Pro Forma IS'!DW12</f>
        <v>2170.5991583778869</v>
      </c>
      <c r="DX120" s="369">
        <f>+'Pro Forma IS'!DX12</f>
        <v>2329.0189793180034</v>
      </c>
      <c r="DY120" s="369">
        <f>+'Pro Forma IS'!DY12</f>
        <v>2251.804521665762</v>
      </c>
      <c r="DZ120" s="369">
        <f>+'Pro Forma IS'!DZ12</f>
        <v>2493.717477157239</v>
      </c>
      <c r="EA120" s="370">
        <f>+'Pro Forma IS'!EA12</f>
        <v>9245.1401365188904</v>
      </c>
      <c r="EB120" s="355"/>
      <c r="EC120" s="368">
        <f>+'Pro Forma IS'!EC12</f>
        <v>2239.4199599880922</v>
      </c>
      <c r="ED120" s="369">
        <f>+'Pro Forma IS'!ED12</f>
        <v>2406.9011877888638</v>
      </c>
      <c r="EE120" s="369">
        <f>+'Pro Forma IS'!EE12</f>
        <v>2326.5870775707908</v>
      </c>
      <c r="EF120" s="369">
        <f>+'Pro Forma IS'!EF12</f>
        <v>2589.7325785354597</v>
      </c>
      <c r="EG120" s="370">
        <f>+'Pro Forma IS'!EG12</f>
        <v>9562.6408038832069</v>
      </c>
      <c r="EH120" s="67"/>
      <c r="EI120" s="6"/>
      <c r="EJ120" s="6"/>
      <c r="EK120" s="6"/>
      <c r="EL120" s="6"/>
    </row>
    <row r="121" spans="1:148" ht="12.75" customHeight="1" x14ac:dyDescent="0.2">
      <c r="A121" s="51" t="s">
        <v>594</v>
      </c>
      <c r="B121" s="19"/>
      <c r="C121" s="19"/>
      <c r="D121" s="19"/>
      <c r="E121" s="95"/>
      <c r="F121" s="67"/>
      <c r="G121" s="95"/>
      <c r="H121" s="67"/>
      <c r="I121" s="95"/>
      <c r="J121" s="67"/>
      <c r="K121" s="95"/>
      <c r="L121" s="67"/>
      <c r="M121" s="85"/>
      <c r="N121" s="73"/>
      <c r="O121" s="73"/>
      <c r="P121" s="73"/>
      <c r="Q121" s="95"/>
      <c r="R121" s="67"/>
      <c r="S121" s="85"/>
      <c r="T121" s="73"/>
      <c r="U121" s="73"/>
      <c r="V121" s="73"/>
      <c r="W121" s="95"/>
      <c r="X121" s="67"/>
      <c r="Y121" s="85"/>
      <c r="Z121" s="73"/>
      <c r="AA121" s="73"/>
      <c r="AB121" s="73"/>
      <c r="AC121" s="95"/>
      <c r="AD121" s="67"/>
      <c r="AE121" s="85"/>
      <c r="AF121" s="73"/>
      <c r="AG121" s="73"/>
      <c r="AH121" s="73"/>
      <c r="AI121" s="95"/>
      <c r="AJ121" s="67"/>
      <c r="AK121" s="85"/>
      <c r="AL121" s="73"/>
      <c r="AM121" s="73"/>
      <c r="AN121" s="73"/>
      <c r="AO121" s="95"/>
      <c r="AP121" s="67"/>
      <c r="AQ121" s="85"/>
      <c r="AR121" s="73"/>
      <c r="AS121" s="73"/>
      <c r="AT121" s="73"/>
      <c r="AU121" s="95"/>
      <c r="AV121" s="67"/>
      <c r="AW121" s="85"/>
      <c r="AX121" s="73"/>
      <c r="AY121" s="73"/>
      <c r="AZ121" s="73"/>
      <c r="BA121" s="95"/>
      <c r="BB121" s="67"/>
      <c r="BC121" s="85"/>
      <c r="BD121" s="73"/>
      <c r="BE121" s="73"/>
      <c r="BF121" s="73"/>
      <c r="BG121" s="95"/>
      <c r="BH121" s="67"/>
      <c r="BI121" s="85"/>
      <c r="BJ121" s="73"/>
      <c r="BK121" s="73"/>
      <c r="BL121" s="73"/>
      <c r="BM121" s="95"/>
      <c r="BN121" s="67"/>
      <c r="BO121" s="85"/>
      <c r="BP121" s="73"/>
      <c r="BQ121" s="73"/>
      <c r="BR121" s="73"/>
      <c r="BS121" s="95"/>
      <c r="BT121" s="67"/>
      <c r="BU121" s="85"/>
      <c r="BV121" s="73"/>
      <c r="BW121" s="73"/>
      <c r="BX121" s="73"/>
      <c r="BY121" s="964">
        <v>5626.1999999999989</v>
      </c>
      <c r="BZ121" s="355"/>
      <c r="CA121" s="962">
        <v>1515</v>
      </c>
      <c r="CB121" s="963">
        <v>1562.1999999999998</v>
      </c>
      <c r="CC121" s="963">
        <v>1540.7</v>
      </c>
      <c r="CD121" s="963">
        <v>1701.1999999999998</v>
      </c>
      <c r="CE121" s="964">
        <v>6319.1</v>
      </c>
      <c r="CF121" s="355"/>
      <c r="CG121" s="962">
        <v>1594.8000000000002</v>
      </c>
      <c r="CH121" s="963">
        <v>1651.9</v>
      </c>
      <c r="CI121" s="963">
        <v>1612.3000000000002</v>
      </c>
      <c r="CJ121" s="963">
        <v>1823.6999999999998</v>
      </c>
      <c r="CK121" s="964">
        <v>6682.7000000000007</v>
      </c>
      <c r="CL121" s="355"/>
      <c r="CM121" s="962">
        <v>1664</v>
      </c>
      <c r="CN121" s="963">
        <v>1730.9</v>
      </c>
      <c r="CO121" s="963">
        <v>1586.1</v>
      </c>
      <c r="CP121" s="963">
        <v>1565</v>
      </c>
      <c r="CQ121" s="964">
        <v>6546</v>
      </c>
      <c r="CR121" s="67"/>
      <c r="CS121" s="962">
        <f>+'Pro Forma IS'!CS17</f>
        <v>1293.8999999999999</v>
      </c>
      <c r="CT121" s="963">
        <f>+'Pro Forma IS'!CT17</f>
        <v>1296</v>
      </c>
      <c r="CU121" s="963">
        <f>+'Pro Forma IS'!CU17</f>
        <v>1413.4</v>
      </c>
      <c r="CV121" s="963">
        <f>+'Pro Forma IS'!CV17</f>
        <v>1605.6</v>
      </c>
      <c r="CW121" s="964">
        <f>+'Pro Forma IS'!CW17</f>
        <v>5608.9</v>
      </c>
      <c r="CX121" s="67"/>
      <c r="CY121" s="962">
        <f>+'Pro Forma IS'!CY17</f>
        <v>1554.1999999999998</v>
      </c>
      <c r="CZ121" s="963">
        <f>+'Pro Forma IS'!CZ17</f>
        <v>1671.2</v>
      </c>
      <c r="DA121" s="963">
        <f>+'Pro Forma IS'!DA17</f>
        <v>1586.8999999999999</v>
      </c>
      <c r="DB121" s="963">
        <f>+'Pro Forma IS'!DB17</f>
        <v>1771.4</v>
      </c>
      <c r="DC121" s="964">
        <f>+'Pro Forma IS'!DC17</f>
        <v>6583.7000000000007</v>
      </c>
      <c r="DD121" s="67"/>
      <c r="DE121" s="962">
        <f>+'Pro Forma IS'!DE17</f>
        <v>1717.3000000000002</v>
      </c>
      <c r="DF121" s="963">
        <f>+'Pro Forma IS'!DF17</f>
        <v>1751.6</v>
      </c>
      <c r="DG121" s="963">
        <f>+'Pro Forma IS'!DG17</f>
        <v>1776.3</v>
      </c>
      <c r="DH121" s="963">
        <f>+'Pro Forma IS'!DH17</f>
        <v>1901</v>
      </c>
      <c r="DI121" s="964">
        <f>+'Pro Forma IS'!DI17</f>
        <v>7146.2</v>
      </c>
      <c r="DJ121" s="67"/>
      <c r="DK121" s="962">
        <f>+'Pro Forma IS'!DK17</f>
        <v>1900.6000000000001</v>
      </c>
      <c r="DL121" s="963">
        <f>+'Pro Forma IS'!DL17</f>
        <v>1897.4968113390223</v>
      </c>
      <c r="DM121" s="963">
        <f>+'Pro Forma IS'!DM17</f>
        <v>1885.7779998855838</v>
      </c>
      <c r="DN121" s="963">
        <f>+'Pro Forma IS'!DN17</f>
        <v>2013.7659824045995</v>
      </c>
      <c r="DO121" s="964">
        <f>+'Pro Forma IS'!DO17</f>
        <v>7697.6407936292062</v>
      </c>
      <c r="DP121" s="67"/>
      <c r="DQ121" s="962">
        <f>+'Pro Forma IS'!DQ17</f>
        <v>1971.7558070931393</v>
      </c>
      <c r="DR121" s="963">
        <f>+'Pro Forma IS'!DR17</f>
        <v>1971.1041213800481</v>
      </c>
      <c r="DS121" s="963">
        <f>+'Pro Forma IS'!DS17</f>
        <v>1942.2219682892783</v>
      </c>
      <c r="DT121" s="963">
        <f>+'Pro Forma IS'!DT17</f>
        <v>2072.7065224684138</v>
      </c>
      <c r="DU121" s="964">
        <f>+'Pro Forma IS'!DU17</f>
        <v>7957.7884192308802</v>
      </c>
      <c r="DV121" s="67"/>
      <c r="DW121" s="962">
        <f>+'Pro Forma IS'!DW17</f>
        <v>2038.18983659587</v>
      </c>
      <c r="DX121" s="963">
        <f>+'Pro Forma IS'!DX17</f>
        <v>2036.5845794760207</v>
      </c>
      <c r="DY121" s="963">
        <f>+'Pro Forma IS'!DY17</f>
        <v>2006.9510184722972</v>
      </c>
      <c r="DZ121" s="963">
        <f>+'Pro Forma IS'!DZ17</f>
        <v>2140.6677280104695</v>
      </c>
      <c r="EA121" s="964">
        <f>+'Pro Forma IS'!EA17</f>
        <v>8222.3931625546575</v>
      </c>
      <c r="EB121" s="67"/>
      <c r="EC121" s="962">
        <f>+'Pro Forma IS'!EC17</f>
        <v>2106.7819827177768</v>
      </c>
      <c r="ED121" s="963">
        <f>+'Pro Forma IS'!ED17</f>
        <v>2104.1440383938971</v>
      </c>
      <c r="EE121" s="963">
        <f>+'Pro Forma IS'!EE17</f>
        <v>2073.7453599830496</v>
      </c>
      <c r="EF121" s="963">
        <f>+'Pro Forma IS'!EF17</f>
        <v>2210.7401391362646</v>
      </c>
      <c r="EG121" s="964">
        <f>+'Pro Forma IS'!EG17</f>
        <v>8495.4115202309877</v>
      </c>
      <c r="EH121" s="73"/>
      <c r="EI121" s="6"/>
      <c r="EJ121" s="6"/>
      <c r="EK121" s="6"/>
      <c r="EL121" s="6"/>
    </row>
    <row r="122" spans="1:148" ht="12.75" customHeight="1" x14ac:dyDescent="0.2">
      <c r="A122" s="51" t="s">
        <v>592</v>
      </c>
      <c r="B122" s="6"/>
      <c r="C122" s="6"/>
      <c r="D122" s="6"/>
      <c r="E122" s="221"/>
      <c r="F122" s="28"/>
      <c r="G122" s="221"/>
      <c r="H122" s="28"/>
      <c r="I122" s="221"/>
      <c r="J122" s="28"/>
      <c r="K122" s="221"/>
      <c r="L122" s="28"/>
      <c r="M122" s="219"/>
      <c r="N122" s="28"/>
      <c r="O122" s="28"/>
      <c r="P122" s="28"/>
      <c r="Q122" s="221"/>
      <c r="R122" s="28"/>
      <c r="S122" s="219"/>
      <c r="T122" s="28"/>
      <c r="U122" s="28"/>
      <c r="V122" s="28"/>
      <c r="W122" s="221"/>
      <c r="X122" s="28"/>
      <c r="Y122" s="219"/>
      <c r="Z122" s="28"/>
      <c r="AA122" s="28"/>
      <c r="AB122" s="28"/>
      <c r="AC122" s="221"/>
      <c r="AD122" s="28"/>
      <c r="AE122" s="219"/>
      <c r="AF122" s="28"/>
      <c r="AG122" s="28"/>
      <c r="AH122" s="28"/>
      <c r="AI122" s="221"/>
      <c r="AJ122" s="28"/>
      <c r="AK122" s="219"/>
      <c r="AL122" s="28"/>
      <c r="AM122" s="28"/>
      <c r="AN122" s="28"/>
      <c r="AO122" s="221"/>
      <c r="AP122" s="28"/>
      <c r="AQ122" s="219"/>
      <c r="AR122" s="28"/>
      <c r="AS122" s="28"/>
      <c r="AT122" s="28"/>
      <c r="AU122" s="221"/>
      <c r="AV122" s="28"/>
      <c r="AW122" s="134"/>
      <c r="AX122" s="29"/>
      <c r="AY122" s="29"/>
      <c r="AZ122" s="29"/>
      <c r="BA122" s="221"/>
      <c r="BB122" s="28"/>
      <c r="BC122" s="219"/>
      <c r="BD122" s="28"/>
      <c r="BE122" s="28"/>
      <c r="BF122" s="28"/>
      <c r="BG122" s="221"/>
      <c r="BH122" s="28"/>
      <c r="BI122" s="219"/>
      <c r="BJ122" s="28"/>
      <c r="BK122" s="28"/>
      <c r="BL122" s="28"/>
      <c r="BM122" s="221"/>
      <c r="BN122" s="28"/>
      <c r="BO122" s="219"/>
      <c r="BP122" s="28"/>
      <c r="BQ122" s="28"/>
      <c r="BR122" s="28"/>
      <c r="BS122" s="221"/>
      <c r="BT122" s="28"/>
      <c r="BU122" s="219"/>
      <c r="BV122" s="28"/>
      <c r="BW122" s="28"/>
      <c r="BX122" s="28"/>
      <c r="BY122" s="221">
        <f t="shared" ref="BY122" si="509">+BY121+BY120</f>
        <v>13540.099999999999</v>
      </c>
      <c r="BZ122" s="28"/>
      <c r="CA122" s="219">
        <f>+CA121+CA120</f>
        <v>3595.7</v>
      </c>
      <c r="CB122" s="28">
        <f t="shared" ref="CB122" si="510">+CB121+CB120</f>
        <v>3760.2</v>
      </c>
      <c r="CC122" s="28">
        <f t="shared" ref="CC122" si="511">+CC121+CC120</f>
        <v>3678.2</v>
      </c>
      <c r="CD122" s="28">
        <f t="shared" ref="CD122" si="512">+CD121+CD120</f>
        <v>4131.1000000000004</v>
      </c>
      <c r="CE122" s="221">
        <f t="shared" ref="CE122" si="513">+CE121+CE120</f>
        <v>15165.2</v>
      </c>
      <c r="CF122" s="28"/>
      <c r="CG122" s="219">
        <f>+CG121+CG120</f>
        <v>3713.8</v>
      </c>
      <c r="CH122" s="28">
        <f t="shared" ref="CH122" si="514">+CH121+CH120</f>
        <v>3893.9</v>
      </c>
      <c r="CI122" s="28">
        <f t="shared" ref="CI122" si="515">+CI121+CI120</f>
        <v>3856.7000000000003</v>
      </c>
      <c r="CJ122" s="28">
        <f t="shared" ref="CJ122" si="516">+CJ121+CJ120</f>
        <v>4378.6999999999989</v>
      </c>
      <c r="CK122" s="221">
        <f t="shared" ref="CK122" si="517">+CK121+CK120</f>
        <v>15843.1</v>
      </c>
      <c r="CL122" s="28"/>
      <c r="CM122" s="219">
        <f>+CM121+CM120</f>
        <v>3873.8</v>
      </c>
      <c r="CN122" s="28">
        <f t="shared" ref="CN122" si="518">+CN121+CN120</f>
        <v>4074.3</v>
      </c>
      <c r="CO122" s="28">
        <f t="shared" ref="CO122" si="519">+CO121+CO120</f>
        <v>3840.9</v>
      </c>
      <c r="CP122" s="28">
        <f t="shared" ref="CP122" si="520">+CP121+CP120</f>
        <v>4018.3999999999987</v>
      </c>
      <c r="CQ122" s="221">
        <f t="shared" ref="CQ122" si="521">+CQ121+CQ120</f>
        <v>15807.4</v>
      </c>
      <c r="CR122" s="28"/>
      <c r="CS122" s="219">
        <f>+CS121+CS120</f>
        <v>2744.5</v>
      </c>
      <c r="CT122" s="28">
        <f t="shared" ref="CT122:CW122" si="522">+CT121+CT120</f>
        <v>2823.4</v>
      </c>
      <c r="CU122" s="28">
        <f t="shared" si="522"/>
        <v>3032.2</v>
      </c>
      <c r="CV122" s="28">
        <f t="shared" si="522"/>
        <v>3671.4</v>
      </c>
      <c r="CW122" s="221">
        <f t="shared" si="522"/>
        <v>12271.5</v>
      </c>
      <c r="CX122" s="28"/>
      <c r="CY122" s="219">
        <f t="shared" ref="CY122" si="523">+CY121+CY120</f>
        <v>3311</v>
      </c>
      <c r="CZ122" s="28">
        <f t="shared" ref="CZ122" si="524">+CZ121+CZ120</f>
        <v>3531.8</v>
      </c>
      <c r="DA122" s="28">
        <f t="shared" ref="DA122" si="525">+DA121+DA120</f>
        <v>3433</v>
      </c>
      <c r="DB122" s="28">
        <f t="shared" ref="DB122" si="526">+DB121+DB120</f>
        <v>3855.7000000000003</v>
      </c>
      <c r="DC122" s="221">
        <f t="shared" ref="DC122" si="527">+DC121+DC120</f>
        <v>14131.5</v>
      </c>
      <c r="DD122" s="28"/>
      <c r="DE122" s="219">
        <f t="shared" ref="DE122:DI122" si="528">+DE121+DE120</f>
        <v>3588.7000000000003</v>
      </c>
      <c r="DF122" s="28">
        <f t="shared" si="528"/>
        <v>3758.3999999999996</v>
      </c>
      <c r="DG122" s="28">
        <f t="shared" si="528"/>
        <v>3767.7</v>
      </c>
      <c r="DH122" s="28">
        <f t="shared" si="528"/>
        <v>4147.6000000000004</v>
      </c>
      <c r="DI122" s="221">
        <f t="shared" si="528"/>
        <v>15262.400000000001</v>
      </c>
      <c r="DJ122" s="28"/>
      <c r="DK122" s="219">
        <f t="shared" ref="DK122" si="529">+DK121+DK120</f>
        <v>3952.4000000000005</v>
      </c>
      <c r="DL122" s="28">
        <f t="shared" ref="DL122" si="530">+DL121+DL120</f>
        <v>4083.5186488747413</v>
      </c>
      <c r="DM122" s="28">
        <f t="shared" ref="DM122" si="531">+DM121+DM120</f>
        <v>4012.2048296364264</v>
      </c>
      <c r="DN122" s="28">
        <f t="shared" ref="DN122" si="532">+DN121+DN120</f>
        <v>4354.6023173029989</v>
      </c>
      <c r="DO122" s="221">
        <f t="shared" ref="DO122" si="533">+DO121+DO120</f>
        <v>16402.725795814167</v>
      </c>
      <c r="DP122" s="28"/>
      <c r="DQ122" s="219">
        <f t="shared" ref="DQ122" si="534">+DQ121+DQ120</f>
        <v>4082.6633940852907</v>
      </c>
      <c r="DR122" s="28">
        <f t="shared" ref="DR122" si="535">+DR121+DR120</f>
        <v>4231.7504182441717</v>
      </c>
      <c r="DS122" s="28">
        <f t="shared" ref="DS122" si="536">+DS121+DS120</f>
        <v>4128.6827920135001</v>
      </c>
      <c r="DT122" s="28">
        <f t="shared" ref="DT122" si="537">+DT121+DT120</f>
        <v>4486.6316566760579</v>
      </c>
      <c r="DU122" s="221">
        <f t="shared" ref="DU122" si="538">+DU121+DU120</f>
        <v>16929.72826101902</v>
      </c>
      <c r="DV122" s="28"/>
      <c r="DW122" s="219">
        <f t="shared" ref="DW122:EA122" si="539">+DW121+DW120</f>
        <v>4208.7889949737564</v>
      </c>
      <c r="DX122" s="28">
        <f t="shared" si="539"/>
        <v>4365.6035587940241</v>
      </c>
      <c r="DY122" s="28">
        <f t="shared" si="539"/>
        <v>4258.7555401380596</v>
      </c>
      <c r="DZ122" s="28">
        <f t="shared" si="539"/>
        <v>4634.3852051677086</v>
      </c>
      <c r="EA122" s="221">
        <f t="shared" si="539"/>
        <v>17467.533299073548</v>
      </c>
      <c r="EB122" s="28"/>
      <c r="EC122" s="219">
        <f t="shared" ref="EC122:EG122" si="540">+EC121+EC120</f>
        <v>4346.2019427058694</v>
      </c>
      <c r="ED122" s="28">
        <f t="shared" si="540"/>
        <v>4511.0452261827613</v>
      </c>
      <c r="EE122" s="28">
        <f t="shared" si="540"/>
        <v>4400.3324375538405</v>
      </c>
      <c r="EF122" s="28">
        <f t="shared" si="540"/>
        <v>4800.4727176717242</v>
      </c>
      <c r="EG122" s="221">
        <f t="shared" si="540"/>
        <v>18058.052324114193</v>
      </c>
      <c r="EH122" s="28"/>
      <c r="EI122" s="6"/>
      <c r="EJ122" s="6"/>
      <c r="EK122" s="6"/>
      <c r="EL122" s="6"/>
    </row>
    <row r="123" spans="1:148" ht="12.75" customHeight="1" x14ac:dyDescent="0.2">
      <c r="A123" s="51" t="s">
        <v>591</v>
      </c>
      <c r="B123" s="19"/>
      <c r="C123" s="19"/>
      <c r="D123" s="19"/>
      <c r="E123" s="158"/>
      <c r="F123" s="67"/>
      <c r="G123" s="158"/>
      <c r="H123" s="67"/>
      <c r="I123" s="158"/>
      <c r="J123" s="67"/>
      <c r="K123" s="158"/>
      <c r="L123" s="67"/>
      <c r="M123" s="149"/>
      <c r="N123" s="22"/>
      <c r="O123" s="22"/>
      <c r="P123" s="22"/>
      <c r="Q123" s="158"/>
      <c r="R123" s="67"/>
      <c r="S123" s="149"/>
      <c r="T123" s="22"/>
      <c r="U123" s="22"/>
      <c r="V123" s="22"/>
      <c r="W123" s="158"/>
      <c r="X123" s="67"/>
      <c r="Y123" s="149"/>
      <c r="Z123" s="22"/>
      <c r="AA123" s="22"/>
      <c r="AB123" s="22"/>
      <c r="AC123" s="158"/>
      <c r="AD123" s="67"/>
      <c r="AE123" s="149"/>
      <c r="AF123" s="22"/>
      <c r="AG123" s="22"/>
      <c r="AH123" s="22"/>
      <c r="AI123" s="158"/>
      <c r="AJ123" s="67"/>
      <c r="AK123" s="149"/>
      <c r="AL123" s="22"/>
      <c r="AM123" s="22"/>
      <c r="AN123" s="22"/>
      <c r="AO123" s="158"/>
      <c r="AP123" s="67"/>
      <c r="AQ123" s="149"/>
      <c r="AR123" s="22"/>
      <c r="AS123" s="22"/>
      <c r="AT123" s="22"/>
      <c r="AU123" s="158"/>
      <c r="AV123" s="67"/>
      <c r="AW123" s="149"/>
      <c r="AX123" s="22"/>
      <c r="AY123" s="22"/>
      <c r="AZ123" s="22"/>
      <c r="BA123" s="158"/>
      <c r="BB123" s="67"/>
      <c r="BC123" s="149"/>
      <c r="BD123" s="22"/>
      <c r="BE123" s="22"/>
      <c r="BF123" s="22"/>
      <c r="BG123" s="158"/>
      <c r="BH123" s="67"/>
      <c r="BI123" s="149"/>
      <c r="BJ123" s="22"/>
      <c r="BK123" s="22"/>
      <c r="BL123" s="22"/>
      <c r="BM123" s="158"/>
      <c r="BN123" s="67"/>
      <c r="BO123" s="149"/>
      <c r="BP123" s="22"/>
      <c r="BQ123" s="22"/>
      <c r="BR123" s="22"/>
      <c r="BS123" s="158"/>
      <c r="BT123" s="67"/>
      <c r="BU123" s="149"/>
      <c r="BV123" s="22"/>
      <c r="BW123" s="22"/>
      <c r="BX123" s="22"/>
      <c r="BY123" s="1023">
        <f>+BY16</f>
        <v>95.6</v>
      </c>
      <c r="BZ123" s="67"/>
      <c r="CA123" s="1024">
        <f t="shared" ref="CA123:DC123" si="541">+CA16</f>
        <v>23.7</v>
      </c>
      <c r="CB123" s="23">
        <f t="shared" si="541"/>
        <v>26.7</v>
      </c>
      <c r="CC123" s="23">
        <f t="shared" si="541"/>
        <v>29.000000000000007</v>
      </c>
      <c r="CD123" s="23">
        <f t="shared" si="541"/>
        <v>30.5</v>
      </c>
      <c r="CE123" s="1023">
        <f>+CE16</f>
        <v>109.9</v>
      </c>
      <c r="CF123" s="67"/>
      <c r="CG123" s="1024">
        <f t="shared" si="541"/>
        <v>27.8</v>
      </c>
      <c r="CH123" s="23">
        <f t="shared" si="541"/>
        <v>28.3</v>
      </c>
      <c r="CI123" s="23">
        <f t="shared" si="541"/>
        <v>29.6</v>
      </c>
      <c r="CJ123" s="23">
        <f t="shared" si="541"/>
        <v>32</v>
      </c>
      <c r="CK123" s="1023">
        <f t="shared" si="541"/>
        <v>117.7</v>
      </c>
      <c r="CL123" s="67"/>
      <c r="CM123" s="1024">
        <f t="shared" si="541"/>
        <v>29</v>
      </c>
      <c r="CN123" s="23">
        <f t="shared" si="541"/>
        <v>26</v>
      </c>
      <c r="CO123" s="23">
        <f t="shared" si="541"/>
        <v>28</v>
      </c>
      <c r="CP123" s="23">
        <f t="shared" si="541"/>
        <v>32.5</v>
      </c>
      <c r="CQ123" s="1023">
        <f t="shared" si="541"/>
        <v>115.5</v>
      </c>
      <c r="CR123" s="67"/>
      <c r="CS123" s="1024">
        <f t="shared" si="541"/>
        <v>30.3</v>
      </c>
      <c r="CT123" s="23">
        <f t="shared" si="541"/>
        <v>28.2</v>
      </c>
      <c r="CU123" s="23">
        <f t="shared" si="541"/>
        <v>18.400000000000006</v>
      </c>
      <c r="CV123" s="23">
        <f t="shared" si="541"/>
        <v>26.899999999999991</v>
      </c>
      <c r="CW123" s="1023">
        <f t="shared" si="541"/>
        <v>103.8</v>
      </c>
      <c r="CX123" s="67"/>
      <c r="CY123" s="1024">
        <f t="shared" si="541"/>
        <v>41.1</v>
      </c>
      <c r="CZ123" s="23">
        <f t="shared" si="541"/>
        <v>46.199999999999996</v>
      </c>
      <c r="DA123" s="23">
        <f t="shared" si="541"/>
        <v>9</v>
      </c>
      <c r="DB123" s="23">
        <f t="shared" si="541"/>
        <v>33.500000000000014</v>
      </c>
      <c r="DC123" s="1023">
        <f t="shared" si="541"/>
        <v>129.80000000000001</v>
      </c>
      <c r="DD123" s="67"/>
      <c r="DE123" s="1024">
        <f t="shared" ref="DE123:DI123" si="542">+DE16</f>
        <v>33.6</v>
      </c>
      <c r="DF123" s="23">
        <f t="shared" si="542"/>
        <v>37.800000000000004</v>
      </c>
      <c r="DG123" s="23">
        <f t="shared" si="542"/>
        <v>33.399999999999991</v>
      </c>
      <c r="DH123" s="23">
        <f t="shared" si="542"/>
        <v>34.600000000000009</v>
      </c>
      <c r="DI123" s="1023">
        <f t="shared" si="542"/>
        <v>139.4</v>
      </c>
      <c r="DJ123" s="67"/>
      <c r="DK123" s="1024">
        <f t="shared" ref="DK123" si="543">+DK124*DK122</f>
        <v>35.571600000000004</v>
      </c>
      <c r="DL123" s="23">
        <f t="shared" ref="DL123" si="544">+DL124*DL122</f>
        <v>36.751667839872667</v>
      </c>
      <c r="DM123" s="23">
        <f t="shared" ref="DM123" si="545">+DM124*DM122</f>
        <v>36.109843466727838</v>
      </c>
      <c r="DN123" s="23">
        <f t="shared" ref="DN123" si="546">+DN124*DN122</f>
        <v>39.191420855726989</v>
      </c>
      <c r="DO123" s="1023">
        <f>+SUM(DK123:DN123)</f>
        <v>147.62453216232751</v>
      </c>
      <c r="DP123" s="67"/>
      <c r="DQ123" s="1024">
        <f t="shared" ref="DQ123" si="547">+DQ124*DQ122</f>
        <v>36.743970546767621</v>
      </c>
      <c r="DR123" s="23">
        <f t="shared" ref="DR123" si="548">+DR124*DR122</f>
        <v>38.085753764197548</v>
      </c>
      <c r="DS123" s="23">
        <f t="shared" ref="DS123" si="549">+DS124*DS122</f>
        <v>37.158145128121504</v>
      </c>
      <c r="DT123" s="23">
        <f t="shared" ref="DT123" si="550">+DT124*DT122</f>
        <v>40.379684910084528</v>
      </c>
      <c r="DU123" s="1023">
        <f>+SUM(DQ123:DT123)</f>
        <v>152.3675543491712</v>
      </c>
      <c r="DV123" s="67"/>
      <c r="DW123" s="1024">
        <f t="shared" ref="DW123:DZ123" si="551">+DW124*DW122</f>
        <v>37.879100954763814</v>
      </c>
      <c r="DX123" s="23">
        <f t="shared" si="551"/>
        <v>39.290432029146224</v>
      </c>
      <c r="DY123" s="23">
        <f t="shared" si="551"/>
        <v>38.328799861242544</v>
      </c>
      <c r="DZ123" s="23">
        <f t="shared" si="551"/>
        <v>41.709466846509379</v>
      </c>
      <c r="EA123" s="1023">
        <f>+SUM(DW123:DZ123)</f>
        <v>157.20779969166196</v>
      </c>
      <c r="EB123" s="67"/>
      <c r="EC123" s="1024">
        <f t="shared" ref="EC123:EF123" si="552">+EC124*EC122</f>
        <v>39.115817484352831</v>
      </c>
      <c r="ED123" s="23">
        <f t="shared" si="552"/>
        <v>40.599407035644859</v>
      </c>
      <c r="EE123" s="23">
        <f t="shared" si="552"/>
        <v>39.602991937984569</v>
      </c>
      <c r="EF123" s="23">
        <f t="shared" si="552"/>
        <v>43.204254459045522</v>
      </c>
      <c r="EG123" s="1023">
        <f t="shared" ref="EG123" si="553">+SUM(EC123:EF123)</f>
        <v>162.52247091702779</v>
      </c>
      <c r="EH123" s="22"/>
      <c r="EI123" s="6"/>
      <c r="EJ123" s="6"/>
      <c r="EK123" s="6"/>
      <c r="EL123" s="6"/>
    </row>
    <row r="124" spans="1:148" s="783" customFormat="1" ht="12.75" customHeight="1" x14ac:dyDescent="0.2">
      <c r="A124" s="1022" t="s">
        <v>593</v>
      </c>
      <c r="B124" s="19"/>
      <c r="C124" s="19"/>
      <c r="D124" s="19"/>
      <c r="E124" s="214"/>
      <c r="F124" s="67"/>
      <c r="G124" s="214"/>
      <c r="H124" s="67"/>
      <c r="I124" s="214"/>
      <c r="J124" s="67"/>
      <c r="K124" s="214"/>
      <c r="L124" s="67"/>
      <c r="M124" s="212"/>
      <c r="N124" s="157"/>
      <c r="O124" s="157"/>
      <c r="P124" s="157"/>
      <c r="Q124" s="214"/>
      <c r="R124" s="67"/>
      <c r="S124" s="212"/>
      <c r="T124" s="157"/>
      <c r="U124" s="157"/>
      <c r="V124" s="157"/>
      <c r="W124" s="214"/>
      <c r="X124" s="67"/>
      <c r="Y124" s="212"/>
      <c r="Z124" s="157"/>
      <c r="AA124" s="157"/>
      <c r="AB124" s="157"/>
      <c r="AC124" s="214"/>
      <c r="AD124" s="67"/>
      <c r="AE124" s="212"/>
      <c r="AF124" s="157"/>
      <c r="AG124" s="157"/>
      <c r="AH124" s="157"/>
      <c r="AI124" s="214"/>
      <c r="AJ124" s="67"/>
      <c r="AK124" s="212"/>
      <c r="AL124" s="157"/>
      <c r="AM124" s="157"/>
      <c r="AN124" s="157"/>
      <c r="AO124" s="214"/>
      <c r="AP124" s="67"/>
      <c r="AQ124" s="212"/>
      <c r="AR124" s="157"/>
      <c r="AS124" s="157"/>
      <c r="AT124" s="157"/>
      <c r="AU124" s="214"/>
      <c r="AV124" s="67"/>
      <c r="AW124" s="212"/>
      <c r="AX124" s="157"/>
      <c r="AY124" s="157"/>
      <c r="AZ124" s="157"/>
      <c r="BA124" s="214"/>
      <c r="BB124" s="67"/>
      <c r="BC124" s="212"/>
      <c r="BD124" s="157"/>
      <c r="BE124" s="157"/>
      <c r="BF124" s="157"/>
      <c r="BG124" s="214"/>
      <c r="BH124" s="67"/>
      <c r="BI124" s="212"/>
      <c r="BJ124" s="157"/>
      <c r="BK124" s="157"/>
      <c r="BL124" s="157"/>
      <c r="BM124" s="214"/>
      <c r="BN124" s="67"/>
      <c r="BO124" s="212"/>
      <c r="BP124" s="157"/>
      <c r="BQ124" s="157"/>
      <c r="BR124" s="157"/>
      <c r="BS124" s="214"/>
      <c r="BT124" s="67"/>
      <c r="BU124" s="212"/>
      <c r="BV124" s="157"/>
      <c r="BW124" s="157"/>
      <c r="BX124" s="157"/>
      <c r="BY124" s="545">
        <f>+BY123/BY122</f>
        <v>7.0605091542898504E-3</v>
      </c>
      <c r="BZ124" s="67"/>
      <c r="CA124" s="546">
        <f t="shared" ref="CA124:CD124" si="554">+CA123/CA122</f>
        <v>6.5912061629168177E-3</v>
      </c>
      <c r="CB124" s="547">
        <f t="shared" si="554"/>
        <v>7.1006861337162917E-3</v>
      </c>
      <c r="CC124" s="547">
        <f t="shared" si="554"/>
        <v>7.8842912294056905E-3</v>
      </c>
      <c r="CD124" s="547">
        <f t="shared" si="554"/>
        <v>7.3830214712788354E-3</v>
      </c>
      <c r="CE124" s="545">
        <f>+CE123/CE122</f>
        <v>7.2468546408883498E-3</v>
      </c>
      <c r="CF124" s="67"/>
      <c r="CG124" s="546">
        <f t="shared" ref="CG124" si="555">+CG123/CG122</f>
        <v>7.4855942700199256E-3</v>
      </c>
      <c r="CH124" s="547">
        <f t="shared" ref="CH124" si="556">+CH123/CH122</f>
        <v>7.2677778063124374E-3</v>
      </c>
      <c r="CI124" s="547">
        <f t="shared" ref="CI124" si="557">+CI123/CI122</f>
        <v>7.6749552726424145E-3</v>
      </c>
      <c r="CJ124" s="547">
        <f t="shared" ref="CJ124:CK124" si="558">+CJ123/CJ122</f>
        <v>7.3081051453627805E-3</v>
      </c>
      <c r="CK124" s="545">
        <f t="shared" si="558"/>
        <v>7.429101627837986E-3</v>
      </c>
      <c r="CL124" s="67"/>
      <c r="CM124" s="546">
        <f t="shared" ref="CM124" si="559">+CM123/CM122</f>
        <v>7.4861892715163405E-3</v>
      </c>
      <c r="CN124" s="547">
        <f t="shared" ref="CN124" si="560">+CN123/CN122</f>
        <v>6.3814643006160562E-3</v>
      </c>
      <c r="CO124" s="547">
        <f t="shared" ref="CO124" si="561">+CO123/CO122</f>
        <v>7.2899580827410241E-3</v>
      </c>
      <c r="CP124" s="547">
        <f t="shared" ref="CP124:CQ124" si="562">+CP123/CP122</f>
        <v>8.0877961377662771E-3</v>
      </c>
      <c r="CQ124" s="545">
        <f t="shared" si="562"/>
        <v>7.306704454875565E-3</v>
      </c>
      <c r="CR124" s="67"/>
      <c r="CS124" s="546">
        <f t="shared" ref="CS124" si="563">+CS123/CS122</f>
        <v>1.1040262342867554E-2</v>
      </c>
      <c r="CT124" s="547">
        <f t="shared" ref="CT124" si="564">+CT123/CT122</f>
        <v>9.9879577813983128E-3</v>
      </c>
      <c r="CU124" s="547">
        <f t="shared" ref="CU124" si="565">+CU123/CU122</f>
        <v>6.0682013059824569E-3</v>
      </c>
      <c r="CV124" s="547">
        <f t="shared" ref="CV124:CW124" si="566">+CV123/CV122</f>
        <v>7.326905267745272E-3</v>
      </c>
      <c r="CW124" s="545">
        <f t="shared" si="566"/>
        <v>8.4586236401417922E-3</v>
      </c>
      <c r="CX124" s="67"/>
      <c r="CY124" s="546">
        <f t="shared" ref="CY124" si="567">+CY123/CY122</f>
        <v>1.2413168227121716E-2</v>
      </c>
      <c r="CZ124" s="547">
        <f t="shared" ref="CZ124" si="568">+CZ123/CZ122</f>
        <v>1.3081148422900502E-2</v>
      </c>
      <c r="DA124" s="547">
        <f t="shared" ref="DA124" si="569">+DA123/DA122</f>
        <v>2.6216137489076608E-3</v>
      </c>
      <c r="DB124" s="547">
        <f t="shared" ref="DB124:DC124" si="570">+DB123/DB122</f>
        <v>8.6884353035765263E-3</v>
      </c>
      <c r="DC124" s="545">
        <f t="shared" si="570"/>
        <v>9.1851537345646259E-3</v>
      </c>
      <c r="DD124" s="67"/>
      <c r="DE124" s="546">
        <f t="shared" ref="DE124:DI124" si="571">+DE123/DE122</f>
        <v>9.3627218770028133E-3</v>
      </c>
      <c r="DF124" s="547">
        <f t="shared" si="571"/>
        <v>1.0057471264367818E-2</v>
      </c>
      <c r="DG124" s="547">
        <f t="shared" si="571"/>
        <v>8.8648246941104639E-3</v>
      </c>
      <c r="DH124" s="547">
        <f t="shared" si="571"/>
        <v>8.3421737872504589E-3</v>
      </c>
      <c r="DI124" s="545">
        <f t="shared" si="571"/>
        <v>9.1335569766222875E-3</v>
      </c>
      <c r="DJ124" s="67"/>
      <c r="DK124" s="1026">
        <v>8.9999999999999993E-3</v>
      </c>
      <c r="DL124" s="1027">
        <f t="shared" ref="DL124:DN124" si="572">+DK124</f>
        <v>8.9999999999999993E-3</v>
      </c>
      <c r="DM124" s="1027">
        <f t="shared" si="572"/>
        <v>8.9999999999999993E-3</v>
      </c>
      <c r="DN124" s="1027">
        <f t="shared" si="572"/>
        <v>8.9999999999999993E-3</v>
      </c>
      <c r="DO124" s="545">
        <f t="shared" ref="DO124" si="573">+DO123/DO122</f>
        <v>9.0000000000000011E-3</v>
      </c>
      <c r="DP124" s="67"/>
      <c r="DQ124" s="1026">
        <f t="shared" ref="DQ124" si="574">+DO124</f>
        <v>9.0000000000000011E-3</v>
      </c>
      <c r="DR124" s="1027">
        <f t="shared" ref="DR124" si="575">+DQ124</f>
        <v>9.0000000000000011E-3</v>
      </c>
      <c r="DS124" s="1027">
        <f t="shared" ref="DS124" si="576">+DR124</f>
        <v>9.0000000000000011E-3</v>
      </c>
      <c r="DT124" s="1027">
        <f t="shared" ref="DT124" si="577">+DS124</f>
        <v>9.0000000000000011E-3</v>
      </c>
      <c r="DU124" s="545">
        <f t="shared" ref="DU124" si="578">+DU123/DU122</f>
        <v>9.0000000000000011E-3</v>
      </c>
      <c r="DV124" s="67"/>
      <c r="DW124" s="1026">
        <f t="shared" ref="DW124" si="579">+DU124</f>
        <v>9.0000000000000011E-3</v>
      </c>
      <c r="DX124" s="1027">
        <f t="shared" ref="DX124" si="580">+DW124</f>
        <v>9.0000000000000011E-3</v>
      </c>
      <c r="DY124" s="1027">
        <f t="shared" ref="DY124" si="581">+DX124</f>
        <v>9.0000000000000011E-3</v>
      </c>
      <c r="DZ124" s="1027">
        <f t="shared" ref="DZ124" si="582">+DY124</f>
        <v>9.0000000000000011E-3</v>
      </c>
      <c r="EA124" s="545">
        <f t="shared" ref="EA124" si="583">+EA123/EA122</f>
        <v>9.0000000000000011E-3</v>
      </c>
      <c r="EB124" s="67"/>
      <c r="EC124" s="1026">
        <f t="shared" ref="EC124" si="584">+EA124</f>
        <v>9.0000000000000011E-3</v>
      </c>
      <c r="ED124" s="1027">
        <f t="shared" ref="ED124" si="585">+EC124</f>
        <v>9.0000000000000011E-3</v>
      </c>
      <c r="EE124" s="1027">
        <f t="shared" ref="EE124" si="586">+ED124</f>
        <v>9.0000000000000011E-3</v>
      </c>
      <c r="EF124" s="1027">
        <f t="shared" ref="EF124" si="587">+EE124</f>
        <v>9.0000000000000011E-3</v>
      </c>
      <c r="EG124" s="545">
        <f t="shared" ref="EG124" si="588">+EG123/EG122</f>
        <v>9.0000000000000028E-3</v>
      </c>
      <c r="EH124" s="543"/>
      <c r="EI124" s="1025"/>
      <c r="EJ124" s="1025"/>
      <c r="EK124" s="1025"/>
      <c r="EL124" s="1025"/>
      <c r="EM124"/>
      <c r="EN124"/>
      <c r="EO124"/>
      <c r="EP124"/>
      <c r="EQ124"/>
      <c r="ER124"/>
    </row>
    <row r="125" spans="1:148" ht="12.75" customHeight="1" x14ac:dyDescent="0.2">
      <c r="A125" s="2"/>
      <c r="B125" s="6"/>
      <c r="C125" s="6"/>
      <c r="D125" s="6"/>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28"/>
      <c r="DQ125" s="28"/>
      <c r="DR125" s="28"/>
      <c r="DS125" s="28"/>
      <c r="DT125" s="28"/>
      <c r="DU125" s="28"/>
      <c r="DV125" s="28"/>
      <c r="DW125" s="28"/>
      <c r="DX125" s="28"/>
      <c r="DY125" s="28"/>
      <c r="DZ125" s="28"/>
      <c r="EA125" s="28"/>
      <c r="EB125" s="28"/>
      <c r="EC125" s="28"/>
      <c r="ED125" s="28"/>
      <c r="EE125" s="28"/>
      <c r="EF125" s="28"/>
      <c r="EG125" s="28"/>
      <c r="EH125" s="28"/>
      <c r="EI125" s="6"/>
      <c r="EJ125" s="6"/>
      <c r="EK125" s="6"/>
      <c r="EL125" s="6"/>
    </row>
    <row r="126" spans="1:148" ht="12.75" customHeight="1" x14ac:dyDescent="0.2">
      <c r="A126" s="106" t="s">
        <v>74</v>
      </c>
      <c r="B126" s="239"/>
      <c r="C126" s="239"/>
      <c r="D126" s="239"/>
      <c r="E126" s="240"/>
      <c r="F126" s="240"/>
      <c r="G126" s="240"/>
      <c r="H126" s="240"/>
      <c r="I126" s="240"/>
      <c r="J126" s="240"/>
      <c r="K126" s="240"/>
      <c r="L126" s="240"/>
      <c r="M126" s="241"/>
      <c r="N126" s="241"/>
      <c r="O126" s="241"/>
      <c r="P126" s="241"/>
      <c r="Q126" s="240"/>
      <c r="R126" s="240"/>
      <c r="S126" s="241"/>
      <c r="T126" s="241"/>
      <c r="U126" s="241"/>
      <c r="V126" s="241"/>
      <c r="W126" s="240"/>
      <c r="X126" s="240"/>
      <c r="Y126" s="241"/>
      <c r="Z126" s="241"/>
      <c r="AA126" s="241"/>
      <c r="AB126" s="241"/>
      <c r="AC126" s="240"/>
      <c r="AD126" s="240"/>
      <c r="AE126" s="241"/>
      <c r="AF126" s="241"/>
      <c r="AG126" s="241"/>
      <c r="AH126" s="241"/>
      <c r="AI126" s="240"/>
      <c r="AJ126" s="240"/>
      <c r="AK126" s="241"/>
      <c r="AL126" s="241"/>
      <c r="AM126" s="241"/>
      <c r="AN126" s="241"/>
      <c r="AO126" s="240"/>
      <c r="AP126" s="240"/>
      <c r="AQ126" s="241"/>
      <c r="AR126" s="241"/>
      <c r="AS126" s="241"/>
      <c r="AT126" s="241"/>
      <c r="AU126" s="240"/>
      <c r="AV126" s="240"/>
      <c r="AW126" s="241"/>
      <c r="AX126" s="242"/>
      <c r="AY126" s="242"/>
      <c r="AZ126" s="242"/>
      <c r="BA126" s="240"/>
      <c r="BB126" s="240"/>
      <c r="BC126" s="242"/>
      <c r="BD126" s="242"/>
      <c r="BE126" s="242"/>
      <c r="BF126" s="242"/>
      <c r="BG126" s="240"/>
      <c r="BH126" s="240"/>
      <c r="BI126" s="242"/>
      <c r="BJ126" s="242"/>
      <c r="BK126" s="242"/>
      <c r="BL126" s="242"/>
      <c r="BM126" s="240"/>
      <c r="BN126" s="240"/>
      <c r="BO126" s="242"/>
      <c r="BP126" s="242"/>
      <c r="BQ126" s="242"/>
      <c r="BR126" s="242"/>
      <c r="BS126" s="240"/>
      <c r="BT126" s="240"/>
      <c r="BU126" s="242"/>
      <c r="BV126" s="242"/>
      <c r="BW126" s="242"/>
      <c r="BX126" s="242"/>
      <c r="BY126" s="240"/>
      <c r="BZ126" s="240"/>
      <c r="CA126" s="242"/>
      <c r="CB126" s="242"/>
      <c r="CC126" s="242"/>
      <c r="CD126" s="242"/>
      <c r="CE126" s="240"/>
      <c r="CF126" s="240"/>
      <c r="CG126" s="242"/>
      <c r="CH126" s="242"/>
      <c r="CI126" s="242"/>
      <c r="CJ126" s="242"/>
      <c r="CK126" s="240"/>
      <c r="CL126" s="240"/>
      <c r="CM126" s="242"/>
      <c r="CN126" s="242"/>
      <c r="CO126" s="242"/>
      <c r="CP126" s="242"/>
      <c r="CQ126" s="240"/>
      <c r="CR126" s="240"/>
      <c r="CS126" s="242"/>
      <c r="CT126" s="242"/>
      <c r="CU126" s="242"/>
      <c r="CV126" s="242"/>
      <c r="CW126" s="240"/>
      <c r="CX126" s="240"/>
      <c r="CY126" s="242"/>
      <c r="CZ126" s="242"/>
      <c r="DA126" s="242"/>
      <c r="DB126" s="242"/>
      <c r="DC126" s="240"/>
      <c r="DD126" s="240"/>
      <c r="DE126" s="242"/>
      <c r="DF126" s="242"/>
      <c r="DG126" s="243"/>
      <c r="DH126" s="242"/>
      <c r="DI126" s="240"/>
      <c r="DJ126" s="240"/>
      <c r="DK126" s="240"/>
      <c r="DL126" s="240"/>
      <c r="DM126" s="240"/>
      <c r="DN126" s="240"/>
      <c r="DO126" s="240"/>
      <c r="DP126" s="240"/>
      <c r="DQ126" s="240"/>
      <c r="DR126" s="240"/>
      <c r="DS126" s="240"/>
      <c r="DT126" s="240"/>
      <c r="DU126" s="240"/>
      <c r="DV126" s="240"/>
      <c r="DW126" s="240"/>
      <c r="DX126" s="240"/>
      <c r="DY126" s="240"/>
      <c r="DZ126" s="240"/>
      <c r="EA126" s="240"/>
      <c r="EB126" s="240"/>
      <c r="EC126" s="240"/>
      <c r="ED126" s="240"/>
      <c r="EE126" s="240"/>
      <c r="EF126" s="240"/>
      <c r="EG126" s="240"/>
      <c r="EH126" s="120"/>
      <c r="EI126" s="27"/>
      <c r="EJ126" s="27"/>
      <c r="EK126" s="27"/>
      <c r="EL126" s="27"/>
    </row>
    <row r="127" spans="1:148" ht="12.75" customHeight="1" x14ac:dyDescent="0.2">
      <c r="A127" s="51" t="s">
        <v>107</v>
      </c>
      <c r="B127" s="19"/>
      <c r="C127" s="19"/>
      <c r="D127" s="19"/>
      <c r="E127" s="141">
        <f>-E41</f>
        <v>11.932</v>
      </c>
      <c r="F127" s="67"/>
      <c r="G127" s="141">
        <f>-G41</f>
        <v>12.84</v>
      </c>
      <c r="H127" s="67"/>
      <c r="I127" s="141">
        <f>-I41</f>
        <v>9.9120000000000008</v>
      </c>
      <c r="J127" s="67"/>
      <c r="K127" s="141">
        <f>-K41</f>
        <v>10.015000000000001</v>
      </c>
      <c r="L127" s="67"/>
      <c r="M127" s="137">
        <f>-M41</f>
        <v>2.85</v>
      </c>
      <c r="N127" s="138">
        <f>-N41</f>
        <v>2.85</v>
      </c>
      <c r="O127" s="138">
        <f>-O41</f>
        <v>2.8470000000000009</v>
      </c>
      <c r="P127" s="138">
        <f>-P41</f>
        <v>3.129</v>
      </c>
      <c r="Q127" s="141">
        <f>-Q41</f>
        <v>11.676</v>
      </c>
      <c r="R127" s="67"/>
      <c r="S127" s="137">
        <f>-S41</f>
        <v>3.8180000000000001</v>
      </c>
      <c r="T127" s="138">
        <f>-T41</f>
        <v>2.2250000000000001</v>
      </c>
      <c r="U127" s="138">
        <f>-U41</f>
        <v>3.0289999999999995</v>
      </c>
      <c r="V127" s="138">
        <f>-V41</f>
        <v>4.4440000000000008</v>
      </c>
      <c r="W127" s="141">
        <f>-W41</f>
        <v>13.516</v>
      </c>
      <c r="X127" s="67"/>
      <c r="Y127" s="137">
        <f>-Y41</f>
        <v>3.8180000000000001</v>
      </c>
      <c r="Z127" s="138">
        <f>-Z41</f>
        <v>3.8279999999999998</v>
      </c>
      <c r="AA127" s="138">
        <f>-AA41</f>
        <v>3.8380000000000005</v>
      </c>
      <c r="AB127" s="138">
        <f>-AB41</f>
        <v>3.842000000000001</v>
      </c>
      <c r="AC127" s="141">
        <f>-AC41</f>
        <v>15.326000000000001</v>
      </c>
      <c r="AD127" s="67"/>
      <c r="AE127" s="137">
        <f>-AE41</f>
        <v>3.847</v>
      </c>
      <c r="AF127" s="138">
        <f>-AF41</f>
        <v>4.6219999999999999</v>
      </c>
      <c r="AG127" s="138">
        <f>-AG41</f>
        <v>4.6280000000000001</v>
      </c>
      <c r="AH127" s="138">
        <f>-AH41</f>
        <v>4.6340000000000021</v>
      </c>
      <c r="AI127" s="141">
        <f>-AI41</f>
        <v>17.731000000000002</v>
      </c>
      <c r="AJ127" s="67"/>
      <c r="AK127" s="137">
        <f>-AK41</f>
        <v>4.6340000000000003</v>
      </c>
      <c r="AL127" s="138">
        <f>-AL41</f>
        <v>4.6329999999999991</v>
      </c>
      <c r="AM127" s="138">
        <f>-AM41</f>
        <v>6.1750000000000007</v>
      </c>
      <c r="AN127" s="138">
        <f>-AN41</f>
        <v>6.1110000000000007</v>
      </c>
      <c r="AO127" s="141">
        <f>-AO41</f>
        <v>21.553000000000001</v>
      </c>
      <c r="AP127" s="67"/>
      <c r="AQ127" s="137">
        <f>-AQ41</f>
        <v>6.1230000000000002</v>
      </c>
      <c r="AR127" s="138">
        <f>-AR41</f>
        <v>6.1469999999999994</v>
      </c>
      <c r="AS127" s="138">
        <f>-AS41</f>
        <v>6.1550000000000002</v>
      </c>
      <c r="AT127" s="138">
        <f>-AT41</f>
        <v>6.1639999999999979</v>
      </c>
      <c r="AU127" s="141">
        <f>-AU41</f>
        <v>24.588999999999999</v>
      </c>
      <c r="AV127" s="67"/>
      <c r="AW127" s="137">
        <f>-AW41</f>
        <v>6.1820000000000004</v>
      </c>
      <c r="AX127" s="138">
        <f>-AX41</f>
        <v>9.2419999999999991</v>
      </c>
      <c r="AY127" s="138">
        <f>-AY41</f>
        <v>9.3109999999999999</v>
      </c>
      <c r="AZ127" s="138">
        <f>-AZ41</f>
        <v>9.5399999999999991</v>
      </c>
      <c r="BA127" s="141">
        <f>-BA41</f>
        <v>34.274999999999999</v>
      </c>
      <c r="BB127" s="67"/>
      <c r="BC127" s="137">
        <f>-BC41</f>
        <v>9.5530000000000008</v>
      </c>
      <c r="BD127" s="138">
        <f>-BD41</f>
        <v>9.5670000000000002</v>
      </c>
      <c r="BE127" s="138">
        <f>-BE41</f>
        <v>9.5879999999999974</v>
      </c>
      <c r="BF127" s="138">
        <f>-BF41</f>
        <v>9.5510000000000019</v>
      </c>
      <c r="BG127" s="141">
        <f>SUM(BC127:BF127)</f>
        <v>38.259</v>
      </c>
      <c r="BH127" s="67"/>
      <c r="BI127" s="137">
        <f>-BI41</f>
        <v>9.5619999999999994</v>
      </c>
      <c r="BJ127" s="138">
        <f>-BJ41</f>
        <v>9.5860000000000003</v>
      </c>
      <c r="BK127" s="138">
        <f>-BK41</f>
        <v>9.6279999999999983</v>
      </c>
      <c r="BL127" s="138">
        <f>-BL41</f>
        <v>12.941000000000004</v>
      </c>
      <c r="BM127" s="141">
        <f>SUM(BI127:BL127)</f>
        <v>41.716999999999999</v>
      </c>
      <c r="BN127" s="67"/>
      <c r="BO127" s="137">
        <f>-BO41</f>
        <v>12.962</v>
      </c>
      <c r="BP127" s="138">
        <f>-BP41</f>
        <v>13.05</v>
      </c>
      <c r="BQ127" s="138">
        <f>-BQ41</f>
        <v>13.075000000000003</v>
      </c>
      <c r="BR127" s="138">
        <f>-BR41</f>
        <v>13.126999999999995</v>
      </c>
      <c r="BS127" s="141">
        <f>SUM(BO127:BR127)</f>
        <v>52.213999999999999</v>
      </c>
      <c r="BT127" s="67"/>
      <c r="BU127" s="137">
        <f>-BU41</f>
        <v>13.268000000000001</v>
      </c>
      <c r="BV127" s="138">
        <f>-BV41</f>
        <v>13.704999999999998</v>
      </c>
      <c r="BW127" s="138">
        <f>-BW41</f>
        <v>17.155999999999999</v>
      </c>
      <c r="BX127" s="138">
        <f>-BX41</f>
        <v>17.170999999999999</v>
      </c>
      <c r="BY127" s="141">
        <f>SUM(BU127:BX127)</f>
        <v>61.3</v>
      </c>
      <c r="BZ127" s="67"/>
      <c r="CA127" s="137">
        <f>-CA41</f>
        <v>17.3</v>
      </c>
      <c r="CB127" s="138">
        <f>-CB41</f>
        <v>17.400000000000002</v>
      </c>
      <c r="CC127" s="138">
        <f>-CC41</f>
        <v>17.299999999999997</v>
      </c>
      <c r="CD127" s="138">
        <f>-CD41</f>
        <v>34.400000000000006</v>
      </c>
      <c r="CE127" s="141">
        <f>SUM(CA127:CD127)</f>
        <v>86.4</v>
      </c>
      <c r="CF127" s="67"/>
      <c r="CG127" s="137">
        <f>-CG41</f>
        <v>0</v>
      </c>
      <c r="CH127" s="138">
        <f>-CH41</f>
        <v>17.3</v>
      </c>
      <c r="CI127" s="138">
        <f>-CI41</f>
        <v>17.400000000000002</v>
      </c>
      <c r="CJ127" s="138">
        <f>-CJ41</f>
        <v>17.399999999999999</v>
      </c>
      <c r="CK127" s="141">
        <f>SUM(CG127:CJ127)</f>
        <v>52.1</v>
      </c>
      <c r="CL127" s="67"/>
      <c r="CM127" s="137">
        <f>-CM41</f>
        <v>17.399999999999999</v>
      </c>
      <c r="CN127" s="138">
        <f>-CN41</f>
        <v>70</v>
      </c>
      <c r="CO127" s="138">
        <f>-CO41</f>
        <v>70</v>
      </c>
      <c r="CP127" s="138">
        <f>-CP41</f>
        <v>70.299999999999983</v>
      </c>
      <c r="CQ127" s="141">
        <f>SUM(CM127:CP127)</f>
        <v>227.7</v>
      </c>
      <c r="CR127" s="67"/>
      <c r="CS127" s="137">
        <f>-CS41</f>
        <v>70.400000000000006</v>
      </c>
      <c r="CT127" s="138">
        <f>-CT41</f>
        <v>95.5</v>
      </c>
      <c r="CU127" s="138">
        <f>-CU41</f>
        <v>95.700000000000017</v>
      </c>
      <c r="CV127" s="138">
        <f>-CV41</f>
        <v>92.5</v>
      </c>
      <c r="CW127" s="141">
        <v>358.52738671819117</v>
      </c>
      <c r="CX127" s="67"/>
      <c r="CY127" s="137">
        <f>-CY41</f>
        <v>92.7</v>
      </c>
      <c r="CZ127" s="138">
        <f>-CZ41</f>
        <v>110.10000000000001</v>
      </c>
      <c r="DA127" s="138">
        <f>-DA41</f>
        <v>110.5</v>
      </c>
      <c r="DB127" s="138">
        <f>-DB41</f>
        <v>86.5</v>
      </c>
      <c r="DC127" s="141">
        <f>SUM(CY127:DB127)</f>
        <v>399.8</v>
      </c>
      <c r="DD127" s="67"/>
      <c r="DE127" s="137">
        <f>-DE41</f>
        <v>86.6</v>
      </c>
      <c r="DF127" s="138">
        <f>-DF41</f>
        <v>97.300000000000011</v>
      </c>
      <c r="DG127" s="138">
        <f>-DG41</f>
        <v>97.1</v>
      </c>
      <c r="DH127" s="138">
        <f>-DH41</f>
        <v>97.300000000000011</v>
      </c>
      <c r="DI127" s="141">
        <f>SUM(DE127:DH127)</f>
        <v>378.3</v>
      </c>
      <c r="DJ127" s="67"/>
      <c r="DK127" s="137">
        <f>DK128*DK101</f>
        <v>104.82000000000001</v>
      </c>
      <c r="DL127" s="138">
        <f>DL128*DL101</f>
        <v>105.15000000000002</v>
      </c>
      <c r="DM127" s="138">
        <f>DM128*DM101</f>
        <v>105.48000000000002</v>
      </c>
      <c r="DN127" s="138">
        <f>DN128*DN101</f>
        <v>105.81000000000003</v>
      </c>
      <c r="DO127" s="141">
        <f>SUM(DK127:DN127)</f>
        <v>421.2600000000001</v>
      </c>
      <c r="DP127" s="67"/>
      <c r="DQ127" s="137">
        <f>DQ128*DQ101</f>
        <v>113.21600000000001</v>
      </c>
      <c r="DR127" s="138">
        <f>DR128*DR101</f>
        <v>113.56800000000001</v>
      </c>
      <c r="DS127" s="138">
        <f>DS128*DS101</f>
        <v>113.92000000000002</v>
      </c>
      <c r="DT127" s="138">
        <f>DT128*DT101</f>
        <v>114.27200000000003</v>
      </c>
      <c r="DU127" s="141">
        <f>SUM(DQ127:DT127)</f>
        <v>454.97600000000011</v>
      </c>
      <c r="DV127" s="67"/>
      <c r="DW127" s="137">
        <f>DW128*DW101</f>
        <v>121.78800000000004</v>
      </c>
      <c r="DX127" s="138">
        <f>DX128*DX101</f>
        <v>122.16200000000005</v>
      </c>
      <c r="DY127" s="138">
        <f>DY128*DY101</f>
        <v>122.53600000000006</v>
      </c>
      <c r="DZ127" s="138">
        <f>DZ128*DZ101</f>
        <v>122.91000000000007</v>
      </c>
      <c r="EA127" s="141">
        <f>SUM(DW127:DZ127)</f>
        <v>489.39600000000024</v>
      </c>
      <c r="EB127" s="67"/>
      <c r="EC127" s="137">
        <f t="shared" ref="EC127:EF127" si="589">EC128*EC101</f>
        <v>130.53600000000003</v>
      </c>
      <c r="ED127" s="138">
        <f t="shared" si="589"/>
        <v>130.93200000000004</v>
      </c>
      <c r="EE127" s="138">
        <f t="shared" si="589"/>
        <v>131.32800000000006</v>
      </c>
      <c r="EF127" s="138">
        <f t="shared" si="589"/>
        <v>131.72400000000007</v>
      </c>
      <c r="EG127" s="141">
        <f t="shared" ref="EG127" si="590">SUM(EC127:EF127)</f>
        <v>524.52000000000021</v>
      </c>
      <c r="EH127" s="67"/>
      <c r="EI127" s="6"/>
      <c r="EJ127" s="6"/>
      <c r="EK127" s="6"/>
      <c r="EL127" s="6"/>
    </row>
    <row r="128" spans="1:148" ht="12.75" customHeight="1" x14ac:dyDescent="0.2">
      <c r="A128" s="51" t="s">
        <v>24</v>
      </c>
      <c r="B128" s="19"/>
      <c r="C128" s="19"/>
      <c r="D128" s="19"/>
      <c r="E128" s="95"/>
      <c r="F128" s="67"/>
      <c r="G128" s="95"/>
      <c r="H128" s="67"/>
      <c r="I128" s="95"/>
      <c r="J128" s="67"/>
      <c r="K128" s="95">
        <f>K127/K101</f>
        <v>1.7570175438596493E-2</v>
      </c>
      <c r="L128" s="67"/>
      <c r="M128" s="85">
        <f>M127/M101</f>
        <v>4.9989284752962959E-3</v>
      </c>
      <c r="N128" s="73">
        <f>N127/N101</f>
        <v>4.9734759119868018E-3</v>
      </c>
      <c r="O128" s="73">
        <f>O127/O101</f>
        <v>4.9799809662923484E-3</v>
      </c>
      <c r="P128" s="73">
        <f>P127/P101</f>
        <v>5.458294374590061E-3</v>
      </c>
      <c r="Q128" s="95">
        <f>Q127/Q101</f>
        <v>2.0367863572295801E-2</v>
      </c>
      <c r="R128" s="67"/>
      <c r="S128" s="85">
        <f>S127/S101</f>
        <v>6.3223464045720134E-3</v>
      </c>
      <c r="T128" s="73">
        <f>T127/T101</f>
        <v>3.6785190589776217E-3</v>
      </c>
      <c r="U128" s="73">
        <f>U127/U101</f>
        <v>4.9685329309638532E-3</v>
      </c>
      <c r="V128" s="73">
        <f>V127/V101</f>
        <v>7.2837175150132442E-3</v>
      </c>
      <c r="W128" s="95">
        <f>W127/W101</f>
        <v>2.2152728607767548E-2</v>
      </c>
      <c r="X128" s="67"/>
      <c r="Y128" s="85">
        <f>Y127/Y101</f>
        <v>6.2457145368328597E-3</v>
      </c>
      <c r="Z128" s="73">
        <f>Z127/Z101</f>
        <v>6.2484438877300754E-3</v>
      </c>
      <c r="AA128" s="73">
        <f>AA127/AA101</f>
        <v>6.2485244413980337E-3</v>
      </c>
      <c r="AB128" s="73">
        <f>AB127/AB101</f>
        <v>6.249959331342197E-3</v>
      </c>
      <c r="AC128" s="95">
        <f>AC127/AC101</f>
        <v>2.4931513980257804E-2</v>
      </c>
      <c r="AD128" s="67"/>
      <c r="AE128" s="85">
        <f>AE127/AE101</f>
        <v>6.2501726230416417E-3</v>
      </c>
      <c r="AF128" s="73">
        <f>AF127/AF101</f>
        <v>6.872535433258194E-3</v>
      </c>
      <c r="AG128" s="73">
        <f>AG127/AG101</f>
        <v>6.8734953090028228E-3</v>
      </c>
      <c r="AH128" s="73">
        <f>AH127/AH101</f>
        <v>7.5003237084034736E-3</v>
      </c>
      <c r="AI128" s="95">
        <f>AI127/AI101</f>
        <v>2.8698368509646511E-2</v>
      </c>
      <c r="AJ128" s="67"/>
      <c r="AK128" s="85">
        <f>AK127/AK101</f>
        <v>7.4954710144927543E-3</v>
      </c>
      <c r="AL128" s="73">
        <f>AL127/AL101</f>
        <v>7.5191889725945357E-3</v>
      </c>
      <c r="AM128" s="73">
        <f>AM127/AM101</f>
        <v>1.0052872408773911E-2</v>
      </c>
      <c r="AN128" s="73">
        <f>AN127/AN101</f>
        <v>9.9993127620094865E-3</v>
      </c>
      <c r="AO128" s="95">
        <f>AO127/AO101</f>
        <v>3.5266762879985335E-2</v>
      </c>
      <c r="AP128" s="67"/>
      <c r="AQ128" s="85">
        <f>AQ127/AQ101</f>
        <v>9.9923299117123891E-3</v>
      </c>
      <c r="AR128" s="73">
        <f>AR127/AR101</f>
        <v>1.0000455527500845E-2</v>
      </c>
      <c r="AS128" s="73">
        <f>AS127/AS101</f>
        <v>9.9993176745047461E-3</v>
      </c>
      <c r="AT128" s="73">
        <f>AT127/AT101</f>
        <v>9.9986374342237554E-3</v>
      </c>
      <c r="AU128" s="95">
        <f>AU127/AU101</f>
        <v>3.9885868895218689E-2</v>
      </c>
      <c r="AV128" s="67"/>
      <c r="AW128" s="85">
        <f>AW127/AW101</f>
        <v>9.9993206543715907E-3</v>
      </c>
      <c r="AX128" s="73">
        <f>AX127/AX101</f>
        <v>1.4919975849076096E-2</v>
      </c>
      <c r="AY128" s="73">
        <f>AY127/AY101</f>
        <v>1.4920374459575093E-2</v>
      </c>
      <c r="AZ128" s="73">
        <f>AZ127/AZ101</f>
        <v>1.5000754754956224E-2</v>
      </c>
      <c r="BA128" s="95">
        <f>BA127/BA101</f>
        <v>5.3894221092885178E-2</v>
      </c>
      <c r="BB128" s="67"/>
      <c r="BC128" s="85">
        <f>BC127/BC101</f>
        <v>1.5000087067395362E-2</v>
      </c>
      <c r="BD128" s="73">
        <f>BD127/BD101</f>
        <v>1.4998144773230263E-2</v>
      </c>
      <c r="BE128" s="73">
        <f>BE127/BE101</f>
        <v>1.4999553721037751E-2</v>
      </c>
      <c r="BF128" s="73">
        <f>BF127/BF101</f>
        <v>1.4999371819837933E-2</v>
      </c>
      <c r="BG128" s="95">
        <f>BG127/BG101</f>
        <v>6.0083862051636412E-2</v>
      </c>
      <c r="BH128" s="67"/>
      <c r="BI128" s="85">
        <f>BI127/BI101</f>
        <v>1.49994607598169E-2</v>
      </c>
      <c r="BJ128" s="73">
        <f>BJ127/BJ101</f>
        <v>1.4990387324211048E-2</v>
      </c>
      <c r="BK128" s="73">
        <f>BK127/BK101</f>
        <v>1.4985920410249874E-2</v>
      </c>
      <c r="BL128" s="73">
        <f>BL127/BL101</f>
        <v>2.0048956574279214E-2</v>
      </c>
      <c r="BM128" s="95">
        <f>BM127/BM101</f>
        <v>6.4630424341952375E-2</v>
      </c>
      <c r="BN128" s="67"/>
      <c r="BO128" s="85">
        <f>BO127/BO101</f>
        <v>1.9963245573394406E-2</v>
      </c>
      <c r="BP128" s="73">
        <f>BP127/BP101</f>
        <v>1.9996233782150361E-2</v>
      </c>
      <c r="BQ128" s="73">
        <f>BQ127/BQ101</f>
        <v>1.9993753293932631E-2</v>
      </c>
      <c r="BR128" s="73">
        <f>BR127/BR101</f>
        <v>1.9999695289170571E-2</v>
      </c>
      <c r="BS128" s="95">
        <f>BS127/BS101</f>
        <v>7.9550856237430675E-2</v>
      </c>
      <c r="BT128" s="67"/>
      <c r="BU128" s="85">
        <f>BU127/BU101</f>
        <v>1.9980229601962159E-2</v>
      </c>
      <c r="BV128" s="73">
        <f>BV127/BV101</f>
        <v>1.9991112130963339E-2</v>
      </c>
      <c r="BW128" s="73">
        <f>BW127/BW101</f>
        <v>2.4996091082544702E-2</v>
      </c>
      <c r="BX128" s="73">
        <f>BX127/BX101</f>
        <v>2.4910970807501962E-2</v>
      </c>
      <c r="BY128" s="95">
        <f>SUM(BU128:BX128)</f>
        <v>8.9878403622972156E-2</v>
      </c>
      <c r="BZ128" s="67"/>
      <c r="CA128" s="85">
        <f>CA127/CA101</f>
        <v>2.497280147954466E-2</v>
      </c>
      <c r="CB128" s="73">
        <f>CB127/CB101</f>
        <v>2.5023172428395215E-2</v>
      </c>
      <c r="CC128" s="73">
        <f>CC127/CC101</f>
        <v>2.4975171106882271E-2</v>
      </c>
      <c r="CD128" s="73">
        <f>CD127/CD101</f>
        <v>5.0036363636363643E-2</v>
      </c>
      <c r="CE128" s="95">
        <f>SUM(CA128:CD128)</f>
        <v>0.12500750865118579</v>
      </c>
      <c r="CF128" s="67"/>
      <c r="CG128" s="85">
        <f>CG127/CG101</f>
        <v>0</v>
      </c>
      <c r="CH128" s="73">
        <f>CH127/CH101</f>
        <v>2.4871726192727261E-2</v>
      </c>
      <c r="CI128" s="73">
        <f>CI127/CI101</f>
        <v>2.4956976825424644E-2</v>
      </c>
      <c r="CJ128" s="73">
        <f>CJ127/CJ101</f>
        <v>2.4924795874516542E-2</v>
      </c>
      <c r="CK128" s="95">
        <f>SUM(CG128:CJ128)</f>
        <v>7.4753498892668441E-2</v>
      </c>
      <c r="CL128" s="67"/>
      <c r="CM128" s="85">
        <f>CM127/CM101</f>
        <v>2.4873772750924901E-2</v>
      </c>
      <c r="CN128" s="73">
        <f>CN127/CN101</f>
        <v>9.9902370408518279E-2</v>
      </c>
      <c r="CO128" s="73">
        <f>CO127/CO101</f>
        <v>9.9616959272154096E-2</v>
      </c>
      <c r="CP128" s="73">
        <f>CP127/CP101</f>
        <v>9.9815419565526031E-2</v>
      </c>
      <c r="CQ128" s="95">
        <f>SUM(CM128:CP128)</f>
        <v>0.3242085219971233</v>
      </c>
      <c r="CR128" s="67"/>
      <c r="CS128" s="85">
        <f>CS127/CS101</f>
        <v>9.9501679617326158E-2</v>
      </c>
      <c r="CT128" s="73">
        <f>CT127/CT101</f>
        <v>0.13972445699176897</v>
      </c>
      <c r="CU128" s="73">
        <f>CU127/CU101</f>
        <v>0.13966725043782838</v>
      </c>
      <c r="CV128" s="73">
        <f>CV127/CV101</f>
        <v>0.13468258590564941</v>
      </c>
      <c r="CW128" s="95">
        <f>+SUM(CS128:CV128)</f>
        <v>0.51357597295257296</v>
      </c>
      <c r="CX128" s="67"/>
      <c r="CY128" s="85">
        <f>CY127/CY101</f>
        <v>0.13462097008422888</v>
      </c>
      <c r="CZ128" s="73">
        <f>CZ127/CZ101</f>
        <v>0.15944967414916728</v>
      </c>
      <c r="DA128" s="73">
        <f>DA127/DA101</f>
        <v>0.15977443609022557</v>
      </c>
      <c r="DB128" s="73">
        <f>DB127/DB101</f>
        <v>0.12496388327073099</v>
      </c>
      <c r="DC128" s="95">
        <f>+SUM(CY128:DB128)</f>
        <v>0.57880896359435274</v>
      </c>
      <c r="DD128" s="67"/>
      <c r="DE128" s="85">
        <f>DE127/DE101</f>
        <v>0.12476588387840368</v>
      </c>
      <c r="DF128" s="73">
        <f>DF127/DF101</f>
        <v>0.14006045775154743</v>
      </c>
      <c r="DG128" s="73">
        <f>DG127/DG101</f>
        <v>0.13961179007907978</v>
      </c>
      <c r="DH128" s="73">
        <f>DH127/DH101</f>
        <v>0.13967843812805053</v>
      </c>
      <c r="DI128" s="95">
        <f>+SUM(DE128:DH128)</f>
        <v>0.54411656983708134</v>
      </c>
      <c r="DJ128" s="67"/>
      <c r="DK128" s="372">
        <v>0.15</v>
      </c>
      <c r="DL128" s="373">
        <f>+DK128</f>
        <v>0.15</v>
      </c>
      <c r="DM128" s="373">
        <f>+DL128</f>
        <v>0.15</v>
      </c>
      <c r="DN128" s="373">
        <f>+DM128</f>
        <v>0.15</v>
      </c>
      <c r="DO128" s="95">
        <f>+SUM(DK128:DN128)</f>
        <v>0.6</v>
      </c>
      <c r="DP128" s="67"/>
      <c r="DQ128" s="372">
        <f>+DK128+0.01</f>
        <v>0.16</v>
      </c>
      <c r="DR128" s="373">
        <f>+DQ128</f>
        <v>0.16</v>
      </c>
      <c r="DS128" s="373">
        <f>+DR128</f>
        <v>0.16</v>
      </c>
      <c r="DT128" s="373">
        <f>+DS128</f>
        <v>0.16</v>
      </c>
      <c r="DU128" s="95">
        <f>+SUM(DQ128:DT128)</f>
        <v>0.64</v>
      </c>
      <c r="DV128" s="67"/>
      <c r="DW128" s="372">
        <f t="shared" ref="DW128" si="591">+DQ128+0.01</f>
        <v>0.17</v>
      </c>
      <c r="DX128" s="373">
        <f t="shared" ref="DX128:DZ128" si="592">+DW128</f>
        <v>0.17</v>
      </c>
      <c r="DY128" s="373">
        <f t="shared" si="592"/>
        <v>0.17</v>
      </c>
      <c r="DZ128" s="373">
        <f t="shared" si="592"/>
        <v>0.17</v>
      </c>
      <c r="EA128" s="95">
        <f t="shared" ref="EA128" si="593">+SUM(DW128:DZ128)</f>
        <v>0.68</v>
      </c>
      <c r="EB128" s="67"/>
      <c r="EC128" s="372">
        <f t="shared" ref="EC128" si="594">+DW128+0.01</f>
        <v>0.18000000000000002</v>
      </c>
      <c r="ED128" s="373">
        <f t="shared" ref="ED128" si="595">+EC128</f>
        <v>0.18000000000000002</v>
      </c>
      <c r="EE128" s="373">
        <f t="shared" ref="EE128" si="596">+ED128</f>
        <v>0.18000000000000002</v>
      </c>
      <c r="EF128" s="373">
        <f t="shared" ref="EF128" si="597">+EE128</f>
        <v>0.18000000000000002</v>
      </c>
      <c r="EG128" s="95">
        <f t="shared" ref="EG128" si="598">+SUM(EC128:EF128)</f>
        <v>0.72000000000000008</v>
      </c>
      <c r="EH128" s="73"/>
      <c r="EI128" s="6"/>
      <c r="EJ128" s="6"/>
      <c r="EK128" s="6"/>
      <c r="EL128" s="6"/>
    </row>
    <row r="129" spans="1:142" ht="12.75" customHeight="1" x14ac:dyDescent="0.2">
      <c r="A129" s="51"/>
      <c r="B129" s="6"/>
      <c r="C129" s="6"/>
      <c r="D129" s="6"/>
      <c r="E129" s="221"/>
      <c r="F129" s="28"/>
      <c r="G129" s="221"/>
      <c r="H129" s="28"/>
      <c r="I129" s="221"/>
      <c r="J129" s="28"/>
      <c r="K129" s="221"/>
      <c r="L129" s="28"/>
      <c r="M129" s="219"/>
      <c r="N129" s="28"/>
      <c r="O129" s="28"/>
      <c r="P129" s="28"/>
      <c r="Q129" s="221"/>
      <c r="R129" s="28"/>
      <c r="S129" s="219"/>
      <c r="T129" s="28"/>
      <c r="U129" s="28"/>
      <c r="V129" s="28"/>
      <c r="W129" s="221"/>
      <c r="X129" s="28"/>
      <c r="Y129" s="219"/>
      <c r="Z129" s="28"/>
      <c r="AA129" s="28"/>
      <c r="AB129" s="28"/>
      <c r="AC129" s="221"/>
      <c r="AD129" s="28"/>
      <c r="AE129" s="219"/>
      <c r="AF129" s="28"/>
      <c r="AG129" s="28"/>
      <c r="AH129" s="28"/>
      <c r="AI129" s="221"/>
      <c r="AJ129" s="28"/>
      <c r="AK129" s="219"/>
      <c r="AL129" s="28"/>
      <c r="AM129" s="28"/>
      <c r="AN129" s="28"/>
      <c r="AO129" s="221"/>
      <c r="AP129" s="28"/>
      <c r="AQ129" s="219"/>
      <c r="AR129" s="28"/>
      <c r="AS129" s="28"/>
      <c r="AT129" s="28"/>
      <c r="AU129" s="221"/>
      <c r="AV129" s="28"/>
      <c r="AW129" s="134"/>
      <c r="AX129" s="29"/>
      <c r="AY129" s="29"/>
      <c r="AZ129" s="29"/>
      <c r="BA129" s="221"/>
      <c r="BB129" s="28"/>
      <c r="BC129" s="219"/>
      <c r="BD129" s="28"/>
      <c r="BE129" s="28"/>
      <c r="BF129" s="28"/>
      <c r="BG129" s="221"/>
      <c r="BH129" s="28"/>
      <c r="BI129" s="219"/>
      <c r="BJ129" s="28"/>
      <c r="BK129" s="28"/>
      <c r="BL129" s="28"/>
      <c r="BM129" s="221"/>
      <c r="BN129" s="28"/>
      <c r="BO129" s="219"/>
      <c r="BP129" s="28"/>
      <c r="BQ129" s="28"/>
      <c r="BR129" s="28"/>
      <c r="BS129" s="221"/>
      <c r="BT129" s="28"/>
      <c r="BU129" s="219"/>
      <c r="BV129" s="28"/>
      <c r="BW129" s="28"/>
      <c r="BX129" s="28"/>
      <c r="BY129" s="221"/>
      <c r="BZ129" s="28"/>
      <c r="CA129" s="219"/>
      <c r="CB129" s="28"/>
      <c r="CC129" s="28"/>
      <c r="CD129" s="28"/>
      <c r="CE129" s="221"/>
      <c r="CF129" s="28"/>
      <c r="CG129" s="219"/>
      <c r="CH129" s="28"/>
      <c r="CI129" s="28"/>
      <c r="CJ129" s="28"/>
      <c r="CK129" s="221"/>
      <c r="CL129" s="28"/>
      <c r="CM129" s="219"/>
      <c r="CN129" s="28"/>
      <c r="CO129" s="28"/>
      <c r="CP129" s="28"/>
      <c r="CQ129" s="221"/>
      <c r="CR129" s="28"/>
      <c r="CS129" s="219"/>
      <c r="CT129" s="28"/>
      <c r="CU129" s="28"/>
      <c r="CV129" s="28"/>
      <c r="CW129" s="221"/>
      <c r="CX129" s="28"/>
      <c r="CY129" s="219"/>
      <c r="CZ129" s="28"/>
      <c r="DA129" s="28"/>
      <c r="DB129" s="28"/>
      <c r="DC129" s="221"/>
      <c r="DD129" s="28"/>
      <c r="DE129" s="219"/>
      <c r="DF129" s="28"/>
      <c r="DG129" s="28"/>
      <c r="DH129" s="28"/>
      <c r="DI129" s="221"/>
      <c r="DJ129" s="28"/>
      <c r="DK129" s="219"/>
      <c r="DL129" s="28"/>
      <c r="DM129" s="28"/>
      <c r="DN129" s="28"/>
      <c r="DO129" s="221"/>
      <c r="DP129" s="28"/>
      <c r="DQ129" s="219"/>
      <c r="DR129" s="28"/>
      <c r="DS129" s="28"/>
      <c r="DT129" s="28"/>
      <c r="DU129" s="221"/>
      <c r="DV129" s="28"/>
      <c r="DW129" s="219"/>
      <c r="DX129" s="28"/>
      <c r="DY129" s="28"/>
      <c r="DZ129" s="28"/>
      <c r="EA129" s="221"/>
      <c r="EB129" s="28"/>
      <c r="EC129" s="219"/>
      <c r="ED129" s="28"/>
      <c r="EE129" s="28"/>
      <c r="EF129" s="28"/>
      <c r="EG129" s="221"/>
      <c r="EH129" s="28"/>
      <c r="EI129" s="6"/>
      <c r="EJ129" s="6"/>
      <c r="EK129" s="6"/>
      <c r="EL129" s="6"/>
    </row>
    <row r="130" spans="1:142" ht="12.75" customHeight="1" x14ac:dyDescent="0.2">
      <c r="A130" s="51" t="s">
        <v>25</v>
      </c>
      <c r="B130" s="19"/>
      <c r="C130" s="19"/>
      <c r="D130" s="19"/>
      <c r="E130" s="158"/>
      <c r="F130" s="67"/>
      <c r="G130" s="158"/>
      <c r="H130" s="67"/>
      <c r="I130" s="158"/>
      <c r="J130" s="67"/>
      <c r="K130" s="158">
        <v>3.1540289330043561E-2</v>
      </c>
      <c r="L130" s="67"/>
      <c r="M130" s="149">
        <v>3.6432577170033786E-2</v>
      </c>
      <c r="N130" s="22">
        <v>3.2225886030244691E-2</v>
      </c>
      <c r="O130" s="22">
        <v>3.4534372621381156E-2</v>
      </c>
      <c r="P130" s="22">
        <v>1.9916399560176587E-2</v>
      </c>
      <c r="Q130" s="158">
        <v>2.8657127422805732E-2</v>
      </c>
      <c r="R130" s="67"/>
      <c r="S130" s="149">
        <v>4.7049536374078306E-2</v>
      </c>
      <c r="T130" s="22">
        <v>2.2716580631614278E-2</v>
      </c>
      <c r="U130" s="22">
        <v>2.7461476197938629E-2</v>
      </c>
      <c r="V130" s="22">
        <v>3.5175571630737403E-2</v>
      </c>
      <c r="W130" s="158">
        <v>3.2349261461566158E-2</v>
      </c>
      <c r="X130" s="67"/>
      <c r="Y130" s="149">
        <v>3.8548689760072453E-2</v>
      </c>
      <c r="Z130" s="22">
        <v>3.3534938179051017E-2</v>
      </c>
      <c r="AA130" s="22">
        <v>2.8550891762612132E-2</v>
      </c>
      <c r="AB130" s="22">
        <v>2.4194791828853864E-2</v>
      </c>
      <c r="AC130" s="158">
        <v>3.0239697269995931E-2</v>
      </c>
      <c r="AD130" s="67"/>
      <c r="AE130" s="149">
        <v>2.7783902837305186E-2</v>
      </c>
      <c r="AF130" s="22">
        <v>2.4550036470649676E-2</v>
      </c>
      <c r="AG130" s="22">
        <v>2.2342495884472988E-2</v>
      </c>
      <c r="AH130" s="22">
        <v>2.2467889880821559E-2</v>
      </c>
      <c r="AI130" s="158">
        <v>2.5043263069824549E-2</v>
      </c>
      <c r="AJ130" s="67"/>
      <c r="AK130" s="149">
        <v>2.5289191599374861E-2</v>
      </c>
      <c r="AL130" s="22">
        <v>2.0596099290285521E-2</v>
      </c>
      <c r="AM130" s="22">
        <v>2.9258973267128761E-2</v>
      </c>
      <c r="AN130" s="22">
        <v>2.7131349600066721E-2</v>
      </c>
      <c r="AO130" s="158">
        <v>2.5681391406896598E-2</v>
      </c>
      <c r="AP130" s="67"/>
      <c r="AQ130" s="149">
        <v>3.0453463872474443E-2</v>
      </c>
      <c r="AR130" s="22">
        <v>2.3516099968986962E-2</v>
      </c>
      <c r="AS130" s="22">
        <v>2.449211763962034E-2</v>
      </c>
      <c r="AT130" s="22">
        <v>2.1383319723205951E-2</v>
      </c>
      <c r="AU130" s="158">
        <v>2.4472449210886885E-2</v>
      </c>
      <c r="AV130" s="67"/>
      <c r="AW130" s="149">
        <v>2.5758509515084724E-2</v>
      </c>
      <c r="AX130" s="22">
        <v>3.0690231502766629E-2</v>
      </c>
      <c r="AY130" s="22">
        <v>2.8505954822065364E-2</v>
      </c>
      <c r="AZ130" s="22">
        <v>2.4790387026864688E-2</v>
      </c>
      <c r="BA130" s="158">
        <v>2.6882588385064427E-2</v>
      </c>
      <c r="BB130" s="67"/>
      <c r="BC130" s="149">
        <v>3.3879358346119166E-2</v>
      </c>
      <c r="BD130" s="22">
        <v>2.7325310309301513E-2</v>
      </c>
      <c r="BE130" s="22">
        <v>2.5685087285693863E-2</v>
      </c>
      <c r="BF130" s="22">
        <v>3.2210562712804508E-2</v>
      </c>
      <c r="BG130" s="158">
        <v>2.9424744935407154E-2</v>
      </c>
      <c r="BH130" s="67"/>
      <c r="BI130" s="149">
        <v>4.209262646754719E-2</v>
      </c>
      <c r="BJ130" s="22">
        <v>3.7750600714692696E-2</v>
      </c>
      <c r="BK130" s="22">
        <v>3.3665935026982667E-2</v>
      </c>
      <c r="BL130" s="22">
        <v>3.5814872272085352E-2</v>
      </c>
      <c r="BM130" s="158">
        <v>3.6788629882383302E-2</v>
      </c>
      <c r="BN130" s="67"/>
      <c r="BO130" s="149">
        <v>4.2796757506187839E-2</v>
      </c>
      <c r="BP130" s="22">
        <v>3.7033733141648241E-2</v>
      </c>
      <c r="BQ130" s="22">
        <v>3.4790675216674005E-2</v>
      </c>
      <c r="BR130" s="22">
        <v>2.0006944530211502E-2</v>
      </c>
      <c r="BS130" s="158">
        <v>3.0789171668259552E-2</v>
      </c>
      <c r="BT130" s="67"/>
      <c r="BU130" s="149">
        <v>3.410290539394515E-2</v>
      </c>
      <c r="BV130" s="22">
        <v>2.8594093495412028E-2</v>
      </c>
      <c r="BW130" s="22">
        <v>3.4418663936129613E-2</v>
      </c>
      <c r="BX130" s="22">
        <v>3.0774077568044195E-2</v>
      </c>
      <c r="BY130" s="158">
        <v>3.181873731265427E-2</v>
      </c>
      <c r="BZ130" s="67"/>
      <c r="CA130" s="149">
        <v>3.4289577416144017E-2</v>
      </c>
      <c r="CB130" s="22">
        <v>3.0779535390674004E-2</v>
      </c>
      <c r="CC130" s="22">
        <v>3.249457746164252E-2</v>
      </c>
      <c r="CD130" s="22">
        <v>5.6322658052607354E-2</v>
      </c>
      <c r="CE130" s="158">
        <v>3.9092599403219186E-2</v>
      </c>
      <c r="CF130" s="67"/>
      <c r="CG130" s="149">
        <v>0</v>
      </c>
      <c r="CH130" s="22">
        <v>2.8621840550580108E-2</v>
      </c>
      <c r="CI130" s="22">
        <v>2.976025427474004E-2</v>
      </c>
      <c r="CJ130" s="22">
        <v>2.6037347131903844E-2</v>
      </c>
      <c r="CK130" s="158">
        <v>2.1928739172837799E-2</v>
      </c>
      <c r="CL130" s="67"/>
      <c r="CM130" s="149">
        <v>4.1619318263953965E-2</v>
      </c>
      <c r="CN130" s="22">
        <v>0.12851004181976577</v>
      </c>
      <c r="CO130" s="22">
        <v>0.101444143652377</v>
      </c>
      <c r="CP130" s="22">
        <v>6.1488993822750942E-2</v>
      </c>
      <c r="CQ130" s="158">
        <v>8.1413551642517179E-2</v>
      </c>
      <c r="CR130" s="67"/>
      <c r="CS130" s="149">
        <f>CS128/'Pro Forma IS'!CS35</f>
        <v>0.16566555733388072</v>
      </c>
      <c r="CT130" s="22">
        <f>CT128/'Pro Forma IS'!CT35</f>
        <v>0.18407954341803295</v>
      </c>
      <c r="CU130" s="22">
        <f>CU128/'Pro Forma IS'!CU35</f>
        <v>0.19456203658730328</v>
      </c>
      <c r="CV130" s="22">
        <f>CV128/'Pro Forma IS'!CV35</f>
        <v>0.14935854686475916</v>
      </c>
      <c r="CW130" s="158">
        <f>CW128/'Pro Forma IS'!CW35</f>
        <v>0.17260990153739864</v>
      </c>
      <c r="CX130" s="67"/>
      <c r="CY130" s="149">
        <f>CY128/'Pro Forma IS'!CY35</f>
        <v>0.17021126391285929</v>
      </c>
      <c r="CZ130" s="22">
        <f>CZ128/'Pro Forma IS'!CZ35</f>
        <v>0.17794568867770011</v>
      </c>
      <c r="DA130" s="22">
        <f>DA128/'Pro Forma IS'!DA35</f>
        <v>0.1841053206281692</v>
      </c>
      <c r="DB130" s="22">
        <f>DB128/'Pro Forma IS'!DB35</f>
        <v>0.11944530267458603</v>
      </c>
      <c r="DC130" s="158">
        <f>DC128/'Pro Forma IS'!DC35</f>
        <v>0.16069976724185825</v>
      </c>
      <c r="DD130" s="67"/>
      <c r="DE130" s="149">
        <f>DE128/'Pro Forma IS'!DE35</f>
        <v>0.1469857955306752</v>
      </c>
      <c r="DF130" s="22">
        <f>DF128/'Pro Forma IS'!DF35</f>
        <v>0.14121011709729417</v>
      </c>
      <c r="DG130" s="22">
        <f>DG128/'Pro Forma IS'!DG35</f>
        <v>0.14021924985382181</v>
      </c>
      <c r="DH130" s="22">
        <f>DH128/'Pro Forma IS'!DH35</f>
        <v>0.11712046524644731</v>
      </c>
      <c r="DI130" s="158">
        <f>DI128/'Pro Forma IS'!DI35</f>
        <v>0.13503913589275462</v>
      </c>
      <c r="DJ130" s="67"/>
      <c r="DK130" s="149">
        <f>DK128/'Pro Forma IS'!DK35</f>
        <v>0.1512787779175872</v>
      </c>
      <c r="DL130" s="22">
        <f>DL128/'Pro Forma IS'!DL35</f>
        <v>0.13567475406110938</v>
      </c>
      <c r="DM130" s="22">
        <f>DM128/'Pro Forma IS'!DM35</f>
        <v>0.13728389427528001</v>
      </c>
      <c r="DN130" s="22">
        <f>DN128/'Pro Forma IS'!DN35</f>
        <v>0.11026203764889053</v>
      </c>
      <c r="DO130" s="158">
        <f>DO128/'Pro Forma IS'!DO35</f>
        <v>0.13177842370168369</v>
      </c>
      <c r="DP130" s="67"/>
      <c r="DQ130" s="149">
        <f>DQ128/'Pro Forma IS'!DQ35</f>
        <v>0.14656613884803391</v>
      </c>
      <c r="DR130" s="22">
        <f>DR128/'Pro Forma IS'!DR35</f>
        <v>0.13273490819090686</v>
      </c>
      <c r="DS130" s="22">
        <f>DS128/'Pro Forma IS'!DS35</f>
        <v>0.13599274511944612</v>
      </c>
      <c r="DT130" s="22">
        <f>DT128/'Pro Forma IS'!DT35</f>
        <v>0.11042250545757769</v>
      </c>
      <c r="DU130" s="158">
        <f>DU128/'Pro Forma IS'!DU35</f>
        <v>0.12997106750973059</v>
      </c>
      <c r="DV130" s="67"/>
      <c r="DW130" s="149">
        <f>DW128/'Pro Forma IS'!DW35</f>
        <v>0.14335732818812055</v>
      </c>
      <c r="DX130" s="22">
        <f>DX128/'Pro Forma IS'!DX35</f>
        <v>0.13056733900533438</v>
      </c>
      <c r="DY130" s="22">
        <f>DY128/'Pro Forma IS'!DY35</f>
        <v>0.13369210188164887</v>
      </c>
      <c r="DZ130" s="22">
        <f>DZ128/'Pro Forma IS'!DZ35</f>
        <v>9.7063087352538852E-2</v>
      </c>
      <c r="EA130" s="158">
        <f>EA128/'Pro Forma IS'!EA35</f>
        <v>0.12333615281134065</v>
      </c>
      <c r="EB130" s="67"/>
      <c r="EC130" s="149">
        <f>EC128/'Pro Forma IS'!EC35</f>
        <v>0.1199581883422482</v>
      </c>
      <c r="ED130" s="22">
        <f>ED128/'Pro Forma IS'!ED35</f>
        <v>0.10958837809305072</v>
      </c>
      <c r="EE130" s="22">
        <f>EE128/'Pro Forma IS'!EE35</f>
        <v>0.10995102448404626</v>
      </c>
      <c r="EF130" s="22">
        <f>EF128/'Pro Forma IS'!EF35</f>
        <v>9.314603940058544E-2</v>
      </c>
      <c r="EG130" s="158">
        <f>EG128/'Pro Forma IS'!EG35</f>
        <v>0.10723066622637387</v>
      </c>
      <c r="EH130" s="22"/>
      <c r="EI130" s="6"/>
      <c r="EJ130" s="6"/>
      <c r="EK130" s="6"/>
      <c r="EL130" s="6"/>
    </row>
    <row r="131" spans="1:142" ht="12.75" customHeight="1" x14ac:dyDescent="0.2">
      <c r="A131" s="199" t="s">
        <v>26</v>
      </c>
      <c r="B131" s="19"/>
      <c r="C131" s="19"/>
      <c r="D131" s="19"/>
      <c r="E131" s="214"/>
      <c r="F131" s="67"/>
      <c r="G131" s="214"/>
      <c r="H131" s="67"/>
      <c r="I131" s="214"/>
      <c r="J131" s="67"/>
      <c r="K131" s="214">
        <v>2.3629522913106594E-2</v>
      </c>
      <c r="L131" s="67"/>
      <c r="M131" s="212">
        <v>1.8843853850124059E-2</v>
      </c>
      <c r="N131" s="157">
        <v>2.4026503650155268E-2</v>
      </c>
      <c r="O131" s="157">
        <v>2.8292507644382736E-2</v>
      </c>
      <c r="P131" s="157">
        <v>2.0260234034471161E-2</v>
      </c>
      <c r="Q131" s="214">
        <v>2.2167181890702509E-2</v>
      </c>
      <c r="R131" s="67"/>
      <c r="S131" s="212">
        <v>1.4497857618729517E-2</v>
      </c>
      <c r="T131" s="157">
        <v>1.7992976699064099E-2</v>
      </c>
      <c r="U131" s="157">
        <v>1.8532883229935664E-2</v>
      </c>
      <c r="V131" s="157">
        <v>3.3613173112319275E-2</v>
      </c>
      <c r="W131" s="214">
        <v>1.982696316334058E-2</v>
      </c>
      <c r="X131" s="67"/>
      <c r="Y131" s="212">
        <v>1.8683309145451278E-2</v>
      </c>
      <c r="Z131" s="157">
        <v>1.789006877108058E-2</v>
      </c>
      <c r="AA131" s="157">
        <v>2.4475223911357546E-2</v>
      </c>
      <c r="AB131" s="157">
        <v>1.7518764402000318E-2</v>
      </c>
      <c r="AC131" s="214">
        <v>1.9263389954078506E-2</v>
      </c>
      <c r="AD131" s="67"/>
      <c r="AE131" s="212">
        <v>1.6120679239040307E-2</v>
      </c>
      <c r="AF131" s="157">
        <v>1.8643899992305077E-2</v>
      </c>
      <c r="AG131" s="157">
        <v>1.6427897980824162E-2</v>
      </c>
      <c r="AH131" s="157">
        <v>2.0811319442325039E-2</v>
      </c>
      <c r="AI131" s="214">
        <v>1.8702225951829826E-2</v>
      </c>
      <c r="AJ131" s="67"/>
      <c r="AK131" s="212">
        <v>1.5886248071042726E-2</v>
      </c>
      <c r="AL131" s="157">
        <v>1.8313445848112786E-2</v>
      </c>
      <c r="AM131" s="157">
        <v>2.1908591403678207E-2</v>
      </c>
      <c r="AN131" s="157">
        <v>2.2653968317917446E-2</v>
      </c>
      <c r="AO131" s="214">
        <v>1.978263482190832E-2</v>
      </c>
      <c r="AP131" s="67"/>
      <c r="AQ131" s="212">
        <v>1.9762265263575197E-2</v>
      </c>
      <c r="AR131" s="157">
        <v>2.159254776685076E-2</v>
      </c>
      <c r="AS131" s="157">
        <v>1.5525759910102778E-2</v>
      </c>
      <c r="AT131" s="157">
        <v>1.4469520316735131E-2</v>
      </c>
      <c r="AU131" s="214">
        <v>1.7307395384010136E-2</v>
      </c>
      <c r="AV131" s="67"/>
      <c r="AW131" s="212">
        <v>2.1230799382905091E-2</v>
      </c>
      <c r="AX131" s="157">
        <v>2.7055151811261582E-2</v>
      </c>
      <c r="AY131" s="157">
        <v>2.6058047813520373E-2</v>
      </c>
      <c r="AZ131" s="157">
        <v>1.8525248518694897E-2</v>
      </c>
      <c r="BA131" s="214">
        <v>2.2375627346948472E-2</v>
      </c>
      <c r="BB131" s="67"/>
      <c r="BC131" s="212">
        <v>3.2484700477867286E-2</v>
      </c>
      <c r="BD131" s="157">
        <v>1.7848259686242308E-2</v>
      </c>
      <c r="BE131" s="157">
        <v>2.3902551036107184E-2</v>
      </c>
      <c r="BF131" s="157">
        <v>2.2089735700824217E-2</v>
      </c>
      <c r="BG131" s="214">
        <v>2.3030727655647253E-2</v>
      </c>
      <c r="BH131" s="67"/>
      <c r="BI131" s="212">
        <v>3.41395755684816E-2</v>
      </c>
      <c r="BJ131" s="157">
        <v>2.180035890014274E-2</v>
      </c>
      <c r="BK131" s="157">
        <v>2.035057937351549E-2</v>
      </c>
      <c r="BL131" s="157">
        <v>3.045392490598095E-2</v>
      </c>
      <c r="BM131" s="214">
        <v>2.5619714150715622E-2</v>
      </c>
      <c r="BN131" s="67"/>
      <c r="BO131" s="212">
        <v>3.6167050199949813E-2</v>
      </c>
      <c r="BP131" s="157">
        <v>2.7829781761173639E-2</v>
      </c>
      <c r="BQ131" s="157">
        <v>2.566927567724658E-2</v>
      </c>
      <c r="BR131" s="157">
        <v>2.6767272858770293E-2</v>
      </c>
      <c r="BS131" s="214">
        <v>2.8432087532393679E-2</v>
      </c>
      <c r="BT131" s="67"/>
      <c r="BU131" s="212">
        <v>3.4071700670996595E-2</v>
      </c>
      <c r="BV131" s="157">
        <v>1.8157402450848171E-2</v>
      </c>
      <c r="BW131" s="157">
        <v>2.969745282525774E-2</v>
      </c>
      <c r="BX131" s="157">
        <v>2.4625626810520912E-2</v>
      </c>
      <c r="BY131" s="214">
        <v>2.534858880958199E-2</v>
      </c>
      <c r="BZ131" s="67"/>
      <c r="CA131" s="212">
        <v>3.2362616610017117E-2</v>
      </c>
      <c r="CB131" s="157">
        <v>1.8640092890545849E-2</v>
      </c>
      <c r="CC131" s="157">
        <v>1.9945708160257959E-2</v>
      </c>
      <c r="CD131" s="157">
        <v>4.9008559028448542E-2</v>
      </c>
      <c r="CE131" s="214">
        <v>2.8477628785968937E-2</v>
      </c>
      <c r="CF131" s="67"/>
      <c r="CG131" s="212">
        <v>0</v>
      </c>
      <c r="CH131" s="157">
        <v>2.2661630470752283E-2</v>
      </c>
      <c r="CI131" s="157">
        <v>2.0925949682849148E-2</v>
      </c>
      <c r="CJ131" s="157">
        <v>1.8968353093399094E-2</v>
      </c>
      <c r="CK131" s="214">
        <v>1.7149592995351452E-2</v>
      </c>
      <c r="CL131" s="67"/>
      <c r="CM131" s="212">
        <v>4.5790503031613257E-2</v>
      </c>
      <c r="CN131" s="157">
        <v>8.2999457500536777E-2</v>
      </c>
      <c r="CO131" s="157">
        <v>8.5647180108437915E-2</v>
      </c>
      <c r="CP131" s="157">
        <v>7.0639529781888463E-2</v>
      </c>
      <c r="CQ131" s="214">
        <v>7.4952006369388285E-2</v>
      </c>
      <c r="CR131" s="67"/>
      <c r="CS131" s="212">
        <f>CS128/(CS76/'Pro Forma IS'!CS39)</f>
        <v>0.17054674703192702</v>
      </c>
      <c r="CT131" s="157">
        <f>CT128/(CT76/'Pro Forma IS'!CT39)</f>
        <v>0.10271940963181027</v>
      </c>
      <c r="CU131" s="157">
        <f>CU128/(CU76/'Pro Forma IS'!CU39)</f>
        <v>0.60402576586962731</v>
      </c>
      <c r="CV131" s="157">
        <f>CV128/(CV76/'Pro Forma IS'!CV39)</f>
        <v>0.11832925556178862</v>
      </c>
      <c r="CW131" s="214">
        <f>CW128/(CW76/'Pro Forma IS'!CW39)</f>
        <v>0.1545843085060972</v>
      </c>
      <c r="CX131" s="67"/>
      <c r="CY131" s="212">
        <f>CY128/(CY76/'Pro Forma IS'!CY39)</f>
        <v>0.14908330652943072</v>
      </c>
      <c r="CZ131" s="157">
        <f>CZ128/(CZ76/'Pro Forma IS'!CZ39)</f>
        <v>0.10034044983118653</v>
      </c>
      <c r="DA131" s="157">
        <f>DA128/(DA76/'Pro Forma IS'!DA39)</f>
        <v>0.3727531670429865</v>
      </c>
      <c r="DB131" s="157">
        <f>DB128/(DB76/'Pro Forma IS'!DB39)</f>
        <v>0.17985456096908956</v>
      </c>
      <c r="DC131" s="214">
        <f>DC128/(DC76/'Pro Forma IS'!DC39)</f>
        <v>0.16016363971192471</v>
      </c>
      <c r="DD131" s="67"/>
      <c r="DE131" s="212">
        <f>DE128/(DE76/'Pro Forma IS'!DE39)</f>
        <v>0.21569958460352504</v>
      </c>
      <c r="DF131" s="157">
        <f>DF128/(DF76/'Pro Forma IS'!DF39)</f>
        <v>0.11291217519177613</v>
      </c>
      <c r="DG131" s="157">
        <f>DG128/(DG76/'Pro Forma IS'!DG39)</f>
        <v>0.10416646474445969</v>
      </c>
      <c r="DH131" s="157">
        <f>DH128/(DH76/'Pro Forma IS'!DH39)</f>
        <v>0.14735029060807514</v>
      </c>
      <c r="DI131" s="214">
        <f>DI128/(DI76/'Pro Forma IS'!DI39)</f>
        <v>0.13245969816410369</v>
      </c>
      <c r="DJ131" s="67"/>
      <c r="DK131" s="212">
        <f>DK128/(DK76/'Pro Forma IS'!DK39)</f>
        <v>0.115215300532983</v>
      </c>
      <c r="DL131" s="157">
        <f>DL128/(DL76/'Pro Forma IS'!DL39)</f>
        <v>9.9205991646890868E-2</v>
      </c>
      <c r="DM131" s="157">
        <f>DM128/(DM76/'Pro Forma IS'!DM39)</f>
        <v>0.15093381944263276</v>
      </c>
      <c r="DN131" s="157">
        <f>DN128/(DN76/'Pro Forma IS'!DN39)</f>
        <v>0.10786785310123054</v>
      </c>
      <c r="DO131" s="214">
        <f>DO128/(DO76/'Pro Forma IS'!DO39)</f>
        <v>0.1153935997975615</v>
      </c>
      <c r="DP131" s="67"/>
      <c r="DQ131" s="212">
        <f>DQ128/(DQ76/'Pro Forma IS'!DQ39)</f>
        <v>0.12416999725249356</v>
      </c>
      <c r="DR131" s="157">
        <f>DR128/(DR76/'Pro Forma IS'!DR39)</f>
        <v>9.9793675451450792E-2</v>
      </c>
      <c r="DS131" s="157">
        <f>DS128/(DS76/'Pro Forma IS'!DS39)</f>
        <v>0.15422426386502255</v>
      </c>
      <c r="DT131" s="157">
        <f>DT128/(DT76/'Pro Forma IS'!DT39)</f>
        <v>0.11034394519033092</v>
      </c>
      <c r="DU131" s="214">
        <f>DU128/(DU76/'Pro Forma IS'!DU39)</f>
        <v>0.11897680821138626</v>
      </c>
      <c r="DV131" s="67"/>
      <c r="DW131" s="212">
        <f>DW128/(DW76/'Pro Forma IS'!DW39)</f>
        <v>0.10831554757301277</v>
      </c>
      <c r="DX131" s="157">
        <f>DX128/(DX76/'Pro Forma IS'!DX39)</f>
        <v>9.8690337440155942E-2</v>
      </c>
      <c r="DY131" s="157">
        <f>DY128/(DY76/'Pro Forma IS'!DY39)</f>
        <v>0.15218551858813001</v>
      </c>
      <c r="DZ131" s="157">
        <f>DZ128/(DZ76/'Pro Forma IS'!DZ39)</f>
        <v>9.5593914643434946E-2</v>
      </c>
      <c r="EA131" s="214">
        <f>EA128/(EA76/'Pro Forma IS'!EA39)</f>
        <v>0.10989909640325946</v>
      </c>
      <c r="EB131" s="67"/>
      <c r="EC131" s="212">
        <f>EC128/(EC76/'Pro Forma IS'!EC39)</f>
        <v>9.6349634329497807E-2</v>
      </c>
      <c r="ED131" s="157">
        <f>ED128/(ED76/'Pro Forma IS'!ED39)</f>
        <v>8.6045681756675249E-2</v>
      </c>
      <c r="EE131" s="157">
        <f>EE128/(EE76/'Pro Forma IS'!EE39)</f>
        <v>0.12240604862330778</v>
      </c>
      <c r="EF131" s="157">
        <f>EF128/(EF76/'Pro Forma IS'!EF39)</f>
        <v>9.0043527745996027E-2</v>
      </c>
      <c r="EG131" s="214">
        <f>EG128/(EG76/'Pro Forma IS'!EG39)</f>
        <v>9.6913432676653102E-2</v>
      </c>
      <c r="EH131" s="22"/>
      <c r="EI131" s="6"/>
      <c r="EJ131" s="6"/>
      <c r="EK131" s="6"/>
      <c r="EL131" s="6"/>
    </row>
    <row r="132" spans="1:142" ht="12.75" customHeight="1" x14ac:dyDescent="0.2">
      <c r="A132" s="2"/>
      <c r="B132" s="6"/>
      <c r="C132" s="6"/>
      <c r="D132" s="6"/>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28"/>
      <c r="DQ132" s="28"/>
      <c r="DR132" s="28"/>
      <c r="DS132" s="28"/>
      <c r="DT132" s="28"/>
      <c r="DU132" s="28"/>
      <c r="DV132" s="28"/>
      <c r="DW132" s="28"/>
      <c r="DX132" s="28"/>
      <c r="DY132" s="28"/>
      <c r="DZ132" s="28"/>
      <c r="EA132" s="28"/>
      <c r="EB132" s="28"/>
      <c r="EC132" s="28"/>
      <c r="ED132" s="28"/>
      <c r="EE132" s="28"/>
      <c r="EF132" s="28"/>
      <c r="EG132" s="28"/>
      <c r="EH132" s="28"/>
      <c r="EI132" s="6"/>
      <c r="EJ132" s="6"/>
      <c r="EK132" s="6"/>
      <c r="EL132" s="6"/>
    </row>
    <row r="133" spans="1:142" ht="12.75" customHeight="1" x14ac:dyDescent="0.2">
      <c r="A133" s="106" t="s">
        <v>291</v>
      </c>
      <c r="B133" s="239"/>
      <c r="C133" s="239"/>
      <c r="D133" s="239"/>
      <c r="E133" s="240"/>
      <c r="F133" s="240"/>
      <c r="G133" s="240"/>
      <c r="H133" s="240"/>
      <c r="I133" s="240"/>
      <c r="J133" s="240"/>
      <c r="K133" s="240"/>
      <c r="L133" s="240"/>
      <c r="M133" s="241"/>
      <c r="N133" s="241"/>
      <c r="O133" s="241"/>
      <c r="P133" s="241"/>
      <c r="Q133" s="240"/>
      <c r="R133" s="240"/>
      <c r="S133" s="241"/>
      <c r="T133" s="241"/>
      <c r="U133" s="241"/>
      <c r="V133" s="241"/>
      <c r="W133" s="240"/>
      <c r="X133" s="240"/>
      <c r="Y133" s="241"/>
      <c r="Z133" s="241"/>
      <c r="AA133" s="241"/>
      <c r="AB133" s="241"/>
      <c r="AC133" s="240"/>
      <c r="AD133" s="240"/>
      <c r="AE133" s="241"/>
      <c r="AF133" s="241"/>
      <c r="AG133" s="241"/>
      <c r="AH133" s="241"/>
      <c r="AI133" s="240"/>
      <c r="AJ133" s="240"/>
      <c r="AK133" s="241"/>
      <c r="AL133" s="241"/>
      <c r="AM133" s="241"/>
      <c r="AN133" s="241"/>
      <c r="AO133" s="240"/>
      <c r="AP133" s="240"/>
      <c r="AQ133" s="241"/>
      <c r="AR133" s="241"/>
      <c r="AS133" s="241"/>
      <c r="AT133" s="241"/>
      <c r="AU133" s="240"/>
      <c r="AV133" s="240"/>
      <c r="AW133" s="241"/>
      <c r="AX133" s="242"/>
      <c r="AY133" s="242"/>
      <c r="AZ133" s="242"/>
      <c r="BA133" s="240"/>
      <c r="BB133" s="240"/>
      <c r="BC133" s="242"/>
      <c r="BD133" s="242"/>
      <c r="BE133" s="242"/>
      <c r="BF133" s="242"/>
      <c r="BG133" s="240"/>
      <c r="BH133" s="240"/>
      <c r="BI133" s="242"/>
      <c r="BJ133" s="242"/>
      <c r="BK133" s="242"/>
      <c r="BL133" s="242"/>
      <c r="BM133" s="240"/>
      <c r="BN133" s="240"/>
      <c r="BO133" s="242"/>
      <c r="BP133" s="242"/>
      <c r="BQ133" s="242"/>
      <c r="BR133" s="242"/>
      <c r="BS133" s="240"/>
      <c r="BT133" s="240"/>
      <c r="BU133" s="242"/>
      <c r="BV133" s="242"/>
      <c r="BW133" s="242"/>
      <c r="BX133" s="242"/>
      <c r="BY133" s="240"/>
      <c r="BZ133" s="240"/>
      <c r="CA133" s="242"/>
      <c r="CB133" s="242"/>
      <c r="CC133" s="242"/>
      <c r="CD133" s="242"/>
      <c r="CE133" s="240"/>
      <c r="CF133" s="240"/>
      <c r="CG133" s="242"/>
      <c r="CH133" s="242"/>
      <c r="CI133" s="242"/>
      <c r="CJ133" s="242"/>
      <c r="CK133" s="240"/>
      <c r="CL133" s="240"/>
      <c r="CM133" s="242"/>
      <c r="CN133" s="242"/>
      <c r="CO133" s="242"/>
      <c r="CP133" s="242"/>
      <c r="CQ133" s="240"/>
      <c r="CR133" s="240"/>
      <c r="CS133" s="242"/>
      <c r="CT133" s="242"/>
      <c r="CU133" s="242"/>
      <c r="CV133" s="242"/>
      <c r="CW133" s="240"/>
      <c r="CX133" s="240"/>
      <c r="CY133" s="242"/>
      <c r="CZ133" s="242"/>
      <c r="DA133" s="242"/>
      <c r="DB133" s="242"/>
      <c r="DC133" s="240"/>
      <c r="DD133" s="240"/>
      <c r="DE133" s="242"/>
      <c r="DF133" s="242"/>
      <c r="DG133" s="243"/>
      <c r="DH133" s="242"/>
      <c r="DI133" s="240"/>
      <c r="DJ133" s="240"/>
      <c r="DK133" s="240"/>
      <c r="DL133" s="240"/>
      <c r="DM133" s="240"/>
      <c r="DN133" s="240"/>
      <c r="DO133" s="240"/>
      <c r="DP133" s="240"/>
      <c r="DQ133" s="240"/>
      <c r="DR133" s="240"/>
      <c r="DS133" s="240"/>
      <c r="DT133" s="240"/>
      <c r="DU133" s="240"/>
      <c r="DV133" s="240"/>
      <c r="DW133" s="240"/>
      <c r="DX133" s="240"/>
      <c r="DY133" s="240"/>
      <c r="DZ133" s="240"/>
      <c r="EA133" s="240"/>
      <c r="EB133" s="240"/>
      <c r="EC133" s="240"/>
      <c r="ED133" s="240"/>
      <c r="EE133" s="240"/>
      <c r="EF133" s="240"/>
      <c r="EG133" s="240"/>
      <c r="EH133" s="67"/>
      <c r="EI133" s="6"/>
      <c r="EJ133" s="6"/>
      <c r="EK133" s="6"/>
      <c r="EL133" s="6"/>
    </row>
    <row r="134" spans="1:142" ht="12.75" customHeight="1" x14ac:dyDescent="0.2">
      <c r="A134" s="51" t="s">
        <v>70</v>
      </c>
      <c r="B134" s="19"/>
      <c r="C134" s="19"/>
      <c r="D134" s="19"/>
      <c r="E134" s="93">
        <v>10.870000000000005</v>
      </c>
      <c r="F134" s="67"/>
      <c r="G134" s="93">
        <v>10.870000000000005</v>
      </c>
      <c r="H134" s="67"/>
      <c r="I134" s="93">
        <v>10.870000000000005</v>
      </c>
      <c r="J134" s="67"/>
      <c r="K134" s="93">
        <v>10.870000000000005</v>
      </c>
      <c r="L134" s="67"/>
      <c r="M134" s="82">
        <f t="shared" ref="M134:Q134" si="599">M40+M47</f>
        <v>13.115</v>
      </c>
      <c r="N134" s="67">
        <f t="shared" si="599"/>
        <v>10.334000000000001</v>
      </c>
      <c r="O134" s="67">
        <f t="shared" si="599"/>
        <v>-5.7929999999999975</v>
      </c>
      <c r="P134" s="67">
        <f t="shared" si="599"/>
        <v>-6.7860000000000031</v>
      </c>
      <c r="Q134" s="93">
        <f t="shared" si="599"/>
        <v>10.870000000000005</v>
      </c>
      <c r="R134" s="67"/>
      <c r="S134" s="82">
        <f t="shared" ref="S134:W134" si="600">S40+S47</f>
        <v>6.3339999999999996</v>
      </c>
      <c r="T134" s="67">
        <f t="shared" si="600"/>
        <v>481.49</v>
      </c>
      <c r="U134" s="67">
        <f t="shared" si="600"/>
        <v>19.596000000000007</v>
      </c>
      <c r="V134" s="67">
        <f t="shared" si="600"/>
        <v>4.6849999999999987</v>
      </c>
      <c r="W134" s="93">
        <f t="shared" si="600"/>
        <v>512.10500000000002</v>
      </c>
      <c r="X134" s="67"/>
      <c r="Y134" s="82">
        <f t="shared" ref="Y134:AC134" si="601">Y40+Y47</f>
        <v>6.3339999999999996</v>
      </c>
      <c r="Z134" s="67">
        <f t="shared" si="601"/>
        <v>8.218</v>
      </c>
      <c r="AA134" s="67">
        <f t="shared" si="601"/>
        <v>13.202000000000002</v>
      </c>
      <c r="AB134" s="67">
        <f t="shared" si="601"/>
        <v>22.742999999999991</v>
      </c>
      <c r="AC134" s="93">
        <f t="shared" si="601"/>
        <v>50.496999999999993</v>
      </c>
      <c r="AD134" s="67"/>
      <c r="AE134" s="82">
        <f t="shared" ref="AE134:AI134" si="602">AE40+AE47</f>
        <v>11.502000000000001</v>
      </c>
      <c r="AF134" s="67">
        <f t="shared" si="602"/>
        <v>11.723999999999998</v>
      </c>
      <c r="AG134" s="67">
        <f t="shared" si="602"/>
        <v>10.712000000000003</v>
      </c>
      <c r="AH134" s="67">
        <f t="shared" si="602"/>
        <v>12.018999999999998</v>
      </c>
      <c r="AI134" s="93">
        <f t="shared" si="602"/>
        <v>45.957000000000001</v>
      </c>
      <c r="AJ134" s="67"/>
      <c r="AK134" s="82">
        <f t="shared" ref="AK134:AO134" si="603">AK40+AK47</f>
        <v>13.083</v>
      </c>
      <c r="AL134" s="67">
        <f t="shared" si="603"/>
        <v>-38.432000000000002</v>
      </c>
      <c r="AM134" s="67">
        <f t="shared" si="603"/>
        <v>-33.61399999999999</v>
      </c>
      <c r="AN134" s="67">
        <f t="shared" si="603"/>
        <v>-138.80200000000002</v>
      </c>
      <c r="AO134" s="93">
        <f t="shared" si="603"/>
        <v>-197.76500000000004</v>
      </c>
      <c r="AP134" s="67"/>
      <c r="AQ134" s="82">
        <f t="shared" ref="AQ134:AU134" si="604">AQ40+AQ47</f>
        <v>28.454000000000001</v>
      </c>
      <c r="AR134" s="67">
        <f t="shared" si="604"/>
        <v>31.952999999999996</v>
      </c>
      <c r="AS134" s="67">
        <f t="shared" si="604"/>
        <v>17.867000000000004</v>
      </c>
      <c r="AT134" s="67">
        <f t="shared" si="604"/>
        <v>20.141000000000005</v>
      </c>
      <c r="AU134" s="93">
        <f t="shared" si="604"/>
        <v>98.415000000000006</v>
      </c>
      <c r="AV134" s="67"/>
      <c r="AW134" s="82">
        <f t="shared" ref="AW134:BA134" si="605">AW40+AW47</f>
        <v>36.756999999999998</v>
      </c>
      <c r="AX134" s="67">
        <f t="shared" si="605"/>
        <v>-92.397000000000006</v>
      </c>
      <c r="AY134" s="67">
        <f t="shared" si="605"/>
        <v>103.41999999999999</v>
      </c>
      <c r="AZ134" s="67">
        <f t="shared" si="605"/>
        <v>567.76200000000006</v>
      </c>
      <c r="BA134" s="93">
        <f t="shared" si="605"/>
        <v>615.54200000000003</v>
      </c>
      <c r="BB134" s="67"/>
      <c r="BC134" s="82">
        <f t="shared" ref="BC134:BG134" si="606">BC40+BC47</f>
        <v>27.288</v>
      </c>
      <c r="BD134" s="67">
        <f t="shared" si="606"/>
        <v>15.614999999999998</v>
      </c>
      <c r="BE134" s="67">
        <f t="shared" si="606"/>
        <v>29.290000000000003</v>
      </c>
      <c r="BF134" s="67">
        <f t="shared" si="606"/>
        <v>-63.927999999999997</v>
      </c>
      <c r="BG134" s="93">
        <f t="shared" si="606"/>
        <v>8.2650000000000006</v>
      </c>
      <c r="BH134" s="67"/>
      <c r="BI134" s="82">
        <f t="shared" ref="BI134:BM134" si="607">BI40+BI47</f>
        <v>17.198</v>
      </c>
      <c r="BJ134" s="67">
        <f t="shared" si="607"/>
        <v>29.563000000000002</v>
      </c>
      <c r="BK134" s="67">
        <f t="shared" si="607"/>
        <v>49.83</v>
      </c>
      <c r="BL134" s="67">
        <f t="shared" si="607"/>
        <v>77.641999999999996</v>
      </c>
      <c r="BM134" s="93">
        <f t="shared" si="607"/>
        <v>174.233</v>
      </c>
      <c r="BN134" s="67"/>
      <c r="BO134" s="82">
        <f t="shared" ref="BO134:BS134" si="608">BO40+BO47</f>
        <v>30.312999999999999</v>
      </c>
      <c r="BP134" s="67">
        <f t="shared" si="608"/>
        <v>62.536999999999992</v>
      </c>
      <c r="BQ134" s="67">
        <f t="shared" si="608"/>
        <v>24.350000000000009</v>
      </c>
      <c r="BR134" s="67">
        <f t="shared" si="608"/>
        <v>61.206000000000003</v>
      </c>
      <c r="BS134" s="93">
        <f t="shared" si="608"/>
        <v>178.40600000000001</v>
      </c>
      <c r="BT134" s="67"/>
      <c r="BU134" s="82">
        <f t="shared" ref="BU134:BY134" si="609">BU40+BU47</f>
        <v>50.48</v>
      </c>
      <c r="BV134" s="67">
        <f t="shared" si="609"/>
        <v>999.84199999999987</v>
      </c>
      <c r="BW134" s="67">
        <f t="shared" si="609"/>
        <v>9.9500000000000455</v>
      </c>
      <c r="BX134" s="67">
        <f t="shared" si="609"/>
        <v>52.228000000000065</v>
      </c>
      <c r="BY134" s="93">
        <f t="shared" si="609"/>
        <v>1112.5</v>
      </c>
      <c r="BZ134" s="67"/>
      <c r="CA134" s="82">
        <f t="shared" ref="CA134:CE134" si="610">CA40+CA47</f>
        <v>71</v>
      </c>
      <c r="CB134" s="67">
        <f t="shared" si="610"/>
        <v>33.299999999999997</v>
      </c>
      <c r="CC134" s="67">
        <f t="shared" si="610"/>
        <v>-219.60000000000002</v>
      </c>
      <c r="CD134" s="67">
        <f t="shared" si="610"/>
        <v>-321.09999999999997</v>
      </c>
      <c r="CE134" s="93">
        <f t="shared" si="610"/>
        <v>-436.4</v>
      </c>
      <c r="CF134" s="67"/>
      <c r="CG134" s="82">
        <f t="shared" ref="CG134:CK134" si="611">CG40+CG47</f>
        <v>54.3</v>
      </c>
      <c r="CH134" s="67">
        <f t="shared" si="611"/>
        <v>55.7</v>
      </c>
      <c r="CI134" s="67">
        <f t="shared" si="611"/>
        <v>38.699999999999989</v>
      </c>
      <c r="CJ134" s="67">
        <f t="shared" si="611"/>
        <v>28.700000000000017</v>
      </c>
      <c r="CK134" s="93">
        <f t="shared" si="611"/>
        <v>177.4</v>
      </c>
      <c r="CL134" s="67"/>
      <c r="CM134" s="82">
        <f t="shared" ref="CM134:CQ134" si="612">CM40+CM47</f>
        <v>30</v>
      </c>
      <c r="CN134" s="67">
        <f t="shared" si="612"/>
        <v>30.9</v>
      </c>
      <c r="CO134" s="67">
        <f t="shared" si="612"/>
        <v>14.100000000000001</v>
      </c>
      <c r="CP134" s="67">
        <f t="shared" si="612"/>
        <v>57.900000000000006</v>
      </c>
      <c r="CQ134" s="93">
        <f t="shared" si="612"/>
        <v>132.9</v>
      </c>
      <c r="CR134" s="67"/>
      <c r="CS134" s="82">
        <f t="shared" ref="CS134:CW134" si="613">CS40+CS47</f>
        <v>61.6</v>
      </c>
      <c r="CT134" s="67">
        <f t="shared" si="613"/>
        <v>69.900000000000006</v>
      </c>
      <c r="CU134" s="67">
        <f t="shared" si="613"/>
        <v>66.599999999999994</v>
      </c>
      <c r="CV134" s="67">
        <f t="shared" si="613"/>
        <v>50.900000000000006</v>
      </c>
      <c r="CW134" s="93">
        <f t="shared" si="613"/>
        <v>249</v>
      </c>
      <c r="CX134" s="67"/>
      <c r="CY134" s="82">
        <f t="shared" ref="CY134:DC134" si="614">CY40+CY47</f>
        <v>43.9</v>
      </c>
      <c r="CZ134" s="67">
        <f t="shared" si="614"/>
        <v>100.9</v>
      </c>
      <c r="DA134" s="67">
        <f t="shared" si="614"/>
        <v>11.799999999999983</v>
      </c>
      <c r="DB134" s="67">
        <f t="shared" si="614"/>
        <v>7.9000000000000057</v>
      </c>
      <c r="DC134" s="93">
        <f t="shared" si="614"/>
        <v>164.5</v>
      </c>
      <c r="DD134" s="67"/>
      <c r="DE134" s="82">
        <f t="shared" ref="DE134" si="615">DE40+DE47</f>
        <v>20.5</v>
      </c>
      <c r="DF134" s="67">
        <f t="shared" ref="DF134" si="616">DF40+DF47</f>
        <v>15.299999999999997</v>
      </c>
      <c r="DG134" s="67">
        <f t="shared" ref="DG134:DI134" si="617">DG40+DG47</f>
        <v>13.200000000000003</v>
      </c>
      <c r="DH134" s="67">
        <f t="shared" si="617"/>
        <v>19.799999999999997</v>
      </c>
      <c r="DI134" s="93">
        <f t="shared" si="617"/>
        <v>68.8</v>
      </c>
      <c r="DJ134" s="67"/>
      <c r="DK134" s="82">
        <f t="shared" ref="DK134:DO134" si="618">DK40+DK47</f>
        <v>122.2496</v>
      </c>
      <c r="DL134" s="67">
        <f t="shared" si="618"/>
        <v>121.91449599999999</v>
      </c>
      <c r="DM134" s="67">
        <f t="shared" si="618"/>
        <v>118.45957375999998</v>
      </c>
      <c r="DN134" s="67">
        <f t="shared" si="618"/>
        <v>116.2165814656</v>
      </c>
      <c r="DO134" s="93">
        <f t="shared" si="618"/>
        <v>478.84025122560001</v>
      </c>
      <c r="DP134" s="67"/>
      <c r="DQ134" s="82">
        <f t="shared" ref="DQ134:DT134" si="619">DQ40+DQ47</f>
        <v>145.10828134482685</v>
      </c>
      <c r="DR134" s="67">
        <f t="shared" si="619"/>
        <v>144.578624606255</v>
      </c>
      <c r="DS134" s="67">
        <f t="shared" si="619"/>
        <v>141.25595555569032</v>
      </c>
      <c r="DT134" s="67">
        <f t="shared" si="619"/>
        <v>139.03788399341235</v>
      </c>
      <c r="DU134" s="93">
        <f>DU40+DU47</f>
        <v>569.98074550018453</v>
      </c>
      <c r="DV134" s="67"/>
      <c r="DW134" s="82">
        <f t="shared" ref="DW134:DZ134" si="620">DW40+DW47</f>
        <v>142.37651508268246</v>
      </c>
      <c r="DX134" s="67">
        <f t="shared" si="620"/>
        <v>141.72552235115</v>
      </c>
      <c r="DY134" s="67">
        <f t="shared" si="620"/>
        <v>138.57214814716716</v>
      </c>
      <c r="DZ134" s="67">
        <f t="shared" si="620"/>
        <v>136.42350486644318</v>
      </c>
      <c r="EA134" s="93">
        <f>EA40+EA47</f>
        <v>559.0976904474428</v>
      </c>
      <c r="EB134" s="67"/>
      <c r="EC134" s="82">
        <f t="shared" ref="EC134:EG134" si="621">EC40+EC47</f>
        <v>139.28579859896632</v>
      </c>
      <c r="ED134" s="67">
        <f t="shared" si="621"/>
        <v>138.5666917188754</v>
      </c>
      <c r="EE134" s="67">
        <f t="shared" si="621"/>
        <v>135.60410038599039</v>
      </c>
      <c r="EF134" s="67">
        <f t="shared" si="621"/>
        <v>133.55386292974293</v>
      </c>
      <c r="EG134" s="93">
        <f t="shared" si="621"/>
        <v>547.01045363357503</v>
      </c>
      <c r="EH134" s="67"/>
      <c r="EI134" s="6"/>
      <c r="EJ134" s="6"/>
      <c r="EK134" s="6"/>
      <c r="EL134" s="6"/>
    </row>
    <row r="135" spans="1:142" ht="12.75" customHeight="1" x14ac:dyDescent="0.2">
      <c r="A135" s="51" t="s">
        <v>139</v>
      </c>
      <c r="B135" s="19"/>
      <c r="C135" s="19"/>
      <c r="D135" s="19"/>
      <c r="E135" s="93">
        <f t="shared" ref="E135:BX135" si="622">E41</f>
        <v>-11.932</v>
      </c>
      <c r="F135" s="67"/>
      <c r="G135" s="93">
        <f t="shared" si="622"/>
        <v>-12.84</v>
      </c>
      <c r="H135" s="67"/>
      <c r="I135" s="93">
        <f t="shared" si="622"/>
        <v>-9.9120000000000008</v>
      </c>
      <c r="J135" s="67"/>
      <c r="K135" s="93">
        <f t="shared" si="622"/>
        <v>-10.015000000000001</v>
      </c>
      <c r="L135" s="67"/>
      <c r="M135" s="82">
        <f t="shared" si="622"/>
        <v>-2.85</v>
      </c>
      <c r="N135" s="67">
        <f t="shared" si="622"/>
        <v>-2.85</v>
      </c>
      <c r="O135" s="67">
        <f t="shared" si="622"/>
        <v>-2.8470000000000009</v>
      </c>
      <c r="P135" s="67">
        <f t="shared" si="622"/>
        <v>-3.129</v>
      </c>
      <c r="Q135" s="93">
        <f t="shared" si="622"/>
        <v>-11.676</v>
      </c>
      <c r="R135" s="67"/>
      <c r="S135" s="82">
        <f t="shared" si="622"/>
        <v>-3.8180000000000001</v>
      </c>
      <c r="T135" s="67">
        <f t="shared" si="622"/>
        <v>-2.2250000000000001</v>
      </c>
      <c r="U135" s="67">
        <f t="shared" si="622"/>
        <v>-3.0289999999999995</v>
      </c>
      <c r="V135" s="67">
        <f t="shared" si="622"/>
        <v>-4.4440000000000008</v>
      </c>
      <c r="W135" s="93">
        <f t="shared" si="622"/>
        <v>-13.516</v>
      </c>
      <c r="X135" s="67"/>
      <c r="Y135" s="82">
        <f t="shared" si="622"/>
        <v>-3.8180000000000001</v>
      </c>
      <c r="Z135" s="67">
        <f t="shared" si="622"/>
        <v>-3.8279999999999998</v>
      </c>
      <c r="AA135" s="67">
        <f t="shared" si="622"/>
        <v>-3.8380000000000005</v>
      </c>
      <c r="AB135" s="67">
        <f t="shared" si="622"/>
        <v>-3.842000000000001</v>
      </c>
      <c r="AC135" s="93">
        <f t="shared" si="622"/>
        <v>-15.326000000000001</v>
      </c>
      <c r="AD135" s="67"/>
      <c r="AE135" s="82">
        <f t="shared" si="622"/>
        <v>-3.847</v>
      </c>
      <c r="AF135" s="67">
        <f t="shared" si="622"/>
        <v>-4.6219999999999999</v>
      </c>
      <c r="AG135" s="67">
        <f t="shared" si="622"/>
        <v>-4.6280000000000001</v>
      </c>
      <c r="AH135" s="67">
        <f t="shared" si="622"/>
        <v>-4.6340000000000021</v>
      </c>
      <c r="AI135" s="93">
        <f t="shared" si="622"/>
        <v>-17.731000000000002</v>
      </c>
      <c r="AJ135" s="67"/>
      <c r="AK135" s="82">
        <f t="shared" si="622"/>
        <v>-4.6340000000000003</v>
      </c>
      <c r="AL135" s="67">
        <f t="shared" si="622"/>
        <v>-4.6329999999999991</v>
      </c>
      <c r="AM135" s="67">
        <f t="shared" si="622"/>
        <v>-6.1750000000000007</v>
      </c>
      <c r="AN135" s="67">
        <f t="shared" si="622"/>
        <v>-6.1110000000000007</v>
      </c>
      <c r="AO135" s="93">
        <f t="shared" si="622"/>
        <v>-21.553000000000001</v>
      </c>
      <c r="AP135" s="67"/>
      <c r="AQ135" s="82">
        <f t="shared" si="622"/>
        <v>-6.1230000000000002</v>
      </c>
      <c r="AR135" s="67">
        <f t="shared" si="622"/>
        <v>-6.1469999999999994</v>
      </c>
      <c r="AS135" s="67">
        <f t="shared" si="622"/>
        <v>-6.1550000000000002</v>
      </c>
      <c r="AT135" s="67">
        <f t="shared" si="622"/>
        <v>-6.1639999999999979</v>
      </c>
      <c r="AU135" s="93">
        <f t="shared" si="622"/>
        <v>-24.588999999999999</v>
      </c>
      <c r="AV135" s="67"/>
      <c r="AW135" s="82">
        <f t="shared" si="622"/>
        <v>-6.1820000000000004</v>
      </c>
      <c r="AX135" s="67">
        <f t="shared" si="622"/>
        <v>-9.2419999999999991</v>
      </c>
      <c r="AY135" s="67">
        <f t="shared" si="622"/>
        <v>-9.3109999999999999</v>
      </c>
      <c r="AZ135" s="67">
        <f t="shared" si="622"/>
        <v>-9.5399999999999991</v>
      </c>
      <c r="BA135" s="93">
        <f t="shared" si="622"/>
        <v>-34.274999999999999</v>
      </c>
      <c r="BB135" s="67"/>
      <c r="BC135" s="82">
        <f t="shared" si="622"/>
        <v>-9.5530000000000008</v>
      </c>
      <c r="BD135" s="67">
        <f t="shared" si="622"/>
        <v>-9.5670000000000002</v>
      </c>
      <c r="BE135" s="67">
        <f t="shared" si="622"/>
        <v>-9.5879999999999974</v>
      </c>
      <c r="BF135" s="67">
        <f t="shared" si="622"/>
        <v>-9.5510000000000019</v>
      </c>
      <c r="BG135" s="93">
        <f t="shared" si="622"/>
        <v>-38.259</v>
      </c>
      <c r="BH135" s="67"/>
      <c r="BI135" s="82">
        <f t="shared" si="622"/>
        <v>-9.5619999999999994</v>
      </c>
      <c r="BJ135" s="67">
        <f t="shared" si="622"/>
        <v>-9.5860000000000003</v>
      </c>
      <c r="BK135" s="67">
        <f t="shared" si="622"/>
        <v>-9.6279999999999983</v>
      </c>
      <c r="BL135" s="67">
        <f t="shared" si="622"/>
        <v>-12.941000000000004</v>
      </c>
      <c r="BM135" s="93">
        <f t="shared" si="622"/>
        <v>-41.716999999999999</v>
      </c>
      <c r="BN135" s="67"/>
      <c r="BO135" s="82">
        <f t="shared" si="622"/>
        <v>-12.962</v>
      </c>
      <c r="BP135" s="67">
        <f t="shared" si="622"/>
        <v>-13.05</v>
      </c>
      <c r="BQ135" s="67">
        <f t="shared" si="622"/>
        <v>-13.075000000000003</v>
      </c>
      <c r="BR135" s="67">
        <f t="shared" si="622"/>
        <v>-13.126999999999995</v>
      </c>
      <c r="BS135" s="93">
        <f t="shared" si="622"/>
        <v>-52.213999999999999</v>
      </c>
      <c r="BT135" s="67"/>
      <c r="BU135" s="82">
        <f t="shared" si="622"/>
        <v>-13.268000000000001</v>
      </c>
      <c r="BV135" s="67">
        <f t="shared" si="622"/>
        <v>-13.704999999999998</v>
      </c>
      <c r="BW135" s="67">
        <f t="shared" si="622"/>
        <v>-17.155999999999999</v>
      </c>
      <c r="BX135" s="67">
        <f t="shared" si="622"/>
        <v>-17.170999999999999</v>
      </c>
      <c r="BY135" s="93">
        <f t="shared" ref="BY135" si="623">BY41</f>
        <v>-61.3</v>
      </c>
      <c r="BZ135" s="67"/>
      <c r="CA135" s="82">
        <f t="shared" ref="CA135:DO135" si="624">CA41</f>
        <v>-17.3</v>
      </c>
      <c r="CB135" s="67">
        <f t="shared" si="624"/>
        <v>-17.400000000000002</v>
      </c>
      <c r="CC135" s="67">
        <f t="shared" si="624"/>
        <v>-17.299999999999997</v>
      </c>
      <c r="CD135" s="67">
        <f t="shared" si="624"/>
        <v>-34.400000000000006</v>
      </c>
      <c r="CE135" s="93">
        <f t="shared" si="624"/>
        <v>-86.4</v>
      </c>
      <c r="CF135" s="67"/>
      <c r="CG135" s="82">
        <f t="shared" si="624"/>
        <v>0</v>
      </c>
      <c r="CH135" s="67">
        <f t="shared" si="624"/>
        <v>-17.3</v>
      </c>
      <c r="CI135" s="67">
        <f t="shared" si="624"/>
        <v>-17.400000000000002</v>
      </c>
      <c r="CJ135" s="67">
        <f t="shared" si="624"/>
        <v>-17.399999999999999</v>
      </c>
      <c r="CK135" s="93">
        <f t="shared" si="624"/>
        <v>-52.1</v>
      </c>
      <c r="CL135" s="67"/>
      <c r="CM135" s="82">
        <f t="shared" si="624"/>
        <v>-17.399999999999999</v>
      </c>
      <c r="CN135" s="67">
        <f t="shared" si="624"/>
        <v>-70</v>
      </c>
      <c r="CO135" s="67">
        <f t="shared" si="624"/>
        <v>-70</v>
      </c>
      <c r="CP135" s="67">
        <f t="shared" si="624"/>
        <v>-70.299999999999983</v>
      </c>
      <c r="CQ135" s="93">
        <f t="shared" si="624"/>
        <v>-227.7</v>
      </c>
      <c r="CR135" s="67"/>
      <c r="CS135" s="82">
        <f t="shared" si="624"/>
        <v>-70.400000000000006</v>
      </c>
      <c r="CT135" s="67">
        <f t="shared" si="624"/>
        <v>-95.5</v>
      </c>
      <c r="CU135" s="67">
        <f t="shared" si="624"/>
        <v>-95.700000000000017</v>
      </c>
      <c r="CV135" s="67">
        <f t="shared" si="624"/>
        <v>-92.5</v>
      </c>
      <c r="CW135" s="93">
        <f t="shared" si="624"/>
        <v>-354.1</v>
      </c>
      <c r="CX135" s="67"/>
      <c r="CY135" s="82">
        <f t="shared" si="624"/>
        <v>-92.7</v>
      </c>
      <c r="CZ135" s="67">
        <f t="shared" si="624"/>
        <v>-110.10000000000001</v>
      </c>
      <c r="DA135" s="67">
        <f t="shared" si="624"/>
        <v>-110.5</v>
      </c>
      <c r="DB135" s="67">
        <f t="shared" si="624"/>
        <v>-86.5</v>
      </c>
      <c r="DC135" s="93">
        <f t="shared" si="624"/>
        <v>-399.8</v>
      </c>
      <c r="DD135" s="67"/>
      <c r="DE135" s="82">
        <f t="shared" ref="DE135" si="625">DE41</f>
        <v>-86.6</v>
      </c>
      <c r="DF135" s="67">
        <f t="shared" si="624"/>
        <v>-97.300000000000011</v>
      </c>
      <c r="DG135" s="67">
        <f t="shared" ref="DG135:DI135" si="626">DG41</f>
        <v>-97.1</v>
      </c>
      <c r="DH135" s="67">
        <f t="shared" si="626"/>
        <v>-97.300000000000011</v>
      </c>
      <c r="DI135" s="93">
        <f t="shared" si="626"/>
        <v>-378.3</v>
      </c>
      <c r="DJ135" s="67"/>
      <c r="DK135" s="82">
        <f t="shared" si="624"/>
        <v>-104.82000000000001</v>
      </c>
      <c r="DL135" s="67">
        <f t="shared" si="624"/>
        <v>-105.15000000000002</v>
      </c>
      <c r="DM135" s="67">
        <f t="shared" si="624"/>
        <v>-105.48000000000002</v>
      </c>
      <c r="DN135" s="67">
        <f t="shared" si="624"/>
        <v>-105.81000000000003</v>
      </c>
      <c r="DO135" s="93">
        <f t="shared" si="624"/>
        <v>-421.2600000000001</v>
      </c>
      <c r="DP135" s="67"/>
      <c r="DQ135" s="82">
        <f t="shared" ref="DQ135:DT135" si="627">DQ41</f>
        <v>-113.21600000000001</v>
      </c>
      <c r="DR135" s="67">
        <f t="shared" si="627"/>
        <v>-113.56800000000001</v>
      </c>
      <c r="DS135" s="67">
        <f t="shared" si="627"/>
        <v>-113.92000000000002</v>
      </c>
      <c r="DT135" s="67">
        <f t="shared" si="627"/>
        <v>-114.27200000000003</v>
      </c>
      <c r="DU135" s="93">
        <f>DU41</f>
        <v>-454.97600000000011</v>
      </c>
      <c r="DV135" s="67"/>
      <c r="DW135" s="82">
        <f t="shared" ref="DW135:DZ135" si="628">DW41</f>
        <v>-121.78800000000004</v>
      </c>
      <c r="DX135" s="67">
        <f t="shared" si="628"/>
        <v>-122.16200000000005</v>
      </c>
      <c r="DY135" s="67">
        <f t="shared" si="628"/>
        <v>-122.53600000000006</v>
      </c>
      <c r="DZ135" s="67">
        <f t="shared" si="628"/>
        <v>-122.91000000000007</v>
      </c>
      <c r="EA135" s="93">
        <f>EA41</f>
        <v>-489.39600000000024</v>
      </c>
      <c r="EB135" s="67"/>
      <c r="EC135" s="82">
        <f t="shared" ref="EC135:EG135" si="629">EC41</f>
        <v>-130.53600000000003</v>
      </c>
      <c r="ED135" s="67">
        <f t="shared" si="629"/>
        <v>-130.93200000000004</v>
      </c>
      <c r="EE135" s="67">
        <f t="shared" si="629"/>
        <v>-131.32800000000006</v>
      </c>
      <c r="EF135" s="67">
        <f t="shared" si="629"/>
        <v>-131.72400000000007</v>
      </c>
      <c r="EG135" s="93">
        <f t="shared" si="629"/>
        <v>-524.52000000000021</v>
      </c>
      <c r="EH135" s="67"/>
      <c r="EI135" s="6"/>
      <c r="EJ135" s="6"/>
      <c r="EK135" s="6"/>
      <c r="EL135" s="6"/>
    </row>
    <row r="136" spans="1:142" ht="12.75" customHeight="1" x14ac:dyDescent="0.2">
      <c r="A136" s="51" t="s">
        <v>140</v>
      </c>
      <c r="B136" s="19"/>
      <c r="C136" s="19"/>
      <c r="D136" s="19"/>
      <c r="E136" s="92" t="s">
        <v>449</v>
      </c>
      <c r="F136" s="71"/>
      <c r="G136" s="92" t="s">
        <v>449</v>
      </c>
      <c r="H136" s="71"/>
      <c r="I136" s="92" t="s">
        <v>449</v>
      </c>
      <c r="J136" s="71"/>
      <c r="K136" s="92" t="s">
        <v>449</v>
      </c>
      <c r="L136" s="71"/>
      <c r="M136" s="84" t="s">
        <v>449</v>
      </c>
      <c r="N136" s="71" t="s">
        <v>449</v>
      </c>
      <c r="O136" s="71" t="s">
        <v>449</v>
      </c>
      <c r="P136" s="71" t="s">
        <v>449</v>
      </c>
      <c r="Q136" s="92" t="s">
        <v>449</v>
      </c>
      <c r="R136" s="71"/>
      <c r="S136" s="84" t="s">
        <v>449</v>
      </c>
      <c r="T136" s="71" t="s">
        <v>449</v>
      </c>
      <c r="U136" s="71" t="s">
        <v>449</v>
      </c>
      <c r="V136" s="71" t="s">
        <v>449</v>
      </c>
      <c r="W136" s="92" t="s">
        <v>449</v>
      </c>
      <c r="X136" s="71"/>
      <c r="Y136" s="84" t="s">
        <v>449</v>
      </c>
      <c r="Z136" s="71" t="s">
        <v>449</v>
      </c>
      <c r="AA136" s="71" t="s">
        <v>449</v>
      </c>
      <c r="AB136" s="71" t="s">
        <v>449</v>
      </c>
      <c r="AC136" s="92" t="s">
        <v>449</v>
      </c>
      <c r="AD136" s="71"/>
      <c r="AE136" s="84" t="s">
        <v>449</v>
      </c>
      <c r="AF136" s="71" t="s">
        <v>449</v>
      </c>
      <c r="AG136" s="71" t="s">
        <v>449</v>
      </c>
      <c r="AH136" s="71" t="s">
        <v>449</v>
      </c>
      <c r="AI136" s="92" t="s">
        <v>449</v>
      </c>
      <c r="AJ136" s="71"/>
      <c r="AK136" s="84" t="s">
        <v>449</v>
      </c>
      <c r="AL136" s="71" t="s">
        <v>449</v>
      </c>
      <c r="AM136" s="71" t="s">
        <v>449</v>
      </c>
      <c r="AN136" s="71" t="s">
        <v>449</v>
      </c>
      <c r="AO136" s="92" t="s">
        <v>449</v>
      </c>
      <c r="AP136" s="71"/>
      <c r="AQ136" s="84" t="s">
        <v>449</v>
      </c>
      <c r="AR136" s="71" t="s">
        <v>449</v>
      </c>
      <c r="AS136" s="71" t="s">
        <v>449</v>
      </c>
      <c r="AT136" s="71" t="s">
        <v>449</v>
      </c>
      <c r="AU136" s="92" t="s">
        <v>449</v>
      </c>
      <c r="AV136" s="71"/>
      <c r="AW136" s="84" t="s">
        <v>449</v>
      </c>
      <c r="AX136" s="71" t="s">
        <v>449</v>
      </c>
      <c r="AY136" s="71" t="s">
        <v>449</v>
      </c>
      <c r="AZ136" s="71" t="s">
        <v>449</v>
      </c>
      <c r="BA136" s="92" t="s">
        <v>449</v>
      </c>
      <c r="BB136" s="71"/>
      <c r="BC136" s="84" t="s">
        <v>449</v>
      </c>
      <c r="BD136" s="71" t="s">
        <v>449</v>
      </c>
      <c r="BE136" s="71" t="s">
        <v>449</v>
      </c>
      <c r="BF136" s="71" t="s">
        <v>449</v>
      </c>
      <c r="BG136" s="92" t="s">
        <v>449</v>
      </c>
      <c r="BH136" s="71"/>
      <c r="BI136" s="84" t="s">
        <v>449</v>
      </c>
      <c r="BJ136" s="71" t="s">
        <v>449</v>
      </c>
      <c r="BK136" s="71" t="s">
        <v>449</v>
      </c>
      <c r="BL136" s="71" t="s">
        <v>449</v>
      </c>
      <c r="BM136" s="92" t="s">
        <v>449</v>
      </c>
      <c r="BN136" s="71"/>
      <c r="BO136" s="84" t="s">
        <v>449</v>
      </c>
      <c r="BP136" s="71" t="s">
        <v>449</v>
      </c>
      <c r="BQ136" s="71" t="s">
        <v>449</v>
      </c>
      <c r="BR136" s="71" t="s">
        <v>449</v>
      </c>
      <c r="BS136" s="92" t="s">
        <v>449</v>
      </c>
      <c r="BT136" s="71"/>
      <c r="BU136" s="84" t="s">
        <v>449</v>
      </c>
      <c r="BV136" s="71" t="s">
        <v>449</v>
      </c>
      <c r="BW136" s="71" t="s">
        <v>449</v>
      </c>
      <c r="BX136" s="71" t="s">
        <v>449</v>
      </c>
      <c r="BY136" s="92" t="s">
        <v>449</v>
      </c>
      <c r="BZ136" s="71"/>
      <c r="CA136" s="84" t="s">
        <v>449</v>
      </c>
      <c r="CB136" s="71" t="s">
        <v>449</v>
      </c>
      <c r="CC136" s="71" t="s">
        <v>449</v>
      </c>
      <c r="CD136" s="71" t="s">
        <v>449</v>
      </c>
      <c r="CE136" s="92" t="s">
        <v>449</v>
      </c>
      <c r="CF136" s="71"/>
      <c r="CG136" s="84" t="s">
        <v>449</v>
      </c>
      <c r="CH136" s="71" t="s">
        <v>449</v>
      </c>
      <c r="CI136" s="71" t="s">
        <v>449</v>
      </c>
      <c r="CJ136" s="71" t="s">
        <v>449</v>
      </c>
      <c r="CK136" s="92" t="s">
        <v>449</v>
      </c>
      <c r="CL136" s="71"/>
      <c r="CM136" s="84" t="s">
        <v>449</v>
      </c>
      <c r="CN136" s="71" t="s">
        <v>449</v>
      </c>
      <c r="CO136" s="71" t="s">
        <v>449</v>
      </c>
      <c r="CP136" s="71" t="s">
        <v>449</v>
      </c>
      <c r="CQ136" s="92" t="s">
        <v>449</v>
      </c>
      <c r="CR136" s="71"/>
      <c r="CS136" s="84" t="s">
        <v>449</v>
      </c>
      <c r="CT136" s="71" t="s">
        <v>449</v>
      </c>
      <c r="CU136" s="71" t="s">
        <v>449</v>
      </c>
      <c r="CV136" s="71" t="s">
        <v>449</v>
      </c>
      <c r="CW136" s="92" t="s">
        <v>449</v>
      </c>
      <c r="CX136" s="71"/>
      <c r="CY136" s="84" t="s">
        <v>449</v>
      </c>
      <c r="CZ136" s="71" t="s">
        <v>449</v>
      </c>
      <c r="DA136" s="71" t="s">
        <v>449</v>
      </c>
      <c r="DB136" s="71" t="s">
        <v>449</v>
      </c>
      <c r="DC136" s="92" t="s">
        <v>449</v>
      </c>
      <c r="DD136" s="71"/>
      <c r="DE136" s="84" t="s">
        <v>449</v>
      </c>
      <c r="DF136" s="71" t="s">
        <v>449</v>
      </c>
      <c r="DG136" s="71" t="s">
        <v>449</v>
      </c>
      <c r="DH136" s="71" t="s">
        <v>449</v>
      </c>
      <c r="DI136" s="92" t="s">
        <v>449</v>
      </c>
      <c r="DJ136" s="71"/>
      <c r="DK136" s="84" t="s">
        <v>449</v>
      </c>
      <c r="DL136" s="71" t="s">
        <v>449</v>
      </c>
      <c r="DM136" s="71" t="s">
        <v>449</v>
      </c>
      <c r="DN136" s="71" t="s">
        <v>449</v>
      </c>
      <c r="DO136" s="92" t="s">
        <v>449</v>
      </c>
      <c r="DP136" s="71"/>
      <c r="DQ136" s="84" t="s">
        <v>449</v>
      </c>
      <c r="DR136" s="71" t="s">
        <v>449</v>
      </c>
      <c r="DS136" s="71" t="s">
        <v>449</v>
      </c>
      <c r="DT136" s="71" t="s">
        <v>449</v>
      </c>
      <c r="DU136" s="92" t="s">
        <v>449</v>
      </c>
      <c r="DV136" s="71"/>
      <c r="DW136" s="84" t="s">
        <v>449</v>
      </c>
      <c r="DX136" s="71" t="s">
        <v>449</v>
      </c>
      <c r="DY136" s="71" t="s">
        <v>449</v>
      </c>
      <c r="DZ136" s="71" t="s">
        <v>449</v>
      </c>
      <c r="EA136" s="92" t="s">
        <v>449</v>
      </c>
      <c r="EB136" s="71"/>
      <c r="EC136" s="84" t="s">
        <v>449</v>
      </c>
      <c r="ED136" s="71" t="s">
        <v>449</v>
      </c>
      <c r="EE136" s="71" t="s">
        <v>449</v>
      </c>
      <c r="EF136" s="71" t="s">
        <v>449</v>
      </c>
      <c r="EG136" s="92" t="s">
        <v>449</v>
      </c>
      <c r="EH136" s="71"/>
      <c r="EI136" s="6"/>
      <c r="EJ136" s="6"/>
      <c r="EK136" s="6"/>
      <c r="EL136" s="6"/>
    </row>
    <row r="137" spans="1:142" ht="12.75" customHeight="1" x14ac:dyDescent="0.2">
      <c r="A137" s="51"/>
      <c r="B137" s="19"/>
      <c r="C137" s="19"/>
      <c r="D137" s="19"/>
      <c r="E137" s="93"/>
      <c r="F137" s="67"/>
      <c r="G137" s="93"/>
      <c r="H137" s="67"/>
      <c r="I137" s="93"/>
      <c r="J137" s="67"/>
      <c r="K137" s="93"/>
      <c r="L137" s="67"/>
      <c r="M137" s="82"/>
      <c r="N137" s="67"/>
      <c r="O137" s="67"/>
      <c r="P137" s="67"/>
      <c r="Q137" s="93"/>
      <c r="R137" s="67"/>
      <c r="S137" s="82"/>
      <c r="T137" s="67"/>
      <c r="U137" s="67"/>
      <c r="V137" s="67"/>
      <c r="W137" s="93"/>
      <c r="X137" s="67"/>
      <c r="Y137" s="82"/>
      <c r="Z137" s="67"/>
      <c r="AA137" s="67"/>
      <c r="AB137" s="67"/>
      <c r="AC137" s="93"/>
      <c r="AD137" s="67"/>
      <c r="AE137" s="82"/>
      <c r="AF137" s="67"/>
      <c r="AG137" s="67"/>
      <c r="AH137" s="67"/>
      <c r="AI137" s="93"/>
      <c r="AJ137" s="67"/>
      <c r="AK137" s="82"/>
      <c r="AL137" s="67"/>
      <c r="AM137" s="67"/>
      <c r="AN137" s="67"/>
      <c r="AO137" s="93"/>
      <c r="AP137" s="67"/>
      <c r="AQ137" s="82"/>
      <c r="AR137" s="67"/>
      <c r="AS137" s="67"/>
      <c r="AT137" s="67"/>
      <c r="AU137" s="93"/>
      <c r="AV137" s="67"/>
      <c r="AW137" s="82"/>
      <c r="AX137" s="67"/>
      <c r="AY137" s="67"/>
      <c r="AZ137" s="67"/>
      <c r="BA137" s="93"/>
      <c r="BB137" s="67"/>
      <c r="BC137" s="82"/>
      <c r="BD137" s="67"/>
      <c r="BE137" s="67"/>
      <c r="BF137" s="67"/>
      <c r="BG137" s="93"/>
      <c r="BH137" s="67"/>
      <c r="BI137" s="82"/>
      <c r="BJ137" s="67"/>
      <c r="BK137" s="67"/>
      <c r="BL137" s="67"/>
      <c r="BM137" s="93"/>
      <c r="BN137" s="67"/>
      <c r="BO137" s="82"/>
      <c r="BP137" s="67"/>
      <c r="BQ137" s="67"/>
      <c r="BR137" s="67"/>
      <c r="BS137" s="93"/>
      <c r="BT137" s="67"/>
      <c r="BU137" s="82"/>
      <c r="BV137" s="67"/>
      <c r="BW137" s="67"/>
      <c r="BX137" s="67"/>
      <c r="BY137" s="93"/>
      <c r="BZ137" s="67"/>
      <c r="CA137" s="82"/>
      <c r="CB137" s="67"/>
      <c r="CC137" s="67"/>
      <c r="CD137" s="67"/>
      <c r="CE137" s="93"/>
      <c r="CF137" s="67"/>
      <c r="CG137" s="82"/>
      <c r="CH137" s="67"/>
      <c r="CI137" s="67"/>
      <c r="CJ137" s="67"/>
      <c r="CK137" s="93"/>
      <c r="CL137" s="67"/>
      <c r="CM137" s="82"/>
      <c r="CN137" s="67"/>
      <c r="CO137" s="67"/>
      <c r="CP137" s="67"/>
      <c r="CQ137" s="93"/>
      <c r="CR137" s="67"/>
      <c r="CS137" s="82"/>
      <c r="CT137" s="67"/>
      <c r="CU137" s="67"/>
      <c r="CV137" s="67"/>
      <c r="CW137" s="93"/>
      <c r="CX137" s="67"/>
      <c r="CY137" s="82"/>
      <c r="CZ137" s="67"/>
      <c r="DA137" s="67"/>
      <c r="DB137" s="67"/>
      <c r="DC137" s="93"/>
      <c r="DD137" s="67"/>
      <c r="DE137" s="82"/>
      <c r="DF137" s="67"/>
      <c r="DG137" s="67"/>
      <c r="DH137" s="67"/>
      <c r="DI137" s="93"/>
      <c r="DJ137" s="67"/>
      <c r="DK137" s="82"/>
      <c r="DL137" s="67"/>
      <c r="DM137" s="67"/>
      <c r="DN137" s="67"/>
      <c r="DO137" s="93"/>
      <c r="DP137" s="67"/>
      <c r="DQ137" s="82"/>
      <c r="DR137" s="67"/>
      <c r="DS137" s="67"/>
      <c r="DT137" s="67"/>
      <c r="DU137" s="93"/>
      <c r="DV137" s="67"/>
      <c r="DW137" s="82"/>
      <c r="DX137" s="67"/>
      <c r="DY137" s="67"/>
      <c r="DZ137" s="67"/>
      <c r="EA137" s="93"/>
      <c r="EB137" s="67"/>
      <c r="EC137" s="82"/>
      <c r="ED137" s="67"/>
      <c r="EE137" s="67"/>
      <c r="EF137" s="67"/>
      <c r="EG137" s="93"/>
      <c r="EH137" s="67"/>
      <c r="EI137" s="6"/>
      <c r="EJ137" s="6"/>
      <c r="EK137" s="6"/>
      <c r="EL137" s="6"/>
    </row>
    <row r="138" spans="1:142" ht="12.75" customHeight="1" x14ac:dyDescent="0.2">
      <c r="A138" s="51" t="s">
        <v>141</v>
      </c>
      <c r="B138" s="19"/>
      <c r="C138" s="19"/>
      <c r="D138" s="19"/>
      <c r="E138" s="158">
        <f t="shared" ref="E138:BV138" si="630">SUM(E139:E141)</f>
        <v>0.35299999999999998</v>
      </c>
      <c r="F138" s="67"/>
      <c r="G138" s="158">
        <f t="shared" si="630"/>
        <v>0.35</v>
      </c>
      <c r="H138" s="67"/>
      <c r="I138" s="158">
        <f t="shared" si="630"/>
        <v>0.35899999999999999</v>
      </c>
      <c r="J138" s="67"/>
      <c r="K138" s="158">
        <f t="shared" si="630"/>
        <v>0.34899999999999998</v>
      </c>
      <c r="L138" s="67"/>
      <c r="M138" s="149">
        <f t="shared" ref="M138:N138" si="631">SUM(M139:M141)</f>
        <v>0.34599999999999997</v>
      </c>
      <c r="N138" s="22">
        <f t="shared" si="631"/>
        <v>0.34599999999999997</v>
      </c>
      <c r="O138" s="22">
        <f>SUM(O139:O141)</f>
        <v>0.34599999999999997</v>
      </c>
      <c r="P138" s="22">
        <f>+SUM(P139:P141)</f>
        <v>0.34599999999999997</v>
      </c>
      <c r="Q138" s="158">
        <f t="shared" si="630"/>
        <v>0.34599999999999997</v>
      </c>
      <c r="R138" s="67"/>
      <c r="S138" s="149">
        <f t="shared" ref="S138:T138" si="632">SUM(S139:S141)</f>
        <v>0.33999999999999997</v>
      </c>
      <c r="T138" s="22">
        <f t="shared" si="632"/>
        <v>0.33999999999999997</v>
      </c>
      <c r="U138" s="22">
        <f>SUM(U139:U141)</f>
        <v>0.33999999999999997</v>
      </c>
      <c r="V138" s="22">
        <f>+SUM(V139:V141)</f>
        <v>0.33999999999999997</v>
      </c>
      <c r="W138" s="158">
        <f t="shared" si="630"/>
        <v>0.33999999999999997</v>
      </c>
      <c r="X138" s="67"/>
      <c r="Y138" s="149">
        <f t="shared" ref="Y138:Z138" si="633">SUM(Y139:Y141)</f>
        <v>0.33499999999999996</v>
      </c>
      <c r="Z138" s="22">
        <f t="shared" si="633"/>
        <v>0.33499999999999996</v>
      </c>
      <c r="AA138" s="22">
        <f>SUM(AA139:AA141)</f>
        <v>0.33499999999999996</v>
      </c>
      <c r="AB138" s="22">
        <f>+SUM(AB139:AB141)</f>
        <v>0.33499999999999996</v>
      </c>
      <c r="AC138" s="158">
        <f t="shared" si="630"/>
        <v>0.33499999999999996</v>
      </c>
      <c r="AD138" s="67"/>
      <c r="AE138" s="149">
        <f t="shared" ref="AE138:AF138" si="634">SUM(AE139:AE141)</f>
        <v>0.29399999999999998</v>
      </c>
      <c r="AF138" s="22">
        <f t="shared" si="634"/>
        <v>0.29399999999999998</v>
      </c>
      <c r="AG138" s="22">
        <f>SUM(AG139:AG141)</f>
        <v>0.29399999999999998</v>
      </c>
      <c r="AH138" s="22">
        <f>+SUM(AH139:AH141)</f>
        <v>0.29399999999999998</v>
      </c>
      <c r="AI138" s="158">
        <f t="shared" si="630"/>
        <v>0.29399999999999998</v>
      </c>
      <c r="AJ138" s="67"/>
      <c r="AK138" s="149">
        <f t="shared" ref="AK138:AL138" si="635">SUM(AK139:AK141)</f>
        <v>0.27699999999999997</v>
      </c>
      <c r="AL138" s="22">
        <f t="shared" si="635"/>
        <v>0.27699999999999997</v>
      </c>
      <c r="AM138" s="22">
        <f>SUM(AM139:AM141)</f>
        <v>0.27699999999999997</v>
      </c>
      <c r="AN138" s="22">
        <f>+SUM(AN139:AN141)</f>
        <v>0.27699999999999997</v>
      </c>
      <c r="AO138" s="158">
        <f t="shared" si="630"/>
        <v>0.27699999999999997</v>
      </c>
      <c r="AP138" s="67"/>
      <c r="AQ138" s="149">
        <f t="shared" ref="AQ138:AR138" si="636">SUM(AQ139:AQ141)</f>
        <v>0.27600000000000002</v>
      </c>
      <c r="AR138" s="22">
        <f t="shared" si="636"/>
        <v>0.27600000000000002</v>
      </c>
      <c r="AS138" s="22">
        <f>SUM(AS139:AS141)</f>
        <v>0.27600000000000002</v>
      </c>
      <c r="AT138" s="22">
        <f>+SUM(AT139:AT141)</f>
        <v>0.27600000000000002</v>
      </c>
      <c r="AU138" s="158">
        <f t="shared" si="630"/>
        <v>0.27600000000000002</v>
      </c>
      <c r="AV138" s="67"/>
      <c r="AW138" s="149">
        <f t="shared" ref="AW138:AX138" si="637">SUM(AW139:AW141)</f>
        <v>0.25600000000000001</v>
      </c>
      <c r="AX138" s="22">
        <f t="shared" si="637"/>
        <v>0.25600000000000001</v>
      </c>
      <c r="AY138" s="22">
        <f>SUM(AY139:AY141)</f>
        <v>0.25600000000000001</v>
      </c>
      <c r="AZ138" s="22">
        <f>+SUM(AZ139:AZ141)</f>
        <v>0.25600000000000001</v>
      </c>
      <c r="BA138" s="158">
        <f t="shared" si="630"/>
        <v>0.25600000000000001</v>
      </c>
      <c r="BB138" s="67"/>
      <c r="BC138" s="149">
        <f t="shared" ref="BC138:BD138" si="638">SUM(BC139:BC141)</f>
        <v>0.247</v>
      </c>
      <c r="BD138" s="22">
        <f t="shared" si="638"/>
        <v>0.247</v>
      </c>
      <c r="BE138" s="22">
        <f>SUM(BE139:BE141)</f>
        <v>0.247</v>
      </c>
      <c r="BF138" s="22">
        <f>+SUM(BF139:BF141)</f>
        <v>0.247</v>
      </c>
      <c r="BG138" s="158">
        <f t="shared" si="630"/>
        <v>0.247</v>
      </c>
      <c r="BH138" s="67"/>
      <c r="BI138" s="149">
        <f t="shared" ref="BI138:BJ138" si="639">SUM(BI139:BI141)</f>
        <v>0.248</v>
      </c>
      <c r="BJ138" s="22">
        <f t="shared" si="639"/>
        <v>0.248</v>
      </c>
      <c r="BK138" s="22">
        <f>SUM(BK139:BK141)</f>
        <v>0.248</v>
      </c>
      <c r="BL138" s="22">
        <f>+SUM(BL139:BL141)</f>
        <v>0.248</v>
      </c>
      <c r="BM138" s="158">
        <f t="shared" si="630"/>
        <v>0.248</v>
      </c>
      <c r="BN138" s="67"/>
      <c r="BO138" s="149">
        <f t="shared" ref="BO138:BP138" si="640">SUM(BO139:BO141)</f>
        <v>0.25900000000000001</v>
      </c>
      <c r="BP138" s="22">
        <f t="shared" si="640"/>
        <v>0.25900000000000001</v>
      </c>
      <c r="BQ138" s="22">
        <f>SUM(BQ139:BQ141)</f>
        <v>0.25900000000000001</v>
      </c>
      <c r="BR138" s="22">
        <f>+SUM(BR139:BR141)</f>
        <v>0.25900000000000001</v>
      </c>
      <c r="BS138" s="158">
        <f t="shared" si="630"/>
        <v>0.25900000000000001</v>
      </c>
      <c r="BT138" s="67"/>
      <c r="BU138" s="149">
        <f t="shared" si="630"/>
        <v>0.23199999999999998</v>
      </c>
      <c r="BV138" s="22">
        <f t="shared" si="630"/>
        <v>0.23199999999999998</v>
      </c>
      <c r="BW138" s="22">
        <f>SUM(BW139:BW141)</f>
        <v>0.23199999999999998</v>
      </c>
      <c r="BX138" s="22">
        <f>+SUM(BX139:BX141)</f>
        <v>0.23199999999999998</v>
      </c>
      <c r="BY138" s="158">
        <f>+SUM(BY139:BY141)</f>
        <v>0.23199999999999998</v>
      </c>
      <c r="BZ138" s="67"/>
      <c r="CA138" s="149">
        <f t="shared" ref="CA138:CB138" si="641">SUM(CA139:CA141)</f>
        <v>0.22</v>
      </c>
      <c r="CB138" s="22">
        <f t="shared" si="641"/>
        <v>0.22</v>
      </c>
      <c r="CC138" s="22">
        <f>SUM(CC139:CC141)</f>
        <v>0.22</v>
      </c>
      <c r="CD138" s="22">
        <f>+SUM(CD139:CD141)</f>
        <v>0.22</v>
      </c>
      <c r="CE138" s="158">
        <f>+SUM(CE139:CE141)</f>
        <v>0.22</v>
      </c>
      <c r="CF138" s="67"/>
      <c r="CG138" s="149">
        <f t="shared" ref="CG138:CH138" si="642">SUM(CG139:CG141)</f>
        <v>0.26600000000000001</v>
      </c>
      <c r="CH138" s="22">
        <f t="shared" si="642"/>
        <v>0.26600000000000001</v>
      </c>
      <c r="CI138" s="22">
        <f>SUM(CI139:CI141)</f>
        <v>0.26600000000000001</v>
      </c>
      <c r="CJ138" s="22">
        <f>+SUM(CJ139:CJ141)</f>
        <v>0.26600000000000001</v>
      </c>
      <c r="CK138" s="158">
        <f>+SUM(CK139:CK141)</f>
        <v>0.26600000000000001</v>
      </c>
      <c r="CL138" s="67"/>
      <c r="CM138" s="149">
        <f t="shared" ref="CM138:CN138" si="643">SUM(CM139:CM141)</f>
        <v>0.22599999999999998</v>
      </c>
      <c r="CN138" s="22">
        <f t="shared" si="643"/>
        <v>0.22599999999999998</v>
      </c>
      <c r="CO138" s="22">
        <f>SUM(CO139:CO141)</f>
        <v>0.22599999999999998</v>
      </c>
      <c r="CP138" s="22">
        <f>+SUM(CP139:CP141)</f>
        <v>0.22599999999999998</v>
      </c>
      <c r="CQ138" s="158">
        <f>+SUM(CQ139:CQ141)</f>
        <v>0.22599999999999998</v>
      </c>
      <c r="CR138" s="67"/>
      <c r="CS138" s="149">
        <f t="shared" ref="CS138:CT138" si="644">SUM(CS139:CS141)</f>
        <v>0.18599999999999997</v>
      </c>
      <c r="CT138" s="22">
        <f t="shared" si="644"/>
        <v>0.18599999999999997</v>
      </c>
      <c r="CU138" s="22">
        <f>SUM(CU139:CU141)</f>
        <v>0.18599999999999997</v>
      </c>
      <c r="CV138" s="22">
        <f>+SUM(CV139:CV141)</f>
        <v>0.18599999999999997</v>
      </c>
      <c r="CW138" s="158">
        <f>+SUM(CW139:CW141)</f>
        <v>0.18599999999999997</v>
      </c>
      <c r="CX138" s="67"/>
      <c r="CY138" s="149">
        <f t="shared" ref="CY138:CZ138" si="645">SUM(CY139:CY141)</f>
        <v>0.254</v>
      </c>
      <c r="CZ138" s="22">
        <f t="shared" si="645"/>
        <v>0.254</v>
      </c>
      <c r="DA138" s="22">
        <f>SUM(DA139:DA141)</f>
        <v>0.254</v>
      </c>
      <c r="DB138" s="22">
        <f>+SUM(DB139:DB141)</f>
        <v>0.254</v>
      </c>
      <c r="DC138" s="158">
        <f>+SUM(DC139:DC141)</f>
        <v>0.254</v>
      </c>
      <c r="DD138" s="67"/>
      <c r="DE138" s="149">
        <f t="shared" ref="DE138:DF138" si="646">SUM(DE139:DE141)</f>
        <v>0.21099999999999999</v>
      </c>
      <c r="DF138" s="22">
        <f t="shared" si="646"/>
        <v>0.21099999999999999</v>
      </c>
      <c r="DG138" s="22">
        <f>SUM(DG139:DG141)</f>
        <v>0.21099999999999999</v>
      </c>
      <c r="DH138" s="22">
        <f>+SUM(DH139:DH141)</f>
        <v>0.21099999999999999</v>
      </c>
      <c r="DI138" s="158">
        <f>+SUM(DI139:DI141)</f>
        <v>0.21099999999999999</v>
      </c>
      <c r="DJ138" s="67"/>
      <c r="DK138" s="149">
        <f t="shared" ref="DK138" si="647">+SUM(DK139:DK141)</f>
        <v>0.20599999999999999</v>
      </c>
      <c r="DL138" s="22">
        <f t="shared" ref="DL138" si="648">+SUM(DL139:DL141)</f>
        <v>0.20599999999999999</v>
      </c>
      <c r="DM138" s="22">
        <f t="shared" ref="DM138" si="649">+SUM(DM139:DM141)</f>
        <v>0.20599999999999999</v>
      </c>
      <c r="DN138" s="22">
        <f t="shared" ref="DN138" si="650">+SUM(DN139:DN141)</f>
        <v>0.20599999999999999</v>
      </c>
      <c r="DO138" s="158">
        <f t="shared" ref="DO138" si="651">+SUM(DO139:DO141)</f>
        <v>0.20599999999999999</v>
      </c>
      <c r="DP138" s="67"/>
      <c r="DQ138" s="149">
        <f t="shared" ref="DQ138" si="652">+SUM(DQ139:DQ141)</f>
        <v>0.20599999999999999</v>
      </c>
      <c r="DR138" s="22">
        <f t="shared" ref="DR138" si="653">+SUM(DR139:DR141)</f>
        <v>0.20599999999999999</v>
      </c>
      <c r="DS138" s="22">
        <f t="shared" ref="DS138" si="654">+SUM(DS139:DS141)</f>
        <v>0.20599999999999999</v>
      </c>
      <c r="DT138" s="22">
        <f t="shared" ref="DT138" si="655">+SUM(DT139:DT141)</f>
        <v>0.20599999999999999</v>
      </c>
      <c r="DU138" s="158">
        <f t="shared" ref="DU138" si="656">+SUM(DU139:DU141)</f>
        <v>0.20599999999999999</v>
      </c>
      <c r="DV138" s="67"/>
      <c r="DW138" s="149">
        <f t="shared" ref="DW138:EA138" si="657">+SUM(DW139:DW141)</f>
        <v>0.20599999999999999</v>
      </c>
      <c r="DX138" s="22">
        <f t="shared" si="657"/>
        <v>0.20599999999999999</v>
      </c>
      <c r="DY138" s="22">
        <f t="shared" si="657"/>
        <v>0.20599999999999999</v>
      </c>
      <c r="DZ138" s="22">
        <f t="shared" si="657"/>
        <v>0.20599999999999999</v>
      </c>
      <c r="EA138" s="158">
        <f t="shared" si="657"/>
        <v>0.20599999999999999</v>
      </c>
      <c r="EB138" s="67"/>
      <c r="EC138" s="149">
        <f t="shared" ref="EC138:EG138" si="658">+SUM(EC139:EC141)</f>
        <v>0.20599999999999999</v>
      </c>
      <c r="ED138" s="22">
        <f t="shared" si="658"/>
        <v>0.20599999999999999</v>
      </c>
      <c r="EE138" s="22">
        <f t="shared" si="658"/>
        <v>0.20599999999999999</v>
      </c>
      <c r="EF138" s="22">
        <f t="shared" si="658"/>
        <v>0.20599999999999999</v>
      </c>
      <c r="EG138" s="158">
        <f t="shared" si="658"/>
        <v>0.20599999999999999</v>
      </c>
      <c r="EH138" s="22"/>
      <c r="EI138" s="6"/>
      <c r="EJ138" s="6"/>
      <c r="EK138" s="6"/>
      <c r="EL138" s="6"/>
    </row>
    <row r="139" spans="1:142" ht="12.75" customHeight="1" x14ac:dyDescent="0.2">
      <c r="A139" s="51" t="s">
        <v>142</v>
      </c>
      <c r="B139" s="19"/>
      <c r="C139" s="19"/>
      <c r="D139" s="19"/>
      <c r="E139" s="220">
        <v>0.35</v>
      </c>
      <c r="F139" s="71"/>
      <c r="G139" s="220">
        <v>0.35</v>
      </c>
      <c r="H139" s="71"/>
      <c r="I139" s="220">
        <v>0.35</v>
      </c>
      <c r="J139" s="71"/>
      <c r="K139" s="220">
        <v>0.35</v>
      </c>
      <c r="L139" s="67"/>
      <c r="M139" s="149">
        <f>+Q139</f>
        <v>0.35</v>
      </c>
      <c r="N139" s="22">
        <f>+Q139</f>
        <v>0.35</v>
      </c>
      <c r="O139" s="22">
        <f>+Q139</f>
        <v>0.35</v>
      </c>
      <c r="P139" s="22">
        <f>+Q139</f>
        <v>0.35</v>
      </c>
      <c r="Q139" s="220">
        <v>0.35</v>
      </c>
      <c r="R139" s="67"/>
      <c r="S139" s="149">
        <f>+W139</f>
        <v>0.35</v>
      </c>
      <c r="T139" s="22">
        <f>+W139</f>
        <v>0.35</v>
      </c>
      <c r="U139" s="22">
        <f>+W139</f>
        <v>0.35</v>
      </c>
      <c r="V139" s="22">
        <f>+W139</f>
        <v>0.35</v>
      </c>
      <c r="W139" s="220">
        <v>0.35</v>
      </c>
      <c r="X139" s="67"/>
      <c r="Y139" s="149">
        <f>+AC139</f>
        <v>0.35</v>
      </c>
      <c r="Z139" s="22">
        <f>+AC139</f>
        <v>0.35</v>
      </c>
      <c r="AA139" s="22">
        <f>+AC139</f>
        <v>0.35</v>
      </c>
      <c r="AB139" s="22">
        <f>+AC139</f>
        <v>0.35</v>
      </c>
      <c r="AC139" s="220">
        <v>0.35</v>
      </c>
      <c r="AD139" s="67"/>
      <c r="AE139" s="149">
        <f>+AI139</f>
        <v>0.35</v>
      </c>
      <c r="AF139" s="22">
        <f>+AI139</f>
        <v>0.35</v>
      </c>
      <c r="AG139" s="22">
        <f>+AI139</f>
        <v>0.35</v>
      </c>
      <c r="AH139" s="22">
        <f>+AI139</f>
        <v>0.35</v>
      </c>
      <c r="AI139" s="220">
        <v>0.35</v>
      </c>
      <c r="AJ139" s="67"/>
      <c r="AK139" s="149">
        <f>+AO139</f>
        <v>0.35</v>
      </c>
      <c r="AL139" s="22">
        <f>+AO139</f>
        <v>0.35</v>
      </c>
      <c r="AM139" s="22">
        <f>+AO139</f>
        <v>0.35</v>
      </c>
      <c r="AN139" s="22">
        <f>+AO139</f>
        <v>0.35</v>
      </c>
      <c r="AO139" s="220">
        <v>0.35</v>
      </c>
      <c r="AP139" s="67"/>
      <c r="AQ139" s="149">
        <f>+AU139</f>
        <v>0.35</v>
      </c>
      <c r="AR139" s="22">
        <f>+AU139</f>
        <v>0.35</v>
      </c>
      <c r="AS139" s="22">
        <f>+AU139</f>
        <v>0.35</v>
      </c>
      <c r="AT139" s="22">
        <f>+AU139</f>
        <v>0.35</v>
      </c>
      <c r="AU139" s="220">
        <v>0.35</v>
      </c>
      <c r="AV139" s="67"/>
      <c r="AW139" s="149">
        <f>+BA139</f>
        <v>0.35</v>
      </c>
      <c r="AX139" s="22">
        <f>+BA139</f>
        <v>0.35</v>
      </c>
      <c r="AY139" s="22">
        <f>+BA139</f>
        <v>0.35</v>
      </c>
      <c r="AZ139" s="22">
        <f>+BA139</f>
        <v>0.35</v>
      </c>
      <c r="BA139" s="220">
        <v>0.35</v>
      </c>
      <c r="BB139" s="67"/>
      <c r="BC139" s="149">
        <f>+BG139</f>
        <v>0.35</v>
      </c>
      <c r="BD139" s="22">
        <f>+BG139</f>
        <v>0.35</v>
      </c>
      <c r="BE139" s="22">
        <f>+BG139</f>
        <v>0.35</v>
      </c>
      <c r="BF139" s="22">
        <f>+BG139</f>
        <v>0.35</v>
      </c>
      <c r="BG139" s="220">
        <v>0.35</v>
      </c>
      <c r="BH139" s="67"/>
      <c r="BI139" s="149">
        <f>+BM139</f>
        <v>0.35</v>
      </c>
      <c r="BJ139" s="22">
        <f>+BM139</f>
        <v>0.35</v>
      </c>
      <c r="BK139" s="22">
        <f>+BM139</f>
        <v>0.35</v>
      </c>
      <c r="BL139" s="22">
        <f>+BM139</f>
        <v>0.35</v>
      </c>
      <c r="BM139" s="220">
        <v>0.35</v>
      </c>
      <c r="BN139" s="67"/>
      <c r="BO139" s="149">
        <f>+BS139</f>
        <v>0.35</v>
      </c>
      <c r="BP139" s="22">
        <f>+BS139</f>
        <v>0.35</v>
      </c>
      <c r="BQ139" s="22">
        <f>+BS139</f>
        <v>0.35</v>
      </c>
      <c r="BR139" s="22">
        <f>+BS139</f>
        <v>0.35</v>
      </c>
      <c r="BS139" s="220">
        <v>0.35</v>
      </c>
      <c r="BT139" s="67"/>
      <c r="BU139" s="149">
        <f>+BY139</f>
        <v>0.35</v>
      </c>
      <c r="BV139" s="22">
        <f>+BY139</f>
        <v>0.35</v>
      </c>
      <c r="BW139" s="22">
        <f>+BY139</f>
        <v>0.35</v>
      </c>
      <c r="BX139" s="22">
        <f>+BY139</f>
        <v>0.35</v>
      </c>
      <c r="BY139" s="220">
        <v>0.35</v>
      </c>
      <c r="BZ139" s="67"/>
      <c r="CA139" s="149">
        <f>+CE139</f>
        <v>0.35</v>
      </c>
      <c r="CB139" s="22">
        <f>+CE139</f>
        <v>0.35</v>
      </c>
      <c r="CC139" s="22">
        <f>+CE139</f>
        <v>0.35</v>
      </c>
      <c r="CD139" s="22">
        <f>+CE139</f>
        <v>0.35</v>
      </c>
      <c r="CE139" s="220">
        <v>0.35</v>
      </c>
      <c r="CF139" s="67"/>
      <c r="CG139" s="149">
        <f>+CK139</f>
        <v>0.35</v>
      </c>
      <c r="CH139" s="22">
        <f>+CK139</f>
        <v>0.35</v>
      </c>
      <c r="CI139" s="22">
        <f>+CK139</f>
        <v>0.35</v>
      </c>
      <c r="CJ139" s="22">
        <f>+CK139</f>
        <v>0.35</v>
      </c>
      <c r="CK139" s="220">
        <v>0.35</v>
      </c>
      <c r="CL139" s="67"/>
      <c r="CM139" s="149">
        <f>+CQ139</f>
        <v>0.35</v>
      </c>
      <c r="CN139" s="22">
        <f>+CQ139</f>
        <v>0.35</v>
      </c>
      <c r="CO139" s="22">
        <f>+CQ139</f>
        <v>0.35</v>
      </c>
      <c r="CP139" s="22">
        <f>+CQ139</f>
        <v>0.35</v>
      </c>
      <c r="CQ139" s="220">
        <v>0.35</v>
      </c>
      <c r="CR139" s="67"/>
      <c r="CS139" s="149">
        <f>+CW139</f>
        <v>0.35</v>
      </c>
      <c r="CT139" s="22">
        <f>+CW139</f>
        <v>0.35</v>
      </c>
      <c r="CU139" s="22">
        <f>+CW139</f>
        <v>0.35</v>
      </c>
      <c r="CV139" s="22">
        <f>+CW139</f>
        <v>0.35</v>
      </c>
      <c r="CW139" s="220">
        <v>0.35</v>
      </c>
      <c r="CX139" s="67"/>
      <c r="CY139" s="149">
        <f>+DC139</f>
        <v>0.35</v>
      </c>
      <c r="CZ139" s="22">
        <f>+DC139</f>
        <v>0.35</v>
      </c>
      <c r="DA139" s="22">
        <f>+DC139</f>
        <v>0.35</v>
      </c>
      <c r="DB139" s="22">
        <f>+DC139</f>
        <v>0.35</v>
      </c>
      <c r="DC139" s="220">
        <v>0.35</v>
      </c>
      <c r="DD139" s="67"/>
      <c r="DE139" s="149">
        <f>+DI139</f>
        <v>0.35</v>
      </c>
      <c r="DF139" s="22">
        <f>+DI139</f>
        <v>0.35</v>
      </c>
      <c r="DG139" s="22">
        <f>+DI139</f>
        <v>0.35</v>
      </c>
      <c r="DH139" s="22">
        <f>+DI139</f>
        <v>0.35</v>
      </c>
      <c r="DI139" s="220">
        <v>0.35</v>
      </c>
      <c r="DJ139" s="67"/>
      <c r="DK139" s="365">
        <f>+DH139</f>
        <v>0.35</v>
      </c>
      <c r="DL139" s="341">
        <f>+DK139</f>
        <v>0.35</v>
      </c>
      <c r="DM139" s="341">
        <f t="shared" ref="DM139:DN139" si="659">+DL139</f>
        <v>0.35</v>
      </c>
      <c r="DN139" s="341">
        <f t="shared" si="659"/>
        <v>0.35</v>
      </c>
      <c r="DO139" s="158">
        <f>+DN139</f>
        <v>0.35</v>
      </c>
      <c r="DP139" s="67"/>
      <c r="DQ139" s="365">
        <f>+DN139</f>
        <v>0.35</v>
      </c>
      <c r="DR139" s="341">
        <f>+DQ139</f>
        <v>0.35</v>
      </c>
      <c r="DS139" s="341">
        <f t="shared" ref="DS139:DT139" si="660">+DR139</f>
        <v>0.35</v>
      </c>
      <c r="DT139" s="341">
        <f t="shared" si="660"/>
        <v>0.35</v>
      </c>
      <c r="DU139" s="158">
        <f>+DT139</f>
        <v>0.35</v>
      </c>
      <c r="DV139" s="67"/>
      <c r="DW139" s="365">
        <f>+DT139</f>
        <v>0.35</v>
      </c>
      <c r="DX139" s="341">
        <f>+DW139</f>
        <v>0.35</v>
      </c>
      <c r="DY139" s="341">
        <f t="shared" ref="DY139:DY141" si="661">+DX139</f>
        <v>0.35</v>
      </c>
      <c r="DZ139" s="341">
        <f t="shared" ref="DZ139:DZ141" si="662">+DY139</f>
        <v>0.35</v>
      </c>
      <c r="EA139" s="158">
        <f>+DZ139</f>
        <v>0.35</v>
      </c>
      <c r="EB139" s="67"/>
      <c r="EC139" s="365">
        <f t="shared" ref="EC139:EC141" si="663">+DZ139</f>
        <v>0.35</v>
      </c>
      <c r="ED139" s="341">
        <f t="shared" ref="ED139:ED141" si="664">+EC139</f>
        <v>0.35</v>
      </c>
      <c r="EE139" s="341">
        <f t="shared" ref="EE139:EE141" si="665">+ED139</f>
        <v>0.35</v>
      </c>
      <c r="EF139" s="341">
        <f t="shared" ref="EF139:EF141" si="666">+EE139</f>
        <v>0.35</v>
      </c>
      <c r="EG139" s="158">
        <f t="shared" ref="EG139:EG141" si="667">+EF139</f>
        <v>0.35</v>
      </c>
      <c r="EH139" s="22"/>
      <c r="EI139" s="6"/>
      <c r="EJ139" s="6"/>
      <c r="EK139" s="6"/>
      <c r="EL139" s="6"/>
    </row>
    <row r="140" spans="1:142" ht="12.75" customHeight="1" x14ac:dyDescent="0.2">
      <c r="A140" s="51" t="s">
        <v>143</v>
      </c>
      <c r="B140" s="19"/>
      <c r="C140" s="19"/>
      <c r="D140" s="19"/>
      <c r="E140" s="220">
        <v>2.7E-2</v>
      </c>
      <c r="F140" s="71"/>
      <c r="G140" s="220">
        <v>1.4E-2</v>
      </c>
      <c r="H140" s="71"/>
      <c r="I140" s="220">
        <v>1.7999999999999999E-2</v>
      </c>
      <c r="J140" s="71"/>
      <c r="K140" s="220">
        <v>1.6E-2</v>
      </c>
      <c r="L140" s="67"/>
      <c r="M140" s="149">
        <f t="shared" ref="M140:M141" si="668">+Q140</f>
        <v>1.6E-2</v>
      </c>
      <c r="N140" s="22">
        <f t="shared" ref="N140:N141" si="669">+Q140</f>
        <v>1.6E-2</v>
      </c>
      <c r="O140" s="22">
        <f t="shared" ref="O140:O141" si="670">+Q140</f>
        <v>1.6E-2</v>
      </c>
      <c r="P140" s="22">
        <f t="shared" ref="P140:P141" si="671">+Q140</f>
        <v>1.6E-2</v>
      </c>
      <c r="Q140" s="220">
        <v>1.6E-2</v>
      </c>
      <c r="R140" s="67"/>
      <c r="S140" s="149">
        <f t="shared" ref="S140:S141" si="672">+W140</f>
        <v>1.4999999999999999E-2</v>
      </c>
      <c r="T140" s="22">
        <f t="shared" ref="T140:T141" si="673">+W140</f>
        <v>1.4999999999999999E-2</v>
      </c>
      <c r="U140" s="22">
        <f t="shared" ref="U140:U141" si="674">+W140</f>
        <v>1.4999999999999999E-2</v>
      </c>
      <c r="V140" s="22">
        <f t="shared" ref="V140:V141" si="675">+W140</f>
        <v>1.4999999999999999E-2</v>
      </c>
      <c r="W140" s="220">
        <v>1.4999999999999999E-2</v>
      </c>
      <c r="X140" s="67"/>
      <c r="Y140" s="149">
        <f t="shared" ref="Y140:Y141" si="676">+AC140</f>
        <v>1.4999999999999999E-2</v>
      </c>
      <c r="Z140" s="22">
        <f t="shared" ref="Z140:Z141" si="677">+AC140</f>
        <v>1.4999999999999999E-2</v>
      </c>
      <c r="AA140" s="22">
        <f t="shared" ref="AA140:AA141" si="678">+AC140</f>
        <v>1.4999999999999999E-2</v>
      </c>
      <c r="AB140" s="22">
        <f t="shared" ref="AB140:AB141" si="679">+AC140</f>
        <v>1.4999999999999999E-2</v>
      </c>
      <c r="AC140" s="220">
        <v>1.4999999999999999E-2</v>
      </c>
      <c r="AD140" s="67"/>
      <c r="AE140" s="149">
        <f t="shared" ref="AE140:AE141" si="680">+AI140</f>
        <v>0.01</v>
      </c>
      <c r="AF140" s="22">
        <f t="shared" ref="AF140:AF141" si="681">+AI140</f>
        <v>0.01</v>
      </c>
      <c r="AG140" s="22">
        <f t="shared" ref="AG140:AG141" si="682">+AI140</f>
        <v>0.01</v>
      </c>
      <c r="AH140" s="22">
        <f t="shared" ref="AH140:AH141" si="683">+AI140</f>
        <v>0.01</v>
      </c>
      <c r="AI140" s="220">
        <v>0.01</v>
      </c>
      <c r="AJ140" s="67"/>
      <c r="AK140" s="149">
        <f t="shared" ref="AK140:AK141" si="684">+AO140</f>
        <v>0.01</v>
      </c>
      <c r="AL140" s="22">
        <f t="shared" ref="AL140:AL141" si="685">+AO140</f>
        <v>0.01</v>
      </c>
      <c r="AM140" s="22">
        <f t="shared" ref="AM140:AM141" si="686">+AO140</f>
        <v>0.01</v>
      </c>
      <c r="AN140" s="22">
        <f t="shared" ref="AN140:AN141" si="687">+AO140</f>
        <v>0.01</v>
      </c>
      <c r="AO140" s="220">
        <v>0.01</v>
      </c>
      <c r="AP140" s="67"/>
      <c r="AQ140" s="149">
        <f t="shared" ref="AQ140:AQ141" si="688">+AU140</f>
        <v>1.4999999999999999E-2</v>
      </c>
      <c r="AR140" s="22">
        <f t="shared" ref="AR140:AR141" si="689">+AU140</f>
        <v>1.4999999999999999E-2</v>
      </c>
      <c r="AS140" s="22">
        <f t="shared" ref="AS140:AS141" si="690">+AU140</f>
        <v>1.4999999999999999E-2</v>
      </c>
      <c r="AT140" s="22">
        <f t="shared" ref="AT140:AT141" si="691">+AU140</f>
        <v>1.4999999999999999E-2</v>
      </c>
      <c r="AU140" s="220">
        <v>1.4999999999999999E-2</v>
      </c>
      <c r="AV140" s="67"/>
      <c r="AW140" s="149">
        <f t="shared" ref="AW140:AW141" si="692">+BA140</f>
        <v>1.2E-2</v>
      </c>
      <c r="AX140" s="22">
        <f t="shared" ref="AX140:AX141" si="693">+BA140</f>
        <v>1.2E-2</v>
      </c>
      <c r="AY140" s="22">
        <f t="shared" ref="AY140:AY141" si="694">+BA140</f>
        <v>1.2E-2</v>
      </c>
      <c r="AZ140" s="22">
        <f t="shared" ref="AZ140:AZ141" si="695">+BA140</f>
        <v>1.2E-2</v>
      </c>
      <c r="BA140" s="220">
        <v>1.2E-2</v>
      </c>
      <c r="BB140" s="67"/>
      <c r="BC140" s="149">
        <f t="shared" ref="BC140:BC141" si="696">+BG140</f>
        <v>8.0000000000000002E-3</v>
      </c>
      <c r="BD140" s="22">
        <f t="shared" ref="BD140:BD141" si="697">+BG140</f>
        <v>8.0000000000000002E-3</v>
      </c>
      <c r="BE140" s="22">
        <f t="shared" ref="BE140:BE141" si="698">+BG140</f>
        <v>8.0000000000000002E-3</v>
      </c>
      <c r="BF140" s="22">
        <f t="shared" ref="BF140:BF141" si="699">+BG140</f>
        <v>8.0000000000000002E-3</v>
      </c>
      <c r="BG140" s="220">
        <v>8.0000000000000002E-3</v>
      </c>
      <c r="BH140" s="67"/>
      <c r="BI140" s="149">
        <f t="shared" ref="BI140:BI141" si="700">+BM140</f>
        <v>1.6E-2</v>
      </c>
      <c r="BJ140" s="22">
        <f t="shared" ref="BJ140:BJ141" si="701">+BM140</f>
        <v>1.6E-2</v>
      </c>
      <c r="BK140" s="22">
        <f t="shared" ref="BK140:BK141" si="702">+BM140</f>
        <v>1.6E-2</v>
      </c>
      <c r="BL140" s="22">
        <f t="shared" ref="BL140:BL141" si="703">+BM140</f>
        <v>1.6E-2</v>
      </c>
      <c r="BM140" s="220">
        <v>1.6E-2</v>
      </c>
      <c r="BN140" s="67"/>
      <c r="BO140" s="149">
        <f t="shared" ref="BO140:BO141" si="704">+BS140</f>
        <v>1.4E-2</v>
      </c>
      <c r="BP140" s="22">
        <f t="shared" ref="BP140:BP141" si="705">+BS140</f>
        <v>1.4E-2</v>
      </c>
      <c r="BQ140" s="22">
        <f t="shared" ref="BQ140:BQ141" si="706">+BS140</f>
        <v>1.4E-2</v>
      </c>
      <c r="BR140" s="22">
        <f t="shared" ref="BR140:BR141" si="707">+BS140</f>
        <v>1.4E-2</v>
      </c>
      <c r="BS140" s="220">
        <v>1.4E-2</v>
      </c>
      <c r="BT140" s="67"/>
      <c r="BU140" s="149">
        <f t="shared" ref="BU140:BU141" si="708">+BY140</f>
        <v>0.01</v>
      </c>
      <c r="BV140" s="22">
        <f t="shared" ref="BV140:BV141" si="709">+BY140</f>
        <v>0.01</v>
      </c>
      <c r="BW140" s="22">
        <f t="shared" ref="BW140:BW141" si="710">+BY140</f>
        <v>0.01</v>
      </c>
      <c r="BX140" s="22">
        <f t="shared" ref="BX140:BX141" si="711">+BY140</f>
        <v>0.01</v>
      </c>
      <c r="BY140" s="220">
        <v>0.01</v>
      </c>
      <c r="BZ140" s="67"/>
      <c r="CA140" s="149">
        <f t="shared" ref="CA140:CA141" si="712">+CE140</f>
        <v>1.0999999999999999E-2</v>
      </c>
      <c r="CB140" s="22">
        <f t="shared" ref="CB140:CB141" si="713">+CE140</f>
        <v>1.0999999999999999E-2</v>
      </c>
      <c r="CC140" s="22">
        <f t="shared" ref="CC140:CC141" si="714">+CE140</f>
        <v>1.0999999999999999E-2</v>
      </c>
      <c r="CD140" s="22">
        <f t="shared" ref="CD140:CD141" si="715">+CE140</f>
        <v>1.0999999999999999E-2</v>
      </c>
      <c r="CE140" s="220">
        <v>1.0999999999999999E-2</v>
      </c>
      <c r="CF140" s="67"/>
      <c r="CG140" s="149">
        <f t="shared" ref="CG140:CG141" si="716">+CK140</f>
        <v>1.4E-2</v>
      </c>
      <c r="CH140" s="22">
        <f t="shared" ref="CH140:CH141" si="717">+CK140</f>
        <v>1.4E-2</v>
      </c>
      <c r="CI140" s="22">
        <f t="shared" ref="CI140:CI141" si="718">+CK140</f>
        <v>1.4E-2</v>
      </c>
      <c r="CJ140" s="22">
        <f t="shared" ref="CJ140:CJ141" si="719">+CK140</f>
        <v>1.4E-2</v>
      </c>
      <c r="CK140" s="220">
        <v>1.4E-2</v>
      </c>
      <c r="CL140" s="67"/>
      <c r="CM140" s="149">
        <f t="shared" ref="CM140:CM141" si="720">+CQ140</f>
        <v>1.4E-2</v>
      </c>
      <c r="CN140" s="22">
        <f t="shared" ref="CN140:CN141" si="721">+CQ140</f>
        <v>1.4E-2</v>
      </c>
      <c r="CO140" s="22">
        <f t="shared" ref="CO140:CO141" si="722">+CQ140</f>
        <v>1.4E-2</v>
      </c>
      <c r="CP140" s="22">
        <f t="shared" ref="CP140:CP141" si="723">+CQ140</f>
        <v>1.4E-2</v>
      </c>
      <c r="CQ140" s="220">
        <v>1.4E-2</v>
      </c>
      <c r="CR140" s="67"/>
      <c r="CS140" s="149">
        <f t="shared" ref="CS140:CS141" si="724">+CW140</f>
        <v>7.0000000000000001E-3</v>
      </c>
      <c r="CT140" s="22">
        <f t="shared" ref="CT140:CT141" si="725">+CW140</f>
        <v>7.0000000000000001E-3</v>
      </c>
      <c r="CU140" s="22">
        <f t="shared" ref="CU140:CU141" si="726">+CW140</f>
        <v>7.0000000000000001E-3</v>
      </c>
      <c r="CV140" s="22">
        <f t="shared" ref="CV140:CV141" si="727">+CW140</f>
        <v>7.0000000000000001E-3</v>
      </c>
      <c r="CW140" s="220">
        <v>7.0000000000000001E-3</v>
      </c>
      <c r="CX140" s="67"/>
      <c r="CY140" s="149">
        <f t="shared" ref="CY140:CY141" si="728">+DC140</f>
        <v>6.0000000000000001E-3</v>
      </c>
      <c r="CZ140" s="22">
        <f t="shared" ref="CZ140:CZ141" si="729">+DC140</f>
        <v>6.0000000000000001E-3</v>
      </c>
      <c r="DA140" s="22">
        <f t="shared" ref="DA140:DA141" si="730">+DC140</f>
        <v>6.0000000000000001E-3</v>
      </c>
      <c r="DB140" s="22">
        <f t="shared" ref="DB140:DB141" si="731">+DC140</f>
        <v>6.0000000000000001E-3</v>
      </c>
      <c r="DC140" s="220">
        <v>6.0000000000000001E-3</v>
      </c>
      <c r="DD140" s="67"/>
      <c r="DE140" s="149">
        <f t="shared" ref="DE140:DE141" si="732">+DI140</f>
        <v>6.0000000000000001E-3</v>
      </c>
      <c r="DF140" s="22">
        <f t="shared" ref="DF140:DF141" si="733">+DI140</f>
        <v>6.0000000000000001E-3</v>
      </c>
      <c r="DG140" s="22">
        <f t="shared" ref="DG140:DG141" si="734">+DI140</f>
        <v>6.0000000000000001E-3</v>
      </c>
      <c r="DH140" s="22">
        <f t="shared" ref="DH140:DH141" si="735">+DI140</f>
        <v>6.0000000000000001E-3</v>
      </c>
      <c r="DI140" s="220">
        <v>6.0000000000000001E-3</v>
      </c>
      <c r="DJ140" s="67"/>
      <c r="DK140" s="365">
        <f t="shared" ref="DK140" si="736">+DH140</f>
        <v>6.0000000000000001E-3</v>
      </c>
      <c r="DL140" s="341">
        <f t="shared" ref="DL140:DO141" si="737">+DK140</f>
        <v>6.0000000000000001E-3</v>
      </c>
      <c r="DM140" s="341">
        <f t="shared" si="737"/>
        <v>6.0000000000000001E-3</v>
      </c>
      <c r="DN140" s="341">
        <f t="shared" si="737"/>
        <v>6.0000000000000001E-3</v>
      </c>
      <c r="DO140" s="158">
        <f t="shared" si="737"/>
        <v>6.0000000000000001E-3</v>
      </c>
      <c r="DP140" s="67"/>
      <c r="DQ140" s="365">
        <f t="shared" ref="DQ140:DQ141" si="738">+DN140</f>
        <v>6.0000000000000001E-3</v>
      </c>
      <c r="DR140" s="341">
        <f t="shared" ref="DR140:DU141" si="739">+DQ140</f>
        <v>6.0000000000000001E-3</v>
      </c>
      <c r="DS140" s="341">
        <f t="shared" si="739"/>
        <v>6.0000000000000001E-3</v>
      </c>
      <c r="DT140" s="341">
        <f t="shared" si="739"/>
        <v>6.0000000000000001E-3</v>
      </c>
      <c r="DU140" s="158">
        <f t="shared" si="739"/>
        <v>6.0000000000000001E-3</v>
      </c>
      <c r="DV140" s="67"/>
      <c r="DW140" s="365">
        <f t="shared" ref="DW140:DW141" si="740">+DT140</f>
        <v>6.0000000000000001E-3</v>
      </c>
      <c r="DX140" s="341">
        <f t="shared" ref="DX140:DX141" si="741">+DW140</f>
        <v>6.0000000000000001E-3</v>
      </c>
      <c r="DY140" s="341">
        <f t="shared" si="661"/>
        <v>6.0000000000000001E-3</v>
      </c>
      <c r="DZ140" s="341">
        <f t="shared" si="662"/>
        <v>6.0000000000000001E-3</v>
      </c>
      <c r="EA140" s="158">
        <f t="shared" ref="EA140:EA141" si="742">+DZ140</f>
        <v>6.0000000000000001E-3</v>
      </c>
      <c r="EB140" s="67"/>
      <c r="EC140" s="365">
        <f t="shared" si="663"/>
        <v>6.0000000000000001E-3</v>
      </c>
      <c r="ED140" s="341">
        <f t="shared" si="664"/>
        <v>6.0000000000000001E-3</v>
      </c>
      <c r="EE140" s="341">
        <f t="shared" si="665"/>
        <v>6.0000000000000001E-3</v>
      </c>
      <c r="EF140" s="341">
        <f t="shared" si="666"/>
        <v>6.0000000000000001E-3</v>
      </c>
      <c r="EG140" s="158">
        <f t="shared" si="667"/>
        <v>6.0000000000000001E-3</v>
      </c>
      <c r="EH140" s="22"/>
      <c r="EI140" s="6"/>
      <c r="EJ140" s="6"/>
      <c r="EK140" s="6"/>
      <c r="EL140" s="6"/>
    </row>
    <row r="141" spans="1:142" ht="12.75" customHeight="1" x14ac:dyDescent="0.2">
      <c r="A141" s="199" t="s">
        <v>2</v>
      </c>
      <c r="B141" s="19"/>
      <c r="C141" s="19"/>
      <c r="D141" s="19"/>
      <c r="E141" s="225">
        <v>-2.4E-2</v>
      </c>
      <c r="F141" s="71"/>
      <c r="G141" s="225">
        <v>-1.4E-2</v>
      </c>
      <c r="H141" s="71"/>
      <c r="I141" s="225">
        <v>-8.9999999999999993E-3</v>
      </c>
      <c r="J141" s="71"/>
      <c r="K141" s="225">
        <v>-1.7000000000000001E-2</v>
      </c>
      <c r="L141" s="67"/>
      <c r="M141" s="212">
        <f t="shared" si="668"/>
        <v>-0.02</v>
      </c>
      <c r="N141" s="157">
        <f t="shared" si="669"/>
        <v>-0.02</v>
      </c>
      <c r="O141" s="157">
        <f t="shared" si="670"/>
        <v>-0.02</v>
      </c>
      <c r="P141" s="157">
        <f t="shared" si="671"/>
        <v>-0.02</v>
      </c>
      <c r="Q141" s="225">
        <v>-0.02</v>
      </c>
      <c r="R141" s="67"/>
      <c r="S141" s="212">
        <f t="shared" si="672"/>
        <v>-2.5000000000000001E-2</v>
      </c>
      <c r="T141" s="157">
        <f t="shared" si="673"/>
        <v>-2.5000000000000001E-2</v>
      </c>
      <c r="U141" s="157">
        <f t="shared" si="674"/>
        <v>-2.5000000000000001E-2</v>
      </c>
      <c r="V141" s="157">
        <f t="shared" si="675"/>
        <v>-2.5000000000000001E-2</v>
      </c>
      <c r="W141" s="225">
        <v>-2.5000000000000001E-2</v>
      </c>
      <c r="X141" s="67"/>
      <c r="Y141" s="212">
        <f t="shared" si="676"/>
        <v>-0.03</v>
      </c>
      <c r="Z141" s="157">
        <f t="shared" si="677"/>
        <v>-0.03</v>
      </c>
      <c r="AA141" s="157">
        <f t="shared" si="678"/>
        <v>-0.03</v>
      </c>
      <c r="AB141" s="157">
        <f t="shared" si="679"/>
        <v>-0.03</v>
      </c>
      <c r="AC141" s="225">
        <v>-0.03</v>
      </c>
      <c r="AD141" s="67"/>
      <c r="AE141" s="212">
        <f t="shared" si="680"/>
        <v>-6.6000000000000003E-2</v>
      </c>
      <c r="AF141" s="157">
        <f t="shared" si="681"/>
        <v>-6.6000000000000003E-2</v>
      </c>
      <c r="AG141" s="157">
        <f t="shared" si="682"/>
        <v>-6.6000000000000003E-2</v>
      </c>
      <c r="AH141" s="157">
        <f t="shared" si="683"/>
        <v>-6.6000000000000003E-2</v>
      </c>
      <c r="AI141" s="225">
        <v>-6.6000000000000003E-2</v>
      </c>
      <c r="AJ141" s="67"/>
      <c r="AK141" s="212">
        <f t="shared" si="684"/>
        <v>-8.3000000000000004E-2</v>
      </c>
      <c r="AL141" s="157">
        <f t="shared" si="685"/>
        <v>-8.3000000000000004E-2</v>
      </c>
      <c r="AM141" s="157">
        <f t="shared" si="686"/>
        <v>-8.3000000000000004E-2</v>
      </c>
      <c r="AN141" s="157">
        <f t="shared" si="687"/>
        <v>-8.3000000000000004E-2</v>
      </c>
      <c r="AO141" s="225">
        <v>-8.3000000000000004E-2</v>
      </c>
      <c r="AP141" s="67"/>
      <c r="AQ141" s="212">
        <f t="shared" si="688"/>
        <v>-8.8999999999999996E-2</v>
      </c>
      <c r="AR141" s="157">
        <f t="shared" si="689"/>
        <v>-8.8999999999999996E-2</v>
      </c>
      <c r="AS141" s="157">
        <f t="shared" si="690"/>
        <v>-8.8999999999999996E-2</v>
      </c>
      <c r="AT141" s="157">
        <f t="shared" si="691"/>
        <v>-8.8999999999999996E-2</v>
      </c>
      <c r="AU141" s="225">
        <v>-8.8999999999999996E-2</v>
      </c>
      <c r="AV141" s="67"/>
      <c r="AW141" s="212">
        <f t="shared" si="692"/>
        <v>-0.106</v>
      </c>
      <c r="AX141" s="157">
        <f t="shared" si="693"/>
        <v>-0.106</v>
      </c>
      <c r="AY141" s="157">
        <f t="shared" si="694"/>
        <v>-0.106</v>
      </c>
      <c r="AZ141" s="157">
        <f t="shared" si="695"/>
        <v>-0.106</v>
      </c>
      <c r="BA141" s="225">
        <v>-0.106</v>
      </c>
      <c r="BB141" s="67"/>
      <c r="BC141" s="212">
        <f t="shared" si="696"/>
        <v>-0.111</v>
      </c>
      <c r="BD141" s="157">
        <f t="shared" si="697"/>
        <v>-0.111</v>
      </c>
      <c r="BE141" s="157">
        <f t="shared" si="698"/>
        <v>-0.111</v>
      </c>
      <c r="BF141" s="157">
        <f t="shared" si="699"/>
        <v>-0.111</v>
      </c>
      <c r="BG141" s="225">
        <v>-0.111</v>
      </c>
      <c r="BH141" s="67"/>
      <c r="BI141" s="212">
        <f t="shared" si="700"/>
        <v>-0.11799999999999999</v>
      </c>
      <c r="BJ141" s="157">
        <f t="shared" si="701"/>
        <v>-0.11799999999999999</v>
      </c>
      <c r="BK141" s="157">
        <f t="shared" si="702"/>
        <v>-0.11799999999999999</v>
      </c>
      <c r="BL141" s="157">
        <f t="shared" si="703"/>
        <v>-0.11799999999999999</v>
      </c>
      <c r="BM141" s="225">
        <v>-0.11799999999999999</v>
      </c>
      <c r="BN141" s="67"/>
      <c r="BO141" s="212">
        <f t="shared" si="704"/>
        <v>-0.105</v>
      </c>
      <c r="BP141" s="157">
        <f t="shared" si="705"/>
        <v>-0.105</v>
      </c>
      <c r="BQ141" s="157">
        <f t="shared" si="706"/>
        <v>-0.105</v>
      </c>
      <c r="BR141" s="157">
        <f t="shared" si="707"/>
        <v>-0.105</v>
      </c>
      <c r="BS141" s="225">
        <v>-0.105</v>
      </c>
      <c r="BT141" s="67"/>
      <c r="BU141" s="212">
        <f t="shared" si="708"/>
        <v>-0.128</v>
      </c>
      <c r="BV141" s="157">
        <f t="shared" si="709"/>
        <v>-0.128</v>
      </c>
      <c r="BW141" s="157">
        <f t="shared" si="710"/>
        <v>-0.128</v>
      </c>
      <c r="BX141" s="157">
        <f t="shared" si="711"/>
        <v>-0.128</v>
      </c>
      <c r="BY141" s="225">
        <v>-0.128</v>
      </c>
      <c r="BZ141" s="67"/>
      <c r="CA141" s="212">
        <f t="shared" si="712"/>
        <v>-0.14099999999999999</v>
      </c>
      <c r="CB141" s="157">
        <f t="shared" si="713"/>
        <v>-0.14099999999999999</v>
      </c>
      <c r="CC141" s="157">
        <f t="shared" si="714"/>
        <v>-0.14099999999999999</v>
      </c>
      <c r="CD141" s="157">
        <f t="shared" si="715"/>
        <v>-0.14099999999999999</v>
      </c>
      <c r="CE141" s="225">
        <v>-0.14099999999999999</v>
      </c>
      <c r="CF141" s="67"/>
      <c r="CG141" s="212">
        <f t="shared" si="716"/>
        <v>-9.8000000000000004E-2</v>
      </c>
      <c r="CH141" s="157">
        <f t="shared" si="717"/>
        <v>-9.8000000000000004E-2</v>
      </c>
      <c r="CI141" s="157">
        <f t="shared" si="718"/>
        <v>-9.8000000000000004E-2</v>
      </c>
      <c r="CJ141" s="157">
        <f t="shared" si="719"/>
        <v>-9.8000000000000004E-2</v>
      </c>
      <c r="CK141" s="225">
        <v>-9.8000000000000004E-2</v>
      </c>
      <c r="CL141" s="67"/>
      <c r="CM141" s="212">
        <f t="shared" si="720"/>
        <v>-0.13800000000000001</v>
      </c>
      <c r="CN141" s="157">
        <f t="shared" si="721"/>
        <v>-0.13800000000000001</v>
      </c>
      <c r="CO141" s="157">
        <f t="shared" si="722"/>
        <v>-0.13800000000000001</v>
      </c>
      <c r="CP141" s="157">
        <f t="shared" si="723"/>
        <v>-0.13800000000000001</v>
      </c>
      <c r="CQ141" s="225">
        <v>-0.13800000000000001</v>
      </c>
      <c r="CR141" s="67"/>
      <c r="CS141" s="212">
        <f t="shared" si="724"/>
        <v>-0.17100000000000001</v>
      </c>
      <c r="CT141" s="157">
        <f t="shared" si="725"/>
        <v>-0.17100000000000001</v>
      </c>
      <c r="CU141" s="157">
        <f t="shared" si="726"/>
        <v>-0.17100000000000001</v>
      </c>
      <c r="CV141" s="157">
        <f t="shared" si="727"/>
        <v>-0.17100000000000001</v>
      </c>
      <c r="CW141" s="225">
        <v>-0.17100000000000001</v>
      </c>
      <c r="CX141" s="67"/>
      <c r="CY141" s="212">
        <f t="shared" si="728"/>
        <v>-0.10199999999999999</v>
      </c>
      <c r="CZ141" s="157">
        <f t="shared" si="729"/>
        <v>-0.10199999999999999</v>
      </c>
      <c r="DA141" s="157">
        <f t="shared" si="730"/>
        <v>-0.10199999999999999</v>
      </c>
      <c r="DB141" s="157">
        <f t="shared" si="731"/>
        <v>-0.10199999999999999</v>
      </c>
      <c r="DC141" s="225">
        <v>-0.10199999999999999</v>
      </c>
      <c r="DD141" s="67"/>
      <c r="DE141" s="212">
        <f t="shared" si="732"/>
        <v>-0.14499999999999999</v>
      </c>
      <c r="DF141" s="157">
        <f t="shared" si="733"/>
        <v>-0.14499999999999999</v>
      </c>
      <c r="DG141" s="157">
        <f t="shared" si="734"/>
        <v>-0.14499999999999999</v>
      </c>
      <c r="DH141" s="157">
        <f t="shared" si="735"/>
        <v>-0.14499999999999999</v>
      </c>
      <c r="DI141" s="1311">
        <v>-0.14499999999999999</v>
      </c>
      <c r="DJ141" s="67"/>
      <c r="DK141" s="363">
        <v>-0.15</v>
      </c>
      <c r="DL141" s="364">
        <f t="shared" ref="DL141:DN141" si="743">+DK141</f>
        <v>-0.15</v>
      </c>
      <c r="DM141" s="364">
        <f t="shared" si="743"/>
        <v>-0.15</v>
      </c>
      <c r="DN141" s="364">
        <f t="shared" si="743"/>
        <v>-0.15</v>
      </c>
      <c r="DO141" s="214">
        <f t="shared" si="737"/>
        <v>-0.15</v>
      </c>
      <c r="DP141" s="67"/>
      <c r="DQ141" s="363">
        <f t="shared" si="738"/>
        <v>-0.15</v>
      </c>
      <c r="DR141" s="364">
        <f t="shared" ref="DR141:DT141" si="744">+DQ141</f>
        <v>-0.15</v>
      </c>
      <c r="DS141" s="364">
        <f t="shared" si="744"/>
        <v>-0.15</v>
      </c>
      <c r="DT141" s="364">
        <f t="shared" si="744"/>
        <v>-0.15</v>
      </c>
      <c r="DU141" s="214">
        <f t="shared" si="739"/>
        <v>-0.15</v>
      </c>
      <c r="DV141" s="67"/>
      <c r="DW141" s="363">
        <f t="shared" si="740"/>
        <v>-0.15</v>
      </c>
      <c r="DX141" s="364">
        <f t="shared" si="741"/>
        <v>-0.15</v>
      </c>
      <c r="DY141" s="364">
        <f t="shared" si="661"/>
        <v>-0.15</v>
      </c>
      <c r="DZ141" s="364">
        <f t="shared" si="662"/>
        <v>-0.15</v>
      </c>
      <c r="EA141" s="214">
        <f t="shared" si="742"/>
        <v>-0.15</v>
      </c>
      <c r="EB141" s="67"/>
      <c r="EC141" s="363">
        <f t="shared" si="663"/>
        <v>-0.15</v>
      </c>
      <c r="ED141" s="364">
        <f t="shared" si="664"/>
        <v>-0.15</v>
      </c>
      <c r="EE141" s="364">
        <f t="shared" si="665"/>
        <v>-0.15</v>
      </c>
      <c r="EF141" s="364">
        <f t="shared" si="666"/>
        <v>-0.15</v>
      </c>
      <c r="EG141" s="214">
        <f t="shared" si="667"/>
        <v>-0.15</v>
      </c>
      <c r="EH141" s="22"/>
      <c r="EI141" s="6"/>
      <c r="EJ141" s="6"/>
      <c r="EK141" s="6"/>
      <c r="EL141" s="6"/>
    </row>
    <row r="142" spans="1:142" ht="12.75" customHeight="1" x14ac:dyDescent="0.2">
      <c r="A142" s="2"/>
    </row>
    <row r="143" spans="1:142" x14ac:dyDescent="0.2">
      <c r="E143" s="67"/>
      <c r="F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67"/>
      <c r="BI143" s="67"/>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row>
    <row r="144" spans="1:142" x14ac:dyDescent="0.2">
      <c r="E144" s="67"/>
      <c r="F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67"/>
      <c r="BI144" s="67"/>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row>
    <row r="148" customFormat="1" x14ac:dyDescent="0.2"/>
  </sheetData>
  <customSheetViews>
    <customSheetView guid="{CBD33D90-1832-48F8-9EEA-47C164B6C11D}" hiddenColumns="1" showRuler="0">
      <pane xSplit="6" ySplit="10" topLeftCell="L44" activePane="bottomRight" state="frozen"/>
      <selection pane="bottomRight" activeCell="O53" sqref="O53"/>
      <pageMargins left="0.75" right="0.75" top="1" bottom="1" header="0.5" footer="0.5"/>
      <pageSetup orientation="portrait"/>
      <headerFooter alignWithMargins="0"/>
    </customSheetView>
    <customSheetView guid="{29130F06-8713-4F7A-8A7E-3EEBD44DBC41}" hiddenColumns="1" showRuler="0">
      <pane xSplit="6" ySplit="10" topLeftCell="H11" activePane="bottomRight" state="frozen"/>
      <selection pane="bottomRight" activeCell="J19" sqref="J19"/>
      <pageMargins left="0.75" right="0.75" top="1" bottom="1" header="0.5" footer="0.5"/>
      <pageSetup orientation="portrait"/>
      <headerFooter alignWithMargins="0"/>
    </customSheetView>
    <customSheetView guid="{6A596D19-A67A-45E1-A417-305CCCF75F6C}" showRuler="0" topLeftCell="B9">
      <pane xSplit="2" ySplit="2" topLeftCell="H28" activePane="bottomRight"/>
      <selection pane="bottomRight" activeCell="J41" sqref="J41"/>
      <pageMargins left="0.75" right="0.75" top="1" bottom="1" header="0.5" footer="0.5"/>
      <headerFooter alignWithMargins="0"/>
    </customSheetView>
    <customSheetView guid="{C255D7AE-A134-46C6-9D19-81AA733EABCD}" hiddenColumns="1" showRuler="0">
      <selection activeCell="I112" sqref="I112"/>
      <pageMargins left="0.75" right="0.75" top="1" bottom="1" header="0.5" footer="0.5"/>
      <headerFooter alignWithMargins="0"/>
    </customSheetView>
    <customSheetView guid="{C412A2BA-FBE0-4998-8B10-3950A97D57A1}" hiddenColumns="1" showRuler="0">
      <pane xSplit="6" ySplit="10" topLeftCell="H11" activePane="bottomRight" state="frozen"/>
      <selection pane="bottomRight" activeCell="B2" sqref="B2"/>
      <pageMargins left="0.75" right="0.75" top="1" bottom="1" header="0.5" footer="0.5"/>
      <pageSetup orientation="portrait"/>
      <headerFooter alignWithMargins="0"/>
    </customSheetView>
    <customSheetView guid="{11618B79-45A3-4BD0-BFD2-136A64A7F625}" hiddenColumns="1" showRuler="0">
      <pane xSplit="6" ySplit="10" topLeftCell="H11" activePane="bottomRight" state="frozen"/>
      <selection pane="bottomRight" activeCell="B2" sqref="B2"/>
      <pageMargins left="0.75" right="0.75" top="1" bottom="1" header="0.5" footer="0.5"/>
      <pageSetup orientation="portrait"/>
      <headerFooter alignWithMargins="0"/>
    </customSheetView>
    <customSheetView guid="{7AD3D9DB-726E-4F6D-85C6-FEEDDCFB0EAD}" hiddenColumns="1" showRuler="0">
      <pane xSplit="6" ySplit="10" topLeftCell="L44" activePane="bottomRight" state="frozen"/>
      <selection pane="bottomRight" activeCell="L57" sqref="L57"/>
      <pageMargins left="0.75" right="0.75" top="1" bottom="1" header="0.5" footer="0.5"/>
      <pageSetup orientation="portrait"/>
      <headerFooter alignWithMargins="0"/>
    </customSheetView>
  </customSheetViews>
  <phoneticPr fontId="6" type="noConversion"/>
  <hyperlinks>
    <hyperlink ref="EG4" r:id="rId1"/>
  </hyperlinks>
  <pageMargins left="1" right="1" top="1" bottom="1" header="0.5" footer="0.5"/>
  <pageSetup scale="77" orientation="landscape" r:id="rId2"/>
  <headerFooter alignWithMargins="0"/>
  <ignoredErrors>
    <ignoredError sqref="EJ27:EL27 EI133:EK133 EK10:EL10 Q9 BC8:BG8 AW8:BA8 BO8:BS8 BI8:BM8 CA8:CE8 BU8:BY8 CM8:CQ8 CG8:CK8 CY8:DC8 CS8:CW8 DE8 S27:U27 M27:O27 S60:V60 EK60:EL60 M60:Q60 M67:Q67 EJ72:EL74 S67:V67 K67 E67 G67 I67 K14 E14 G14 I14 M14:O14 S14:U14 EJ14:EL14 K17:K19 E17:E19 G17:G19 I17:I19 M17:O19 S17:U19 EJ17:EL19 S9:V9 K27:K30 E27:E30 G27:G30 I27:I30 M29:O30 K32 E32 G32 I32 M32:O32 M34:O36 K34:K36 E34:E36 G34:G36 I34:I36 K38:K40 E38:E40 G38:G40 I38:I40 M39:O40 M44:O46 I60 G60 E60 K60 K49 E49 G49 I49 M49:O49 BI133:BM133 BO133:BS133 AW133:BA133 BC133:BG133 AK133:AO133 AQ133:AU133 Y133:AC133 AE133:AI133 S133:W133 EJ126:EL132 S126:V129 I126:I133 G126:G133 E126:E133 K126:K129 M126:Q129 I43:I46 G43:G46 E43:E46 K44:K46 M43 BU142:BX142 BU138:BW138 BO142:BS142 BS138:BS140 BI142:BM142 BM138:BM141 BC142:BG142 BG138:BG141 AW142:BA142 BA138:BA141 AQ142:AU142 AU138:AU141 AK142:AO142 AO138:AO141 AE142:AI142 AI138:AI141 Y142:AC142 AC138:AC141 S142:W142 W138:W141 M142:Q142 Q138:Q141 EI134:EL142 BI137:BM137 BO137:BS137 AW137:BA137 BC137:BG137 AK137:AO137 AQ137:AU137 Y137:AC137 AE137:AI137 S137:W137 I137:I142 G137:G142 E137:E142 K137:K142 M137:Q137 E73:E74 G73:G74 I73:I74 K73:K74 M73:Q74 S73:V74 BY30:BZ30 BY49:BZ49 CX30 BY39:BZ39 CX39 CX49 CQ30:CR30 CQ39:CR39 CK39:CL39 CK30:CL30 CE30:CF30 CE39:CF39 DC30:DD30 DC39:DD39 DC49:DD49 CE49:CF49 CK49:CL49 CQ49:CR49 CA133:CE133 BU133:BY133 CM133:CQ133 CG133:CK133 CS133:CW133 DK133:DO133 CY133:DC133 DQ133:DU133 BZ70 BY75:DG75 DP74:DU74 DP126 BZ126:BZ133 DB127:DB128 DP132:DP133 DP129 DP67 BZ62 BZ60 DJ60 CF60 CL60 CR60 CX60 DP60 DD67 CX67 BZ67:BZ69 CR68:DE69 CR67 CL67:CL69 CF67:CF69 DJ67 DJ126 CX126:CX129 CL126:CL133 CR130:DD131 CR126:CR129 CR132:CR133 CF126:CF133 DD126:DD129 DJ127:DU127 BZ72:BZ74 CF72:CF74 CL72:CL74 CR73:CR74 CX73:CX74 DD73:DD74 DJ74 CX132:CX133 DD132:DD133 DJ132:DJ133 BY138:DD141 BY118:DF118 BY61:CX61 DD60:DD61 BY97:DU98 BY36:DE36 BY66:DB66 DD66:DE66 BY64:DD65 DH64:DU64 BY48:DE48 BY43:DE43 BY13:CP13 CS120:DD122 BY16:DC16 BY54:DU59 EJ109:EJ117 BY10:DE12 CR106:CU106 BY14:DD15 BY17:DD18 BY19:CL26 BY27:DD29 BY31:DD35 BY38:DE38 BY37:DD37 BY40:DD42 BY44:DD47 BY50:DD53 DF52:DU53 DE61:DU62 BY84:CX96 CY87:DU88 BY76:DU76 DJ105 CY117:DD117 BY134:DD136 DJ130:DU131 DI120:DU121 DE134:DE135 DE64 DC61 DJ66:DN66 DL141:DU141 CY95:DU95 DF91:DU91 CY90:DU90 DJ107:DU117 CY109:DF116 BY109:CX117 BY105:DD105 BY99:DF104 CY106:DB106 BY107:DD107 BY108:DF108 DE105:DF107 DE120:DF121 DE127:DF131 DE14:DE25 DJ138:DU140 DJ141 DJ68:DU69 DJ72:DU73 CR72:DG72 DF68:DG70 DF64:DG66 BY142:DU146 DI118:DU118 BU137:DU137 DE133:DI133 DG127:DG132 DE125:DH125 DG118:DH121 DG99:DI117 DO105 DI63 DJ128:DJ129 DO128 DA19:DD26 DD13:DE13 CX13:DB13 CR13:CV13 DJ75:DU75 DH84:DH85 CY84:DG86 DI84:DU86 DJ89:DU89 CY92:DG94 CY96:DG96 DJ96:DU96 DJ99:DU104 DJ122:DU122 DE122:DI124 DH127:DI131 DF134:DU136 CY89:DH89 DJ92:DJ94 DL92:DU94 DJ65:DU65 EJ67:EL70 EA10:EG61 DO63 DU63 EA63 EG63 CF62 CL62 CR62:DD62 CF70 CL70 BY78:DU83 BZ77 CF77 CL77 CR77:DU77 M132:Q133 S132:V132 K132:K133" unlockedFormula="1"/>
    <ignoredError sqref="EI32:EL32 BO30:BR30 BO39:BR39 BI32:BL32 BI27:BK27 BI34:BK36 BI14:BL14 BC32:BF32 BC29:BE29 BC34:BE34 BC35:BF35 BC39:BF39 BC36:BE36 BC40:BE40 BC46:BF46 BE45:BF45 BC27:BF27 BC17:BF17 BC49:BF49 AW27:AY27 AW30:AZ30 AW29:AY29 AW39:AZ39 AW46 AW14:AY14 AQ27:AS27 AQ30:AT30 AQ29:AS29 AQ39:AT39 AQ14:AT14 AQ46:AR46 AQ49:AT49 AR45 AK45 AK39:AN39 AK30:AN30 AK29:AM29 AK34:AM36 AK49:AN49 AK46:AM46 AK27:AM27 AE27:AG27 AE30:AH30 AE29:AG29 AE39:AH39 AE49:AH49 Y30:AB30 Y29:AA29 Y39:AB39 Y49:AB49 Y27:AA27 S30:V30 S29:U29 S39:V39 S49:V49 P30 P39 P49 W60 Y60:AC60 AE60:AI60 AK60:AO60 AQ60:AU60 AW60:BA60 BC60:BG60 BI60:BM60 BO60:BS60 BO67:BS67 BI67:BM67 BC67:BG67 AW67:BA67 AQ67:AU67 AK67:AO67 AE67:AI67 Y67:AC67 W67 EI72:EI74 AW126:BA129 AK126:AO129 AQ126:AU129 EI10 Y14:AA14 AE14:AG14 AK14:AM14 BC14:BF14 EI14 BE18:BF19 Y17:AA19 AE17:AG19 AK17:AM19 AQ17:AS19 AW17:AY19 BI17:BK19 EI17:EI19 W9 AE9:AI9 Y9:AC9 BC9:BG9 BO9:BS9 BI9:BM9 CA9:CE9 BU9:BY9 CM9:CQ9 CG9:CK9 CS9:CW9 CY9:DC9 AW9:BA9 AK9:AO9 AQ9:AU9 DE9 BC30:BF30 BI29:BL30 BU30:BW30 EI27:EI30 EJ28:EL30 S32:U32 Y32:AA32 AE32:AG32 AK32:AM32 AQ32:AS32 AW32:AY32 AW34:AY36 AQ34:AS36 AE34:AG36 Y34:AA36 S34:U36 EK34:EL36 EK38:EL40 S40:U40 Y40:AA40 AE40:AG40 AK40:AM40 AQ40:AS40 AW40:AY40 BI39:BL40 BU39:BX39 BI44:BL46 AE44:AG46 Y44:AA46 S44:U46 EK58:EL58 EK48:EL49 AW49:AZ49 BI49:BL49 BO49:BR49 BU49:BX49 BI126:BM129 BO126:BS129 BC126:BG129 Y126:AC129 AE126:AI129 W126:W129 EI126:EI132 EK43:EL46 W73:W74 Y73:AC74 AE73:AI74 AK73:AO74 AQ73:AU74 AW73:BA74 BC73:BG74 BI73:BM74 BO73:BS74 CM49:CP49 CG49:CJ49 CA49:CD49 DE49 CY49:DB49 DE39 CY39:DB39 CY30:DB30 CA39:CD39 CA30:CD30 CG30:CJ30 CG39:CJ39 CM39:CP39 CM30:CP30 CS49:CW49 CS39:CW39 CS30:CW30 DE132:DF132 CY132:DC132 CS132:CW132 DE73 CY73:DC74 CS73:CW74 CM73:CQ74 CG73:CK74 CA73:CE74 BU73:BY74 CA126:CE129 BU126:BY129 CM126:CQ129 CG126:CK129 CS126:CW126 CY126:DC126 CY129:DC129 BU67:BY67 CA67:CE67 CG67:CK67 CM67:CQ67 CS67:CW67 CY67:DC67 DQ60:DU60 CY60:DC60 DK60:DO60 CS60:CW60 CM60:CQ60 CG60:CK60 CA60:CE60 BU60:BY60 DK67:DO67 DK129:DO129 DK132:DO132 DC127:DC128 CY127:DA128 DQ132:DU132 DQ129:DU129 DQ126:DU126 DK126:DO126 DK74:DO74 DQ67:DU67 BY106:CQ106 DJ106 DC106:DD106 CW106:CX106 DF10:DU51 DK8:DO8 DQ8:DT8 DF8:DI9 DE60:DI60 DE67:DI67 DF73:DG74 DH132:DI132 DE126:DI126 DO106:DU106 EI67:EI70 AN10 CS128:CW129 CS127:CV127 W132 Y132:AC132 AE132:AI132 AK132:AO132 AQ132:AU132 AW132:BA132 BC132:BG132 BI132:BM132 BO132:BS132 BU132:BY132 CA132:CE132 CG132:CK132 CM132:CQ132" formula="1" unlockedFormula="1"/>
    <ignoredError sqref="EI9 DF7:EA7 DJ9:EA9 DJ8 DU8:EA8 DP8" formula="1"/>
    <ignoredError sqref="DE29 DE26 DE27 CY26:CZ26 CM24 CM23 CM22 CM21 CM20 CM19 CM25 CM26 CV24:CZ24 CV23:CZ23 CV22:CZ22 CV21:CZ21 CV20:CZ20 CV19:CY19 CV25:CZ25 CV26:CX26" formulaRange="1" unlockedFormula="1"/>
    <ignoredError sqref="DE30 CZ19 CN26:CU26 CN25:CU25 CN19:CU19 CN20:CU20 CN21:CU21 CN22:CU22 CN23:CU23 CN24:CU24" formula="1" formulaRange="1" unlockedFormula="1"/>
    <ignoredError sqref="DE28 DE31" formulaRange="1"/>
    <ignoredError sqref="DE65" numberStoredAsText="1"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G83"/>
  <sheetViews>
    <sheetView zoomScaleNormal="100" workbookViewId="0">
      <pane xSplit="4" ySplit="7" topLeftCell="DD8" activePane="bottomRight" state="frozen"/>
      <selection activeCell="CE10" sqref="CE10"/>
      <selection pane="topRight" activeCell="CE10" sqref="CE10"/>
      <selection pane="bottomLeft" activeCell="CE10" sqref="CE10"/>
      <selection pane="bottomRight" sqref="A1:XFD1048576"/>
    </sheetView>
  </sheetViews>
  <sheetFormatPr defaultRowHeight="11.25" outlineLevelRow="1" outlineLevelCol="2" x14ac:dyDescent="0.2"/>
  <cols>
    <col min="1" max="1" width="32.42578125" style="257" bestFit="1" customWidth="1"/>
    <col min="2" max="2" width="5.42578125" style="257" bestFit="1" customWidth="1"/>
    <col min="3" max="3" width="7.42578125" style="257" bestFit="1" customWidth="1"/>
    <col min="4" max="4" width="0.85546875" style="257" customWidth="1"/>
    <col min="5" max="5" width="8.140625" style="257" hidden="1" customWidth="1" outlineLevel="1"/>
    <col min="6" max="6" width="0.85546875" style="257" hidden="1" customWidth="1" outlineLevel="1"/>
    <col min="7" max="7" width="8.140625" style="257" hidden="1" customWidth="1" outlineLevel="1"/>
    <col min="8" max="8" width="0.85546875" style="257" hidden="1" customWidth="1" outlineLevel="1"/>
    <col min="9" max="9" width="8.140625" style="257" hidden="1" customWidth="1" outlineLevel="1"/>
    <col min="10" max="10" width="0.85546875" style="257" hidden="1" customWidth="1" outlineLevel="1"/>
    <col min="11" max="11" width="8.140625" style="257" hidden="1" customWidth="1" outlineLevel="1"/>
    <col min="12" max="12" width="0.85546875" style="257" hidden="1" customWidth="1" outlineLevel="1"/>
    <col min="13" max="16" width="8.140625" style="257" hidden="1" customWidth="1" outlineLevel="2"/>
    <col min="17" max="17" width="8.140625" style="257" hidden="1" customWidth="1" outlineLevel="1"/>
    <col min="18" max="18" width="0.85546875" style="257" hidden="1" customWidth="1" outlineLevel="1"/>
    <col min="19" max="22" width="8.140625" style="257" hidden="1" customWidth="1" outlineLevel="2"/>
    <col min="23" max="23" width="8.140625" style="257" hidden="1" customWidth="1" outlineLevel="1"/>
    <col min="24" max="24" width="0.85546875" style="257" hidden="1" customWidth="1" outlineLevel="1"/>
    <col min="25" max="28" width="8.140625" style="257" hidden="1" customWidth="1" outlineLevel="2"/>
    <col min="29" max="29" width="8.140625" style="257" hidden="1" customWidth="1" outlineLevel="1"/>
    <col min="30" max="30" width="0.85546875" style="257" hidden="1" customWidth="1" outlineLevel="1"/>
    <col min="31" max="34" width="8.140625" style="257" hidden="1" customWidth="1" outlineLevel="2"/>
    <col min="35" max="35" width="8.140625" style="257" hidden="1" customWidth="1" outlineLevel="1"/>
    <col min="36" max="36" width="0.85546875" style="257" hidden="1" customWidth="1" outlineLevel="1"/>
    <col min="37" max="40" width="8.140625" style="257" hidden="1" customWidth="1" outlineLevel="2"/>
    <col min="41" max="41" width="8.140625" style="257" hidden="1" customWidth="1" outlineLevel="1"/>
    <col min="42" max="42" width="0.85546875" style="257" hidden="1" customWidth="1" outlineLevel="1"/>
    <col min="43" max="46" width="8.140625" style="257" hidden="1" customWidth="1" outlineLevel="2"/>
    <col min="47" max="47" width="8.140625" style="257" hidden="1" customWidth="1" outlineLevel="1"/>
    <col min="48" max="48" width="0.85546875" style="257" hidden="1" customWidth="1" outlineLevel="1"/>
    <col min="49" max="52" width="8.140625" style="257" hidden="1" customWidth="1" outlineLevel="2"/>
    <col min="53" max="53" width="8.140625" style="257" hidden="1" customWidth="1" outlineLevel="1"/>
    <col min="54" max="54" width="0.85546875" style="257" hidden="1" customWidth="1" outlineLevel="1"/>
    <col min="55" max="58" width="8.140625" style="257" hidden="1" customWidth="1" outlineLevel="2"/>
    <col min="59" max="59" width="8.140625" style="257" hidden="1" customWidth="1" outlineLevel="1"/>
    <col min="60" max="60" width="0.85546875" style="257" hidden="1" customWidth="1" outlineLevel="1"/>
    <col min="61" max="64" width="8.140625" style="257" hidden="1" customWidth="1" outlineLevel="2"/>
    <col min="65" max="65" width="8.140625" style="257" hidden="1" customWidth="1" outlineLevel="1"/>
    <col min="66" max="66" width="0.85546875" style="257" hidden="1" customWidth="1" outlineLevel="1"/>
    <col min="67" max="70" width="8.140625" style="257" hidden="1" customWidth="1" outlineLevel="2"/>
    <col min="71" max="71" width="8.140625" style="257" hidden="1" customWidth="1" outlineLevel="1"/>
    <col min="72" max="72" width="0.85546875" style="257" hidden="1" customWidth="1" outlineLevel="1"/>
    <col min="73" max="76" width="8.140625" style="257" hidden="1" customWidth="1" outlineLevel="1"/>
    <col min="77" max="77" width="8.140625" style="257" customWidth="1" collapsed="1"/>
    <col min="78" max="78" width="0.85546875" style="257" customWidth="1"/>
    <col min="79" max="82" width="8.140625" style="257" hidden="1" customWidth="1" outlineLevel="1"/>
    <col min="83" max="83" width="8.140625" style="257" customWidth="1" collapsed="1"/>
    <col min="84" max="84" width="0.85546875" style="257" customWidth="1"/>
    <col min="85" max="88" width="8.140625" style="257" hidden="1" customWidth="1" outlineLevel="1"/>
    <col min="89" max="89" width="8.140625" style="257" customWidth="1" collapsed="1"/>
    <col min="90" max="90" width="0.85546875" style="257" customWidth="1"/>
    <col min="91" max="94" width="8.140625" style="257" hidden="1" customWidth="1" outlineLevel="1"/>
    <col min="95" max="95" width="8.140625" style="257" customWidth="1" collapsed="1"/>
    <col min="96" max="96" width="0.85546875" style="257" customWidth="1"/>
    <col min="97" max="100" width="8.140625" style="257" hidden="1" customWidth="1" outlineLevel="1"/>
    <col min="101" max="101" width="8.140625" style="257" customWidth="1" collapsed="1"/>
    <col min="102" max="102" width="0.85546875" style="257" customWidth="1"/>
    <col min="103" max="106" width="8.140625" style="257" hidden="1" customWidth="1" outlineLevel="1"/>
    <col min="107" max="107" width="8.140625" style="257" customWidth="1" collapsed="1"/>
    <col min="108" max="108" width="0.85546875" style="257" customWidth="1"/>
    <col min="109" max="112" width="8.140625" style="257" customWidth="1" outlineLevel="1"/>
    <col min="113" max="113" width="8.140625" style="257" customWidth="1"/>
    <col min="114" max="114" width="0.85546875" style="257" customWidth="1"/>
    <col min="115" max="118" width="8.140625" style="257" customWidth="1" outlineLevel="1"/>
    <col min="119" max="119" width="8.140625" style="257" customWidth="1"/>
    <col min="120" max="120" width="0.85546875" style="257" customWidth="1"/>
    <col min="121" max="124" width="8.140625" style="257" hidden="1" customWidth="1" outlineLevel="1"/>
    <col min="125" max="125" width="8.140625" style="257" customWidth="1" collapsed="1"/>
    <col min="126" max="126" width="0.85546875" style="257" customWidth="1"/>
    <col min="127" max="130" width="8.140625" style="257" customWidth="1" outlineLevel="1"/>
    <col min="131" max="131" width="8.140625" style="257" customWidth="1"/>
    <col min="132" max="132" width="0.85546875" style="257" customWidth="1"/>
    <col min="133" max="136" width="8.140625" style="257" customWidth="1" outlineLevel="1"/>
    <col min="137" max="151" width="8.140625" style="257" customWidth="1"/>
    <col min="152" max="16384" width="9.140625" style="257"/>
  </cols>
  <sheetData>
    <row r="1" spans="1:137" ht="12.75" customHeight="1" x14ac:dyDescent="0.2"/>
    <row r="2" spans="1:137" ht="12.75" customHeight="1" x14ac:dyDescent="0.2">
      <c r="A2" s="266" t="s">
        <v>41</v>
      </c>
      <c r="B2" s="266"/>
      <c r="C2" s="266"/>
    </row>
    <row r="3" spans="1:137" ht="12.75" customHeight="1" x14ac:dyDescent="0.2">
      <c r="A3" s="266" t="s">
        <v>293</v>
      </c>
      <c r="B3" s="266"/>
      <c r="C3" s="266"/>
    </row>
    <row r="4" spans="1:137" ht="12.75" customHeight="1" x14ac:dyDescent="0.2">
      <c r="A4" s="272" t="s">
        <v>294</v>
      </c>
      <c r="B4" s="272"/>
      <c r="C4" s="272"/>
    </row>
    <row r="5" spans="1:137" ht="12.75" customHeight="1" x14ac:dyDescent="0.2">
      <c r="A5" s="248" t="s">
        <v>229</v>
      </c>
      <c r="B5" s="248"/>
      <c r="C5" s="248"/>
    </row>
    <row r="6" spans="1:137" ht="12.75" customHeight="1" x14ac:dyDescent="0.2">
      <c r="A6" s="498" t="s">
        <v>454</v>
      </c>
      <c r="B6" s="264"/>
      <c r="C6" s="296"/>
      <c r="E6" s="46">
        <v>1997</v>
      </c>
      <c r="F6" s="63"/>
      <c r="G6" s="46">
        <v>1998</v>
      </c>
      <c r="H6" s="63"/>
      <c r="I6" s="46">
        <v>1999</v>
      </c>
      <c r="J6" s="63"/>
      <c r="K6" s="46">
        <f>2000</f>
        <v>2000</v>
      </c>
      <c r="L6" s="63"/>
      <c r="M6" s="78">
        <v>2001</v>
      </c>
      <c r="N6" s="48"/>
      <c r="O6" s="48"/>
      <c r="P6" s="48"/>
      <c r="Q6" s="46">
        <f>2000+1</f>
        <v>2001</v>
      </c>
      <c r="R6" s="63"/>
      <c r="S6" s="78">
        <f>M6+1</f>
        <v>2002</v>
      </c>
      <c r="T6" s="48"/>
      <c r="U6" s="48"/>
      <c r="V6" s="48"/>
      <c r="W6" s="46">
        <f>Q6+1</f>
        <v>2002</v>
      </c>
      <c r="X6" s="63"/>
      <c r="Y6" s="78">
        <f>S6+1</f>
        <v>2003</v>
      </c>
      <c r="Z6" s="48"/>
      <c r="AA6" s="48"/>
      <c r="AB6" s="48"/>
      <c r="AC6" s="46">
        <f>W6+1</f>
        <v>2003</v>
      </c>
      <c r="AD6" s="63"/>
      <c r="AE6" s="78">
        <f>Y6+1</f>
        <v>2004</v>
      </c>
      <c r="AF6" s="48"/>
      <c r="AG6" s="48"/>
      <c r="AH6" s="48"/>
      <c r="AI6" s="46">
        <f>AC6+1</f>
        <v>2004</v>
      </c>
      <c r="AJ6" s="63"/>
      <c r="AK6" s="78">
        <f>AE6+1</f>
        <v>2005</v>
      </c>
      <c r="AL6" s="48"/>
      <c r="AM6" s="48"/>
      <c r="AN6" s="48"/>
      <c r="AO6" s="46">
        <f>AI6+1</f>
        <v>2005</v>
      </c>
      <c r="AP6" s="63"/>
      <c r="AQ6" s="78">
        <f>AK6+1</f>
        <v>2006</v>
      </c>
      <c r="AR6" s="48"/>
      <c r="AS6" s="48"/>
      <c r="AT6" s="48"/>
      <c r="AU6" s="46">
        <f>AO6+1</f>
        <v>2006</v>
      </c>
      <c r="AV6" s="63"/>
      <c r="AW6" s="78">
        <f>AQ6+1</f>
        <v>2007</v>
      </c>
      <c r="AX6" s="48"/>
      <c r="AY6" s="48"/>
      <c r="AZ6" s="48"/>
      <c r="BA6" s="46">
        <f>AU6+1</f>
        <v>2007</v>
      </c>
      <c r="BB6" s="63"/>
      <c r="BC6" s="78">
        <f>AW6+1</f>
        <v>2008</v>
      </c>
      <c r="BD6" s="48"/>
      <c r="BE6" s="48"/>
      <c r="BF6" s="48"/>
      <c r="BG6" s="46">
        <f>BA6+1</f>
        <v>2008</v>
      </c>
      <c r="BH6" s="63"/>
      <c r="BI6" s="78">
        <f>BC6+1</f>
        <v>2009</v>
      </c>
      <c r="BJ6" s="48"/>
      <c r="BK6" s="48"/>
      <c r="BL6" s="48"/>
      <c r="BM6" s="46">
        <f>BG6+1</f>
        <v>2009</v>
      </c>
      <c r="BN6" s="63"/>
      <c r="BO6" s="78">
        <f>BI6+1</f>
        <v>2010</v>
      </c>
      <c r="BP6" s="48"/>
      <c r="BQ6" s="48"/>
      <c r="BR6" s="48"/>
      <c r="BS6" s="46">
        <f>BM6+1</f>
        <v>2010</v>
      </c>
      <c r="BT6" s="63"/>
      <c r="BU6" s="78">
        <f>BO6+1</f>
        <v>2011</v>
      </c>
      <c r="BV6" s="48"/>
      <c r="BW6" s="48"/>
      <c r="BX6" s="48"/>
      <c r="BY6" s="46">
        <f>BS6+1</f>
        <v>2011</v>
      </c>
      <c r="BZ6" s="63"/>
      <c r="CA6" s="78">
        <f>BU6+1</f>
        <v>2012</v>
      </c>
      <c r="CB6" s="48"/>
      <c r="CC6" s="48"/>
      <c r="CD6" s="48"/>
      <c r="CE6" s="46">
        <f>BY6+1</f>
        <v>2012</v>
      </c>
      <c r="CF6" s="63"/>
      <c r="CG6" s="78">
        <f>CA6+1</f>
        <v>2013</v>
      </c>
      <c r="CH6" s="48"/>
      <c r="CI6" s="48"/>
      <c r="CJ6" s="48"/>
      <c r="CK6" s="46">
        <f>CE6+1</f>
        <v>2013</v>
      </c>
      <c r="CL6" s="63"/>
      <c r="CM6" s="78">
        <f>CG6+1</f>
        <v>2014</v>
      </c>
      <c r="CN6" s="48"/>
      <c r="CO6" s="48"/>
      <c r="CP6" s="48"/>
      <c r="CQ6" s="46">
        <f>CK6+1</f>
        <v>2014</v>
      </c>
      <c r="CR6" s="63"/>
      <c r="CS6" s="78">
        <f>CM6+1</f>
        <v>2015</v>
      </c>
      <c r="CT6" s="48"/>
      <c r="CU6" s="48"/>
      <c r="CV6" s="48"/>
      <c r="CW6" s="46">
        <f>CQ6+1</f>
        <v>2015</v>
      </c>
      <c r="CX6" s="63"/>
      <c r="CY6" s="78">
        <f>CS6+1</f>
        <v>2016</v>
      </c>
      <c r="CZ6" s="48"/>
      <c r="DA6" s="48"/>
      <c r="DB6" s="48"/>
      <c r="DC6" s="46">
        <f>CW6+1</f>
        <v>2016</v>
      </c>
      <c r="DD6" s="63"/>
      <c r="DE6" s="78">
        <f>CY6+1</f>
        <v>2017</v>
      </c>
      <c r="DF6" s="48"/>
      <c r="DG6" s="48"/>
      <c r="DH6" s="48"/>
      <c r="DI6" s="46">
        <f>DC6+1</f>
        <v>2017</v>
      </c>
      <c r="DJ6" s="63"/>
      <c r="DK6" s="88">
        <f>DE6+1</f>
        <v>2018</v>
      </c>
      <c r="DL6" s="48"/>
      <c r="DM6" s="48"/>
      <c r="DN6" s="48"/>
      <c r="DO6" s="98">
        <f>DI6+1</f>
        <v>2018</v>
      </c>
      <c r="DP6" s="63"/>
      <c r="DQ6" s="88">
        <f>DK6+1</f>
        <v>2019</v>
      </c>
      <c r="DR6" s="48"/>
      <c r="DS6" s="48"/>
      <c r="DT6" s="48"/>
      <c r="DU6" s="98">
        <f>DO6+1</f>
        <v>2019</v>
      </c>
      <c r="DV6" s="63"/>
      <c r="DW6" s="88">
        <f t="shared" ref="DW6" si="0">DQ6+1</f>
        <v>2020</v>
      </c>
      <c r="DX6" s="48"/>
      <c r="DY6" s="48"/>
      <c r="DZ6" s="48"/>
      <c r="EA6" s="98">
        <f t="shared" ref="EA6" si="1">DU6+1</f>
        <v>2020</v>
      </c>
      <c r="EB6" s="63"/>
      <c r="EC6" s="88">
        <f t="shared" ref="EC6" si="2">DW6+1</f>
        <v>2021</v>
      </c>
      <c r="ED6" s="48"/>
      <c r="EE6" s="48"/>
      <c r="EF6" s="48"/>
      <c r="EG6" s="98">
        <f t="shared" ref="EG6" si="3">EA6+1</f>
        <v>2021</v>
      </c>
    </row>
    <row r="7" spans="1:137" ht="12.75" customHeight="1" x14ac:dyDescent="0.2">
      <c r="A7" s="297" t="s">
        <v>295</v>
      </c>
      <c r="B7" s="267" t="s">
        <v>296</v>
      </c>
      <c r="C7" s="298" t="s">
        <v>297</v>
      </c>
      <c r="E7" s="89"/>
      <c r="F7" s="58"/>
      <c r="G7" s="89"/>
      <c r="H7" s="58"/>
      <c r="I7" s="89"/>
      <c r="J7" s="58"/>
      <c r="K7" s="89"/>
      <c r="L7" s="58"/>
      <c r="M7" s="79">
        <v>36981</v>
      </c>
      <c r="N7" s="66">
        <f>M7+FLOOR(365/4,1)</f>
        <v>37072</v>
      </c>
      <c r="O7" s="66">
        <f>N7+FLOOR(365/4,1)+1</f>
        <v>37164</v>
      </c>
      <c r="P7" s="66">
        <f>O7+FLOOR(365/4,1)+1</f>
        <v>37256</v>
      </c>
      <c r="Q7" s="97"/>
      <c r="R7" s="58"/>
      <c r="S7" s="79">
        <f>M7+365</f>
        <v>37346</v>
      </c>
      <c r="T7" s="66">
        <f>S7+FLOOR(365/4,1)</f>
        <v>37437</v>
      </c>
      <c r="U7" s="66">
        <f>T7+FLOOR(365/4,1)+1</f>
        <v>37529</v>
      </c>
      <c r="V7" s="66">
        <f>U7+FLOOR(365/4,1)+1</f>
        <v>37621</v>
      </c>
      <c r="W7" s="97"/>
      <c r="X7" s="58"/>
      <c r="Y7" s="79">
        <f>S7+365</f>
        <v>37711</v>
      </c>
      <c r="Z7" s="66">
        <f>Y7+FLOOR(365/4,1)</f>
        <v>37802</v>
      </c>
      <c r="AA7" s="66">
        <f>Z7+FLOOR(365/4,1)+1</f>
        <v>37894</v>
      </c>
      <c r="AB7" s="66">
        <f>AA7+FLOOR(365/4,1)+1</f>
        <v>37986</v>
      </c>
      <c r="AC7" s="97"/>
      <c r="AD7" s="58"/>
      <c r="AE7" s="79">
        <f>Y7+365</f>
        <v>38076</v>
      </c>
      <c r="AF7" s="66">
        <f>AE7+FLOOR(365/4,1)</f>
        <v>38167</v>
      </c>
      <c r="AG7" s="66">
        <f>AF7+FLOOR(365/4,1)+1</f>
        <v>38259</v>
      </c>
      <c r="AH7" s="66">
        <f>AG7+FLOOR(365/4,1)+1</f>
        <v>38351</v>
      </c>
      <c r="AI7" s="97"/>
      <c r="AJ7" s="58"/>
      <c r="AK7" s="79">
        <f>AE7+365</f>
        <v>38441</v>
      </c>
      <c r="AL7" s="66">
        <f>AK7+FLOOR(365/4,1)</f>
        <v>38532</v>
      </c>
      <c r="AM7" s="66">
        <f>AL7+FLOOR(365/4,1)+1</f>
        <v>38624</v>
      </c>
      <c r="AN7" s="66">
        <f>AM7+FLOOR(365/4,1)+1</f>
        <v>38716</v>
      </c>
      <c r="AO7" s="97"/>
      <c r="AP7" s="58"/>
      <c r="AQ7" s="79">
        <f>AK7+365</f>
        <v>38806</v>
      </c>
      <c r="AR7" s="66">
        <f>AQ7+FLOOR(365/4,1)</f>
        <v>38897</v>
      </c>
      <c r="AS7" s="66">
        <f>AR7+FLOOR(365/4,1)+1</f>
        <v>38989</v>
      </c>
      <c r="AT7" s="66">
        <f>AS7+FLOOR(365/4,1)+1</f>
        <v>39081</v>
      </c>
      <c r="AU7" s="97"/>
      <c r="AV7" s="58"/>
      <c r="AW7" s="79">
        <f>AQ7+365</f>
        <v>39171</v>
      </c>
      <c r="AX7" s="66">
        <f>AW7+FLOOR(365/4,1)</f>
        <v>39262</v>
      </c>
      <c r="AY7" s="66">
        <f>AX7+FLOOR(365/4,1)+1</f>
        <v>39354</v>
      </c>
      <c r="AZ7" s="66">
        <f>AY7+FLOOR(365/4,1)+1</f>
        <v>39446</v>
      </c>
      <c r="BA7" s="97"/>
      <c r="BB7" s="58"/>
      <c r="BC7" s="79">
        <f>AW7+365</f>
        <v>39536</v>
      </c>
      <c r="BD7" s="66">
        <f>BC7+FLOOR(365/4,1)</f>
        <v>39627</v>
      </c>
      <c r="BE7" s="66">
        <f>BD7+FLOOR(365/4,1)+1</f>
        <v>39719</v>
      </c>
      <c r="BF7" s="66">
        <f>BE7+FLOOR(365/4,1)+1</f>
        <v>39811</v>
      </c>
      <c r="BG7" s="97"/>
      <c r="BH7" s="58"/>
      <c r="BI7" s="79">
        <f>BC7+365</f>
        <v>39901</v>
      </c>
      <c r="BJ7" s="66">
        <f>BI7+FLOOR(365/4,1)</f>
        <v>39992</v>
      </c>
      <c r="BK7" s="66">
        <f>BJ7+FLOOR(365/4,1)+1</f>
        <v>40084</v>
      </c>
      <c r="BL7" s="66">
        <f>BK7+FLOOR(365/4,1)+1</f>
        <v>40176</v>
      </c>
      <c r="BM7" s="97"/>
      <c r="BN7" s="58"/>
      <c r="BO7" s="79">
        <f>BI7+365</f>
        <v>40266</v>
      </c>
      <c r="BP7" s="66">
        <f>BO7+FLOOR(365/4,1)</f>
        <v>40357</v>
      </c>
      <c r="BQ7" s="66">
        <f>BP7+FLOOR(365/4,1)+1</f>
        <v>40449</v>
      </c>
      <c r="BR7" s="66">
        <f>BQ7+FLOOR(365/4,1)+1</f>
        <v>40541</v>
      </c>
      <c r="BS7" s="97"/>
      <c r="BT7" s="58"/>
      <c r="BU7" s="79">
        <f>BO7+365</f>
        <v>40631</v>
      </c>
      <c r="BV7" s="66">
        <f>BU7+FLOOR(365/4,1)</f>
        <v>40722</v>
      </c>
      <c r="BW7" s="66">
        <f>BV7+FLOOR(365/4,1)+1</f>
        <v>40814</v>
      </c>
      <c r="BX7" s="66">
        <f>BW7+FLOOR(365/4,1)+1</f>
        <v>40906</v>
      </c>
      <c r="BY7" s="97"/>
      <c r="BZ7" s="58"/>
      <c r="CA7" s="79">
        <f>BU7+365</f>
        <v>40996</v>
      </c>
      <c r="CB7" s="66">
        <f>CA7+FLOOR(365/4,1)</f>
        <v>41087</v>
      </c>
      <c r="CC7" s="66">
        <f>CB7+FLOOR(365/4,1)+1</f>
        <v>41179</v>
      </c>
      <c r="CD7" s="66">
        <f>CC7+FLOOR(365/4,1)+1</f>
        <v>41271</v>
      </c>
      <c r="CE7" s="97"/>
      <c r="CF7" s="58"/>
      <c r="CG7" s="79">
        <f>CA7+365</f>
        <v>41361</v>
      </c>
      <c r="CH7" s="66">
        <f>CG7+FLOOR(365/4,1)</f>
        <v>41452</v>
      </c>
      <c r="CI7" s="66">
        <f>CH7+FLOOR(365/4,1)+1</f>
        <v>41544</v>
      </c>
      <c r="CJ7" s="66">
        <f>CI7+FLOOR(365/4,1)+1</f>
        <v>41636</v>
      </c>
      <c r="CK7" s="97"/>
      <c r="CL7" s="58"/>
      <c r="CM7" s="79">
        <f>CG7+365</f>
        <v>41726</v>
      </c>
      <c r="CN7" s="66">
        <f>CM7+FLOOR(365/4,1)</f>
        <v>41817</v>
      </c>
      <c r="CO7" s="66">
        <f>CN7+FLOOR(365/4,1)+1</f>
        <v>41909</v>
      </c>
      <c r="CP7" s="66">
        <f>CO7+FLOOR(365/4,1)+1</f>
        <v>42001</v>
      </c>
      <c r="CQ7" s="97"/>
      <c r="CR7" s="58"/>
      <c r="CS7" s="79">
        <f>CM7+365</f>
        <v>42091</v>
      </c>
      <c r="CT7" s="66">
        <f>CS7+FLOOR(365/4,1)</f>
        <v>42182</v>
      </c>
      <c r="CU7" s="66">
        <f>CT7+FLOOR(365/4,1)+1</f>
        <v>42274</v>
      </c>
      <c r="CV7" s="66">
        <f>CU7+FLOOR(365/4,1)+1</f>
        <v>42366</v>
      </c>
      <c r="CW7" s="97"/>
      <c r="CX7" s="58"/>
      <c r="CY7" s="79">
        <f>CS7+365</f>
        <v>42456</v>
      </c>
      <c r="CZ7" s="66">
        <f>CY7+FLOOR(365/4,1)</f>
        <v>42547</v>
      </c>
      <c r="DA7" s="66">
        <f>CZ7+FLOOR(365/4,1)+1</f>
        <v>42639</v>
      </c>
      <c r="DB7" s="66">
        <f>DA7+FLOOR(365/4,1)+1</f>
        <v>42731</v>
      </c>
      <c r="DC7" s="97"/>
      <c r="DD7" s="58"/>
      <c r="DE7" s="79">
        <v>42825</v>
      </c>
      <c r="DF7" s="66">
        <v>42916</v>
      </c>
      <c r="DG7" s="66">
        <v>43008</v>
      </c>
      <c r="DH7" s="66">
        <v>43100</v>
      </c>
      <c r="DI7" s="97"/>
      <c r="DJ7" s="58"/>
      <c r="DK7" s="101">
        <f>DE7+365</f>
        <v>43190</v>
      </c>
      <c r="DL7" s="102">
        <f>DF7+365</f>
        <v>43281</v>
      </c>
      <c r="DM7" s="102">
        <f>DG7+365</f>
        <v>43373</v>
      </c>
      <c r="DN7" s="102">
        <f>DH7+365</f>
        <v>43465</v>
      </c>
      <c r="DO7" s="97"/>
      <c r="DP7" s="58"/>
      <c r="DQ7" s="101">
        <f>DK7+365</f>
        <v>43555</v>
      </c>
      <c r="DR7" s="102">
        <f>DL7+365</f>
        <v>43646</v>
      </c>
      <c r="DS7" s="102">
        <f>DM7+365</f>
        <v>43738</v>
      </c>
      <c r="DT7" s="102">
        <f>DN7+365</f>
        <v>43830</v>
      </c>
      <c r="DU7" s="97"/>
      <c r="DV7" s="58"/>
      <c r="DW7" s="101">
        <f t="shared" ref="DW7:DZ7" si="4">DQ7+365</f>
        <v>43920</v>
      </c>
      <c r="DX7" s="102">
        <f t="shared" si="4"/>
        <v>44011</v>
      </c>
      <c r="DY7" s="102">
        <f t="shared" si="4"/>
        <v>44103</v>
      </c>
      <c r="DZ7" s="102">
        <f t="shared" si="4"/>
        <v>44195</v>
      </c>
      <c r="EA7" s="97"/>
      <c r="EB7" s="58"/>
      <c r="EC7" s="101">
        <f t="shared" ref="EC7" si="5">DW7+365</f>
        <v>44285</v>
      </c>
      <c r="ED7" s="102">
        <f t="shared" ref="ED7" si="6">DX7+365</f>
        <v>44376</v>
      </c>
      <c r="EE7" s="102">
        <f t="shared" ref="EE7" si="7">DY7+365</f>
        <v>44468</v>
      </c>
      <c r="EF7" s="102">
        <f t="shared" ref="EF7" si="8">DZ7+365</f>
        <v>44560</v>
      </c>
      <c r="EG7" s="97"/>
    </row>
    <row r="8" spans="1:137" ht="12.75" customHeight="1" x14ac:dyDescent="0.2">
      <c r="A8" s="297" t="s">
        <v>251</v>
      </c>
      <c r="B8" s="268"/>
      <c r="C8" s="299"/>
      <c r="D8" s="266"/>
      <c r="E8" s="254"/>
      <c r="G8" s="254"/>
      <c r="I8" s="254"/>
      <c r="K8" s="254"/>
      <c r="M8" s="256"/>
      <c r="N8" s="253"/>
      <c r="O8" s="253"/>
      <c r="P8" s="253"/>
      <c r="Q8" s="255"/>
      <c r="S8" s="256"/>
      <c r="T8" s="253"/>
      <c r="U8" s="253"/>
      <c r="V8" s="253"/>
      <c r="W8" s="255"/>
      <c r="Y8" s="256"/>
      <c r="Z8" s="253"/>
      <c r="AA8" s="253"/>
      <c r="AB8" s="253"/>
      <c r="AC8" s="255"/>
      <c r="AE8" s="256"/>
      <c r="AF8" s="253"/>
      <c r="AG8" s="253"/>
      <c r="AH8" s="253"/>
      <c r="AI8" s="255"/>
      <c r="AK8" s="256"/>
      <c r="AL8" s="253"/>
      <c r="AM8" s="253"/>
      <c r="AN8" s="253"/>
      <c r="AO8" s="255"/>
      <c r="AQ8" s="256"/>
      <c r="AR8" s="253"/>
      <c r="AS8" s="253"/>
      <c r="AT8" s="253"/>
      <c r="AU8" s="255"/>
      <c r="AW8" s="256"/>
      <c r="AX8" s="253"/>
      <c r="AY8" s="253"/>
      <c r="AZ8" s="253"/>
      <c r="BA8" s="255"/>
      <c r="BC8" s="256"/>
      <c r="BD8" s="253"/>
      <c r="BE8" s="253"/>
      <c r="BF8" s="253"/>
      <c r="BG8" s="255"/>
      <c r="BI8" s="256"/>
      <c r="BJ8" s="253"/>
      <c r="BK8" s="253"/>
      <c r="BL8" s="253"/>
      <c r="BM8" s="255"/>
      <c r="BO8" s="256"/>
      <c r="BP8" s="253"/>
      <c r="BQ8" s="253"/>
      <c r="BR8" s="253"/>
      <c r="BS8" s="255"/>
      <c r="BU8" s="256"/>
      <c r="BV8" s="253"/>
      <c r="BW8" s="253"/>
      <c r="BX8" s="253"/>
      <c r="BY8" s="255"/>
      <c r="CA8" s="256"/>
      <c r="CB8" s="253"/>
      <c r="CC8" s="253"/>
      <c r="CD8" s="253"/>
      <c r="CE8" s="255"/>
      <c r="CG8" s="256"/>
      <c r="CH8" s="253"/>
      <c r="CI8" s="253"/>
      <c r="CJ8" s="253"/>
      <c r="CK8" s="255"/>
      <c r="CM8" s="256"/>
      <c r="CN8" s="253"/>
      <c r="CO8" s="253"/>
      <c r="CP8" s="253"/>
      <c r="CQ8" s="255"/>
      <c r="CS8" s="256"/>
      <c r="CT8" s="253"/>
      <c r="CU8" s="253"/>
      <c r="CV8" s="253"/>
      <c r="CW8" s="255"/>
      <c r="CY8" s="256"/>
      <c r="CZ8" s="253"/>
      <c r="DA8" s="253"/>
      <c r="DB8" s="253"/>
      <c r="DC8" s="255"/>
      <c r="DE8" s="256"/>
      <c r="DF8" s="253"/>
      <c r="DG8" s="253"/>
      <c r="DH8" s="253"/>
      <c r="DI8" s="255"/>
      <c r="DK8" s="256"/>
      <c r="DL8" s="253"/>
      <c r="DM8" s="253"/>
      <c r="DN8" s="253"/>
      <c r="DO8" s="255"/>
      <c r="DQ8" s="256"/>
      <c r="DR8" s="253"/>
      <c r="DS8" s="253"/>
      <c r="DT8" s="253"/>
      <c r="DU8" s="255"/>
      <c r="DW8" s="256"/>
      <c r="DX8" s="253"/>
      <c r="DY8" s="253"/>
      <c r="DZ8" s="253"/>
      <c r="EA8" s="255"/>
      <c r="EC8" s="256"/>
      <c r="ED8" s="253"/>
      <c r="EE8" s="253"/>
      <c r="EF8" s="253"/>
      <c r="EG8" s="255"/>
    </row>
    <row r="9" spans="1:137" ht="12.75" customHeight="1" x14ac:dyDescent="0.2">
      <c r="A9" s="300"/>
      <c r="B9" s="258"/>
      <c r="C9" s="301"/>
      <c r="E9" s="251"/>
      <c r="G9" s="251"/>
      <c r="I9" s="251"/>
      <c r="K9" s="251"/>
      <c r="M9" s="252"/>
      <c r="N9" s="250"/>
      <c r="O9" s="250"/>
      <c r="P9" s="250"/>
      <c r="Q9" s="249"/>
      <c r="S9" s="252"/>
      <c r="T9" s="250"/>
      <c r="U9" s="250"/>
      <c r="V9" s="250"/>
      <c r="W9" s="249"/>
      <c r="Y9" s="252"/>
      <c r="Z9" s="250"/>
      <c r="AA9" s="250"/>
      <c r="AB9" s="250"/>
      <c r="AC9" s="249"/>
      <c r="AE9" s="252"/>
      <c r="AF9" s="250"/>
      <c r="AG9" s="250"/>
      <c r="AH9" s="250"/>
      <c r="AI9" s="249"/>
      <c r="AK9" s="252"/>
      <c r="AL9" s="250"/>
      <c r="AM9" s="250"/>
      <c r="AN9" s="250"/>
      <c r="AO9" s="249"/>
      <c r="AQ9" s="252"/>
      <c r="AR9" s="250"/>
      <c r="AS9" s="250"/>
      <c r="AT9" s="250"/>
      <c r="AU9" s="249"/>
      <c r="AW9" s="252"/>
      <c r="AX9" s="250"/>
      <c r="AY9" s="250"/>
      <c r="AZ9" s="250"/>
      <c r="BA9" s="249"/>
      <c r="BC9" s="252"/>
      <c r="BD9" s="250"/>
      <c r="BE9" s="250"/>
      <c r="BF9" s="250"/>
      <c r="BG9" s="249"/>
      <c r="BI9" s="252"/>
      <c r="BJ9" s="250"/>
      <c r="BK9" s="250"/>
      <c r="BL9" s="250"/>
      <c r="BM9" s="249"/>
      <c r="BO9" s="252"/>
      <c r="BP9" s="250"/>
      <c r="BQ9" s="250"/>
      <c r="BR9" s="250"/>
      <c r="BS9" s="249"/>
      <c r="BU9" s="252"/>
      <c r="BV9" s="250"/>
      <c r="BW9" s="250"/>
      <c r="BX9" s="250"/>
      <c r="BY9" s="249"/>
      <c r="CA9" s="252"/>
      <c r="CB9" s="250"/>
      <c r="CC9" s="250"/>
      <c r="CD9" s="250"/>
      <c r="CE9" s="249"/>
      <c r="CG9" s="252"/>
      <c r="CH9" s="250"/>
      <c r="CI9" s="250"/>
      <c r="CJ9" s="250"/>
      <c r="CK9" s="249"/>
      <c r="CM9" s="252"/>
      <c r="CN9" s="250"/>
      <c r="CO9" s="250"/>
      <c r="CP9" s="250"/>
      <c r="CQ9" s="249"/>
      <c r="CS9" s="252"/>
      <c r="CT9" s="250"/>
      <c r="CU9" s="250"/>
      <c r="CV9" s="250"/>
      <c r="CW9" s="249"/>
      <c r="CY9" s="252"/>
      <c r="CZ9" s="250"/>
      <c r="DA9" s="250"/>
      <c r="DB9" s="250"/>
      <c r="DC9" s="249"/>
      <c r="DE9" s="252"/>
      <c r="DF9" s="250"/>
      <c r="DG9" s="250"/>
      <c r="DH9" s="250"/>
      <c r="DI9" s="249"/>
      <c r="DK9" s="252"/>
      <c r="DL9" s="250"/>
      <c r="DM9" s="250"/>
      <c r="DN9" s="250"/>
      <c r="DO9" s="249"/>
      <c r="DQ9" s="252"/>
      <c r="DR9" s="250"/>
      <c r="DS9" s="250"/>
      <c r="DT9" s="250"/>
      <c r="DU9" s="249"/>
      <c r="DW9" s="252"/>
      <c r="DX9" s="250"/>
      <c r="DY9" s="250"/>
      <c r="DZ9" s="250"/>
      <c r="EA9" s="249"/>
      <c r="EC9" s="252"/>
      <c r="ED9" s="250"/>
      <c r="EE9" s="250"/>
      <c r="EF9" s="250"/>
      <c r="EG9" s="249"/>
    </row>
    <row r="10" spans="1:137" ht="12.75" customHeight="1" x14ac:dyDescent="0.2">
      <c r="A10" s="300" t="s">
        <v>298</v>
      </c>
      <c r="B10" s="258"/>
      <c r="C10" s="301"/>
      <c r="E10" s="287"/>
      <c r="F10" s="270"/>
      <c r="G10" s="287"/>
      <c r="H10" s="270"/>
      <c r="I10" s="287"/>
      <c r="J10" s="270"/>
      <c r="K10" s="287"/>
      <c r="L10" s="270"/>
      <c r="M10" s="280"/>
      <c r="N10" s="269"/>
      <c r="O10" s="269"/>
      <c r="P10" s="269"/>
      <c r="Q10" s="287"/>
      <c r="R10" s="270"/>
      <c r="S10" s="280"/>
      <c r="T10" s="269"/>
      <c r="U10" s="269"/>
      <c r="V10" s="269"/>
      <c r="W10" s="287"/>
      <c r="X10" s="270"/>
      <c r="Y10" s="280"/>
      <c r="Z10" s="269"/>
      <c r="AA10" s="269"/>
      <c r="AB10" s="269"/>
      <c r="AC10" s="287"/>
      <c r="AD10" s="270"/>
      <c r="AE10" s="280"/>
      <c r="AF10" s="269"/>
      <c r="AG10" s="269"/>
      <c r="AH10" s="269"/>
      <c r="AI10" s="287"/>
      <c r="AJ10" s="270"/>
      <c r="AK10" s="280"/>
      <c r="AL10" s="269"/>
      <c r="AM10" s="269"/>
      <c r="AN10" s="269"/>
      <c r="AO10" s="287"/>
      <c r="AP10" s="270"/>
      <c r="AQ10" s="280"/>
      <c r="AR10" s="269"/>
      <c r="AS10" s="269"/>
      <c r="AT10" s="269"/>
      <c r="AU10" s="287"/>
      <c r="AV10" s="270"/>
      <c r="AW10" s="280"/>
      <c r="AX10" s="269"/>
      <c r="AY10" s="269"/>
      <c r="AZ10" s="269"/>
      <c r="BA10" s="287"/>
      <c r="BB10" s="270"/>
      <c r="BC10" s="280"/>
      <c r="BD10" s="269"/>
      <c r="BE10" s="269"/>
      <c r="BF10" s="269"/>
      <c r="BG10" s="287"/>
      <c r="BH10" s="270"/>
      <c r="BI10" s="280"/>
      <c r="BJ10" s="269"/>
      <c r="BK10" s="269"/>
      <c r="BL10" s="269"/>
      <c r="BM10" s="287"/>
      <c r="BN10" s="270"/>
      <c r="BO10" s="280"/>
      <c r="BP10" s="269"/>
      <c r="BQ10" s="269"/>
      <c r="BR10" s="269"/>
      <c r="BS10" s="287"/>
      <c r="BT10" s="270"/>
      <c r="BU10" s="280"/>
      <c r="BV10" s="269"/>
      <c r="BW10" s="269"/>
      <c r="BX10" s="269"/>
      <c r="BY10" s="287"/>
      <c r="BZ10" s="270"/>
      <c r="CA10" s="280"/>
      <c r="CB10" s="269"/>
      <c r="CC10" s="269"/>
      <c r="CD10" s="269"/>
      <c r="CE10" s="287"/>
      <c r="CF10" s="270"/>
      <c r="CG10" s="280"/>
      <c r="CH10" s="269"/>
      <c r="CI10" s="269"/>
      <c r="CJ10" s="269"/>
      <c r="CK10" s="287"/>
      <c r="CL10" s="270"/>
      <c r="CM10" s="280"/>
      <c r="CN10" s="269"/>
      <c r="CO10" s="269"/>
      <c r="CP10" s="269"/>
      <c r="CQ10" s="287"/>
      <c r="CR10" s="270"/>
      <c r="CS10" s="280"/>
      <c r="CT10" s="269"/>
      <c r="CU10" s="269"/>
      <c r="CV10" s="269"/>
      <c r="CW10" s="287"/>
      <c r="CX10" s="270"/>
      <c r="CY10" s="280"/>
      <c r="CZ10" s="269"/>
      <c r="DA10" s="269"/>
      <c r="DB10" s="269"/>
      <c r="DC10" s="287"/>
      <c r="DD10" s="270"/>
      <c r="DE10" s="280"/>
      <c r="DF10" s="269"/>
      <c r="DG10" s="269"/>
      <c r="DH10" s="269"/>
      <c r="DI10" s="287"/>
      <c r="DJ10" s="270"/>
      <c r="DK10" s="280"/>
      <c r="DL10" s="269"/>
      <c r="DM10" s="269"/>
      <c r="DN10" s="269"/>
      <c r="DO10" s="287"/>
      <c r="DP10" s="270"/>
      <c r="DQ10" s="280"/>
      <c r="DR10" s="269"/>
      <c r="DS10" s="269"/>
      <c r="DT10" s="269"/>
      <c r="DU10" s="287"/>
      <c r="DV10" s="270"/>
      <c r="DW10" s="280"/>
      <c r="DX10" s="269"/>
      <c r="DY10" s="269"/>
      <c r="DZ10" s="269"/>
      <c r="EA10" s="287"/>
      <c r="EB10" s="270"/>
      <c r="EC10" s="280"/>
      <c r="ED10" s="269"/>
      <c r="EE10" s="269"/>
      <c r="EF10" s="269"/>
      <c r="EG10" s="287"/>
    </row>
    <row r="11" spans="1:137" ht="12.75" customHeight="1" x14ac:dyDescent="0.2">
      <c r="A11" s="302" t="s">
        <v>299</v>
      </c>
      <c r="B11" s="22">
        <v>1.2999999999999999E-2</v>
      </c>
      <c r="C11" s="303">
        <v>2014</v>
      </c>
      <c r="E11" s="287"/>
      <c r="F11" s="270"/>
      <c r="G11" s="287"/>
      <c r="H11" s="270"/>
      <c r="I11" s="287"/>
      <c r="J11" s="270"/>
      <c r="K11" s="287"/>
      <c r="L11" s="270"/>
      <c r="M11" s="280"/>
      <c r="N11" s="269"/>
      <c r="O11" s="269"/>
      <c r="P11" s="269"/>
      <c r="Q11" s="287"/>
      <c r="R11" s="270"/>
      <c r="S11" s="280"/>
      <c r="T11" s="269"/>
      <c r="U11" s="269"/>
      <c r="V11" s="269"/>
      <c r="W11" s="287"/>
      <c r="X11" s="270"/>
      <c r="Y11" s="280"/>
      <c r="Z11" s="269"/>
      <c r="AA11" s="269"/>
      <c r="AB11" s="269"/>
      <c r="AC11" s="287"/>
      <c r="AD11" s="270"/>
      <c r="AE11" s="280"/>
      <c r="AF11" s="269"/>
      <c r="AG11" s="269"/>
      <c r="AH11" s="269"/>
      <c r="AI11" s="287"/>
      <c r="AJ11" s="270"/>
      <c r="AK11" s="280"/>
      <c r="AL11" s="269"/>
      <c r="AM11" s="269"/>
      <c r="AN11" s="269"/>
      <c r="AO11" s="287"/>
      <c r="AP11" s="270"/>
      <c r="AQ11" s="280"/>
      <c r="AR11" s="269"/>
      <c r="AS11" s="269"/>
      <c r="AT11" s="269"/>
      <c r="AU11" s="287"/>
      <c r="AV11" s="270"/>
      <c r="AW11" s="280"/>
      <c r="AX11" s="269"/>
      <c r="AY11" s="269"/>
      <c r="AZ11" s="269"/>
      <c r="BA11" s="287"/>
      <c r="BB11" s="270"/>
      <c r="BC11" s="280"/>
      <c r="BD11" s="269"/>
      <c r="BE11" s="269"/>
      <c r="BF11" s="269"/>
      <c r="BG11" s="287"/>
      <c r="BH11" s="270"/>
      <c r="BI11" s="280"/>
      <c r="BJ11" s="269"/>
      <c r="BK11" s="269"/>
      <c r="BL11" s="269"/>
      <c r="BM11" s="287"/>
      <c r="BN11" s="270"/>
      <c r="BO11" s="280"/>
      <c r="BP11" s="269"/>
      <c r="BQ11" s="269"/>
      <c r="BR11" s="269"/>
      <c r="BS11" s="287"/>
      <c r="BT11" s="270"/>
      <c r="BU11" s="280"/>
      <c r="BV11" s="269"/>
      <c r="BW11" s="269"/>
      <c r="BX11" s="269"/>
      <c r="BY11" s="287"/>
      <c r="BZ11" s="270"/>
      <c r="CA11" s="280"/>
      <c r="CB11" s="269"/>
      <c r="CC11" s="269"/>
      <c r="CD11" s="269"/>
      <c r="CE11" s="287"/>
      <c r="CF11" s="270"/>
      <c r="CG11" s="280"/>
      <c r="CH11" s="269"/>
      <c r="CI11" s="269"/>
      <c r="CJ11" s="269"/>
      <c r="CK11" s="287"/>
      <c r="CL11" s="270"/>
      <c r="CM11" s="293">
        <v>400</v>
      </c>
      <c r="CN11" s="278">
        <v>0</v>
      </c>
      <c r="CO11" s="278">
        <v>0</v>
      </c>
      <c r="CP11" s="278">
        <v>0</v>
      </c>
      <c r="CQ11" s="287">
        <f t="shared" ref="CQ11:CQ29" si="9">CP11</f>
        <v>0</v>
      </c>
      <c r="CR11" s="270"/>
      <c r="CS11" s="293">
        <v>0</v>
      </c>
      <c r="CT11" s="278">
        <v>0</v>
      </c>
      <c r="CU11" s="278">
        <v>0</v>
      </c>
      <c r="CV11" s="278">
        <v>0</v>
      </c>
      <c r="CW11" s="287">
        <f t="shared" ref="CW11:CW29" si="10">CV11</f>
        <v>0</v>
      </c>
      <c r="CX11" s="270"/>
      <c r="CY11" s="293">
        <v>0</v>
      </c>
      <c r="CZ11" s="278">
        <v>0</v>
      </c>
      <c r="DA11" s="278">
        <v>0</v>
      </c>
      <c r="DB11" s="278">
        <v>0</v>
      </c>
      <c r="DC11" s="287">
        <f t="shared" ref="DC11:DC29" si="11">DB11</f>
        <v>0</v>
      </c>
      <c r="DD11" s="270"/>
      <c r="DE11" s="293">
        <v>0</v>
      </c>
      <c r="DF11" s="1159">
        <f t="shared" ref="DF11:DF21" si="12">DE11</f>
        <v>0</v>
      </c>
      <c r="DG11" s="1159">
        <v>0</v>
      </c>
      <c r="DH11" s="278">
        <v>0</v>
      </c>
      <c r="DI11" s="287">
        <f t="shared" ref="DI11:DI29" si="13">DH11</f>
        <v>0</v>
      </c>
      <c r="DJ11" s="270"/>
      <c r="DK11" s="280">
        <f t="shared" ref="DK11:DK29" si="14">DH11</f>
        <v>0</v>
      </c>
      <c r="DL11" s="269">
        <f t="shared" ref="DL11:DM29" si="15">DK11</f>
        <v>0</v>
      </c>
      <c r="DM11" s="269">
        <f t="shared" ref="DM11:DM29" si="16">DL11</f>
        <v>0</v>
      </c>
      <c r="DN11" s="269">
        <f t="shared" ref="DN11:DN29" si="17">DM11</f>
        <v>0</v>
      </c>
      <c r="DO11" s="287">
        <f t="shared" ref="DO11:DO29" si="18">DN11</f>
        <v>0</v>
      </c>
      <c r="DP11" s="270"/>
      <c r="DQ11" s="280">
        <f t="shared" ref="DQ11:DQ29" si="19">DN11</f>
        <v>0</v>
      </c>
      <c r="DR11" s="269">
        <f t="shared" ref="DR11:DR29" si="20">DQ11</f>
        <v>0</v>
      </c>
      <c r="DS11" s="269">
        <f t="shared" ref="DS11:DS29" si="21">DR11</f>
        <v>0</v>
      </c>
      <c r="DT11" s="269">
        <f t="shared" ref="DT11:DT29" si="22">DS11</f>
        <v>0</v>
      </c>
      <c r="DU11" s="287">
        <f t="shared" ref="DU11:DU29" si="23">DT11</f>
        <v>0</v>
      </c>
      <c r="DV11" s="270"/>
      <c r="DW11" s="280">
        <f t="shared" ref="DW11:DW29" si="24">DT11</f>
        <v>0</v>
      </c>
      <c r="DX11" s="269">
        <f t="shared" ref="DX11:DX29" si="25">DW11</f>
        <v>0</v>
      </c>
      <c r="DY11" s="269">
        <f t="shared" ref="DY11:DY29" si="26">DX11</f>
        <v>0</v>
      </c>
      <c r="DZ11" s="269">
        <f t="shared" ref="DZ11:DZ29" si="27">DY11</f>
        <v>0</v>
      </c>
      <c r="EA11" s="287">
        <f t="shared" ref="EA11:EA29" si="28">DZ11</f>
        <v>0</v>
      </c>
      <c r="EB11" s="270"/>
      <c r="EC11" s="280">
        <f t="shared" ref="EC11:EC29" si="29">DZ11</f>
        <v>0</v>
      </c>
      <c r="ED11" s="269">
        <f t="shared" ref="ED11:ED29" si="30">EC11</f>
        <v>0</v>
      </c>
      <c r="EE11" s="269">
        <f t="shared" ref="EE11:EE29" si="31">ED11</f>
        <v>0</v>
      </c>
      <c r="EF11" s="269">
        <f t="shared" ref="EF11:EF29" si="32">EE11</f>
        <v>0</v>
      </c>
      <c r="EG11" s="287">
        <f t="shared" ref="EG11:EG29" si="33">EF11</f>
        <v>0</v>
      </c>
    </row>
    <row r="12" spans="1:137" ht="12.75" customHeight="1" x14ac:dyDescent="0.2">
      <c r="A12" s="302" t="s">
        <v>299</v>
      </c>
      <c r="B12" s="22">
        <v>2.3E-2</v>
      </c>
      <c r="C12" s="303">
        <v>2016</v>
      </c>
      <c r="E12" s="287"/>
      <c r="F12" s="270"/>
      <c r="G12" s="287"/>
      <c r="H12" s="270"/>
      <c r="I12" s="287"/>
      <c r="J12" s="270"/>
      <c r="K12" s="287"/>
      <c r="L12" s="270"/>
      <c r="M12" s="280"/>
      <c r="N12" s="269"/>
      <c r="O12" s="269"/>
      <c r="P12" s="269"/>
      <c r="Q12" s="287"/>
      <c r="R12" s="270"/>
      <c r="S12" s="280"/>
      <c r="T12" s="269"/>
      <c r="U12" s="269"/>
      <c r="V12" s="269"/>
      <c r="W12" s="287"/>
      <c r="X12" s="270"/>
      <c r="Y12" s="280"/>
      <c r="Z12" s="269"/>
      <c r="AA12" s="269"/>
      <c r="AB12" s="269"/>
      <c r="AC12" s="287"/>
      <c r="AD12" s="270"/>
      <c r="AE12" s="280"/>
      <c r="AF12" s="269"/>
      <c r="AG12" s="269"/>
      <c r="AH12" s="269"/>
      <c r="AI12" s="287"/>
      <c r="AJ12" s="270"/>
      <c r="AK12" s="280"/>
      <c r="AL12" s="269"/>
      <c r="AM12" s="269"/>
      <c r="AN12" s="269"/>
      <c r="AO12" s="287"/>
      <c r="AP12" s="270"/>
      <c r="AQ12" s="280"/>
      <c r="AR12" s="269"/>
      <c r="AS12" s="269"/>
      <c r="AT12" s="269"/>
      <c r="AU12" s="287"/>
      <c r="AV12" s="270"/>
      <c r="AW12" s="280"/>
      <c r="AX12" s="269"/>
      <c r="AY12" s="269"/>
      <c r="AZ12" s="269"/>
      <c r="BA12" s="287"/>
      <c r="BB12" s="270"/>
      <c r="BC12" s="280"/>
      <c r="BD12" s="269"/>
      <c r="BE12" s="269"/>
      <c r="BF12" s="269"/>
      <c r="BG12" s="287"/>
      <c r="BH12" s="270"/>
      <c r="BI12" s="280"/>
      <c r="BJ12" s="269"/>
      <c r="BK12" s="269"/>
      <c r="BL12" s="269"/>
      <c r="BM12" s="287"/>
      <c r="BN12" s="270"/>
      <c r="BO12" s="280"/>
      <c r="BP12" s="269"/>
      <c r="BQ12" s="269"/>
      <c r="BR12" s="269"/>
      <c r="BS12" s="287"/>
      <c r="BT12" s="270"/>
      <c r="BU12" s="280"/>
      <c r="BV12" s="269"/>
      <c r="BW12" s="269"/>
      <c r="BX12" s="269"/>
      <c r="BY12" s="287"/>
      <c r="BZ12" s="270"/>
      <c r="CA12" s="280"/>
      <c r="CB12" s="269"/>
      <c r="CC12" s="269"/>
      <c r="CD12" s="269"/>
      <c r="CE12" s="287"/>
      <c r="CF12" s="270"/>
      <c r="CG12" s="280"/>
      <c r="CH12" s="269"/>
      <c r="CI12" s="269"/>
      <c r="CJ12" s="269"/>
      <c r="CK12" s="287"/>
      <c r="CL12" s="270"/>
      <c r="CM12" s="293">
        <v>500</v>
      </c>
      <c r="CN12" s="278">
        <v>500</v>
      </c>
      <c r="CO12" s="278">
        <v>500</v>
      </c>
      <c r="CP12" s="278">
        <v>500</v>
      </c>
      <c r="CQ12" s="287">
        <f t="shared" si="9"/>
        <v>500</v>
      </c>
      <c r="CR12" s="270"/>
      <c r="CS12" s="293">
        <v>500</v>
      </c>
      <c r="CT12" s="278">
        <v>500</v>
      </c>
      <c r="CU12" s="278">
        <v>500</v>
      </c>
      <c r="CV12" s="278">
        <v>500</v>
      </c>
      <c r="CW12" s="287">
        <f t="shared" si="10"/>
        <v>500</v>
      </c>
      <c r="CX12" s="270"/>
      <c r="CY12" s="293">
        <v>500</v>
      </c>
      <c r="CZ12" s="278">
        <v>0</v>
      </c>
      <c r="DA12" s="278">
        <v>0</v>
      </c>
      <c r="DB12" s="278">
        <v>0</v>
      </c>
      <c r="DC12" s="287">
        <f t="shared" si="11"/>
        <v>0</v>
      </c>
      <c r="DD12" s="270"/>
      <c r="DE12" s="293">
        <v>0</v>
      </c>
      <c r="DF12" s="1159">
        <f t="shared" si="12"/>
        <v>0</v>
      </c>
      <c r="DG12" s="1159">
        <v>0</v>
      </c>
      <c r="DH12" s="278">
        <v>0</v>
      </c>
      <c r="DI12" s="287">
        <f t="shared" si="13"/>
        <v>0</v>
      </c>
      <c r="DJ12" s="270"/>
      <c r="DK12" s="280">
        <f t="shared" si="14"/>
        <v>0</v>
      </c>
      <c r="DL12" s="269">
        <f t="shared" si="15"/>
        <v>0</v>
      </c>
      <c r="DM12" s="269">
        <f t="shared" si="16"/>
        <v>0</v>
      </c>
      <c r="DN12" s="269">
        <f t="shared" si="17"/>
        <v>0</v>
      </c>
      <c r="DO12" s="287">
        <f t="shared" si="18"/>
        <v>0</v>
      </c>
      <c r="DP12" s="270"/>
      <c r="DQ12" s="280">
        <f t="shared" si="19"/>
        <v>0</v>
      </c>
      <c r="DR12" s="269">
        <f t="shared" si="20"/>
        <v>0</v>
      </c>
      <c r="DS12" s="269">
        <f t="shared" si="21"/>
        <v>0</v>
      </c>
      <c r="DT12" s="269">
        <f t="shared" si="22"/>
        <v>0</v>
      </c>
      <c r="DU12" s="287">
        <f t="shared" si="23"/>
        <v>0</v>
      </c>
      <c r="DV12" s="270"/>
      <c r="DW12" s="280">
        <f t="shared" si="24"/>
        <v>0</v>
      </c>
      <c r="DX12" s="269">
        <f t="shared" si="25"/>
        <v>0</v>
      </c>
      <c r="DY12" s="269">
        <f t="shared" si="26"/>
        <v>0</v>
      </c>
      <c r="DZ12" s="269">
        <f t="shared" si="27"/>
        <v>0</v>
      </c>
      <c r="EA12" s="287">
        <f t="shared" si="28"/>
        <v>0</v>
      </c>
      <c r="EB12" s="270"/>
      <c r="EC12" s="280">
        <f t="shared" si="29"/>
        <v>0</v>
      </c>
      <c r="ED12" s="269">
        <f t="shared" si="30"/>
        <v>0</v>
      </c>
      <c r="EE12" s="269">
        <f t="shared" si="31"/>
        <v>0</v>
      </c>
      <c r="EF12" s="269">
        <f t="shared" si="32"/>
        <v>0</v>
      </c>
      <c r="EG12" s="287">
        <f t="shared" si="33"/>
        <v>0</v>
      </c>
    </row>
    <row r="13" spans="1:137" ht="12.75" customHeight="1" x14ac:dyDescent="0.2">
      <c r="A13" s="302" t="s">
        <v>300</v>
      </c>
      <c r="B13" s="22">
        <v>6.0000000000000001E-3</v>
      </c>
      <c r="C13" s="303">
        <v>2017</v>
      </c>
      <c r="E13" s="287"/>
      <c r="F13" s="270"/>
      <c r="G13" s="287"/>
      <c r="H13" s="270"/>
      <c r="I13" s="287"/>
      <c r="J13" s="270"/>
      <c r="K13" s="287"/>
      <c r="L13" s="270"/>
      <c r="M13" s="280"/>
      <c r="N13" s="269"/>
      <c r="O13" s="269"/>
      <c r="P13" s="269"/>
      <c r="Q13" s="287"/>
      <c r="R13" s="270"/>
      <c r="S13" s="280"/>
      <c r="T13" s="269"/>
      <c r="U13" s="269"/>
      <c r="V13" s="269"/>
      <c r="W13" s="287"/>
      <c r="X13" s="270"/>
      <c r="Y13" s="280"/>
      <c r="Z13" s="269"/>
      <c r="AA13" s="269"/>
      <c r="AB13" s="269"/>
      <c r="AC13" s="287"/>
      <c r="AD13" s="270"/>
      <c r="AE13" s="280"/>
      <c r="AF13" s="269"/>
      <c r="AG13" s="269"/>
      <c r="AH13" s="269"/>
      <c r="AI13" s="287"/>
      <c r="AJ13" s="270"/>
      <c r="AK13" s="280"/>
      <c r="AL13" s="269"/>
      <c r="AM13" s="269"/>
      <c r="AN13" s="269"/>
      <c r="AO13" s="287"/>
      <c r="AP13" s="270"/>
      <c r="AQ13" s="280"/>
      <c r="AR13" s="269"/>
      <c r="AS13" s="269"/>
      <c r="AT13" s="269"/>
      <c r="AU13" s="287"/>
      <c r="AV13" s="270"/>
      <c r="AW13" s="280"/>
      <c r="AX13" s="269"/>
      <c r="AY13" s="269"/>
      <c r="AZ13" s="269"/>
      <c r="BA13" s="287"/>
      <c r="BB13" s="270"/>
      <c r="BC13" s="280"/>
      <c r="BD13" s="269"/>
      <c r="BE13" s="269"/>
      <c r="BF13" s="269"/>
      <c r="BG13" s="287"/>
      <c r="BH13" s="270"/>
      <c r="BI13" s="280"/>
      <c r="BJ13" s="269"/>
      <c r="BK13" s="269"/>
      <c r="BL13" s="269"/>
      <c r="BM13" s="287"/>
      <c r="BN13" s="270"/>
      <c r="BO13" s="280"/>
      <c r="BP13" s="269"/>
      <c r="BQ13" s="269"/>
      <c r="BR13" s="269"/>
      <c r="BS13" s="287"/>
      <c r="BT13" s="270"/>
      <c r="BU13" s="280"/>
      <c r="BV13" s="269"/>
      <c r="BW13" s="269"/>
      <c r="BX13" s="269"/>
      <c r="BY13" s="287"/>
      <c r="BZ13" s="270"/>
      <c r="CA13" s="280"/>
      <c r="CB13" s="269"/>
      <c r="CC13" s="269"/>
      <c r="CD13" s="269"/>
      <c r="CE13" s="287"/>
      <c r="CF13" s="270"/>
      <c r="CG13" s="280"/>
      <c r="CH13" s="269"/>
      <c r="CI13" s="269"/>
      <c r="CJ13" s="269"/>
      <c r="CK13" s="287"/>
      <c r="CL13" s="270"/>
      <c r="CM13" s="293">
        <v>0</v>
      </c>
      <c r="CN13" s="278">
        <v>0</v>
      </c>
      <c r="CO13" s="278">
        <v>0</v>
      </c>
      <c r="CP13" s="278">
        <v>0</v>
      </c>
      <c r="CQ13" s="287">
        <f t="shared" si="9"/>
        <v>0</v>
      </c>
      <c r="CR13" s="270"/>
      <c r="CS13" s="293">
        <v>0</v>
      </c>
      <c r="CT13" s="278">
        <v>0</v>
      </c>
      <c r="CU13" s="278">
        <v>562.1</v>
      </c>
      <c r="CV13" s="278">
        <v>544.79999999999995</v>
      </c>
      <c r="CW13" s="287">
        <f t="shared" si="10"/>
        <v>544.79999999999995</v>
      </c>
      <c r="CX13" s="270"/>
      <c r="CY13" s="293">
        <v>571.4</v>
      </c>
      <c r="CZ13" s="278">
        <v>558.29999999999995</v>
      </c>
      <c r="DA13" s="278">
        <v>561.20000000000005</v>
      </c>
      <c r="DB13" s="278">
        <v>526</v>
      </c>
      <c r="DC13" s="287">
        <f t="shared" si="11"/>
        <v>526</v>
      </c>
      <c r="DD13" s="270"/>
      <c r="DE13" s="293">
        <v>533.29999999999995</v>
      </c>
      <c r="DF13" s="1159">
        <v>0</v>
      </c>
      <c r="DG13" s="1159">
        <v>0</v>
      </c>
      <c r="DH13" s="278">
        <v>0</v>
      </c>
      <c r="DI13" s="287">
        <f t="shared" si="13"/>
        <v>0</v>
      </c>
      <c r="DJ13" s="270"/>
      <c r="DK13" s="280">
        <f t="shared" si="14"/>
        <v>0</v>
      </c>
      <c r="DL13" s="269">
        <f t="shared" si="15"/>
        <v>0</v>
      </c>
      <c r="DM13" s="269">
        <f t="shared" si="16"/>
        <v>0</v>
      </c>
      <c r="DN13" s="269">
        <f t="shared" si="17"/>
        <v>0</v>
      </c>
      <c r="DO13" s="287">
        <f t="shared" si="18"/>
        <v>0</v>
      </c>
      <c r="DP13" s="270"/>
      <c r="DQ13" s="280">
        <f t="shared" si="19"/>
        <v>0</v>
      </c>
      <c r="DR13" s="269">
        <f t="shared" si="20"/>
        <v>0</v>
      </c>
      <c r="DS13" s="269">
        <f t="shared" si="21"/>
        <v>0</v>
      </c>
      <c r="DT13" s="269">
        <f t="shared" si="22"/>
        <v>0</v>
      </c>
      <c r="DU13" s="287">
        <f t="shared" si="23"/>
        <v>0</v>
      </c>
      <c r="DV13" s="270"/>
      <c r="DW13" s="280">
        <f t="shared" si="24"/>
        <v>0</v>
      </c>
      <c r="DX13" s="269">
        <f t="shared" si="25"/>
        <v>0</v>
      </c>
      <c r="DY13" s="269">
        <f t="shared" si="26"/>
        <v>0</v>
      </c>
      <c r="DZ13" s="269">
        <f t="shared" si="27"/>
        <v>0</v>
      </c>
      <c r="EA13" s="287">
        <f t="shared" si="28"/>
        <v>0</v>
      </c>
      <c r="EB13" s="270"/>
      <c r="EC13" s="280">
        <f t="shared" si="29"/>
        <v>0</v>
      </c>
      <c r="ED13" s="269">
        <f t="shared" si="30"/>
        <v>0</v>
      </c>
      <c r="EE13" s="269">
        <f t="shared" si="31"/>
        <v>0</v>
      </c>
      <c r="EF13" s="269">
        <f t="shared" si="32"/>
        <v>0</v>
      </c>
      <c r="EG13" s="287">
        <f t="shared" si="33"/>
        <v>0</v>
      </c>
    </row>
    <row r="14" spans="1:137" ht="12.75" customHeight="1" x14ac:dyDescent="0.2">
      <c r="A14" s="302" t="s">
        <v>299</v>
      </c>
      <c r="B14" s="22">
        <v>1.6500000000000001E-2</v>
      </c>
      <c r="C14" s="303">
        <v>2018</v>
      </c>
      <c r="E14" s="287"/>
      <c r="F14" s="270"/>
      <c r="G14" s="287"/>
      <c r="H14" s="270"/>
      <c r="I14" s="287"/>
      <c r="J14" s="270"/>
      <c r="K14" s="287"/>
      <c r="L14" s="270"/>
      <c r="M14" s="280"/>
      <c r="N14" s="269"/>
      <c r="O14" s="269"/>
      <c r="P14" s="269"/>
      <c r="Q14" s="287"/>
      <c r="R14" s="270"/>
      <c r="S14" s="280"/>
      <c r="T14" s="269"/>
      <c r="U14" s="269"/>
      <c r="V14" s="269"/>
      <c r="W14" s="287"/>
      <c r="X14" s="270"/>
      <c r="Y14" s="280"/>
      <c r="Z14" s="269"/>
      <c r="AA14" s="269"/>
      <c r="AB14" s="269"/>
      <c r="AC14" s="287"/>
      <c r="AD14" s="270"/>
      <c r="AE14" s="280"/>
      <c r="AF14" s="269"/>
      <c r="AG14" s="269"/>
      <c r="AH14" s="269"/>
      <c r="AI14" s="287"/>
      <c r="AJ14" s="270"/>
      <c r="AK14" s="280"/>
      <c r="AL14" s="269"/>
      <c r="AM14" s="269"/>
      <c r="AN14" s="269"/>
      <c r="AO14" s="287"/>
      <c r="AP14" s="270"/>
      <c r="AQ14" s="280"/>
      <c r="AR14" s="269"/>
      <c r="AS14" s="269"/>
      <c r="AT14" s="269"/>
      <c r="AU14" s="287"/>
      <c r="AV14" s="270"/>
      <c r="AW14" s="280"/>
      <c r="AX14" s="269"/>
      <c r="AY14" s="269"/>
      <c r="AZ14" s="269"/>
      <c r="BA14" s="287"/>
      <c r="BB14" s="270"/>
      <c r="BC14" s="280"/>
      <c r="BD14" s="269"/>
      <c r="BE14" s="269"/>
      <c r="BF14" s="269"/>
      <c r="BG14" s="287"/>
      <c r="BH14" s="270"/>
      <c r="BI14" s="280"/>
      <c r="BJ14" s="269"/>
      <c r="BK14" s="269"/>
      <c r="BL14" s="269"/>
      <c r="BM14" s="287"/>
      <c r="BN14" s="270"/>
      <c r="BO14" s="280"/>
      <c r="BP14" s="269"/>
      <c r="BQ14" s="269"/>
      <c r="BR14" s="269"/>
      <c r="BS14" s="287"/>
      <c r="BT14" s="270"/>
      <c r="BU14" s="280"/>
      <c r="BV14" s="269"/>
      <c r="BW14" s="269"/>
      <c r="BX14" s="269"/>
      <c r="BY14" s="287"/>
      <c r="BZ14" s="270"/>
      <c r="CA14" s="280"/>
      <c r="CB14" s="269"/>
      <c r="CC14" s="269"/>
      <c r="CD14" s="269"/>
      <c r="CE14" s="287"/>
      <c r="CF14" s="270"/>
      <c r="CG14" s="280"/>
      <c r="CH14" s="269"/>
      <c r="CI14" s="269"/>
      <c r="CJ14" s="269"/>
      <c r="CK14" s="287"/>
      <c r="CL14" s="270"/>
      <c r="CM14" s="293">
        <v>0</v>
      </c>
      <c r="CN14" s="278">
        <v>0</v>
      </c>
      <c r="CO14" s="278">
        <v>0</v>
      </c>
      <c r="CP14" s="278">
        <v>0</v>
      </c>
      <c r="CQ14" s="287">
        <f t="shared" si="9"/>
        <v>0</v>
      </c>
      <c r="CR14" s="270"/>
      <c r="CS14" s="293">
        <v>0</v>
      </c>
      <c r="CT14" s="278">
        <v>0</v>
      </c>
      <c r="CU14" s="278">
        <v>496.8</v>
      </c>
      <c r="CV14" s="278">
        <v>497.1</v>
      </c>
      <c r="CW14" s="287">
        <f t="shared" si="10"/>
        <v>497.1</v>
      </c>
      <c r="CX14" s="270"/>
      <c r="CY14" s="293">
        <v>497.3</v>
      </c>
      <c r="CZ14" s="278">
        <v>497.6</v>
      </c>
      <c r="DA14" s="278">
        <v>497.9</v>
      </c>
      <c r="DB14" s="278">
        <v>498.1</v>
      </c>
      <c r="DC14" s="287">
        <f t="shared" si="11"/>
        <v>498.1</v>
      </c>
      <c r="DD14" s="270"/>
      <c r="DE14" s="293">
        <v>498.4</v>
      </c>
      <c r="DF14" s="1159">
        <v>498.7</v>
      </c>
      <c r="DG14" s="1159">
        <v>499</v>
      </c>
      <c r="DH14" s="278">
        <v>499.2</v>
      </c>
      <c r="DI14" s="287">
        <f t="shared" si="13"/>
        <v>499.2</v>
      </c>
      <c r="DJ14" s="270"/>
      <c r="DK14" s="280">
        <f t="shared" si="14"/>
        <v>499.2</v>
      </c>
      <c r="DL14" s="269">
        <f t="shared" si="15"/>
        <v>499.2</v>
      </c>
      <c r="DM14" s="269">
        <f t="shared" si="16"/>
        <v>499.2</v>
      </c>
      <c r="DN14" s="269">
        <f t="shared" si="17"/>
        <v>499.2</v>
      </c>
      <c r="DO14" s="287">
        <f t="shared" si="18"/>
        <v>499.2</v>
      </c>
      <c r="DP14" s="270"/>
      <c r="DQ14" s="280">
        <f t="shared" si="19"/>
        <v>499.2</v>
      </c>
      <c r="DR14" s="269">
        <f t="shared" si="20"/>
        <v>499.2</v>
      </c>
      <c r="DS14" s="269">
        <f t="shared" si="21"/>
        <v>499.2</v>
      </c>
      <c r="DT14" s="269">
        <f t="shared" si="22"/>
        <v>499.2</v>
      </c>
      <c r="DU14" s="287">
        <f t="shared" si="23"/>
        <v>499.2</v>
      </c>
      <c r="DV14" s="270"/>
      <c r="DW14" s="280">
        <f t="shared" si="24"/>
        <v>499.2</v>
      </c>
      <c r="DX14" s="269">
        <f t="shared" si="25"/>
        <v>499.2</v>
      </c>
      <c r="DY14" s="269">
        <f t="shared" si="26"/>
        <v>499.2</v>
      </c>
      <c r="DZ14" s="269">
        <f t="shared" si="27"/>
        <v>499.2</v>
      </c>
      <c r="EA14" s="287">
        <f t="shared" si="28"/>
        <v>499.2</v>
      </c>
      <c r="EB14" s="270"/>
      <c r="EC14" s="280">
        <f t="shared" si="29"/>
        <v>499.2</v>
      </c>
      <c r="ED14" s="269">
        <f t="shared" si="30"/>
        <v>499.2</v>
      </c>
      <c r="EE14" s="269">
        <f t="shared" si="31"/>
        <v>499.2</v>
      </c>
      <c r="EF14" s="269">
        <f t="shared" si="32"/>
        <v>499.2</v>
      </c>
      <c r="EG14" s="287">
        <f t="shared" si="33"/>
        <v>499.2</v>
      </c>
    </row>
    <row r="15" spans="1:137" ht="12.75" customHeight="1" x14ac:dyDescent="0.2">
      <c r="A15" s="302" t="s">
        <v>299</v>
      </c>
      <c r="B15" s="22">
        <v>5.6250000000000001E-2</v>
      </c>
      <c r="C15" s="303">
        <v>2018</v>
      </c>
      <c r="E15" s="287"/>
      <c r="F15" s="270"/>
      <c r="G15" s="287"/>
      <c r="H15" s="270"/>
      <c r="I15" s="287"/>
      <c r="J15" s="270"/>
      <c r="K15" s="287"/>
      <c r="L15" s="270"/>
      <c r="M15" s="280"/>
      <c r="N15" s="269"/>
      <c r="O15" s="269"/>
      <c r="P15" s="269"/>
      <c r="Q15" s="287"/>
      <c r="R15" s="270"/>
      <c r="S15" s="280"/>
      <c r="T15" s="269"/>
      <c r="U15" s="269"/>
      <c r="V15" s="269"/>
      <c r="W15" s="287"/>
      <c r="X15" s="270"/>
      <c r="Y15" s="280"/>
      <c r="Z15" s="269"/>
      <c r="AA15" s="269"/>
      <c r="AB15" s="269"/>
      <c r="AC15" s="287"/>
      <c r="AD15" s="270"/>
      <c r="AE15" s="280"/>
      <c r="AF15" s="269"/>
      <c r="AG15" s="269"/>
      <c r="AH15" s="269"/>
      <c r="AI15" s="287"/>
      <c r="AJ15" s="270"/>
      <c r="AK15" s="280"/>
      <c r="AL15" s="269"/>
      <c r="AM15" s="269"/>
      <c r="AN15" s="269"/>
      <c r="AO15" s="287"/>
      <c r="AP15" s="270"/>
      <c r="AQ15" s="280"/>
      <c r="AR15" s="269"/>
      <c r="AS15" s="269"/>
      <c r="AT15" s="269"/>
      <c r="AU15" s="287"/>
      <c r="AV15" s="270"/>
      <c r="AW15" s="280"/>
      <c r="AX15" s="269"/>
      <c r="AY15" s="269"/>
      <c r="AZ15" s="269"/>
      <c r="BA15" s="287"/>
      <c r="BB15" s="270"/>
      <c r="BC15" s="280"/>
      <c r="BD15" s="269"/>
      <c r="BE15" s="269"/>
      <c r="BF15" s="269"/>
      <c r="BG15" s="287"/>
      <c r="BH15" s="270"/>
      <c r="BI15" s="280"/>
      <c r="BJ15" s="269"/>
      <c r="BK15" s="269"/>
      <c r="BL15" s="269"/>
      <c r="BM15" s="287"/>
      <c r="BN15" s="270"/>
      <c r="BO15" s="280"/>
      <c r="BP15" s="269"/>
      <c r="BQ15" s="269"/>
      <c r="BR15" s="269"/>
      <c r="BS15" s="287"/>
      <c r="BT15" s="270"/>
      <c r="BU15" s="280"/>
      <c r="BV15" s="269"/>
      <c r="BW15" s="269"/>
      <c r="BX15" s="269"/>
      <c r="BY15" s="287"/>
      <c r="BZ15" s="270"/>
      <c r="CA15" s="280"/>
      <c r="CB15" s="269"/>
      <c r="CC15" s="269"/>
      <c r="CD15" s="269"/>
      <c r="CE15" s="287"/>
      <c r="CF15" s="270"/>
      <c r="CG15" s="280"/>
      <c r="CH15" s="269"/>
      <c r="CI15" s="269"/>
      <c r="CJ15" s="269"/>
      <c r="CK15" s="287"/>
      <c r="CL15" s="270"/>
      <c r="CM15" s="293">
        <v>500</v>
      </c>
      <c r="CN15" s="278">
        <v>500</v>
      </c>
      <c r="CO15" s="278">
        <v>500</v>
      </c>
      <c r="CP15" s="278">
        <v>500</v>
      </c>
      <c r="CQ15" s="287">
        <f t="shared" si="9"/>
        <v>500</v>
      </c>
      <c r="CR15" s="270"/>
      <c r="CS15" s="293">
        <v>500</v>
      </c>
      <c r="CT15" s="278">
        <v>500</v>
      </c>
      <c r="CU15" s="278">
        <v>500</v>
      </c>
      <c r="CV15" s="278">
        <v>500</v>
      </c>
      <c r="CW15" s="287">
        <f t="shared" si="10"/>
        <v>500</v>
      </c>
      <c r="CX15" s="270"/>
      <c r="CY15" s="293">
        <v>500</v>
      </c>
      <c r="CZ15" s="278">
        <v>500</v>
      </c>
      <c r="DA15" s="278">
        <v>0</v>
      </c>
      <c r="DB15" s="278">
        <v>0</v>
      </c>
      <c r="DC15" s="287">
        <f t="shared" si="11"/>
        <v>0</v>
      </c>
      <c r="DD15" s="270"/>
      <c r="DE15" s="293">
        <v>0</v>
      </c>
      <c r="DF15" s="1159">
        <f t="shared" si="12"/>
        <v>0</v>
      </c>
      <c r="DG15" s="1159">
        <v>0</v>
      </c>
      <c r="DH15" s="278">
        <v>0</v>
      </c>
      <c r="DI15" s="287">
        <f t="shared" si="13"/>
        <v>0</v>
      </c>
      <c r="DJ15" s="270"/>
      <c r="DK15" s="280">
        <f t="shared" si="14"/>
        <v>0</v>
      </c>
      <c r="DL15" s="269">
        <f t="shared" si="15"/>
        <v>0</v>
      </c>
      <c r="DM15" s="269">
        <f t="shared" si="16"/>
        <v>0</v>
      </c>
      <c r="DN15" s="269">
        <f t="shared" si="17"/>
        <v>0</v>
      </c>
      <c r="DO15" s="287">
        <f t="shared" si="18"/>
        <v>0</v>
      </c>
      <c r="DP15" s="270"/>
      <c r="DQ15" s="280">
        <f t="shared" si="19"/>
        <v>0</v>
      </c>
      <c r="DR15" s="269">
        <f t="shared" si="20"/>
        <v>0</v>
      </c>
      <c r="DS15" s="269">
        <f t="shared" si="21"/>
        <v>0</v>
      </c>
      <c r="DT15" s="269">
        <f t="shared" si="22"/>
        <v>0</v>
      </c>
      <c r="DU15" s="287">
        <f t="shared" si="23"/>
        <v>0</v>
      </c>
      <c r="DV15" s="270"/>
      <c r="DW15" s="280">
        <f t="shared" si="24"/>
        <v>0</v>
      </c>
      <c r="DX15" s="269">
        <f t="shared" si="25"/>
        <v>0</v>
      </c>
      <c r="DY15" s="269">
        <f t="shared" si="26"/>
        <v>0</v>
      </c>
      <c r="DZ15" s="269">
        <f t="shared" si="27"/>
        <v>0</v>
      </c>
      <c r="EA15" s="287">
        <f t="shared" si="28"/>
        <v>0</v>
      </c>
      <c r="EB15" s="270"/>
      <c r="EC15" s="280">
        <f t="shared" si="29"/>
        <v>0</v>
      </c>
      <c r="ED15" s="269">
        <f t="shared" si="30"/>
        <v>0</v>
      </c>
      <c r="EE15" s="269">
        <f t="shared" si="31"/>
        <v>0</v>
      </c>
      <c r="EF15" s="269">
        <f t="shared" si="32"/>
        <v>0</v>
      </c>
      <c r="EG15" s="287">
        <f t="shared" si="33"/>
        <v>0</v>
      </c>
    </row>
    <row r="16" spans="1:137" ht="12.75" customHeight="1" x14ac:dyDescent="0.2">
      <c r="A16" s="302" t="s">
        <v>299</v>
      </c>
      <c r="B16" s="22">
        <v>0.01</v>
      </c>
      <c r="C16" s="303">
        <v>2019</v>
      </c>
      <c r="E16" s="287"/>
      <c r="F16" s="270"/>
      <c r="G16" s="287"/>
      <c r="H16" s="270"/>
      <c r="I16" s="287"/>
      <c r="J16" s="270"/>
      <c r="K16" s="287"/>
      <c r="L16" s="270"/>
      <c r="M16" s="280"/>
      <c r="N16" s="269"/>
      <c r="O16" s="269"/>
      <c r="P16" s="269"/>
      <c r="Q16" s="287"/>
      <c r="R16" s="270"/>
      <c r="S16" s="280"/>
      <c r="T16" s="269"/>
      <c r="U16" s="269"/>
      <c r="V16" s="269"/>
      <c r="W16" s="287"/>
      <c r="X16" s="270"/>
      <c r="Y16" s="280"/>
      <c r="Z16" s="269"/>
      <c r="AA16" s="269"/>
      <c r="AB16" s="269"/>
      <c r="AC16" s="287"/>
      <c r="AD16" s="270"/>
      <c r="AE16" s="280"/>
      <c r="AF16" s="269"/>
      <c r="AG16" s="269"/>
      <c r="AH16" s="269"/>
      <c r="AI16" s="287"/>
      <c r="AJ16" s="270"/>
      <c r="AK16" s="280"/>
      <c r="AL16" s="269"/>
      <c r="AM16" s="269"/>
      <c r="AN16" s="269"/>
      <c r="AO16" s="287"/>
      <c r="AP16" s="270"/>
      <c r="AQ16" s="280"/>
      <c r="AR16" s="269"/>
      <c r="AS16" s="269"/>
      <c r="AT16" s="269"/>
      <c r="AU16" s="287"/>
      <c r="AV16" s="270"/>
      <c r="AW16" s="280"/>
      <c r="AX16" s="269"/>
      <c r="AY16" s="269"/>
      <c r="AZ16" s="269"/>
      <c r="BA16" s="287"/>
      <c r="BB16" s="270"/>
      <c r="BC16" s="280"/>
      <c r="BD16" s="269"/>
      <c r="BE16" s="269"/>
      <c r="BF16" s="269"/>
      <c r="BG16" s="287"/>
      <c r="BH16" s="270"/>
      <c r="BI16" s="280"/>
      <c r="BJ16" s="269"/>
      <c r="BK16" s="269"/>
      <c r="BL16" s="269"/>
      <c r="BM16" s="287"/>
      <c r="BN16" s="270"/>
      <c r="BO16" s="280"/>
      <c r="BP16" s="269"/>
      <c r="BQ16" s="269"/>
      <c r="BR16" s="269"/>
      <c r="BS16" s="287"/>
      <c r="BT16" s="270"/>
      <c r="BU16" s="280"/>
      <c r="BV16" s="269"/>
      <c r="BW16" s="269"/>
      <c r="BX16" s="269"/>
      <c r="BY16" s="287"/>
      <c r="BZ16" s="270"/>
      <c r="CA16" s="280"/>
      <c r="CB16" s="269"/>
      <c r="CC16" s="269"/>
      <c r="CD16" s="269"/>
      <c r="CE16" s="287"/>
      <c r="CF16" s="270"/>
      <c r="CG16" s="280"/>
      <c r="CH16" s="269"/>
      <c r="CI16" s="269"/>
      <c r="CJ16" s="269"/>
      <c r="CK16" s="287"/>
      <c r="CL16" s="270"/>
      <c r="CM16" s="293">
        <v>0</v>
      </c>
      <c r="CN16" s="278">
        <v>0</v>
      </c>
      <c r="CO16" s="278">
        <v>0</v>
      </c>
      <c r="CP16" s="278">
        <v>0</v>
      </c>
      <c r="CQ16" s="287">
        <f t="shared" si="9"/>
        <v>0</v>
      </c>
      <c r="CR16" s="270"/>
      <c r="CS16" s="293">
        <v>0</v>
      </c>
      <c r="CT16" s="278">
        <v>0</v>
      </c>
      <c r="CU16" s="278">
        <v>671.8</v>
      </c>
      <c r="CV16" s="278">
        <v>651</v>
      </c>
      <c r="CW16" s="287">
        <f t="shared" si="10"/>
        <v>651</v>
      </c>
      <c r="CX16" s="270"/>
      <c r="CY16" s="293">
        <v>682.6</v>
      </c>
      <c r="CZ16" s="278">
        <v>667.3</v>
      </c>
      <c r="DA16" s="278">
        <v>670.9</v>
      </c>
      <c r="DB16" s="278">
        <v>628.6</v>
      </c>
      <c r="DC16" s="287">
        <f t="shared" si="11"/>
        <v>628.6</v>
      </c>
      <c r="DD16" s="270"/>
      <c r="DE16" s="293">
        <v>637.5</v>
      </c>
      <c r="DF16" s="1159">
        <v>682.6</v>
      </c>
      <c r="DG16" s="1159">
        <v>706.9</v>
      </c>
      <c r="DH16" s="278">
        <v>718.4</v>
      </c>
      <c r="DI16" s="287">
        <f t="shared" si="13"/>
        <v>718.4</v>
      </c>
      <c r="DJ16" s="270"/>
      <c r="DK16" s="280">
        <f t="shared" si="14"/>
        <v>718.4</v>
      </c>
      <c r="DL16" s="269">
        <f t="shared" si="15"/>
        <v>718.4</v>
      </c>
      <c r="DM16" s="269">
        <f t="shared" si="16"/>
        <v>718.4</v>
      </c>
      <c r="DN16" s="269">
        <f t="shared" si="17"/>
        <v>718.4</v>
      </c>
      <c r="DO16" s="287">
        <f t="shared" si="18"/>
        <v>718.4</v>
      </c>
      <c r="DP16" s="270"/>
      <c r="DQ16" s="280">
        <f t="shared" si="19"/>
        <v>718.4</v>
      </c>
      <c r="DR16" s="269">
        <f t="shared" si="20"/>
        <v>718.4</v>
      </c>
      <c r="DS16" s="269">
        <f t="shared" si="21"/>
        <v>718.4</v>
      </c>
      <c r="DT16" s="269">
        <f t="shared" si="22"/>
        <v>718.4</v>
      </c>
      <c r="DU16" s="287">
        <f t="shared" si="23"/>
        <v>718.4</v>
      </c>
      <c r="DV16" s="270"/>
      <c r="DW16" s="280">
        <f t="shared" si="24"/>
        <v>718.4</v>
      </c>
      <c r="DX16" s="269">
        <f t="shared" si="25"/>
        <v>718.4</v>
      </c>
      <c r="DY16" s="269">
        <f t="shared" si="26"/>
        <v>718.4</v>
      </c>
      <c r="DZ16" s="269">
        <f t="shared" si="27"/>
        <v>718.4</v>
      </c>
      <c r="EA16" s="287">
        <f t="shared" si="28"/>
        <v>718.4</v>
      </c>
      <c r="EB16" s="270"/>
      <c r="EC16" s="280">
        <f t="shared" si="29"/>
        <v>718.4</v>
      </c>
      <c r="ED16" s="269">
        <f t="shared" si="30"/>
        <v>718.4</v>
      </c>
      <c r="EE16" s="269">
        <f t="shared" si="31"/>
        <v>718.4</v>
      </c>
      <c r="EF16" s="269">
        <f t="shared" si="32"/>
        <v>718.4</v>
      </c>
      <c r="EG16" s="287">
        <f t="shared" si="33"/>
        <v>718.4</v>
      </c>
    </row>
    <row r="17" spans="1:137" ht="12.75" customHeight="1" x14ac:dyDescent="0.2">
      <c r="A17" s="302" t="s">
        <v>299</v>
      </c>
      <c r="B17" s="22">
        <v>5.3999999999999999E-2</v>
      </c>
      <c r="C17" s="303">
        <v>2019</v>
      </c>
      <c r="E17" s="287"/>
      <c r="F17" s="270"/>
      <c r="G17" s="287"/>
      <c r="H17" s="270"/>
      <c r="I17" s="287"/>
      <c r="J17" s="270"/>
      <c r="K17" s="287"/>
      <c r="L17" s="270"/>
      <c r="M17" s="280"/>
      <c r="N17" s="269"/>
      <c r="O17" s="269"/>
      <c r="P17" s="269"/>
      <c r="Q17" s="287"/>
      <c r="R17" s="270"/>
      <c r="S17" s="280"/>
      <c r="T17" s="269"/>
      <c r="U17" s="269"/>
      <c r="V17" s="269"/>
      <c r="W17" s="287"/>
      <c r="X17" s="270"/>
      <c r="Y17" s="280"/>
      <c r="Z17" s="269"/>
      <c r="AA17" s="269"/>
      <c r="AB17" s="269"/>
      <c r="AC17" s="287"/>
      <c r="AD17" s="270"/>
      <c r="AE17" s="280"/>
      <c r="AF17" s="269"/>
      <c r="AG17" s="269"/>
      <c r="AH17" s="269"/>
      <c r="AI17" s="287"/>
      <c r="AJ17" s="270"/>
      <c r="AK17" s="280"/>
      <c r="AL17" s="269"/>
      <c r="AM17" s="269"/>
      <c r="AN17" s="269"/>
      <c r="AO17" s="287"/>
      <c r="AP17" s="270"/>
      <c r="AQ17" s="280"/>
      <c r="AR17" s="269"/>
      <c r="AS17" s="269"/>
      <c r="AT17" s="269"/>
      <c r="AU17" s="287"/>
      <c r="AV17" s="270"/>
      <c r="AW17" s="280"/>
      <c r="AX17" s="269"/>
      <c r="AY17" s="269"/>
      <c r="AZ17" s="269"/>
      <c r="BA17" s="287"/>
      <c r="BB17" s="270"/>
      <c r="BC17" s="280"/>
      <c r="BD17" s="269"/>
      <c r="BE17" s="269"/>
      <c r="BF17" s="269"/>
      <c r="BG17" s="287"/>
      <c r="BH17" s="270"/>
      <c r="BI17" s="280"/>
      <c r="BJ17" s="269"/>
      <c r="BK17" s="269"/>
      <c r="BL17" s="269"/>
      <c r="BM17" s="287"/>
      <c r="BN17" s="270"/>
      <c r="BO17" s="280"/>
      <c r="BP17" s="269"/>
      <c r="BQ17" s="269"/>
      <c r="BR17" s="269"/>
      <c r="BS17" s="287"/>
      <c r="BT17" s="270"/>
      <c r="BU17" s="280"/>
      <c r="BV17" s="269"/>
      <c r="BW17" s="269"/>
      <c r="BX17" s="269"/>
      <c r="BY17" s="287"/>
      <c r="BZ17" s="270"/>
      <c r="CA17" s="280"/>
      <c r="CB17" s="269"/>
      <c r="CC17" s="269"/>
      <c r="CD17" s="269"/>
      <c r="CE17" s="287"/>
      <c r="CF17" s="270"/>
      <c r="CG17" s="280"/>
      <c r="CH17" s="269"/>
      <c r="CI17" s="269"/>
      <c r="CJ17" s="269"/>
      <c r="CK17" s="287"/>
      <c r="CL17" s="270"/>
      <c r="CM17" s="293">
        <v>750</v>
      </c>
      <c r="CN17" s="278">
        <v>750</v>
      </c>
      <c r="CO17" s="278">
        <v>750</v>
      </c>
      <c r="CP17" s="278">
        <v>750</v>
      </c>
      <c r="CQ17" s="287">
        <f t="shared" si="9"/>
        <v>750</v>
      </c>
      <c r="CR17" s="270"/>
      <c r="CS17" s="293">
        <v>750</v>
      </c>
      <c r="CT17" s="278">
        <v>750</v>
      </c>
      <c r="CU17" s="278">
        <v>750</v>
      </c>
      <c r="CV17" s="278">
        <v>750</v>
      </c>
      <c r="CW17" s="287">
        <f t="shared" si="10"/>
        <v>750</v>
      </c>
      <c r="CX17" s="270"/>
      <c r="CY17" s="293">
        <v>750</v>
      </c>
      <c r="CZ17" s="278">
        <v>750</v>
      </c>
      <c r="DA17" s="278">
        <v>0</v>
      </c>
      <c r="DB17" s="278">
        <v>0</v>
      </c>
      <c r="DC17" s="287">
        <f t="shared" si="11"/>
        <v>0</v>
      </c>
      <c r="DD17" s="270"/>
      <c r="DE17" s="293">
        <v>0</v>
      </c>
      <c r="DF17" s="1159">
        <f t="shared" si="12"/>
        <v>0</v>
      </c>
      <c r="DG17" s="1159">
        <v>0</v>
      </c>
      <c r="DH17" s="278">
        <v>0</v>
      </c>
      <c r="DI17" s="287">
        <f t="shared" si="13"/>
        <v>0</v>
      </c>
      <c r="DJ17" s="270"/>
      <c r="DK17" s="280">
        <f t="shared" si="14"/>
        <v>0</v>
      </c>
      <c r="DL17" s="269">
        <f t="shared" si="15"/>
        <v>0</v>
      </c>
      <c r="DM17" s="269">
        <f t="shared" si="16"/>
        <v>0</v>
      </c>
      <c r="DN17" s="269">
        <f t="shared" si="17"/>
        <v>0</v>
      </c>
      <c r="DO17" s="287">
        <f t="shared" si="18"/>
        <v>0</v>
      </c>
      <c r="DP17" s="270"/>
      <c r="DQ17" s="280">
        <f t="shared" si="19"/>
        <v>0</v>
      </c>
      <c r="DR17" s="269">
        <f t="shared" si="20"/>
        <v>0</v>
      </c>
      <c r="DS17" s="269">
        <f t="shared" si="21"/>
        <v>0</v>
      </c>
      <c r="DT17" s="269">
        <f t="shared" si="22"/>
        <v>0</v>
      </c>
      <c r="DU17" s="287">
        <f t="shared" si="23"/>
        <v>0</v>
      </c>
      <c r="DV17" s="270"/>
      <c r="DW17" s="280">
        <f t="shared" si="24"/>
        <v>0</v>
      </c>
      <c r="DX17" s="269">
        <f t="shared" si="25"/>
        <v>0</v>
      </c>
      <c r="DY17" s="269">
        <f t="shared" si="26"/>
        <v>0</v>
      </c>
      <c r="DZ17" s="269">
        <f t="shared" si="27"/>
        <v>0</v>
      </c>
      <c r="EA17" s="287">
        <f t="shared" si="28"/>
        <v>0</v>
      </c>
      <c r="EB17" s="270"/>
      <c r="EC17" s="280">
        <f t="shared" si="29"/>
        <v>0</v>
      </c>
      <c r="ED17" s="269">
        <f t="shared" si="30"/>
        <v>0</v>
      </c>
      <c r="EE17" s="269">
        <f t="shared" si="31"/>
        <v>0</v>
      </c>
      <c r="EF17" s="269">
        <f t="shared" si="32"/>
        <v>0</v>
      </c>
      <c r="EG17" s="287">
        <f t="shared" si="33"/>
        <v>0</v>
      </c>
    </row>
    <row r="18" spans="1:137" ht="12.75" customHeight="1" x14ac:dyDescent="0.2">
      <c r="A18" s="302" t="s">
        <v>301</v>
      </c>
      <c r="B18" s="22">
        <v>2.4E-2</v>
      </c>
      <c r="C18" s="303">
        <v>2020</v>
      </c>
      <c r="E18" s="287"/>
      <c r="F18" s="270"/>
      <c r="G18" s="287"/>
      <c r="H18" s="270"/>
      <c r="I18" s="287"/>
      <c r="J18" s="270"/>
      <c r="K18" s="287"/>
      <c r="L18" s="270"/>
      <c r="M18" s="280"/>
      <c r="N18" s="269"/>
      <c r="O18" s="269"/>
      <c r="P18" s="269"/>
      <c r="Q18" s="287"/>
      <c r="R18" s="270"/>
      <c r="S18" s="280"/>
      <c r="T18" s="269"/>
      <c r="U18" s="269"/>
      <c r="V18" s="269"/>
      <c r="W18" s="287"/>
      <c r="X18" s="270"/>
      <c r="Y18" s="280"/>
      <c r="Z18" s="269"/>
      <c r="AA18" s="269"/>
      <c r="AB18" s="269"/>
      <c r="AC18" s="287"/>
      <c r="AD18" s="270"/>
      <c r="AE18" s="280"/>
      <c r="AF18" s="269"/>
      <c r="AG18" s="269"/>
      <c r="AH18" s="269"/>
      <c r="AI18" s="287"/>
      <c r="AJ18" s="270"/>
      <c r="AK18" s="280"/>
      <c r="AL18" s="269"/>
      <c r="AM18" s="269"/>
      <c r="AN18" s="269"/>
      <c r="AO18" s="287"/>
      <c r="AP18" s="270"/>
      <c r="AQ18" s="280"/>
      <c r="AR18" s="269"/>
      <c r="AS18" s="269"/>
      <c r="AT18" s="269"/>
      <c r="AU18" s="287"/>
      <c r="AV18" s="270"/>
      <c r="AW18" s="280"/>
      <c r="AX18" s="269"/>
      <c r="AY18" s="269"/>
      <c r="AZ18" s="269"/>
      <c r="BA18" s="287"/>
      <c r="BB18" s="270"/>
      <c r="BC18" s="280"/>
      <c r="BD18" s="269"/>
      <c r="BE18" s="269"/>
      <c r="BF18" s="269"/>
      <c r="BG18" s="287"/>
      <c r="BH18" s="270"/>
      <c r="BI18" s="280"/>
      <c r="BJ18" s="269"/>
      <c r="BK18" s="269"/>
      <c r="BL18" s="269"/>
      <c r="BM18" s="287"/>
      <c r="BN18" s="270"/>
      <c r="BO18" s="280"/>
      <c r="BP18" s="269"/>
      <c r="BQ18" s="269"/>
      <c r="BR18" s="269"/>
      <c r="BS18" s="287"/>
      <c r="BT18" s="270"/>
      <c r="BU18" s="280"/>
      <c r="BV18" s="269"/>
      <c r="BW18" s="269"/>
      <c r="BX18" s="269"/>
      <c r="BY18" s="287"/>
      <c r="BZ18" s="270"/>
      <c r="CA18" s="280"/>
      <c r="CB18" s="269"/>
      <c r="CC18" s="269"/>
      <c r="CD18" s="269"/>
      <c r="CE18" s="287"/>
      <c r="CF18" s="270"/>
      <c r="CG18" s="280"/>
      <c r="CH18" s="269"/>
      <c r="CI18" s="269"/>
      <c r="CJ18" s="269"/>
      <c r="CK18" s="287"/>
      <c r="CL18" s="270"/>
      <c r="CM18" s="293">
        <v>0</v>
      </c>
      <c r="CN18" s="278">
        <v>0</v>
      </c>
      <c r="CO18" s="278">
        <v>0</v>
      </c>
      <c r="CP18" s="278">
        <v>0</v>
      </c>
      <c r="CQ18" s="287">
        <f t="shared" si="9"/>
        <v>0</v>
      </c>
      <c r="CR18" s="270"/>
      <c r="CS18" s="293">
        <v>0</v>
      </c>
      <c r="CT18" s="278">
        <v>0</v>
      </c>
      <c r="CU18" s="278">
        <v>495.8</v>
      </c>
      <c r="CV18" s="278">
        <v>495.9</v>
      </c>
      <c r="CW18" s="287">
        <f t="shared" si="10"/>
        <v>495.9</v>
      </c>
      <c r="CX18" s="270"/>
      <c r="CY18" s="293">
        <v>496.1</v>
      </c>
      <c r="CZ18" s="278">
        <v>496.4</v>
      </c>
      <c r="DA18" s="278">
        <v>496.6</v>
      </c>
      <c r="DB18" s="278">
        <v>496.8</v>
      </c>
      <c r="DC18" s="287">
        <f t="shared" si="11"/>
        <v>496.8</v>
      </c>
      <c r="DD18" s="270"/>
      <c r="DE18" s="293">
        <v>497</v>
      </c>
      <c r="DF18" s="1159">
        <v>497.3</v>
      </c>
      <c r="DG18" s="1159">
        <v>497.5</v>
      </c>
      <c r="DH18" s="278">
        <v>497.7</v>
      </c>
      <c r="DI18" s="287">
        <f t="shared" si="13"/>
        <v>497.7</v>
      </c>
      <c r="DJ18" s="270"/>
      <c r="DK18" s="280">
        <f t="shared" si="14"/>
        <v>497.7</v>
      </c>
      <c r="DL18" s="269">
        <f t="shared" si="15"/>
        <v>497.7</v>
      </c>
      <c r="DM18" s="269">
        <f t="shared" si="16"/>
        <v>497.7</v>
      </c>
      <c r="DN18" s="269">
        <f t="shared" si="17"/>
        <v>497.7</v>
      </c>
      <c r="DO18" s="287">
        <f t="shared" si="18"/>
        <v>497.7</v>
      </c>
      <c r="DP18" s="270"/>
      <c r="DQ18" s="280">
        <f t="shared" si="19"/>
        <v>497.7</v>
      </c>
      <c r="DR18" s="269">
        <f t="shared" si="20"/>
        <v>497.7</v>
      </c>
      <c r="DS18" s="269">
        <f t="shared" si="21"/>
        <v>497.7</v>
      </c>
      <c r="DT18" s="269">
        <f t="shared" si="22"/>
        <v>497.7</v>
      </c>
      <c r="DU18" s="287">
        <f t="shared" si="23"/>
        <v>497.7</v>
      </c>
      <c r="DV18" s="270"/>
      <c r="DW18" s="280">
        <f t="shared" si="24"/>
        <v>497.7</v>
      </c>
      <c r="DX18" s="269">
        <f t="shared" si="25"/>
        <v>497.7</v>
      </c>
      <c r="DY18" s="269">
        <f t="shared" si="26"/>
        <v>497.7</v>
      </c>
      <c r="DZ18" s="269">
        <f t="shared" si="27"/>
        <v>497.7</v>
      </c>
      <c r="EA18" s="287">
        <f t="shared" si="28"/>
        <v>497.7</v>
      </c>
      <c r="EB18" s="270"/>
      <c r="EC18" s="280">
        <f t="shared" si="29"/>
        <v>497.7</v>
      </c>
      <c r="ED18" s="269">
        <f t="shared" si="30"/>
        <v>497.7</v>
      </c>
      <c r="EE18" s="269">
        <f t="shared" si="31"/>
        <v>497.7</v>
      </c>
      <c r="EF18" s="269">
        <f t="shared" si="32"/>
        <v>497.7</v>
      </c>
      <c r="EG18" s="287">
        <f t="shared" si="33"/>
        <v>497.7</v>
      </c>
    </row>
    <row r="19" spans="1:137" ht="12.75" customHeight="1" x14ac:dyDescent="0.2">
      <c r="A19" s="302" t="s">
        <v>299</v>
      </c>
      <c r="B19" s="22">
        <v>0.05</v>
      </c>
      <c r="C19" s="303">
        <v>2020</v>
      </c>
      <c r="E19" s="287"/>
      <c r="F19" s="270"/>
      <c r="G19" s="287"/>
      <c r="H19" s="270"/>
      <c r="I19" s="287"/>
      <c r="J19" s="270"/>
      <c r="K19" s="287"/>
      <c r="L19" s="270"/>
      <c r="M19" s="280"/>
      <c r="N19" s="269"/>
      <c r="O19" s="269"/>
      <c r="P19" s="269"/>
      <c r="Q19" s="287"/>
      <c r="R19" s="270"/>
      <c r="S19" s="280"/>
      <c r="T19" s="269"/>
      <c r="U19" s="269"/>
      <c r="V19" s="269"/>
      <c r="W19" s="287"/>
      <c r="X19" s="270"/>
      <c r="Y19" s="280"/>
      <c r="Z19" s="269"/>
      <c r="AA19" s="269"/>
      <c r="AB19" s="269"/>
      <c r="AC19" s="287"/>
      <c r="AD19" s="270"/>
      <c r="AE19" s="280"/>
      <c r="AF19" s="269"/>
      <c r="AG19" s="269"/>
      <c r="AH19" s="269"/>
      <c r="AI19" s="287"/>
      <c r="AJ19" s="270"/>
      <c r="AK19" s="280"/>
      <c r="AL19" s="269"/>
      <c r="AM19" s="269"/>
      <c r="AN19" s="269"/>
      <c r="AO19" s="287"/>
      <c r="AP19" s="270"/>
      <c r="AQ19" s="280"/>
      <c r="AR19" s="269"/>
      <c r="AS19" s="269"/>
      <c r="AT19" s="269"/>
      <c r="AU19" s="287"/>
      <c r="AV19" s="270"/>
      <c r="AW19" s="280"/>
      <c r="AX19" s="269"/>
      <c r="AY19" s="269"/>
      <c r="AZ19" s="269"/>
      <c r="BA19" s="287"/>
      <c r="BB19" s="270"/>
      <c r="BC19" s="280"/>
      <c r="BD19" s="269"/>
      <c r="BE19" s="269"/>
      <c r="BF19" s="269"/>
      <c r="BG19" s="287"/>
      <c r="BH19" s="270"/>
      <c r="BI19" s="280"/>
      <c r="BJ19" s="269"/>
      <c r="BK19" s="269"/>
      <c r="BL19" s="269"/>
      <c r="BM19" s="287"/>
      <c r="BN19" s="270"/>
      <c r="BO19" s="280"/>
      <c r="BP19" s="269"/>
      <c r="BQ19" s="269"/>
      <c r="BR19" s="269"/>
      <c r="BS19" s="287"/>
      <c r="BT19" s="270"/>
      <c r="BU19" s="280"/>
      <c r="BV19" s="269"/>
      <c r="BW19" s="269"/>
      <c r="BX19" s="269"/>
      <c r="BY19" s="287"/>
      <c r="BZ19" s="270"/>
      <c r="CA19" s="280"/>
      <c r="CB19" s="269"/>
      <c r="CC19" s="269"/>
      <c r="CD19" s="269"/>
      <c r="CE19" s="287"/>
      <c r="CF19" s="270"/>
      <c r="CG19" s="280"/>
      <c r="CH19" s="269"/>
      <c r="CI19" s="269"/>
      <c r="CJ19" s="269"/>
      <c r="CK19" s="287"/>
      <c r="CL19" s="270"/>
      <c r="CM19" s="293">
        <v>0</v>
      </c>
      <c r="CN19" s="278">
        <v>0</v>
      </c>
      <c r="CO19" s="278">
        <v>0</v>
      </c>
      <c r="CP19" s="278">
        <v>0</v>
      </c>
      <c r="CQ19" s="287">
        <f t="shared" si="9"/>
        <v>0</v>
      </c>
      <c r="CR19" s="270"/>
      <c r="CS19" s="293">
        <v>0</v>
      </c>
      <c r="CT19" s="278">
        <v>0</v>
      </c>
      <c r="CU19" s="278">
        <v>416.5</v>
      </c>
      <c r="CV19" s="278">
        <v>410.7</v>
      </c>
      <c r="CW19" s="287">
        <f t="shared" si="10"/>
        <v>410.7</v>
      </c>
      <c r="CX19" s="270"/>
      <c r="CY19" s="293">
        <v>410.7</v>
      </c>
      <c r="CZ19" s="278">
        <v>406.7</v>
      </c>
      <c r="DA19" s="278">
        <v>406.6</v>
      </c>
      <c r="DB19" s="278">
        <v>402.6</v>
      </c>
      <c r="DC19" s="287">
        <f t="shared" si="11"/>
        <v>402.6</v>
      </c>
      <c r="DD19" s="270"/>
      <c r="DE19" s="293">
        <v>402.5</v>
      </c>
      <c r="DF19" s="1159">
        <v>398.6</v>
      </c>
      <c r="DG19" s="1159">
        <v>398.5</v>
      </c>
      <c r="DH19" s="278">
        <v>394.6</v>
      </c>
      <c r="DI19" s="287">
        <f t="shared" si="13"/>
        <v>394.6</v>
      </c>
      <c r="DJ19" s="270"/>
      <c r="DK19" s="280">
        <f t="shared" si="14"/>
        <v>394.6</v>
      </c>
      <c r="DL19" s="269">
        <f t="shared" si="15"/>
        <v>394.6</v>
      </c>
      <c r="DM19" s="269">
        <f t="shared" si="16"/>
        <v>394.6</v>
      </c>
      <c r="DN19" s="269">
        <f t="shared" si="17"/>
        <v>394.6</v>
      </c>
      <c r="DO19" s="287">
        <f t="shared" si="18"/>
        <v>394.6</v>
      </c>
      <c r="DP19" s="270"/>
      <c r="DQ19" s="280">
        <f t="shared" si="19"/>
        <v>394.6</v>
      </c>
      <c r="DR19" s="269">
        <f t="shared" si="20"/>
        <v>394.6</v>
      </c>
      <c r="DS19" s="269">
        <f t="shared" si="21"/>
        <v>394.6</v>
      </c>
      <c r="DT19" s="269">
        <f t="shared" si="22"/>
        <v>394.6</v>
      </c>
      <c r="DU19" s="287">
        <f t="shared" si="23"/>
        <v>394.6</v>
      </c>
      <c r="DV19" s="270"/>
      <c r="DW19" s="280">
        <f t="shared" si="24"/>
        <v>394.6</v>
      </c>
      <c r="DX19" s="269">
        <f t="shared" si="25"/>
        <v>394.6</v>
      </c>
      <c r="DY19" s="269">
        <f t="shared" si="26"/>
        <v>394.6</v>
      </c>
      <c r="DZ19" s="269">
        <f t="shared" si="27"/>
        <v>394.6</v>
      </c>
      <c r="EA19" s="287">
        <f t="shared" si="28"/>
        <v>394.6</v>
      </c>
      <c r="EB19" s="270"/>
      <c r="EC19" s="280">
        <f t="shared" si="29"/>
        <v>394.6</v>
      </c>
      <c r="ED19" s="269">
        <f t="shared" si="30"/>
        <v>394.6</v>
      </c>
      <c r="EE19" s="269">
        <f t="shared" si="31"/>
        <v>394.6</v>
      </c>
      <c r="EF19" s="269">
        <f t="shared" si="32"/>
        <v>394.6</v>
      </c>
      <c r="EG19" s="287">
        <f t="shared" si="33"/>
        <v>394.6</v>
      </c>
    </row>
    <row r="20" spans="1:137" ht="12.75" customHeight="1" x14ac:dyDescent="0.2">
      <c r="A20" s="302" t="s">
        <v>299</v>
      </c>
      <c r="B20" s="22">
        <v>3.5200000000000001E-3</v>
      </c>
      <c r="C20" s="303">
        <v>2021</v>
      </c>
      <c r="E20" s="287"/>
      <c r="F20" s="270"/>
      <c r="G20" s="287"/>
      <c r="H20" s="270"/>
      <c r="I20" s="287"/>
      <c r="J20" s="270"/>
      <c r="K20" s="287"/>
      <c r="L20" s="270"/>
      <c r="M20" s="280"/>
      <c r="N20" s="269"/>
      <c r="O20" s="269"/>
      <c r="P20" s="269"/>
      <c r="Q20" s="287"/>
      <c r="R20" s="270"/>
      <c r="S20" s="280"/>
      <c r="T20" s="269"/>
      <c r="U20" s="269"/>
      <c r="V20" s="269"/>
      <c r="W20" s="287"/>
      <c r="X20" s="270"/>
      <c r="Y20" s="280"/>
      <c r="Z20" s="269"/>
      <c r="AA20" s="269"/>
      <c r="AB20" s="269"/>
      <c r="AC20" s="287"/>
      <c r="AD20" s="270"/>
      <c r="AE20" s="280"/>
      <c r="AF20" s="269"/>
      <c r="AG20" s="269"/>
      <c r="AH20" s="269"/>
      <c r="AI20" s="287"/>
      <c r="AJ20" s="270"/>
      <c r="AK20" s="280"/>
      <c r="AL20" s="269"/>
      <c r="AM20" s="269"/>
      <c r="AN20" s="269"/>
      <c r="AO20" s="287"/>
      <c r="AP20" s="270"/>
      <c r="AQ20" s="280"/>
      <c r="AR20" s="269"/>
      <c r="AS20" s="269"/>
      <c r="AT20" s="269"/>
      <c r="AU20" s="287"/>
      <c r="AV20" s="270"/>
      <c r="AW20" s="280"/>
      <c r="AX20" s="269"/>
      <c r="AY20" s="269"/>
      <c r="AZ20" s="269"/>
      <c r="BA20" s="287"/>
      <c r="BB20" s="270"/>
      <c r="BC20" s="280"/>
      <c r="BD20" s="269"/>
      <c r="BE20" s="269"/>
      <c r="BF20" s="269"/>
      <c r="BG20" s="287"/>
      <c r="BH20" s="270"/>
      <c r="BI20" s="280"/>
      <c r="BJ20" s="269"/>
      <c r="BK20" s="269"/>
      <c r="BL20" s="269"/>
      <c r="BM20" s="287"/>
      <c r="BN20" s="270"/>
      <c r="BO20" s="280"/>
      <c r="BP20" s="269"/>
      <c r="BQ20" s="269"/>
      <c r="BR20" s="269"/>
      <c r="BS20" s="287"/>
      <c r="BT20" s="270"/>
      <c r="BU20" s="280"/>
      <c r="BV20" s="269"/>
      <c r="BW20" s="269"/>
      <c r="BX20" s="269"/>
      <c r="BY20" s="287"/>
      <c r="BZ20" s="270"/>
      <c r="CA20" s="280"/>
      <c r="CB20" s="269"/>
      <c r="CC20" s="269"/>
      <c r="CD20" s="269"/>
      <c r="CE20" s="287"/>
      <c r="CF20" s="270"/>
      <c r="CG20" s="280"/>
      <c r="CH20" s="269"/>
      <c r="CI20" s="269"/>
      <c r="CJ20" s="269"/>
      <c r="CK20" s="287"/>
      <c r="CL20" s="270"/>
      <c r="CM20" s="293">
        <v>0</v>
      </c>
      <c r="CN20" s="278">
        <v>0</v>
      </c>
      <c r="CO20" s="278">
        <v>0</v>
      </c>
      <c r="CP20" s="278">
        <v>0</v>
      </c>
      <c r="CQ20" s="287">
        <f t="shared" si="9"/>
        <v>0</v>
      </c>
      <c r="CR20" s="270"/>
      <c r="CS20" s="293">
        <v>0</v>
      </c>
      <c r="CT20" s="278">
        <v>0</v>
      </c>
      <c r="CU20" s="278">
        <v>0</v>
      </c>
      <c r="CV20" s="278">
        <v>0</v>
      </c>
      <c r="CW20" s="287">
        <f t="shared" si="10"/>
        <v>0</v>
      </c>
      <c r="CX20" s="270"/>
      <c r="CY20" s="293">
        <v>267.7</v>
      </c>
      <c r="CZ20" s="278">
        <v>291.2</v>
      </c>
      <c r="DA20" s="278">
        <v>294.8</v>
      </c>
      <c r="DB20" s="278">
        <v>255.6</v>
      </c>
      <c r="DC20" s="287">
        <f t="shared" si="11"/>
        <v>255.6</v>
      </c>
      <c r="DD20" s="270"/>
      <c r="DE20" s="293">
        <v>268.5</v>
      </c>
      <c r="DF20" s="1159">
        <v>265.7</v>
      </c>
      <c r="DG20" s="1159">
        <v>265.7</v>
      </c>
      <c r="DH20" s="278">
        <v>265.5</v>
      </c>
      <c r="DI20" s="287">
        <f t="shared" si="13"/>
        <v>265.5</v>
      </c>
      <c r="DJ20" s="270"/>
      <c r="DK20" s="280">
        <f t="shared" si="14"/>
        <v>265.5</v>
      </c>
      <c r="DL20" s="269">
        <f t="shared" si="15"/>
        <v>265.5</v>
      </c>
      <c r="DM20" s="269">
        <f t="shared" si="16"/>
        <v>265.5</v>
      </c>
      <c r="DN20" s="269">
        <f t="shared" si="17"/>
        <v>265.5</v>
      </c>
      <c r="DO20" s="287">
        <f t="shared" si="18"/>
        <v>265.5</v>
      </c>
      <c r="DP20" s="270"/>
      <c r="DQ20" s="280">
        <f t="shared" si="19"/>
        <v>265.5</v>
      </c>
      <c r="DR20" s="269">
        <f t="shared" si="20"/>
        <v>265.5</v>
      </c>
      <c r="DS20" s="269">
        <f t="shared" si="21"/>
        <v>265.5</v>
      </c>
      <c r="DT20" s="269">
        <f t="shared" si="22"/>
        <v>265.5</v>
      </c>
      <c r="DU20" s="287">
        <f t="shared" si="23"/>
        <v>265.5</v>
      </c>
      <c r="DV20" s="270"/>
      <c r="DW20" s="280">
        <f t="shared" si="24"/>
        <v>265.5</v>
      </c>
      <c r="DX20" s="269">
        <f t="shared" si="25"/>
        <v>265.5</v>
      </c>
      <c r="DY20" s="269">
        <f t="shared" si="26"/>
        <v>265.5</v>
      </c>
      <c r="DZ20" s="269">
        <f t="shared" si="27"/>
        <v>265.5</v>
      </c>
      <c r="EA20" s="287">
        <f t="shared" si="28"/>
        <v>265.5</v>
      </c>
      <c r="EB20" s="270"/>
      <c r="EC20" s="280">
        <f t="shared" si="29"/>
        <v>265.5</v>
      </c>
      <c r="ED20" s="269">
        <f t="shared" si="30"/>
        <v>265.5</v>
      </c>
      <c r="EE20" s="269">
        <f t="shared" si="31"/>
        <v>265.5</v>
      </c>
      <c r="EF20" s="269">
        <f t="shared" si="32"/>
        <v>265.5</v>
      </c>
      <c r="EG20" s="287">
        <f t="shared" si="33"/>
        <v>265.5</v>
      </c>
    </row>
    <row r="21" spans="1:137" ht="12.75" customHeight="1" x14ac:dyDescent="0.2">
      <c r="A21" s="302" t="s">
        <v>299</v>
      </c>
      <c r="B21" s="22">
        <v>3.9E-2</v>
      </c>
      <c r="C21" s="303">
        <v>2021</v>
      </c>
      <c r="E21" s="287"/>
      <c r="F21" s="270"/>
      <c r="G21" s="287"/>
      <c r="H21" s="270"/>
      <c r="I21" s="287"/>
      <c r="J21" s="270"/>
      <c r="K21" s="287"/>
      <c r="L21" s="270"/>
      <c r="M21" s="280"/>
      <c r="N21" s="269"/>
      <c r="O21" s="269"/>
      <c r="P21" s="269"/>
      <c r="Q21" s="287"/>
      <c r="R21" s="270"/>
      <c r="S21" s="280"/>
      <c r="T21" s="269"/>
      <c r="U21" s="269"/>
      <c r="V21" s="269"/>
      <c r="W21" s="287"/>
      <c r="X21" s="270"/>
      <c r="Y21" s="280"/>
      <c r="Z21" s="269"/>
      <c r="AA21" s="269"/>
      <c r="AB21" s="269"/>
      <c r="AC21" s="287"/>
      <c r="AD21" s="270"/>
      <c r="AE21" s="280"/>
      <c r="AF21" s="269"/>
      <c r="AG21" s="269"/>
      <c r="AH21" s="269"/>
      <c r="AI21" s="287"/>
      <c r="AJ21" s="270"/>
      <c r="AK21" s="280"/>
      <c r="AL21" s="269"/>
      <c r="AM21" s="269"/>
      <c r="AN21" s="269"/>
      <c r="AO21" s="287"/>
      <c r="AP21" s="270"/>
      <c r="AQ21" s="280"/>
      <c r="AR21" s="269"/>
      <c r="AS21" s="269"/>
      <c r="AT21" s="269"/>
      <c r="AU21" s="287"/>
      <c r="AV21" s="270"/>
      <c r="AW21" s="280"/>
      <c r="AX21" s="269"/>
      <c r="AY21" s="269"/>
      <c r="AZ21" s="269"/>
      <c r="BA21" s="287"/>
      <c r="BB21" s="270"/>
      <c r="BC21" s="280"/>
      <c r="BD21" s="269"/>
      <c r="BE21" s="269"/>
      <c r="BF21" s="269"/>
      <c r="BG21" s="287"/>
      <c r="BH21" s="270"/>
      <c r="BI21" s="280"/>
      <c r="BJ21" s="269"/>
      <c r="BK21" s="269"/>
      <c r="BL21" s="269"/>
      <c r="BM21" s="287"/>
      <c r="BN21" s="270"/>
      <c r="BO21" s="280"/>
      <c r="BP21" s="269"/>
      <c r="BQ21" s="269"/>
      <c r="BR21" s="269"/>
      <c r="BS21" s="287"/>
      <c r="BT21" s="270"/>
      <c r="BU21" s="280"/>
      <c r="BV21" s="269"/>
      <c r="BW21" s="269"/>
      <c r="BX21" s="269"/>
      <c r="BY21" s="287"/>
      <c r="BZ21" s="270"/>
      <c r="CA21" s="280"/>
      <c r="CB21" s="269"/>
      <c r="CC21" s="269"/>
      <c r="CD21" s="269"/>
      <c r="CE21" s="287"/>
      <c r="CF21" s="270"/>
      <c r="CG21" s="280"/>
      <c r="CH21" s="269"/>
      <c r="CI21" s="269"/>
      <c r="CJ21" s="269"/>
      <c r="CK21" s="287"/>
      <c r="CL21" s="270"/>
      <c r="CM21" s="293">
        <v>600</v>
      </c>
      <c r="CN21" s="278">
        <v>600</v>
      </c>
      <c r="CO21" s="278">
        <v>600</v>
      </c>
      <c r="CP21" s="278">
        <v>600</v>
      </c>
      <c r="CQ21" s="287">
        <f t="shared" si="9"/>
        <v>600</v>
      </c>
      <c r="CR21" s="270"/>
      <c r="CS21" s="293">
        <v>600</v>
      </c>
      <c r="CT21" s="278">
        <v>600</v>
      </c>
      <c r="CU21" s="278">
        <v>600</v>
      </c>
      <c r="CV21" s="278">
        <v>600</v>
      </c>
      <c r="CW21" s="287">
        <f t="shared" si="10"/>
        <v>600</v>
      </c>
      <c r="CX21" s="270"/>
      <c r="CY21" s="293">
        <v>600</v>
      </c>
      <c r="CZ21" s="278">
        <v>600</v>
      </c>
      <c r="DA21" s="278">
        <v>0</v>
      </c>
      <c r="DB21" s="278">
        <v>0</v>
      </c>
      <c r="DC21" s="287">
        <f t="shared" si="11"/>
        <v>0</v>
      </c>
      <c r="DD21" s="270"/>
      <c r="DE21" s="293">
        <v>0</v>
      </c>
      <c r="DF21" s="1159">
        <f t="shared" si="12"/>
        <v>0</v>
      </c>
      <c r="DG21" s="1159">
        <v>0</v>
      </c>
      <c r="DH21" s="278">
        <v>0</v>
      </c>
      <c r="DI21" s="287">
        <f t="shared" si="13"/>
        <v>0</v>
      </c>
      <c r="DJ21" s="270"/>
      <c r="DK21" s="280">
        <f t="shared" si="14"/>
        <v>0</v>
      </c>
      <c r="DL21" s="269">
        <f t="shared" si="15"/>
        <v>0</v>
      </c>
      <c r="DM21" s="269">
        <f t="shared" si="16"/>
        <v>0</v>
      </c>
      <c r="DN21" s="269">
        <f t="shared" si="17"/>
        <v>0</v>
      </c>
      <c r="DO21" s="287">
        <f t="shared" si="18"/>
        <v>0</v>
      </c>
      <c r="DP21" s="270"/>
      <c r="DQ21" s="280">
        <f t="shared" si="19"/>
        <v>0</v>
      </c>
      <c r="DR21" s="269">
        <f t="shared" si="20"/>
        <v>0</v>
      </c>
      <c r="DS21" s="269">
        <f t="shared" si="21"/>
        <v>0</v>
      </c>
      <c r="DT21" s="269">
        <f t="shared" si="22"/>
        <v>0</v>
      </c>
      <c r="DU21" s="287">
        <f t="shared" si="23"/>
        <v>0</v>
      </c>
      <c r="DV21" s="270"/>
      <c r="DW21" s="280">
        <f t="shared" si="24"/>
        <v>0</v>
      </c>
      <c r="DX21" s="269">
        <f t="shared" si="25"/>
        <v>0</v>
      </c>
      <c r="DY21" s="269">
        <f t="shared" si="26"/>
        <v>0</v>
      </c>
      <c r="DZ21" s="269">
        <f t="shared" si="27"/>
        <v>0</v>
      </c>
      <c r="EA21" s="287">
        <f t="shared" si="28"/>
        <v>0</v>
      </c>
      <c r="EB21" s="270"/>
      <c r="EC21" s="280">
        <f t="shared" si="29"/>
        <v>0</v>
      </c>
      <c r="ED21" s="269">
        <f t="shared" si="30"/>
        <v>0</v>
      </c>
      <c r="EE21" s="269">
        <f t="shared" si="31"/>
        <v>0</v>
      </c>
      <c r="EF21" s="269">
        <f t="shared" si="32"/>
        <v>0</v>
      </c>
      <c r="EG21" s="287">
        <f t="shared" si="33"/>
        <v>0</v>
      </c>
    </row>
    <row r="22" spans="1:137" ht="12.75" customHeight="1" x14ac:dyDescent="0.2">
      <c r="A22" s="302" t="s">
        <v>299</v>
      </c>
      <c r="B22" s="1186">
        <v>0.03</v>
      </c>
      <c r="C22" s="303">
        <v>2022</v>
      </c>
      <c r="E22" s="287"/>
      <c r="F22" s="270"/>
      <c r="G22" s="287"/>
      <c r="H22" s="270"/>
      <c r="I22" s="287"/>
      <c r="J22" s="270"/>
      <c r="K22" s="287"/>
      <c r="L22" s="270"/>
      <c r="M22" s="280"/>
      <c r="N22" s="269"/>
      <c r="O22" s="269"/>
      <c r="P22" s="269"/>
      <c r="Q22" s="287"/>
      <c r="R22" s="270"/>
      <c r="S22" s="280"/>
      <c r="T22" s="269"/>
      <c r="U22" s="269"/>
      <c r="V22" s="269"/>
      <c r="W22" s="287"/>
      <c r="X22" s="270"/>
      <c r="Y22" s="280"/>
      <c r="Z22" s="269"/>
      <c r="AA22" s="269"/>
      <c r="AB22" s="269"/>
      <c r="AC22" s="287"/>
      <c r="AD22" s="270"/>
      <c r="AE22" s="280"/>
      <c r="AF22" s="269"/>
      <c r="AG22" s="269"/>
      <c r="AH22" s="269"/>
      <c r="AI22" s="287"/>
      <c r="AJ22" s="270"/>
      <c r="AK22" s="280"/>
      <c r="AL22" s="269"/>
      <c r="AM22" s="269"/>
      <c r="AN22" s="269"/>
      <c r="AO22" s="287"/>
      <c r="AP22" s="270"/>
      <c r="AQ22" s="280"/>
      <c r="AR22" s="269"/>
      <c r="AS22" s="269"/>
      <c r="AT22" s="269"/>
      <c r="AU22" s="287"/>
      <c r="AV22" s="270"/>
      <c r="AW22" s="280"/>
      <c r="AX22" s="269"/>
      <c r="AY22" s="269"/>
      <c r="AZ22" s="269"/>
      <c r="BA22" s="287"/>
      <c r="BB22" s="270"/>
      <c r="BC22" s="280"/>
      <c r="BD22" s="269"/>
      <c r="BE22" s="269"/>
      <c r="BF22" s="269"/>
      <c r="BG22" s="287"/>
      <c r="BH22" s="270"/>
      <c r="BI22" s="280"/>
      <c r="BJ22" s="269"/>
      <c r="BK22" s="269"/>
      <c r="BL22" s="269"/>
      <c r="BM22" s="287"/>
      <c r="BN22" s="270"/>
      <c r="BO22" s="280"/>
      <c r="BP22" s="269"/>
      <c r="BQ22" s="269"/>
      <c r="BR22" s="269"/>
      <c r="BS22" s="287"/>
      <c r="BT22" s="270"/>
      <c r="BU22" s="280"/>
      <c r="BV22" s="269"/>
      <c r="BW22" s="269"/>
      <c r="BX22" s="269"/>
      <c r="BY22" s="287"/>
      <c r="BZ22" s="270"/>
      <c r="CA22" s="280"/>
      <c r="CB22" s="269"/>
      <c r="CC22" s="269"/>
      <c r="CD22" s="269"/>
      <c r="CE22" s="287"/>
      <c r="CF22" s="270"/>
      <c r="CG22" s="280"/>
      <c r="CH22" s="269"/>
      <c r="CI22" s="269"/>
      <c r="CJ22" s="269"/>
      <c r="CK22" s="287"/>
      <c r="CL22" s="270"/>
      <c r="CM22" s="293">
        <v>0</v>
      </c>
      <c r="CN22" s="278">
        <v>0</v>
      </c>
      <c r="CO22" s="278">
        <v>0</v>
      </c>
      <c r="CP22" s="278">
        <v>0</v>
      </c>
      <c r="CQ22" s="287">
        <f t="shared" si="9"/>
        <v>0</v>
      </c>
      <c r="CR22" s="270"/>
      <c r="CS22" s="293">
        <v>0</v>
      </c>
      <c r="CT22" s="278">
        <v>0</v>
      </c>
      <c r="CU22" s="278">
        <v>894.5</v>
      </c>
      <c r="CV22" s="278">
        <v>866.8</v>
      </c>
      <c r="CW22" s="287">
        <f t="shared" si="10"/>
        <v>866.8</v>
      </c>
      <c r="CX22" s="270"/>
      <c r="CY22" s="293">
        <v>908.9</v>
      </c>
      <c r="CZ22" s="278">
        <v>888.3</v>
      </c>
      <c r="DA22" s="278">
        <v>892.8</v>
      </c>
      <c r="DB22" s="278">
        <v>836.5</v>
      </c>
      <c r="DC22" s="287">
        <f t="shared" si="11"/>
        <v>836.5</v>
      </c>
      <c r="DD22" s="270"/>
      <c r="DE22" s="293">
        <v>848</v>
      </c>
      <c r="DF22" s="1159">
        <v>908.1</v>
      </c>
      <c r="DG22" s="1159">
        <v>940.5</v>
      </c>
      <c r="DH22" s="278">
        <v>955.6</v>
      </c>
      <c r="DI22" s="287">
        <f t="shared" si="13"/>
        <v>955.6</v>
      </c>
      <c r="DJ22" s="270"/>
      <c r="DK22" s="280">
        <f t="shared" si="14"/>
        <v>955.6</v>
      </c>
      <c r="DL22" s="269">
        <f t="shared" si="15"/>
        <v>955.6</v>
      </c>
      <c r="DM22" s="269">
        <f t="shared" si="16"/>
        <v>955.6</v>
      </c>
      <c r="DN22" s="269">
        <f t="shared" si="17"/>
        <v>955.6</v>
      </c>
      <c r="DO22" s="287">
        <f t="shared" si="18"/>
        <v>955.6</v>
      </c>
      <c r="DP22" s="270"/>
      <c r="DQ22" s="280">
        <f t="shared" si="19"/>
        <v>955.6</v>
      </c>
      <c r="DR22" s="269">
        <f t="shared" si="20"/>
        <v>955.6</v>
      </c>
      <c r="DS22" s="269">
        <f t="shared" si="21"/>
        <v>955.6</v>
      </c>
      <c r="DT22" s="269">
        <f t="shared" si="22"/>
        <v>955.6</v>
      </c>
      <c r="DU22" s="287">
        <f t="shared" si="23"/>
        <v>955.6</v>
      </c>
      <c r="DV22" s="270"/>
      <c r="DW22" s="280">
        <f t="shared" si="24"/>
        <v>955.6</v>
      </c>
      <c r="DX22" s="269">
        <f t="shared" si="25"/>
        <v>955.6</v>
      </c>
      <c r="DY22" s="269">
        <f t="shared" si="26"/>
        <v>955.6</v>
      </c>
      <c r="DZ22" s="269">
        <f t="shared" si="27"/>
        <v>955.6</v>
      </c>
      <c r="EA22" s="287">
        <f t="shared" si="28"/>
        <v>955.6</v>
      </c>
      <c r="EB22" s="270"/>
      <c r="EC22" s="280">
        <f t="shared" si="29"/>
        <v>955.6</v>
      </c>
      <c r="ED22" s="269">
        <f t="shared" si="30"/>
        <v>955.6</v>
      </c>
      <c r="EE22" s="269">
        <f t="shared" si="31"/>
        <v>955.6</v>
      </c>
      <c r="EF22" s="269">
        <f t="shared" si="32"/>
        <v>955.6</v>
      </c>
      <c r="EG22" s="287">
        <f t="shared" si="33"/>
        <v>955.6</v>
      </c>
    </row>
    <row r="23" spans="1:137" ht="12.75" customHeight="1" x14ac:dyDescent="0.2">
      <c r="A23" s="302" t="s">
        <v>300</v>
      </c>
      <c r="B23" s="22">
        <v>3.0000000000000001E-3</v>
      </c>
      <c r="C23" s="303">
        <v>2022</v>
      </c>
      <c r="E23" s="287"/>
      <c r="F23" s="270"/>
      <c r="G23" s="287"/>
      <c r="H23" s="270"/>
      <c r="I23" s="287"/>
      <c r="J23" s="270"/>
      <c r="K23" s="287"/>
      <c r="L23" s="270"/>
      <c r="M23" s="280"/>
      <c r="N23" s="269"/>
      <c r="O23" s="269"/>
      <c r="P23" s="269"/>
      <c r="Q23" s="287"/>
      <c r="R23" s="270"/>
      <c r="S23" s="280"/>
      <c r="T23" s="269"/>
      <c r="U23" s="269"/>
      <c r="V23" s="269"/>
      <c r="W23" s="287"/>
      <c r="X23" s="270"/>
      <c r="Y23" s="280"/>
      <c r="Z23" s="269"/>
      <c r="AA23" s="269"/>
      <c r="AB23" s="269"/>
      <c r="AC23" s="287"/>
      <c r="AD23" s="270"/>
      <c r="AE23" s="280"/>
      <c r="AF23" s="269"/>
      <c r="AG23" s="269"/>
      <c r="AH23" s="269"/>
      <c r="AI23" s="287"/>
      <c r="AJ23" s="270"/>
      <c r="AK23" s="280"/>
      <c r="AL23" s="269"/>
      <c r="AM23" s="269"/>
      <c r="AN23" s="269"/>
      <c r="AO23" s="287"/>
      <c r="AP23" s="270"/>
      <c r="AQ23" s="280"/>
      <c r="AR23" s="269"/>
      <c r="AS23" s="269"/>
      <c r="AT23" s="269"/>
      <c r="AU23" s="287"/>
      <c r="AV23" s="270"/>
      <c r="AW23" s="280"/>
      <c r="AX23" s="269"/>
      <c r="AY23" s="269"/>
      <c r="AZ23" s="269"/>
      <c r="BA23" s="287"/>
      <c r="BB23" s="270"/>
      <c r="BC23" s="280"/>
      <c r="BD23" s="269"/>
      <c r="BE23" s="269"/>
      <c r="BF23" s="269"/>
      <c r="BG23" s="287"/>
      <c r="BH23" s="270"/>
      <c r="BI23" s="280"/>
      <c r="BJ23" s="269"/>
      <c r="BK23" s="269"/>
      <c r="BL23" s="269"/>
      <c r="BM23" s="287"/>
      <c r="BN23" s="270"/>
      <c r="BO23" s="280"/>
      <c r="BP23" s="269"/>
      <c r="BQ23" s="269"/>
      <c r="BR23" s="269"/>
      <c r="BS23" s="287"/>
      <c r="BT23" s="270"/>
      <c r="BU23" s="280"/>
      <c r="BV23" s="269"/>
      <c r="BW23" s="269"/>
      <c r="BX23" s="269"/>
      <c r="BY23" s="287"/>
      <c r="BZ23" s="270"/>
      <c r="CA23" s="280"/>
      <c r="CB23" s="269"/>
      <c r="CC23" s="269"/>
      <c r="CD23" s="269"/>
      <c r="CE23" s="287"/>
      <c r="CF23" s="270"/>
      <c r="CG23" s="280"/>
      <c r="CH23" s="269"/>
      <c r="CI23" s="269"/>
      <c r="CJ23" s="269"/>
      <c r="CK23" s="287"/>
      <c r="CL23" s="270"/>
      <c r="CM23" s="293"/>
      <c r="CN23" s="278"/>
      <c r="CO23" s="278"/>
      <c r="CP23" s="278"/>
      <c r="CQ23" s="287"/>
      <c r="CR23" s="270"/>
      <c r="CS23" s="293"/>
      <c r="CT23" s="278"/>
      <c r="CU23" s="278"/>
      <c r="CV23" s="278"/>
      <c r="CW23" s="287"/>
      <c r="CX23" s="270"/>
      <c r="CY23" s="293"/>
      <c r="CZ23" s="278"/>
      <c r="DA23" s="278"/>
      <c r="DB23" s="278"/>
      <c r="DC23" s="287"/>
      <c r="DD23" s="270"/>
      <c r="DE23" s="293">
        <v>0</v>
      </c>
      <c r="DF23" s="1159">
        <v>284.3</v>
      </c>
      <c r="DG23" s="1159">
        <v>294.39999999999998</v>
      </c>
      <c r="DH23" s="278">
        <v>299.10000000000002</v>
      </c>
      <c r="DI23" s="287">
        <f t="shared" si="13"/>
        <v>299.10000000000002</v>
      </c>
      <c r="DJ23" s="270"/>
      <c r="DK23" s="280">
        <f t="shared" si="14"/>
        <v>299.10000000000002</v>
      </c>
      <c r="DL23" s="269">
        <f t="shared" si="15"/>
        <v>299.10000000000002</v>
      </c>
      <c r="DM23" s="269">
        <f t="shared" si="16"/>
        <v>299.10000000000002</v>
      </c>
      <c r="DN23" s="269">
        <f t="shared" si="17"/>
        <v>299.10000000000002</v>
      </c>
      <c r="DO23" s="287">
        <f t="shared" si="18"/>
        <v>299.10000000000002</v>
      </c>
      <c r="DP23" s="270"/>
      <c r="DQ23" s="280">
        <f t="shared" si="19"/>
        <v>299.10000000000002</v>
      </c>
      <c r="DR23" s="269">
        <f t="shared" si="20"/>
        <v>299.10000000000002</v>
      </c>
      <c r="DS23" s="269">
        <f t="shared" si="21"/>
        <v>299.10000000000002</v>
      </c>
      <c r="DT23" s="269">
        <f t="shared" si="22"/>
        <v>299.10000000000002</v>
      </c>
      <c r="DU23" s="287">
        <f t="shared" si="23"/>
        <v>299.10000000000002</v>
      </c>
      <c r="DV23" s="270"/>
      <c r="DW23" s="280">
        <f t="shared" si="24"/>
        <v>299.10000000000002</v>
      </c>
      <c r="DX23" s="269">
        <f t="shared" si="25"/>
        <v>299.10000000000002</v>
      </c>
      <c r="DY23" s="269">
        <f t="shared" si="26"/>
        <v>299.10000000000002</v>
      </c>
      <c r="DZ23" s="269">
        <f t="shared" si="27"/>
        <v>299.10000000000002</v>
      </c>
      <c r="EA23" s="287">
        <f t="shared" si="28"/>
        <v>299.10000000000002</v>
      </c>
      <c r="EB23" s="270"/>
      <c r="EC23" s="280">
        <f t="shared" si="29"/>
        <v>299.10000000000002</v>
      </c>
      <c r="ED23" s="269">
        <f t="shared" si="30"/>
        <v>299.10000000000002</v>
      </c>
      <c r="EE23" s="269">
        <f t="shared" si="31"/>
        <v>299.10000000000002</v>
      </c>
      <c r="EF23" s="269">
        <f t="shared" si="32"/>
        <v>299.10000000000002</v>
      </c>
      <c r="EG23" s="287">
        <f t="shared" si="33"/>
        <v>299.10000000000002</v>
      </c>
    </row>
    <row r="24" spans="1:137" ht="12.75" customHeight="1" x14ac:dyDescent="0.2">
      <c r="A24" s="302" t="s">
        <v>299</v>
      </c>
      <c r="B24" s="22">
        <v>2.5000000000000001E-2</v>
      </c>
      <c r="C24" s="303">
        <v>2025</v>
      </c>
      <c r="E24" s="287"/>
      <c r="F24" s="270"/>
      <c r="G24" s="287"/>
      <c r="H24" s="270"/>
      <c r="I24" s="287"/>
      <c r="J24" s="270"/>
      <c r="K24" s="287"/>
      <c r="L24" s="270"/>
      <c r="M24" s="280"/>
      <c r="N24" s="269"/>
      <c r="O24" s="269"/>
      <c r="P24" s="269"/>
      <c r="Q24" s="287"/>
      <c r="R24" s="270"/>
      <c r="S24" s="280"/>
      <c r="T24" s="269"/>
      <c r="U24" s="269"/>
      <c r="V24" s="269"/>
      <c r="W24" s="287"/>
      <c r="X24" s="270"/>
      <c r="Y24" s="280"/>
      <c r="Z24" s="269"/>
      <c r="AA24" s="269"/>
      <c r="AB24" s="269"/>
      <c r="AC24" s="287"/>
      <c r="AD24" s="270"/>
      <c r="AE24" s="280"/>
      <c r="AF24" s="269"/>
      <c r="AG24" s="269"/>
      <c r="AH24" s="269"/>
      <c r="AI24" s="287"/>
      <c r="AJ24" s="270"/>
      <c r="AK24" s="280"/>
      <c r="AL24" s="269"/>
      <c r="AM24" s="269"/>
      <c r="AN24" s="269"/>
      <c r="AO24" s="287"/>
      <c r="AP24" s="270"/>
      <c r="AQ24" s="280"/>
      <c r="AR24" s="269"/>
      <c r="AS24" s="269"/>
      <c r="AT24" s="269"/>
      <c r="AU24" s="287"/>
      <c r="AV24" s="270"/>
      <c r="AW24" s="280"/>
      <c r="AX24" s="269"/>
      <c r="AY24" s="269"/>
      <c r="AZ24" s="269"/>
      <c r="BA24" s="287"/>
      <c r="BB24" s="270"/>
      <c r="BC24" s="280"/>
      <c r="BD24" s="269"/>
      <c r="BE24" s="269"/>
      <c r="BF24" s="269"/>
      <c r="BG24" s="287"/>
      <c r="BH24" s="270"/>
      <c r="BI24" s="280"/>
      <c r="BJ24" s="269"/>
      <c r="BK24" s="269"/>
      <c r="BL24" s="269"/>
      <c r="BM24" s="287"/>
      <c r="BN24" s="270"/>
      <c r="BO24" s="280"/>
      <c r="BP24" s="269"/>
      <c r="BQ24" s="269"/>
      <c r="BR24" s="269"/>
      <c r="BS24" s="287"/>
      <c r="BT24" s="270"/>
      <c r="BU24" s="280"/>
      <c r="BV24" s="269"/>
      <c r="BW24" s="269"/>
      <c r="BX24" s="269"/>
      <c r="BY24" s="287"/>
      <c r="BZ24" s="270"/>
      <c r="CA24" s="280"/>
      <c r="CB24" s="269"/>
      <c r="CC24" s="269"/>
      <c r="CD24" s="269"/>
      <c r="CE24" s="287"/>
      <c r="CF24" s="270"/>
      <c r="CG24" s="280"/>
      <c r="CH24" s="269"/>
      <c r="CI24" s="269"/>
      <c r="CJ24" s="269"/>
      <c r="CK24" s="287"/>
      <c r="CL24" s="270"/>
      <c r="CM24" s="293">
        <v>0</v>
      </c>
      <c r="CN24" s="278">
        <v>0</v>
      </c>
      <c r="CO24" s="278">
        <v>0</v>
      </c>
      <c r="CP24" s="278">
        <v>0</v>
      </c>
      <c r="CQ24" s="287">
        <f t="shared" si="9"/>
        <v>0</v>
      </c>
      <c r="CR24" s="270"/>
      <c r="CS24" s="293">
        <v>0</v>
      </c>
      <c r="CT24" s="278">
        <v>0</v>
      </c>
      <c r="CU24" s="278">
        <v>895.8</v>
      </c>
      <c r="CV24" s="278">
        <v>867.9</v>
      </c>
      <c r="CW24" s="287">
        <f t="shared" si="10"/>
        <v>867.9</v>
      </c>
      <c r="CX24" s="270"/>
      <c r="CY24" s="293">
        <v>910.1</v>
      </c>
      <c r="CZ24" s="278">
        <v>888.9</v>
      </c>
      <c r="DA24" s="278">
        <v>893.4</v>
      </c>
      <c r="DB24" s="278">
        <v>836.8</v>
      </c>
      <c r="DC24" s="287">
        <f t="shared" si="11"/>
        <v>836.8</v>
      </c>
      <c r="DD24" s="270"/>
      <c r="DE24" s="293">
        <v>848.4</v>
      </c>
      <c r="DF24" s="1159">
        <v>908.3</v>
      </c>
      <c r="DG24" s="1159">
        <v>940.5</v>
      </c>
      <c r="DH24" s="278">
        <v>955.6</v>
      </c>
      <c r="DI24" s="287">
        <f t="shared" si="13"/>
        <v>955.6</v>
      </c>
      <c r="DJ24" s="270"/>
      <c r="DK24" s="280">
        <f t="shared" si="14"/>
        <v>955.6</v>
      </c>
      <c r="DL24" s="269">
        <f t="shared" si="15"/>
        <v>955.6</v>
      </c>
      <c r="DM24" s="269">
        <f t="shared" si="16"/>
        <v>955.6</v>
      </c>
      <c r="DN24" s="269">
        <f t="shared" si="17"/>
        <v>955.6</v>
      </c>
      <c r="DO24" s="287">
        <f t="shared" si="18"/>
        <v>955.6</v>
      </c>
      <c r="DP24" s="270"/>
      <c r="DQ24" s="280">
        <f t="shared" si="19"/>
        <v>955.6</v>
      </c>
      <c r="DR24" s="269">
        <f t="shared" si="20"/>
        <v>955.6</v>
      </c>
      <c r="DS24" s="269">
        <f t="shared" si="21"/>
        <v>955.6</v>
      </c>
      <c r="DT24" s="269">
        <f t="shared" si="22"/>
        <v>955.6</v>
      </c>
      <c r="DU24" s="287">
        <f t="shared" si="23"/>
        <v>955.6</v>
      </c>
      <c r="DV24" s="270"/>
      <c r="DW24" s="280">
        <f t="shared" si="24"/>
        <v>955.6</v>
      </c>
      <c r="DX24" s="269">
        <f t="shared" si="25"/>
        <v>955.6</v>
      </c>
      <c r="DY24" s="269">
        <f t="shared" si="26"/>
        <v>955.6</v>
      </c>
      <c r="DZ24" s="269">
        <f t="shared" si="27"/>
        <v>955.6</v>
      </c>
      <c r="EA24" s="287">
        <f t="shared" si="28"/>
        <v>955.6</v>
      </c>
      <c r="EB24" s="270"/>
      <c r="EC24" s="280">
        <f t="shared" si="29"/>
        <v>955.6</v>
      </c>
      <c r="ED24" s="269">
        <f t="shared" si="30"/>
        <v>955.6</v>
      </c>
      <c r="EE24" s="269">
        <f t="shared" si="31"/>
        <v>955.6</v>
      </c>
      <c r="EF24" s="269">
        <f t="shared" si="32"/>
        <v>955.6</v>
      </c>
      <c r="EG24" s="287">
        <f t="shared" si="33"/>
        <v>955.6</v>
      </c>
    </row>
    <row r="25" spans="1:137" ht="12.75" customHeight="1" x14ac:dyDescent="0.2">
      <c r="A25" s="302" t="s">
        <v>299</v>
      </c>
      <c r="B25" s="22">
        <v>3.3500000000000002E-2</v>
      </c>
      <c r="C25" s="303">
        <v>2025</v>
      </c>
      <c r="E25" s="287"/>
      <c r="F25" s="270"/>
      <c r="G25" s="287"/>
      <c r="H25" s="270"/>
      <c r="I25" s="287"/>
      <c r="J25" s="270"/>
      <c r="K25" s="287"/>
      <c r="L25" s="270"/>
      <c r="M25" s="280"/>
      <c r="N25" s="269"/>
      <c r="O25" s="269"/>
      <c r="P25" s="269"/>
      <c r="Q25" s="287"/>
      <c r="R25" s="270"/>
      <c r="S25" s="280"/>
      <c r="T25" s="269"/>
      <c r="U25" s="269"/>
      <c r="V25" s="269"/>
      <c r="W25" s="287"/>
      <c r="X25" s="270"/>
      <c r="Y25" s="280"/>
      <c r="Z25" s="269"/>
      <c r="AA25" s="269"/>
      <c r="AB25" s="269"/>
      <c r="AC25" s="287"/>
      <c r="AD25" s="270"/>
      <c r="AE25" s="280"/>
      <c r="AF25" s="269"/>
      <c r="AG25" s="269"/>
      <c r="AH25" s="269"/>
      <c r="AI25" s="287"/>
      <c r="AJ25" s="270"/>
      <c r="AK25" s="280"/>
      <c r="AL25" s="269"/>
      <c r="AM25" s="269"/>
      <c r="AN25" s="269"/>
      <c r="AO25" s="287"/>
      <c r="AP25" s="270"/>
      <c r="AQ25" s="280"/>
      <c r="AR25" s="269"/>
      <c r="AS25" s="269"/>
      <c r="AT25" s="269"/>
      <c r="AU25" s="287"/>
      <c r="AV25" s="270"/>
      <c r="AW25" s="280"/>
      <c r="AX25" s="269"/>
      <c r="AY25" s="269"/>
      <c r="AZ25" s="269"/>
      <c r="BA25" s="287"/>
      <c r="BB25" s="270"/>
      <c r="BC25" s="280"/>
      <c r="BD25" s="269"/>
      <c r="BE25" s="269"/>
      <c r="BF25" s="269"/>
      <c r="BG25" s="287"/>
      <c r="BH25" s="270"/>
      <c r="BI25" s="280"/>
      <c r="BJ25" s="269"/>
      <c r="BK25" s="269"/>
      <c r="BL25" s="269"/>
      <c r="BM25" s="287"/>
      <c r="BN25" s="270"/>
      <c r="BO25" s="280"/>
      <c r="BP25" s="269"/>
      <c r="BQ25" s="269"/>
      <c r="BR25" s="269"/>
      <c r="BS25" s="287"/>
      <c r="BT25" s="270"/>
      <c r="BU25" s="280"/>
      <c r="BV25" s="269"/>
      <c r="BW25" s="269"/>
      <c r="BX25" s="269"/>
      <c r="BY25" s="287"/>
      <c r="BZ25" s="270"/>
      <c r="CA25" s="280"/>
      <c r="CB25" s="269"/>
      <c r="CC25" s="269"/>
      <c r="CD25" s="269"/>
      <c r="CE25" s="287"/>
      <c r="CF25" s="270"/>
      <c r="CG25" s="280"/>
      <c r="CH25" s="269"/>
      <c r="CI25" s="269"/>
      <c r="CJ25" s="269"/>
      <c r="CK25" s="287"/>
      <c r="CL25" s="270"/>
      <c r="CM25" s="293">
        <v>0</v>
      </c>
      <c r="CN25" s="278">
        <v>0</v>
      </c>
      <c r="CO25" s="278">
        <v>0</v>
      </c>
      <c r="CP25" s="278">
        <v>0</v>
      </c>
      <c r="CQ25" s="287">
        <f t="shared" si="9"/>
        <v>0</v>
      </c>
      <c r="CR25" s="270"/>
      <c r="CS25" s="293">
        <v>0</v>
      </c>
      <c r="CT25" s="278">
        <v>0</v>
      </c>
      <c r="CU25" s="278">
        <v>501.1</v>
      </c>
      <c r="CV25" s="278">
        <v>495.3</v>
      </c>
      <c r="CW25" s="287">
        <f t="shared" si="10"/>
        <v>495.3</v>
      </c>
      <c r="CX25" s="270"/>
      <c r="CY25" s="293">
        <v>495.4</v>
      </c>
      <c r="CZ25" s="278">
        <v>495.6</v>
      </c>
      <c r="DA25" s="278">
        <v>495.7</v>
      </c>
      <c r="DB25" s="278">
        <v>495.8</v>
      </c>
      <c r="DC25" s="287">
        <f t="shared" si="11"/>
        <v>495.8</v>
      </c>
      <c r="DD25" s="270"/>
      <c r="DE25" s="293">
        <v>495.9</v>
      </c>
      <c r="DF25" s="1159">
        <v>496.1</v>
      </c>
      <c r="DG25" s="1159">
        <v>496.2</v>
      </c>
      <c r="DH25" s="278">
        <v>496.3</v>
      </c>
      <c r="DI25" s="287">
        <f t="shared" si="13"/>
        <v>496.3</v>
      </c>
      <c r="DJ25" s="270"/>
      <c r="DK25" s="280">
        <f t="shared" si="14"/>
        <v>496.3</v>
      </c>
      <c r="DL25" s="269">
        <f t="shared" si="15"/>
        <v>496.3</v>
      </c>
      <c r="DM25" s="269">
        <f t="shared" si="15"/>
        <v>496.3</v>
      </c>
      <c r="DN25" s="269">
        <f t="shared" si="17"/>
        <v>496.3</v>
      </c>
      <c r="DO25" s="287">
        <f t="shared" si="18"/>
        <v>496.3</v>
      </c>
      <c r="DP25" s="270"/>
      <c r="DQ25" s="280">
        <f t="shared" si="19"/>
        <v>496.3</v>
      </c>
      <c r="DR25" s="269">
        <f t="shared" si="20"/>
        <v>496.3</v>
      </c>
      <c r="DS25" s="269">
        <f t="shared" si="21"/>
        <v>496.3</v>
      </c>
      <c r="DT25" s="269">
        <f t="shared" si="22"/>
        <v>496.3</v>
      </c>
      <c r="DU25" s="287">
        <f t="shared" si="23"/>
        <v>496.3</v>
      </c>
      <c r="DV25" s="270"/>
      <c r="DW25" s="280">
        <f t="shared" si="24"/>
        <v>496.3</v>
      </c>
      <c r="DX25" s="269">
        <f t="shared" si="25"/>
        <v>496.3</v>
      </c>
      <c r="DY25" s="269">
        <f t="shared" si="26"/>
        <v>496.3</v>
      </c>
      <c r="DZ25" s="269">
        <f t="shared" si="27"/>
        <v>496.3</v>
      </c>
      <c r="EA25" s="287">
        <f t="shared" si="28"/>
        <v>496.3</v>
      </c>
      <c r="EB25" s="270"/>
      <c r="EC25" s="280">
        <f t="shared" si="29"/>
        <v>496.3</v>
      </c>
      <c r="ED25" s="269">
        <f t="shared" si="30"/>
        <v>496.3</v>
      </c>
      <c r="EE25" s="269">
        <f t="shared" si="31"/>
        <v>496.3</v>
      </c>
      <c r="EF25" s="269">
        <f t="shared" si="32"/>
        <v>496.3</v>
      </c>
      <c r="EG25" s="287">
        <f t="shared" si="33"/>
        <v>496.3</v>
      </c>
    </row>
    <row r="26" spans="1:137" ht="12.75" customHeight="1" x14ac:dyDescent="0.2">
      <c r="A26" s="302" t="s">
        <v>641</v>
      </c>
      <c r="B26" s="22">
        <v>3.0000000000000001E-3</v>
      </c>
      <c r="C26" s="303">
        <v>2027</v>
      </c>
      <c r="E26" s="287"/>
      <c r="F26" s="270"/>
      <c r="G26" s="287"/>
      <c r="H26" s="270"/>
      <c r="I26" s="287"/>
      <c r="J26" s="270"/>
      <c r="K26" s="287"/>
      <c r="L26" s="270"/>
      <c r="M26" s="280"/>
      <c r="N26" s="269"/>
      <c r="O26" s="269"/>
      <c r="P26" s="269"/>
      <c r="Q26" s="287"/>
      <c r="R26" s="270"/>
      <c r="S26" s="280"/>
      <c r="T26" s="269"/>
      <c r="U26" s="269"/>
      <c r="V26" s="269"/>
      <c r="W26" s="287"/>
      <c r="X26" s="270"/>
      <c r="Y26" s="280"/>
      <c r="Z26" s="269"/>
      <c r="AA26" s="269"/>
      <c r="AB26" s="269"/>
      <c r="AC26" s="287"/>
      <c r="AD26" s="270"/>
      <c r="AE26" s="280"/>
      <c r="AF26" s="269"/>
      <c r="AG26" s="269"/>
      <c r="AH26" s="269"/>
      <c r="AI26" s="287"/>
      <c r="AJ26" s="270"/>
      <c r="AK26" s="280"/>
      <c r="AL26" s="269"/>
      <c r="AM26" s="269"/>
      <c r="AN26" s="269"/>
      <c r="AO26" s="287"/>
      <c r="AP26" s="270"/>
      <c r="AQ26" s="280"/>
      <c r="AR26" s="269"/>
      <c r="AS26" s="269"/>
      <c r="AT26" s="269"/>
      <c r="AU26" s="287"/>
      <c r="AV26" s="270"/>
      <c r="AW26" s="280"/>
      <c r="AX26" s="269"/>
      <c r="AY26" s="269"/>
      <c r="AZ26" s="269"/>
      <c r="BA26" s="287"/>
      <c r="BB26" s="270"/>
      <c r="BC26" s="280"/>
      <c r="BD26" s="269"/>
      <c r="BE26" s="269"/>
      <c r="BF26" s="269"/>
      <c r="BG26" s="287"/>
      <c r="BH26" s="270"/>
      <c r="BI26" s="280"/>
      <c r="BJ26" s="269"/>
      <c r="BK26" s="269"/>
      <c r="BL26" s="269"/>
      <c r="BM26" s="287"/>
      <c r="BN26" s="270"/>
      <c r="BO26" s="280"/>
      <c r="BP26" s="269"/>
      <c r="BQ26" s="269"/>
      <c r="BR26" s="269"/>
      <c r="BS26" s="287"/>
      <c r="BT26" s="270"/>
      <c r="BU26" s="280"/>
      <c r="BV26" s="269"/>
      <c r="BW26" s="269"/>
      <c r="BX26" s="269"/>
      <c r="BY26" s="287"/>
      <c r="BZ26" s="270"/>
      <c r="CA26" s="280"/>
      <c r="CB26" s="269"/>
      <c r="CC26" s="269"/>
      <c r="CD26" s="269"/>
      <c r="CE26" s="287"/>
      <c r="CF26" s="270"/>
      <c r="CG26" s="280"/>
      <c r="CH26" s="269"/>
      <c r="CI26" s="269"/>
      <c r="CJ26" s="269"/>
      <c r="CK26" s="287"/>
      <c r="CL26" s="270"/>
      <c r="CM26" s="293"/>
      <c r="CN26" s="278"/>
      <c r="CO26" s="278"/>
      <c r="CP26" s="278"/>
      <c r="CQ26" s="287"/>
      <c r="CR26" s="270"/>
      <c r="CS26" s="293"/>
      <c r="CT26" s="278"/>
      <c r="CU26" s="278"/>
      <c r="CV26" s="278"/>
      <c r="CW26" s="287"/>
      <c r="CX26" s="270"/>
      <c r="CY26" s="293"/>
      <c r="CZ26" s="278"/>
      <c r="DA26" s="278"/>
      <c r="DB26" s="278"/>
      <c r="DC26" s="287"/>
      <c r="DD26" s="270"/>
      <c r="DE26" s="293">
        <v>0</v>
      </c>
      <c r="DF26" s="1159">
        <v>272.5</v>
      </c>
      <c r="DG26" s="1159">
        <v>272.5</v>
      </c>
      <c r="DH26" s="278">
        <v>272.2</v>
      </c>
      <c r="DI26" s="287">
        <f t="shared" ref="DI26" si="34">DH26</f>
        <v>272.2</v>
      </c>
      <c r="DJ26" s="270"/>
      <c r="DK26" s="280">
        <f t="shared" ref="DK26" si="35">DH26</f>
        <v>272.2</v>
      </c>
      <c r="DL26" s="269">
        <f t="shared" ref="DL26" si="36">DK26</f>
        <v>272.2</v>
      </c>
      <c r="DM26" s="269">
        <f t="shared" ref="DM26" si="37">DL26</f>
        <v>272.2</v>
      </c>
      <c r="DN26" s="269">
        <f t="shared" ref="DN26" si="38">DM26</f>
        <v>272.2</v>
      </c>
      <c r="DO26" s="287">
        <f t="shared" ref="DO26" si="39">DN26</f>
        <v>272.2</v>
      </c>
      <c r="DP26" s="270"/>
      <c r="DQ26" s="280">
        <f t="shared" ref="DQ26" si="40">DN26</f>
        <v>272.2</v>
      </c>
      <c r="DR26" s="269">
        <f t="shared" ref="DR26" si="41">DQ26</f>
        <v>272.2</v>
      </c>
      <c r="DS26" s="269">
        <f t="shared" ref="DS26" si="42">DR26</f>
        <v>272.2</v>
      </c>
      <c r="DT26" s="269">
        <f t="shared" ref="DT26" si="43">DS26</f>
        <v>272.2</v>
      </c>
      <c r="DU26" s="287">
        <f t="shared" ref="DU26" si="44">DT26</f>
        <v>272.2</v>
      </c>
      <c r="DV26" s="270"/>
      <c r="DW26" s="280">
        <f t="shared" si="24"/>
        <v>272.2</v>
      </c>
      <c r="DX26" s="269">
        <f t="shared" si="25"/>
        <v>272.2</v>
      </c>
      <c r="DY26" s="269">
        <f t="shared" si="26"/>
        <v>272.2</v>
      </c>
      <c r="DZ26" s="269">
        <f t="shared" si="27"/>
        <v>272.2</v>
      </c>
      <c r="EA26" s="287">
        <f t="shared" si="28"/>
        <v>272.2</v>
      </c>
      <c r="EB26" s="270"/>
      <c r="EC26" s="280">
        <f t="shared" si="29"/>
        <v>272.2</v>
      </c>
      <c r="ED26" s="269">
        <f t="shared" si="30"/>
        <v>272.2</v>
      </c>
      <c r="EE26" s="269">
        <f t="shared" si="31"/>
        <v>272.2</v>
      </c>
      <c r="EF26" s="269">
        <f t="shared" si="32"/>
        <v>272.2</v>
      </c>
      <c r="EG26" s="287">
        <f t="shared" si="33"/>
        <v>272.2</v>
      </c>
    </row>
    <row r="27" spans="1:137" ht="12.75" customHeight="1" x14ac:dyDescent="0.2">
      <c r="A27" s="302" t="s">
        <v>640</v>
      </c>
      <c r="B27" s="22">
        <v>1.2E-2</v>
      </c>
      <c r="C27" s="303">
        <v>2027</v>
      </c>
      <c r="E27" s="287"/>
      <c r="F27" s="270"/>
      <c r="G27" s="287"/>
      <c r="H27" s="270"/>
      <c r="I27" s="287"/>
      <c r="J27" s="270"/>
      <c r="K27" s="287"/>
      <c r="L27" s="270"/>
      <c r="M27" s="280"/>
      <c r="N27" s="269"/>
      <c r="O27" s="269"/>
      <c r="P27" s="269"/>
      <c r="Q27" s="287"/>
      <c r="R27" s="270"/>
      <c r="S27" s="280"/>
      <c r="T27" s="269"/>
      <c r="U27" s="269"/>
      <c r="V27" s="269"/>
      <c r="W27" s="287"/>
      <c r="X27" s="270"/>
      <c r="Y27" s="280"/>
      <c r="Z27" s="269"/>
      <c r="AA27" s="269"/>
      <c r="AB27" s="269"/>
      <c r="AC27" s="287"/>
      <c r="AD27" s="270"/>
      <c r="AE27" s="280"/>
      <c r="AF27" s="269"/>
      <c r="AG27" s="269"/>
      <c r="AH27" s="269"/>
      <c r="AI27" s="287"/>
      <c r="AJ27" s="270"/>
      <c r="AK27" s="280"/>
      <c r="AL27" s="269"/>
      <c r="AM27" s="269"/>
      <c r="AN27" s="269"/>
      <c r="AO27" s="287"/>
      <c r="AP27" s="270"/>
      <c r="AQ27" s="280"/>
      <c r="AR27" s="269"/>
      <c r="AS27" s="269"/>
      <c r="AT27" s="269"/>
      <c r="AU27" s="287"/>
      <c r="AV27" s="270"/>
      <c r="AW27" s="280"/>
      <c r="AX27" s="269"/>
      <c r="AY27" s="269"/>
      <c r="AZ27" s="269"/>
      <c r="BA27" s="287"/>
      <c r="BB27" s="270"/>
      <c r="BC27" s="280"/>
      <c r="BD27" s="269"/>
      <c r="BE27" s="269"/>
      <c r="BF27" s="269"/>
      <c r="BG27" s="287"/>
      <c r="BH27" s="270"/>
      <c r="BI27" s="280"/>
      <c r="BJ27" s="269"/>
      <c r="BK27" s="269"/>
      <c r="BL27" s="269"/>
      <c r="BM27" s="287"/>
      <c r="BN27" s="270"/>
      <c r="BO27" s="280"/>
      <c r="BP27" s="269"/>
      <c r="BQ27" s="269"/>
      <c r="BR27" s="269"/>
      <c r="BS27" s="287"/>
      <c r="BT27" s="270"/>
      <c r="BU27" s="280"/>
      <c r="BV27" s="269"/>
      <c r="BW27" s="269"/>
      <c r="BX27" s="269"/>
      <c r="BY27" s="287"/>
      <c r="BZ27" s="270"/>
      <c r="CA27" s="280"/>
      <c r="CB27" s="269"/>
      <c r="CC27" s="269"/>
      <c r="CD27" s="269"/>
      <c r="CE27" s="287"/>
      <c r="CF27" s="270"/>
      <c r="CG27" s="280"/>
      <c r="CH27" s="269"/>
      <c r="CI27" s="269"/>
      <c r="CJ27" s="269"/>
      <c r="CK27" s="287"/>
      <c r="CL27" s="270"/>
      <c r="CM27" s="293"/>
      <c r="CN27" s="278"/>
      <c r="CO27" s="278"/>
      <c r="CP27" s="278"/>
      <c r="CQ27" s="287"/>
      <c r="CR27" s="270"/>
      <c r="CS27" s="293"/>
      <c r="CT27" s="278"/>
      <c r="CU27" s="278"/>
      <c r="CV27" s="278"/>
      <c r="CW27" s="287"/>
      <c r="CX27" s="270"/>
      <c r="CY27" s="293"/>
      <c r="CZ27" s="278"/>
      <c r="DA27" s="278"/>
      <c r="DB27" s="278"/>
      <c r="DC27" s="287"/>
      <c r="DD27" s="270"/>
      <c r="DE27" s="293">
        <v>0</v>
      </c>
      <c r="DF27" s="1159">
        <v>678.6</v>
      </c>
      <c r="DG27" s="1159">
        <v>702.8</v>
      </c>
      <c r="DH27" s="278">
        <v>714.1</v>
      </c>
      <c r="DI27" s="287">
        <f t="shared" si="13"/>
        <v>714.1</v>
      </c>
      <c r="DJ27" s="270"/>
      <c r="DK27" s="280">
        <f t="shared" si="14"/>
        <v>714.1</v>
      </c>
      <c r="DL27" s="269">
        <f t="shared" si="15"/>
        <v>714.1</v>
      </c>
      <c r="DM27" s="269">
        <f t="shared" si="15"/>
        <v>714.1</v>
      </c>
      <c r="DN27" s="269">
        <f t="shared" si="17"/>
        <v>714.1</v>
      </c>
      <c r="DO27" s="287">
        <f t="shared" si="18"/>
        <v>714.1</v>
      </c>
      <c r="DP27" s="270"/>
      <c r="DQ27" s="280">
        <f t="shared" si="19"/>
        <v>714.1</v>
      </c>
      <c r="DR27" s="269">
        <f t="shared" si="20"/>
        <v>714.1</v>
      </c>
      <c r="DS27" s="269">
        <f t="shared" si="21"/>
        <v>714.1</v>
      </c>
      <c r="DT27" s="269">
        <f t="shared" si="22"/>
        <v>714.1</v>
      </c>
      <c r="DU27" s="287">
        <f t="shared" si="23"/>
        <v>714.1</v>
      </c>
      <c r="DV27" s="270"/>
      <c r="DW27" s="280">
        <f t="shared" si="24"/>
        <v>714.1</v>
      </c>
      <c r="DX27" s="269">
        <f t="shared" si="25"/>
        <v>714.1</v>
      </c>
      <c r="DY27" s="269">
        <f t="shared" si="26"/>
        <v>714.1</v>
      </c>
      <c r="DZ27" s="269">
        <f t="shared" si="27"/>
        <v>714.1</v>
      </c>
      <c r="EA27" s="287">
        <f t="shared" si="28"/>
        <v>714.1</v>
      </c>
      <c r="EB27" s="270"/>
      <c r="EC27" s="280">
        <f t="shared" si="29"/>
        <v>714.1</v>
      </c>
      <c r="ED27" s="269">
        <f t="shared" si="30"/>
        <v>714.1</v>
      </c>
      <c r="EE27" s="269">
        <f t="shared" si="31"/>
        <v>714.1</v>
      </c>
      <c r="EF27" s="269">
        <f t="shared" si="32"/>
        <v>714.1</v>
      </c>
      <c r="EG27" s="287">
        <f t="shared" si="33"/>
        <v>714.1</v>
      </c>
    </row>
    <row r="28" spans="1:137" ht="12.75" customHeight="1" x14ac:dyDescent="0.2">
      <c r="A28" s="302" t="s">
        <v>719</v>
      </c>
      <c r="B28" s="22">
        <v>6.4999999999999997E-3</v>
      </c>
      <c r="C28" s="303">
        <v>2032</v>
      </c>
      <c r="E28" s="287"/>
      <c r="F28" s="270"/>
      <c r="G28" s="287"/>
      <c r="H28" s="270"/>
      <c r="I28" s="287"/>
      <c r="J28" s="270"/>
      <c r="K28" s="287"/>
      <c r="L28" s="270"/>
      <c r="M28" s="280"/>
      <c r="N28" s="269"/>
      <c r="O28" s="269"/>
      <c r="P28" s="269"/>
      <c r="Q28" s="287"/>
      <c r="R28" s="270"/>
      <c r="S28" s="280"/>
      <c r="T28" s="269"/>
      <c r="U28" s="269"/>
      <c r="V28" s="269"/>
      <c r="W28" s="287"/>
      <c r="X28" s="270"/>
      <c r="Y28" s="280"/>
      <c r="Z28" s="269"/>
      <c r="AA28" s="269"/>
      <c r="AB28" s="269"/>
      <c r="AC28" s="287"/>
      <c r="AD28" s="270"/>
      <c r="AE28" s="280"/>
      <c r="AF28" s="269"/>
      <c r="AG28" s="269"/>
      <c r="AH28" s="269"/>
      <c r="AI28" s="287"/>
      <c r="AJ28" s="270"/>
      <c r="AK28" s="280"/>
      <c r="AL28" s="269"/>
      <c r="AM28" s="269"/>
      <c r="AN28" s="269"/>
      <c r="AO28" s="287"/>
      <c r="AP28" s="270"/>
      <c r="AQ28" s="280"/>
      <c r="AR28" s="269"/>
      <c r="AS28" s="269"/>
      <c r="AT28" s="269"/>
      <c r="AU28" s="287"/>
      <c r="AV28" s="270"/>
      <c r="AW28" s="280"/>
      <c r="AX28" s="269"/>
      <c r="AY28" s="269"/>
      <c r="AZ28" s="269"/>
      <c r="BA28" s="287"/>
      <c r="BB28" s="270"/>
      <c r="BC28" s="280"/>
      <c r="BD28" s="269"/>
      <c r="BE28" s="269"/>
      <c r="BF28" s="269"/>
      <c r="BG28" s="287"/>
      <c r="BH28" s="270"/>
      <c r="BI28" s="280"/>
      <c r="BJ28" s="269"/>
      <c r="BK28" s="269"/>
      <c r="BL28" s="269"/>
      <c r="BM28" s="287"/>
      <c r="BN28" s="270"/>
      <c r="BO28" s="280"/>
      <c r="BP28" s="269"/>
      <c r="BQ28" s="269"/>
      <c r="BR28" s="269"/>
      <c r="BS28" s="287"/>
      <c r="BT28" s="270"/>
      <c r="BU28" s="280"/>
      <c r="BV28" s="269"/>
      <c r="BW28" s="269"/>
      <c r="BX28" s="269"/>
      <c r="BY28" s="287"/>
      <c r="BZ28" s="270"/>
      <c r="CA28" s="280"/>
      <c r="CB28" s="269"/>
      <c r="CC28" s="269"/>
      <c r="CD28" s="269"/>
      <c r="CE28" s="287"/>
      <c r="CF28" s="270"/>
      <c r="CG28" s="280"/>
      <c r="CH28" s="269"/>
      <c r="CI28" s="269"/>
      <c r="CJ28" s="269"/>
      <c r="CK28" s="287"/>
      <c r="CL28" s="270"/>
      <c r="CM28" s="293"/>
      <c r="CN28" s="278"/>
      <c r="CO28" s="278"/>
      <c r="CP28" s="278"/>
      <c r="CQ28" s="287"/>
      <c r="CR28" s="270"/>
      <c r="CS28" s="293"/>
      <c r="CT28" s="278"/>
      <c r="CU28" s="278"/>
      <c r="CV28" s="278"/>
      <c r="CW28" s="287"/>
      <c r="CX28" s="270"/>
      <c r="CY28" s="293"/>
      <c r="CZ28" s="278"/>
      <c r="DA28" s="278"/>
      <c r="DB28" s="278"/>
      <c r="DC28" s="287"/>
      <c r="DD28" s="270"/>
      <c r="DE28" s="293">
        <v>0</v>
      </c>
      <c r="DF28" s="1159">
        <v>470.6</v>
      </c>
      <c r="DG28" s="1159">
        <v>470.6</v>
      </c>
      <c r="DH28" s="278">
        <v>470.2</v>
      </c>
      <c r="DI28" s="287">
        <f t="shared" ref="DI28" si="45">DH28</f>
        <v>470.2</v>
      </c>
      <c r="DJ28" s="270"/>
      <c r="DK28" s="280">
        <f t="shared" ref="DK28" si="46">DH28</f>
        <v>470.2</v>
      </c>
      <c r="DL28" s="269">
        <f t="shared" ref="DL28" si="47">DK28</f>
        <v>470.2</v>
      </c>
      <c r="DM28" s="269">
        <f t="shared" si="15"/>
        <v>470.2</v>
      </c>
      <c r="DN28" s="269">
        <f t="shared" ref="DN28" si="48">DM28</f>
        <v>470.2</v>
      </c>
      <c r="DO28" s="287">
        <f t="shared" ref="DO28" si="49">DN28</f>
        <v>470.2</v>
      </c>
      <c r="DP28" s="270"/>
      <c r="DQ28" s="280">
        <f t="shared" ref="DQ28" si="50">DN28</f>
        <v>470.2</v>
      </c>
      <c r="DR28" s="269">
        <f t="shared" ref="DR28" si="51">DQ28</f>
        <v>470.2</v>
      </c>
      <c r="DS28" s="269">
        <f t="shared" ref="DS28" si="52">DR28</f>
        <v>470.2</v>
      </c>
      <c r="DT28" s="269">
        <f t="shared" ref="DT28" si="53">DS28</f>
        <v>470.2</v>
      </c>
      <c r="DU28" s="287">
        <f t="shared" ref="DU28" si="54">DT28</f>
        <v>470.2</v>
      </c>
      <c r="DV28" s="270"/>
      <c r="DW28" s="280">
        <f t="shared" si="24"/>
        <v>470.2</v>
      </c>
      <c r="DX28" s="269">
        <f t="shared" si="25"/>
        <v>470.2</v>
      </c>
      <c r="DY28" s="269">
        <f t="shared" si="26"/>
        <v>470.2</v>
      </c>
      <c r="DZ28" s="269">
        <f t="shared" si="27"/>
        <v>470.2</v>
      </c>
      <c r="EA28" s="287">
        <f t="shared" si="28"/>
        <v>470.2</v>
      </c>
      <c r="EB28" s="270"/>
      <c r="EC28" s="280">
        <f t="shared" si="29"/>
        <v>470.2</v>
      </c>
      <c r="ED28" s="269">
        <f t="shared" si="30"/>
        <v>470.2</v>
      </c>
      <c r="EE28" s="269">
        <f t="shared" si="31"/>
        <v>470.2</v>
      </c>
      <c r="EF28" s="269">
        <f t="shared" si="32"/>
        <v>470.2</v>
      </c>
      <c r="EG28" s="287">
        <f t="shared" si="33"/>
        <v>470.2</v>
      </c>
    </row>
    <row r="29" spans="1:137" ht="12.75" customHeight="1" x14ac:dyDescent="0.2">
      <c r="A29" s="302" t="s">
        <v>299</v>
      </c>
      <c r="B29" s="22">
        <v>4.3749999999999997E-2</v>
      </c>
      <c r="C29" s="303">
        <v>2045</v>
      </c>
      <c r="E29" s="287"/>
      <c r="F29" s="270"/>
      <c r="G29" s="287"/>
      <c r="H29" s="270"/>
      <c r="I29" s="287"/>
      <c r="J29" s="270"/>
      <c r="K29" s="287"/>
      <c r="L29" s="270"/>
      <c r="M29" s="280"/>
      <c r="N29" s="269"/>
      <c r="O29" s="269"/>
      <c r="P29" s="269"/>
      <c r="Q29" s="287"/>
      <c r="R29" s="270"/>
      <c r="S29" s="280"/>
      <c r="T29" s="269"/>
      <c r="U29" s="269"/>
      <c r="V29" s="269"/>
      <c r="W29" s="287"/>
      <c r="X29" s="270"/>
      <c r="Y29" s="280"/>
      <c r="Z29" s="269"/>
      <c r="AA29" s="269"/>
      <c r="AB29" s="269"/>
      <c r="AC29" s="287"/>
      <c r="AD29" s="270"/>
      <c r="AE29" s="280"/>
      <c r="AF29" s="269"/>
      <c r="AG29" s="269"/>
      <c r="AH29" s="269"/>
      <c r="AI29" s="287"/>
      <c r="AJ29" s="270"/>
      <c r="AK29" s="280"/>
      <c r="AL29" s="269"/>
      <c r="AM29" s="269"/>
      <c r="AN29" s="269"/>
      <c r="AO29" s="287"/>
      <c r="AP29" s="270"/>
      <c r="AQ29" s="280"/>
      <c r="AR29" s="269"/>
      <c r="AS29" s="269"/>
      <c r="AT29" s="269"/>
      <c r="AU29" s="287"/>
      <c r="AV29" s="270"/>
      <c r="AW29" s="280"/>
      <c r="AX29" s="269"/>
      <c r="AY29" s="269"/>
      <c r="AZ29" s="269"/>
      <c r="BA29" s="287"/>
      <c r="BB29" s="270"/>
      <c r="BC29" s="280"/>
      <c r="BD29" s="269"/>
      <c r="BE29" s="269"/>
      <c r="BF29" s="269"/>
      <c r="BG29" s="287"/>
      <c r="BH29" s="270"/>
      <c r="BI29" s="280"/>
      <c r="BJ29" s="269"/>
      <c r="BK29" s="269"/>
      <c r="BL29" s="269"/>
      <c r="BM29" s="287"/>
      <c r="BN29" s="270"/>
      <c r="BO29" s="280"/>
      <c r="BP29" s="269"/>
      <c r="BQ29" s="269"/>
      <c r="BR29" s="269"/>
      <c r="BS29" s="287"/>
      <c r="BT29" s="270"/>
      <c r="BU29" s="280"/>
      <c r="BV29" s="269"/>
      <c r="BW29" s="269"/>
      <c r="BX29" s="269"/>
      <c r="BY29" s="287"/>
      <c r="BZ29" s="270"/>
      <c r="CA29" s="280"/>
      <c r="CB29" s="269"/>
      <c r="CC29" s="269"/>
      <c r="CD29" s="269"/>
      <c r="CE29" s="287"/>
      <c r="CF29" s="270"/>
      <c r="CG29" s="280"/>
      <c r="CH29" s="269"/>
      <c r="CI29" s="269"/>
      <c r="CJ29" s="269"/>
      <c r="CK29" s="287"/>
      <c r="CL29" s="270"/>
      <c r="CM29" s="293">
        <v>0</v>
      </c>
      <c r="CN29" s="278">
        <v>0</v>
      </c>
      <c r="CO29" s="278">
        <v>0</v>
      </c>
      <c r="CP29" s="278">
        <v>0</v>
      </c>
      <c r="CQ29" s="287">
        <f t="shared" si="9"/>
        <v>0</v>
      </c>
      <c r="CR29" s="270"/>
      <c r="CS29" s="293">
        <v>0</v>
      </c>
      <c r="CT29" s="278">
        <v>0</v>
      </c>
      <c r="CU29" s="278">
        <v>493.5</v>
      </c>
      <c r="CV29" s="278">
        <v>499.3</v>
      </c>
      <c r="CW29" s="287">
        <f t="shared" si="10"/>
        <v>499.3</v>
      </c>
      <c r="CX29" s="270"/>
      <c r="CY29" s="293">
        <v>499.3</v>
      </c>
      <c r="CZ29" s="278">
        <v>499.3</v>
      </c>
      <c r="DA29" s="278">
        <v>499.3</v>
      </c>
      <c r="DB29" s="278">
        <v>499.3</v>
      </c>
      <c r="DC29" s="287">
        <f t="shared" si="11"/>
        <v>499.3</v>
      </c>
      <c r="DD29" s="270"/>
      <c r="DE29" s="293">
        <v>499.3</v>
      </c>
      <c r="DF29" s="1159">
        <v>499.3</v>
      </c>
      <c r="DG29" s="1159">
        <v>499.3</v>
      </c>
      <c r="DH29" s="278">
        <v>499.3</v>
      </c>
      <c r="DI29" s="287">
        <f t="shared" si="13"/>
        <v>499.3</v>
      </c>
      <c r="DJ29" s="270"/>
      <c r="DK29" s="280">
        <f t="shared" si="14"/>
        <v>499.3</v>
      </c>
      <c r="DL29" s="269">
        <f t="shared" si="15"/>
        <v>499.3</v>
      </c>
      <c r="DM29" s="269">
        <f t="shared" si="16"/>
        <v>499.3</v>
      </c>
      <c r="DN29" s="269">
        <f t="shared" si="17"/>
        <v>499.3</v>
      </c>
      <c r="DO29" s="287">
        <f t="shared" si="18"/>
        <v>499.3</v>
      </c>
      <c r="DP29" s="270"/>
      <c r="DQ29" s="280">
        <f t="shared" si="19"/>
        <v>499.3</v>
      </c>
      <c r="DR29" s="269">
        <f t="shared" si="20"/>
        <v>499.3</v>
      </c>
      <c r="DS29" s="269">
        <f t="shared" si="21"/>
        <v>499.3</v>
      </c>
      <c r="DT29" s="269">
        <f t="shared" si="22"/>
        <v>499.3</v>
      </c>
      <c r="DU29" s="287">
        <f t="shared" si="23"/>
        <v>499.3</v>
      </c>
      <c r="DV29" s="270"/>
      <c r="DW29" s="280">
        <f t="shared" si="24"/>
        <v>499.3</v>
      </c>
      <c r="DX29" s="269">
        <f t="shared" si="25"/>
        <v>499.3</v>
      </c>
      <c r="DY29" s="269">
        <f t="shared" si="26"/>
        <v>499.3</v>
      </c>
      <c r="DZ29" s="269">
        <f t="shared" si="27"/>
        <v>499.3</v>
      </c>
      <c r="EA29" s="287">
        <f t="shared" si="28"/>
        <v>499.3</v>
      </c>
      <c r="EB29" s="270"/>
      <c r="EC29" s="280">
        <f t="shared" si="29"/>
        <v>499.3</v>
      </c>
      <c r="ED29" s="269">
        <f t="shared" si="30"/>
        <v>499.3</v>
      </c>
      <c r="EE29" s="269">
        <f t="shared" si="31"/>
        <v>499.3</v>
      </c>
      <c r="EF29" s="269">
        <f t="shared" si="32"/>
        <v>499.3</v>
      </c>
      <c r="EG29" s="287">
        <f t="shared" si="33"/>
        <v>499.3</v>
      </c>
    </row>
    <row r="30" spans="1:137" ht="12.75" customHeight="1" x14ac:dyDescent="0.2">
      <c r="A30" s="302"/>
      <c r="B30" s="22"/>
      <c r="C30" s="303"/>
      <c r="E30" s="287"/>
      <c r="F30" s="270"/>
      <c r="G30" s="287"/>
      <c r="H30" s="270"/>
      <c r="I30" s="287"/>
      <c r="J30" s="270"/>
      <c r="K30" s="287"/>
      <c r="L30" s="270"/>
      <c r="M30" s="280"/>
      <c r="N30" s="269"/>
      <c r="O30" s="269"/>
      <c r="P30" s="269"/>
      <c r="Q30" s="287"/>
      <c r="R30" s="270"/>
      <c r="S30" s="280"/>
      <c r="T30" s="269"/>
      <c r="U30" s="269"/>
      <c r="V30" s="269"/>
      <c r="W30" s="287"/>
      <c r="X30" s="270"/>
      <c r="Y30" s="280"/>
      <c r="Z30" s="269"/>
      <c r="AA30" s="269"/>
      <c r="AB30" s="269"/>
      <c r="AC30" s="287"/>
      <c r="AD30" s="270"/>
      <c r="AE30" s="280"/>
      <c r="AF30" s="269"/>
      <c r="AG30" s="269"/>
      <c r="AH30" s="269"/>
      <c r="AI30" s="287"/>
      <c r="AJ30" s="270"/>
      <c r="AK30" s="280"/>
      <c r="AL30" s="269"/>
      <c r="AM30" s="269"/>
      <c r="AN30" s="269"/>
      <c r="AO30" s="287"/>
      <c r="AP30" s="270"/>
      <c r="AQ30" s="280"/>
      <c r="AR30" s="269"/>
      <c r="AS30" s="269"/>
      <c r="AT30" s="269"/>
      <c r="AU30" s="287"/>
      <c r="AV30" s="270"/>
      <c r="AW30" s="280"/>
      <c r="AX30" s="269"/>
      <c r="AY30" s="269"/>
      <c r="AZ30" s="269"/>
      <c r="BA30" s="287"/>
      <c r="BB30" s="270"/>
      <c r="BC30" s="280"/>
      <c r="BD30" s="269"/>
      <c r="BE30" s="269"/>
      <c r="BF30" s="269"/>
      <c r="BG30" s="287"/>
      <c r="BH30" s="270"/>
      <c r="BI30" s="280"/>
      <c r="BJ30" s="269"/>
      <c r="BK30" s="269"/>
      <c r="BL30" s="269"/>
      <c r="BM30" s="287"/>
      <c r="BN30" s="270"/>
      <c r="BO30" s="280"/>
      <c r="BP30" s="269"/>
      <c r="BQ30" s="269"/>
      <c r="BR30" s="269"/>
      <c r="BS30" s="287"/>
      <c r="BT30" s="270"/>
      <c r="BU30" s="280"/>
      <c r="BV30" s="269"/>
      <c r="BW30" s="269"/>
      <c r="BX30" s="269"/>
      <c r="BY30" s="287"/>
      <c r="BZ30" s="270"/>
      <c r="CA30" s="280"/>
      <c r="CB30" s="269"/>
      <c r="CC30" s="269"/>
      <c r="CD30" s="269"/>
      <c r="CE30" s="287"/>
      <c r="CF30" s="270"/>
      <c r="CG30" s="280"/>
      <c r="CH30" s="269"/>
      <c r="CI30" s="269"/>
      <c r="CJ30" s="269"/>
      <c r="CK30" s="287"/>
      <c r="CL30" s="270"/>
      <c r="CM30" s="280"/>
      <c r="CN30" s="269"/>
      <c r="CO30" s="269"/>
      <c r="CP30" s="269"/>
      <c r="CQ30" s="287"/>
      <c r="CR30" s="270"/>
      <c r="CS30" s="280"/>
      <c r="CT30" s="269"/>
      <c r="CU30" s="269"/>
      <c r="CV30" s="269"/>
      <c r="CW30" s="287"/>
      <c r="CX30" s="270"/>
      <c r="CY30" s="280"/>
      <c r="CZ30" s="269"/>
      <c r="DA30" s="269"/>
      <c r="DB30" s="269"/>
      <c r="DC30" s="287"/>
      <c r="DD30" s="270"/>
      <c r="DE30" s="280"/>
      <c r="DF30" s="269"/>
      <c r="DG30" s="269"/>
      <c r="DH30" s="269"/>
      <c r="DI30" s="287"/>
      <c r="DJ30" s="270"/>
      <c r="DK30" s="280"/>
      <c r="DL30" s="269"/>
      <c r="DM30" s="269"/>
      <c r="DN30" s="269"/>
      <c r="DO30" s="287"/>
      <c r="DP30" s="270"/>
      <c r="DQ30" s="280"/>
      <c r="DR30" s="269"/>
      <c r="DS30" s="269"/>
      <c r="DT30" s="269"/>
      <c r="DU30" s="287"/>
      <c r="DV30" s="270"/>
      <c r="DW30" s="280"/>
      <c r="DX30" s="269"/>
      <c r="DY30" s="269"/>
      <c r="DZ30" s="269"/>
      <c r="EA30" s="287"/>
      <c r="EB30" s="270"/>
      <c r="EC30" s="280"/>
      <c r="ED30" s="269"/>
      <c r="EE30" s="269"/>
      <c r="EF30" s="269"/>
      <c r="EG30" s="287"/>
    </row>
    <row r="31" spans="1:137" ht="12.75" customHeight="1" x14ac:dyDescent="0.2">
      <c r="A31" s="302"/>
      <c r="B31" s="22"/>
      <c r="C31" s="301"/>
      <c r="E31" s="287"/>
      <c r="F31" s="270"/>
      <c r="G31" s="287"/>
      <c r="H31" s="270"/>
      <c r="I31" s="287"/>
      <c r="J31" s="270"/>
      <c r="K31" s="287"/>
      <c r="L31" s="270"/>
      <c r="M31" s="280"/>
      <c r="N31" s="269"/>
      <c r="O31" s="269"/>
      <c r="P31" s="269"/>
      <c r="Q31" s="287"/>
      <c r="R31" s="270"/>
      <c r="S31" s="280"/>
      <c r="T31" s="269"/>
      <c r="U31" s="269"/>
      <c r="V31" s="269"/>
      <c r="W31" s="287"/>
      <c r="X31" s="270"/>
      <c r="Y31" s="280"/>
      <c r="Z31" s="269"/>
      <c r="AA31" s="269"/>
      <c r="AB31" s="269"/>
      <c r="AC31" s="287"/>
      <c r="AD31" s="270"/>
      <c r="AE31" s="280"/>
      <c r="AF31" s="269"/>
      <c r="AG31" s="269"/>
      <c r="AH31" s="269"/>
      <c r="AI31" s="287"/>
      <c r="AJ31" s="270"/>
      <c r="AK31" s="280"/>
      <c r="AL31" s="269"/>
      <c r="AM31" s="269"/>
      <c r="AN31" s="269"/>
      <c r="AO31" s="287"/>
      <c r="AP31" s="270"/>
      <c r="AQ31" s="280"/>
      <c r="AR31" s="269"/>
      <c r="AS31" s="269"/>
      <c r="AT31" s="269"/>
      <c r="AU31" s="287"/>
      <c r="AV31" s="270"/>
      <c r="AW31" s="280"/>
      <c r="AX31" s="269"/>
      <c r="AY31" s="269"/>
      <c r="AZ31" s="269"/>
      <c r="BA31" s="287"/>
      <c r="BB31" s="270"/>
      <c r="BC31" s="280"/>
      <c r="BD31" s="269"/>
      <c r="BE31" s="269"/>
      <c r="BF31" s="269"/>
      <c r="BG31" s="287"/>
      <c r="BH31" s="270"/>
      <c r="BI31" s="280"/>
      <c r="BJ31" s="269"/>
      <c r="BK31" s="269"/>
      <c r="BL31" s="269"/>
      <c r="BM31" s="287"/>
      <c r="BN31" s="270"/>
      <c r="BO31" s="280"/>
      <c r="BP31" s="269"/>
      <c r="BQ31" s="269"/>
      <c r="BR31" s="269"/>
      <c r="BS31" s="287"/>
      <c r="BT31" s="270"/>
      <c r="BU31" s="280"/>
      <c r="BV31" s="269"/>
      <c r="BW31" s="269"/>
      <c r="BX31" s="269"/>
      <c r="BY31" s="287"/>
      <c r="BZ31" s="270"/>
      <c r="CA31" s="280"/>
      <c r="CB31" s="269"/>
      <c r="CC31" s="269"/>
      <c r="CD31" s="269"/>
      <c r="CE31" s="287"/>
      <c r="CF31" s="270"/>
      <c r="CG31" s="280"/>
      <c r="CH31" s="269"/>
      <c r="CI31" s="269"/>
      <c r="CJ31" s="269"/>
      <c r="CK31" s="287"/>
      <c r="CL31" s="270"/>
      <c r="CM31" s="280"/>
      <c r="CN31" s="269"/>
      <c r="CO31" s="269"/>
      <c r="CP31" s="269"/>
      <c r="CQ31" s="287"/>
      <c r="CR31" s="270"/>
      <c r="CS31" s="280"/>
      <c r="CT31" s="269"/>
      <c r="CU31" s="269"/>
      <c r="CV31" s="269"/>
      <c r="CW31" s="287"/>
      <c r="CX31" s="270"/>
      <c r="CY31" s="280"/>
      <c r="CZ31" s="269"/>
      <c r="DA31" s="269"/>
      <c r="DB31" s="269"/>
      <c r="DC31" s="287"/>
      <c r="DD31" s="270"/>
      <c r="DE31" s="280"/>
      <c r="DF31" s="269"/>
      <c r="DG31" s="269"/>
      <c r="DH31" s="269"/>
      <c r="DI31" s="287"/>
      <c r="DJ31" s="270"/>
      <c r="DK31" s="280"/>
      <c r="DL31" s="269"/>
      <c r="DM31" s="269"/>
      <c r="DN31" s="269"/>
      <c r="DO31" s="287"/>
      <c r="DP31" s="270"/>
      <c r="DQ31" s="280"/>
      <c r="DR31" s="269"/>
      <c r="DS31" s="269"/>
      <c r="DT31" s="269"/>
      <c r="DU31" s="287"/>
      <c r="DV31" s="270"/>
      <c r="DW31" s="280"/>
      <c r="DX31" s="269"/>
      <c r="DY31" s="269"/>
      <c r="DZ31" s="269"/>
      <c r="EA31" s="287"/>
      <c r="EB31" s="270"/>
      <c r="EC31" s="280"/>
      <c r="ED31" s="269"/>
      <c r="EE31" s="269"/>
      <c r="EF31" s="269"/>
      <c r="EG31" s="287"/>
    </row>
    <row r="32" spans="1:137" ht="12.75" customHeight="1" x14ac:dyDescent="0.2">
      <c r="A32" s="300" t="s">
        <v>302</v>
      </c>
      <c r="B32" s="22"/>
      <c r="C32" s="301"/>
      <c r="E32" s="287"/>
      <c r="F32" s="270"/>
      <c r="G32" s="287"/>
      <c r="H32" s="270"/>
      <c r="I32" s="287"/>
      <c r="J32" s="270"/>
      <c r="K32" s="287"/>
      <c r="L32" s="270"/>
      <c r="M32" s="280"/>
      <c r="N32" s="269"/>
      <c r="O32" s="269"/>
      <c r="P32" s="269"/>
      <c r="Q32" s="287"/>
      <c r="R32" s="270"/>
      <c r="S32" s="280"/>
      <c r="T32" s="269"/>
      <c r="U32" s="269"/>
      <c r="V32" s="269"/>
      <c r="W32" s="287"/>
      <c r="X32" s="270"/>
      <c r="Y32" s="280"/>
      <c r="Z32" s="269"/>
      <c r="AA32" s="269"/>
      <c r="AB32" s="269"/>
      <c r="AC32" s="287"/>
      <c r="AD32" s="270"/>
      <c r="AE32" s="280"/>
      <c r="AF32" s="269"/>
      <c r="AG32" s="269"/>
      <c r="AH32" s="269"/>
      <c r="AI32" s="287"/>
      <c r="AJ32" s="270"/>
      <c r="AK32" s="280"/>
      <c r="AL32" s="269"/>
      <c r="AM32" s="269"/>
      <c r="AN32" s="269"/>
      <c r="AO32" s="287"/>
      <c r="AP32" s="270"/>
      <c r="AQ32" s="280"/>
      <c r="AR32" s="269"/>
      <c r="AS32" s="269"/>
      <c r="AT32" s="269"/>
      <c r="AU32" s="287"/>
      <c r="AV32" s="270"/>
      <c r="AW32" s="280"/>
      <c r="AX32" s="269"/>
      <c r="AY32" s="269"/>
      <c r="AZ32" s="269"/>
      <c r="BA32" s="287"/>
      <c r="BB32" s="270"/>
      <c r="BC32" s="280"/>
      <c r="BD32" s="269"/>
      <c r="BE32" s="269"/>
      <c r="BF32" s="269"/>
      <c r="BG32" s="287"/>
      <c r="BH32" s="270"/>
      <c r="BI32" s="280"/>
      <c r="BJ32" s="269"/>
      <c r="BK32" s="269"/>
      <c r="BL32" s="269"/>
      <c r="BM32" s="287"/>
      <c r="BN32" s="270"/>
      <c r="BO32" s="280"/>
      <c r="BP32" s="269"/>
      <c r="BQ32" s="269"/>
      <c r="BR32" s="269"/>
      <c r="BS32" s="287"/>
      <c r="BT32" s="270"/>
      <c r="BU32" s="280"/>
      <c r="BV32" s="269"/>
      <c r="BW32" s="269"/>
      <c r="BX32" s="269"/>
      <c r="BY32" s="287"/>
      <c r="BZ32" s="270"/>
      <c r="CA32" s="280"/>
      <c r="CB32" s="269"/>
      <c r="CC32" s="269"/>
      <c r="CD32" s="269"/>
      <c r="CE32" s="287"/>
      <c r="CF32" s="270"/>
      <c r="CG32" s="280"/>
      <c r="CH32" s="269"/>
      <c r="CI32" s="269"/>
      <c r="CJ32" s="269"/>
      <c r="CK32" s="287"/>
      <c r="CL32" s="270"/>
      <c r="CM32" s="280"/>
      <c r="CN32" s="269"/>
      <c r="CO32" s="269"/>
      <c r="CP32" s="269"/>
      <c r="CQ32" s="287"/>
      <c r="CR32" s="270"/>
      <c r="CS32" s="280"/>
      <c r="CT32" s="269"/>
      <c r="CU32" s="269"/>
      <c r="CV32" s="269"/>
      <c r="CW32" s="287"/>
      <c r="CX32" s="270"/>
      <c r="CY32" s="280"/>
      <c r="CZ32" s="269"/>
      <c r="DA32" s="269"/>
      <c r="DB32" s="269"/>
      <c r="DC32" s="287"/>
      <c r="DD32" s="270"/>
      <c r="DE32" s="280"/>
      <c r="DF32" s="269"/>
      <c r="DG32" s="269"/>
      <c r="DH32" s="269"/>
      <c r="DI32" s="287"/>
      <c r="DJ32" s="270"/>
      <c r="DK32" s="280"/>
      <c r="DL32" s="269"/>
      <c r="DM32" s="269"/>
      <c r="DN32" s="269"/>
      <c r="DO32" s="287"/>
      <c r="DP32" s="270"/>
      <c r="DQ32" s="280"/>
      <c r="DR32" s="269"/>
      <c r="DS32" s="269"/>
      <c r="DT32" s="269"/>
      <c r="DU32" s="287"/>
      <c r="DV32" s="270"/>
      <c r="DW32" s="280"/>
      <c r="DX32" s="269"/>
      <c r="DY32" s="269"/>
      <c r="DZ32" s="269"/>
      <c r="EA32" s="287"/>
      <c r="EB32" s="270"/>
      <c r="EC32" s="280"/>
      <c r="ED32" s="269"/>
      <c r="EE32" s="269"/>
      <c r="EF32" s="269"/>
      <c r="EG32" s="287"/>
    </row>
    <row r="33" spans="1:137" ht="12.75" customHeight="1" x14ac:dyDescent="0.2">
      <c r="A33" s="302" t="s">
        <v>303</v>
      </c>
      <c r="B33" s="22">
        <v>0</v>
      </c>
      <c r="C33" s="303">
        <v>2016</v>
      </c>
      <c r="E33" s="287"/>
      <c r="F33" s="270"/>
      <c r="G33" s="287"/>
      <c r="H33" s="270"/>
      <c r="I33" s="287"/>
      <c r="J33" s="270"/>
      <c r="K33" s="287"/>
      <c r="L33" s="270"/>
      <c r="M33" s="280"/>
      <c r="N33" s="269"/>
      <c r="O33" s="269"/>
      <c r="P33" s="269"/>
      <c r="Q33" s="287"/>
      <c r="R33" s="270"/>
      <c r="S33" s="280"/>
      <c r="T33" s="269"/>
      <c r="U33" s="269"/>
      <c r="V33" s="269"/>
      <c r="W33" s="287"/>
      <c r="X33" s="270"/>
      <c r="Y33" s="280"/>
      <c r="Z33" s="269"/>
      <c r="AA33" s="269"/>
      <c r="AB33" s="269"/>
      <c r="AC33" s="287"/>
      <c r="AD33" s="270"/>
      <c r="AE33" s="280"/>
      <c r="AF33" s="269"/>
      <c r="AG33" s="269"/>
      <c r="AH33" s="269"/>
      <c r="AI33" s="287"/>
      <c r="AJ33" s="270"/>
      <c r="AK33" s="280"/>
      <c r="AL33" s="269"/>
      <c r="AM33" s="269"/>
      <c r="AN33" s="269"/>
      <c r="AO33" s="287"/>
      <c r="AP33" s="270"/>
      <c r="AQ33" s="280"/>
      <c r="AR33" s="269"/>
      <c r="AS33" s="269"/>
      <c r="AT33" s="269"/>
      <c r="AU33" s="287"/>
      <c r="AV33" s="270"/>
      <c r="AW33" s="280"/>
      <c r="AX33" s="269"/>
      <c r="AY33" s="269"/>
      <c r="AZ33" s="269"/>
      <c r="BA33" s="287"/>
      <c r="BB33" s="270"/>
      <c r="BC33" s="280"/>
      <c r="BD33" s="269"/>
      <c r="BE33" s="269"/>
      <c r="BF33" s="269"/>
      <c r="BG33" s="287"/>
      <c r="BH33" s="270"/>
      <c r="BI33" s="280"/>
      <c r="BJ33" s="269"/>
      <c r="BK33" s="269"/>
      <c r="BL33" s="269"/>
      <c r="BM33" s="287"/>
      <c r="BN33" s="270"/>
      <c r="BO33" s="280"/>
      <c r="BP33" s="269"/>
      <c r="BQ33" s="269"/>
      <c r="BR33" s="269"/>
      <c r="BS33" s="287"/>
      <c r="BT33" s="270"/>
      <c r="BU33" s="280"/>
      <c r="BV33" s="269"/>
      <c r="BW33" s="269"/>
      <c r="BX33" s="269"/>
      <c r="BY33" s="287"/>
      <c r="BZ33" s="270"/>
      <c r="CA33" s="280"/>
      <c r="CB33" s="269"/>
      <c r="CC33" s="269"/>
      <c r="CD33" s="269"/>
      <c r="CE33" s="287"/>
      <c r="CF33" s="270"/>
      <c r="CG33" s="280"/>
      <c r="CH33" s="269"/>
      <c r="CI33" s="269"/>
      <c r="CJ33" s="269"/>
      <c r="CK33" s="287"/>
      <c r="CL33" s="270"/>
      <c r="CM33" s="293">
        <v>0</v>
      </c>
      <c r="CN33" s="278">
        <v>0</v>
      </c>
      <c r="CO33" s="278">
        <v>0</v>
      </c>
      <c r="CP33" s="278">
        <v>129.9</v>
      </c>
      <c r="CQ33" s="287">
        <f>CP33</f>
        <v>129.9</v>
      </c>
      <c r="CR33" s="270"/>
      <c r="CS33" s="293">
        <v>133</v>
      </c>
      <c r="CT33" s="278">
        <v>135.69999999999999</v>
      </c>
      <c r="CU33" s="278">
        <v>131.30000000000001</v>
      </c>
      <c r="CV33" s="278">
        <v>122.6</v>
      </c>
      <c r="CW33" s="287">
        <f>CV33</f>
        <v>122.6</v>
      </c>
      <c r="CX33" s="270"/>
      <c r="CY33" s="293">
        <v>128.19999999999999</v>
      </c>
      <c r="CZ33" s="278">
        <v>126.2</v>
      </c>
      <c r="DA33" s="278">
        <v>126.5</v>
      </c>
      <c r="DB33" s="278">
        <v>0</v>
      </c>
      <c r="DC33" s="287">
        <f>DB33</f>
        <v>0</v>
      </c>
      <c r="DD33" s="270"/>
      <c r="DE33" s="293">
        <v>0</v>
      </c>
      <c r="DF33" s="1159">
        <f t="shared" ref="DF33" si="55">DE33</f>
        <v>0</v>
      </c>
      <c r="DG33" s="1159">
        <v>0</v>
      </c>
      <c r="DH33" s="278">
        <v>0</v>
      </c>
      <c r="DI33" s="287">
        <f t="shared" ref="DI33:DI37" si="56">DH33</f>
        <v>0</v>
      </c>
      <c r="DJ33" s="270"/>
      <c r="DK33" s="280">
        <f t="shared" ref="DK33:DK37" si="57">DH33</f>
        <v>0</v>
      </c>
      <c r="DL33" s="269">
        <f t="shared" ref="DL33:DL37" si="58">DK33</f>
        <v>0</v>
      </c>
      <c r="DM33" s="269">
        <f t="shared" ref="DM33:DM37" si="59">DL33</f>
        <v>0</v>
      </c>
      <c r="DN33" s="269">
        <f t="shared" ref="DN33:DN37" si="60">DM33</f>
        <v>0</v>
      </c>
      <c r="DO33" s="287">
        <f t="shared" ref="DO33:DO37" si="61">DN33</f>
        <v>0</v>
      </c>
      <c r="DP33" s="270"/>
      <c r="DQ33" s="280">
        <f t="shared" ref="DQ33:DQ37" si="62">DN33</f>
        <v>0</v>
      </c>
      <c r="DR33" s="269">
        <f t="shared" ref="DR33:DR37" si="63">DQ33</f>
        <v>0</v>
      </c>
      <c r="DS33" s="269">
        <f t="shared" ref="DS33:DS37" si="64">DR33</f>
        <v>0</v>
      </c>
      <c r="DT33" s="269">
        <f t="shared" ref="DT33:DT37" si="65">DS33</f>
        <v>0</v>
      </c>
      <c r="DU33" s="287">
        <f t="shared" ref="DU33:DU37" si="66">DT33</f>
        <v>0</v>
      </c>
      <c r="DV33" s="270"/>
      <c r="DW33" s="280">
        <f t="shared" ref="DW33:DW37" si="67">DT33</f>
        <v>0</v>
      </c>
      <c r="DX33" s="269">
        <f t="shared" ref="DX33:DX37" si="68">DW33</f>
        <v>0</v>
      </c>
      <c r="DY33" s="269">
        <f t="shared" ref="DY33:DY37" si="69">DX33</f>
        <v>0</v>
      </c>
      <c r="DZ33" s="269">
        <f t="shared" ref="DZ33:DZ37" si="70">DY33</f>
        <v>0</v>
      </c>
      <c r="EA33" s="287">
        <f t="shared" ref="EA33:EA37" si="71">DZ33</f>
        <v>0</v>
      </c>
      <c r="EB33" s="270"/>
      <c r="EC33" s="280">
        <f t="shared" ref="EC33:EC37" si="72">DZ33</f>
        <v>0</v>
      </c>
      <c r="ED33" s="269">
        <f t="shared" ref="ED33:ED37" si="73">EC33</f>
        <v>0</v>
      </c>
      <c r="EE33" s="269">
        <f t="shared" ref="EE33:EE37" si="74">ED33</f>
        <v>0</v>
      </c>
      <c r="EF33" s="269">
        <f t="shared" ref="EF33:EF37" si="75">EE33</f>
        <v>0</v>
      </c>
      <c r="EG33" s="287">
        <f t="shared" ref="EG33:EG37" si="76">EF33</f>
        <v>0</v>
      </c>
    </row>
    <row r="34" spans="1:137" ht="12.75" customHeight="1" x14ac:dyDescent="0.2">
      <c r="A34" s="302" t="s">
        <v>303</v>
      </c>
      <c r="B34" s="22">
        <v>0</v>
      </c>
      <c r="C34" s="303">
        <v>2017</v>
      </c>
      <c r="E34" s="287"/>
      <c r="F34" s="270"/>
      <c r="G34" s="287"/>
      <c r="H34" s="270"/>
      <c r="I34" s="287"/>
      <c r="J34" s="270"/>
      <c r="K34" s="287"/>
      <c r="L34" s="270"/>
      <c r="M34" s="280"/>
      <c r="N34" s="269"/>
      <c r="O34" s="269"/>
      <c r="P34" s="269"/>
      <c r="Q34" s="287"/>
      <c r="R34" s="270"/>
      <c r="S34" s="280"/>
      <c r="T34" s="269"/>
      <c r="U34" s="269"/>
      <c r="V34" s="269"/>
      <c r="W34" s="287"/>
      <c r="X34" s="270"/>
      <c r="Y34" s="280"/>
      <c r="Z34" s="269"/>
      <c r="AA34" s="269"/>
      <c r="AB34" s="269"/>
      <c r="AC34" s="287"/>
      <c r="AD34" s="270"/>
      <c r="AE34" s="280"/>
      <c r="AF34" s="269"/>
      <c r="AG34" s="269"/>
      <c r="AH34" s="269"/>
      <c r="AI34" s="287"/>
      <c r="AJ34" s="270"/>
      <c r="AK34" s="280"/>
      <c r="AL34" s="269"/>
      <c r="AM34" s="269"/>
      <c r="AN34" s="269"/>
      <c r="AO34" s="287"/>
      <c r="AP34" s="270"/>
      <c r="AQ34" s="280"/>
      <c r="AR34" s="269"/>
      <c r="AS34" s="269"/>
      <c r="AT34" s="269"/>
      <c r="AU34" s="287"/>
      <c r="AV34" s="270"/>
      <c r="AW34" s="280"/>
      <c r="AX34" s="269"/>
      <c r="AY34" s="269"/>
      <c r="AZ34" s="269"/>
      <c r="BA34" s="287"/>
      <c r="BB34" s="270"/>
      <c r="BC34" s="280"/>
      <c r="BD34" s="269"/>
      <c r="BE34" s="269"/>
      <c r="BF34" s="269"/>
      <c r="BG34" s="287"/>
      <c r="BH34" s="270"/>
      <c r="BI34" s="280"/>
      <c r="BJ34" s="269"/>
      <c r="BK34" s="269"/>
      <c r="BL34" s="269"/>
      <c r="BM34" s="287"/>
      <c r="BN34" s="270"/>
      <c r="BO34" s="280"/>
      <c r="BP34" s="269"/>
      <c r="BQ34" s="269"/>
      <c r="BR34" s="269"/>
      <c r="BS34" s="287"/>
      <c r="BT34" s="270"/>
      <c r="BU34" s="280"/>
      <c r="BV34" s="269"/>
      <c r="BW34" s="269"/>
      <c r="BX34" s="269"/>
      <c r="BY34" s="287"/>
      <c r="BZ34" s="270"/>
      <c r="CA34" s="280"/>
      <c r="CB34" s="269"/>
      <c r="CC34" s="269"/>
      <c r="CD34" s="269"/>
      <c r="CE34" s="287"/>
      <c r="CF34" s="270"/>
      <c r="CG34" s="280"/>
      <c r="CH34" s="269"/>
      <c r="CI34" s="269"/>
      <c r="CJ34" s="269"/>
      <c r="CK34" s="287"/>
      <c r="CL34" s="270"/>
      <c r="CM34" s="293">
        <v>0</v>
      </c>
      <c r="CN34" s="278">
        <v>0</v>
      </c>
      <c r="CO34" s="278">
        <v>0</v>
      </c>
      <c r="CP34" s="278">
        <v>0</v>
      </c>
      <c r="CQ34" s="287">
        <f t="shared" ref="CQ34:CQ37" si="77">CP34</f>
        <v>0</v>
      </c>
      <c r="CR34" s="270"/>
      <c r="CS34" s="293">
        <v>0</v>
      </c>
      <c r="CT34" s="278">
        <v>0</v>
      </c>
      <c r="CU34" s="278">
        <v>0</v>
      </c>
      <c r="CV34" s="278">
        <v>99.7</v>
      </c>
      <c r="CW34" s="287">
        <f t="shared" ref="CW34:CW37" si="78">CV34</f>
        <v>99.7</v>
      </c>
      <c r="CX34" s="270"/>
      <c r="CY34" s="293">
        <v>104.3</v>
      </c>
      <c r="CZ34" s="278">
        <v>102.5</v>
      </c>
      <c r="DA34" s="278">
        <v>102.7</v>
      </c>
      <c r="DB34" s="278">
        <v>98</v>
      </c>
      <c r="DC34" s="287">
        <f t="shared" ref="DC34:DC37" si="79">DB34</f>
        <v>98</v>
      </c>
      <c r="DD34" s="270"/>
      <c r="DE34" s="293">
        <v>99.6</v>
      </c>
      <c r="DF34" s="1159">
        <v>104.1</v>
      </c>
      <c r="DG34" s="1159">
        <v>103.1</v>
      </c>
      <c r="DH34" s="278">
        <v>0</v>
      </c>
      <c r="DI34" s="287">
        <f t="shared" si="56"/>
        <v>0</v>
      </c>
      <c r="DJ34" s="270"/>
      <c r="DK34" s="280">
        <f t="shared" si="57"/>
        <v>0</v>
      </c>
      <c r="DL34" s="269">
        <f t="shared" si="58"/>
        <v>0</v>
      </c>
      <c r="DM34" s="269">
        <f t="shared" si="59"/>
        <v>0</v>
      </c>
      <c r="DN34" s="269">
        <f t="shared" si="60"/>
        <v>0</v>
      </c>
      <c r="DO34" s="287">
        <f t="shared" si="61"/>
        <v>0</v>
      </c>
      <c r="DP34" s="270"/>
      <c r="DQ34" s="280">
        <f t="shared" si="62"/>
        <v>0</v>
      </c>
      <c r="DR34" s="269">
        <f t="shared" si="63"/>
        <v>0</v>
      </c>
      <c r="DS34" s="269">
        <f t="shared" si="64"/>
        <v>0</v>
      </c>
      <c r="DT34" s="269">
        <f t="shared" si="65"/>
        <v>0</v>
      </c>
      <c r="DU34" s="287">
        <f t="shared" si="66"/>
        <v>0</v>
      </c>
      <c r="DV34" s="270"/>
      <c r="DW34" s="280">
        <f t="shared" si="67"/>
        <v>0</v>
      </c>
      <c r="DX34" s="269">
        <f t="shared" si="68"/>
        <v>0</v>
      </c>
      <c r="DY34" s="269">
        <f t="shared" si="69"/>
        <v>0</v>
      </c>
      <c r="DZ34" s="269">
        <f t="shared" si="70"/>
        <v>0</v>
      </c>
      <c r="EA34" s="287">
        <f t="shared" si="71"/>
        <v>0</v>
      </c>
      <c r="EB34" s="270"/>
      <c r="EC34" s="280">
        <f t="shared" si="72"/>
        <v>0</v>
      </c>
      <c r="ED34" s="269">
        <f t="shared" si="73"/>
        <v>0</v>
      </c>
      <c r="EE34" s="269">
        <f t="shared" si="74"/>
        <v>0</v>
      </c>
      <c r="EF34" s="269">
        <f t="shared" si="75"/>
        <v>0</v>
      </c>
      <c r="EG34" s="287">
        <f t="shared" si="76"/>
        <v>0</v>
      </c>
    </row>
    <row r="35" spans="1:137" ht="12.75" customHeight="1" x14ac:dyDescent="0.2">
      <c r="A35" s="302" t="s">
        <v>304</v>
      </c>
      <c r="B35" s="22">
        <v>0</v>
      </c>
      <c r="C35" s="303">
        <v>2021</v>
      </c>
      <c r="E35" s="287"/>
      <c r="F35" s="270"/>
      <c r="G35" s="287"/>
      <c r="H35" s="270"/>
      <c r="I35" s="287"/>
      <c r="J35" s="270"/>
      <c r="K35" s="287"/>
      <c r="L35" s="270"/>
      <c r="M35" s="280"/>
      <c r="N35" s="269"/>
      <c r="O35" s="269"/>
      <c r="P35" s="269"/>
      <c r="Q35" s="287"/>
      <c r="R35" s="270"/>
      <c r="S35" s="280"/>
      <c r="T35" s="269"/>
      <c r="U35" s="269"/>
      <c r="V35" s="269"/>
      <c r="W35" s="287"/>
      <c r="X35" s="270"/>
      <c r="Y35" s="280"/>
      <c r="Z35" s="269"/>
      <c r="AA35" s="269"/>
      <c r="AB35" s="269"/>
      <c r="AC35" s="287"/>
      <c r="AD35" s="270"/>
      <c r="AE35" s="280"/>
      <c r="AF35" s="269"/>
      <c r="AG35" s="269"/>
      <c r="AH35" s="269"/>
      <c r="AI35" s="287"/>
      <c r="AJ35" s="270"/>
      <c r="AK35" s="280"/>
      <c r="AL35" s="269"/>
      <c r="AM35" s="269"/>
      <c r="AN35" s="269"/>
      <c r="AO35" s="287"/>
      <c r="AP35" s="270"/>
      <c r="AQ35" s="280"/>
      <c r="AR35" s="269"/>
      <c r="AS35" s="269"/>
      <c r="AT35" s="269"/>
      <c r="AU35" s="287"/>
      <c r="AV35" s="270"/>
      <c r="AW35" s="280"/>
      <c r="AX35" s="269"/>
      <c r="AY35" s="269"/>
      <c r="AZ35" s="269"/>
      <c r="BA35" s="287"/>
      <c r="BB35" s="270"/>
      <c r="BC35" s="280"/>
      <c r="BD35" s="269"/>
      <c r="BE35" s="269"/>
      <c r="BF35" s="269"/>
      <c r="BG35" s="287"/>
      <c r="BH35" s="270"/>
      <c r="BI35" s="280"/>
      <c r="BJ35" s="269"/>
      <c r="BK35" s="269"/>
      <c r="BL35" s="269"/>
      <c r="BM35" s="287"/>
      <c r="BN35" s="270"/>
      <c r="BO35" s="280"/>
      <c r="BP35" s="269"/>
      <c r="BQ35" s="269"/>
      <c r="BR35" s="269"/>
      <c r="BS35" s="287"/>
      <c r="BT35" s="270"/>
      <c r="BU35" s="280"/>
      <c r="BV35" s="269"/>
      <c r="BW35" s="269"/>
      <c r="BX35" s="269"/>
      <c r="BY35" s="287"/>
      <c r="BZ35" s="270"/>
      <c r="CA35" s="280"/>
      <c r="CB35" s="269"/>
      <c r="CC35" s="269"/>
      <c r="CD35" s="269"/>
      <c r="CE35" s="287"/>
      <c r="CF35" s="270"/>
      <c r="CG35" s="280"/>
      <c r="CH35" s="269"/>
      <c r="CI35" s="269"/>
      <c r="CJ35" s="269"/>
      <c r="CK35" s="287"/>
      <c r="CL35" s="270"/>
      <c r="CM35" s="293">
        <v>152.4</v>
      </c>
      <c r="CN35" s="278">
        <v>150.69999999999999</v>
      </c>
      <c r="CO35" s="278">
        <v>117.4</v>
      </c>
      <c r="CP35" s="278">
        <v>110.6</v>
      </c>
      <c r="CQ35" s="287">
        <f t="shared" si="77"/>
        <v>110.6</v>
      </c>
      <c r="CR35" s="270"/>
      <c r="CS35" s="293">
        <v>79.8</v>
      </c>
      <c r="CT35" s="278">
        <v>76.7</v>
      </c>
      <c r="CU35" s="278">
        <v>75.599999999999994</v>
      </c>
      <c r="CV35" s="278">
        <v>72.599999999999994</v>
      </c>
      <c r="CW35" s="287">
        <f t="shared" si="78"/>
        <v>72.599999999999994</v>
      </c>
      <c r="CX35" s="270"/>
      <c r="CY35" s="293">
        <v>72.599999999999994</v>
      </c>
      <c r="CZ35" s="278">
        <v>72.400000000000006</v>
      </c>
      <c r="DA35" s="278">
        <v>68.2</v>
      </c>
      <c r="DB35" s="278">
        <v>68.099999999999994</v>
      </c>
      <c r="DC35" s="287">
        <f t="shared" si="79"/>
        <v>68.099999999999994</v>
      </c>
      <c r="DD35" s="270"/>
      <c r="DE35" s="293">
        <v>68.5</v>
      </c>
      <c r="DF35" s="1159">
        <v>68.900000000000006</v>
      </c>
      <c r="DG35" s="1159">
        <v>68.7</v>
      </c>
      <c r="DH35" s="278">
        <v>69.099999999999994</v>
      </c>
      <c r="DI35" s="287">
        <f t="shared" si="56"/>
        <v>69.099999999999994</v>
      </c>
      <c r="DJ35" s="270"/>
      <c r="DK35" s="280">
        <f t="shared" si="57"/>
        <v>69.099999999999994</v>
      </c>
      <c r="DL35" s="269">
        <f t="shared" si="58"/>
        <v>69.099999999999994</v>
      </c>
      <c r="DM35" s="269">
        <f t="shared" si="59"/>
        <v>69.099999999999994</v>
      </c>
      <c r="DN35" s="269">
        <f t="shared" si="60"/>
        <v>69.099999999999994</v>
      </c>
      <c r="DO35" s="287">
        <f t="shared" si="61"/>
        <v>69.099999999999994</v>
      </c>
      <c r="DP35" s="270"/>
      <c r="DQ35" s="280">
        <f t="shared" si="62"/>
        <v>69.099999999999994</v>
      </c>
      <c r="DR35" s="269">
        <f t="shared" si="63"/>
        <v>69.099999999999994</v>
      </c>
      <c r="DS35" s="269">
        <f t="shared" si="64"/>
        <v>69.099999999999994</v>
      </c>
      <c r="DT35" s="269">
        <f t="shared" si="65"/>
        <v>69.099999999999994</v>
      </c>
      <c r="DU35" s="287">
        <f t="shared" si="66"/>
        <v>69.099999999999994</v>
      </c>
      <c r="DV35" s="270"/>
      <c r="DW35" s="280">
        <f t="shared" si="67"/>
        <v>69.099999999999994</v>
      </c>
      <c r="DX35" s="269">
        <f t="shared" si="68"/>
        <v>69.099999999999994</v>
      </c>
      <c r="DY35" s="269">
        <f t="shared" si="69"/>
        <v>69.099999999999994</v>
      </c>
      <c r="DZ35" s="269">
        <f t="shared" si="70"/>
        <v>69.099999999999994</v>
      </c>
      <c r="EA35" s="287">
        <f t="shared" si="71"/>
        <v>69.099999999999994</v>
      </c>
      <c r="EB35" s="270"/>
      <c r="EC35" s="280">
        <f t="shared" si="72"/>
        <v>69.099999999999994</v>
      </c>
      <c r="ED35" s="269">
        <f t="shared" si="73"/>
        <v>69.099999999999994</v>
      </c>
      <c r="EE35" s="269">
        <f t="shared" si="74"/>
        <v>69.099999999999994</v>
      </c>
      <c r="EF35" s="269">
        <f t="shared" si="75"/>
        <v>69.099999999999994</v>
      </c>
      <c r="EG35" s="287">
        <f t="shared" si="76"/>
        <v>69.099999999999994</v>
      </c>
    </row>
    <row r="36" spans="1:137" ht="12.75" customHeight="1" x14ac:dyDescent="0.2">
      <c r="A36" s="302" t="s">
        <v>303</v>
      </c>
      <c r="B36" s="22">
        <v>5.0000000000000001E-3</v>
      </c>
      <c r="C36" s="303">
        <v>2023</v>
      </c>
      <c r="E36" s="287"/>
      <c r="F36" s="270"/>
      <c r="G36" s="287"/>
      <c r="H36" s="270"/>
      <c r="I36" s="287"/>
      <c r="J36" s="270"/>
      <c r="K36" s="287"/>
      <c r="L36" s="270"/>
      <c r="M36" s="280"/>
      <c r="N36" s="269"/>
      <c r="O36" s="269"/>
      <c r="P36" s="269"/>
      <c r="Q36" s="287"/>
      <c r="R36" s="270"/>
      <c r="S36" s="280"/>
      <c r="T36" s="269"/>
      <c r="U36" s="269"/>
      <c r="V36" s="269"/>
      <c r="W36" s="287"/>
      <c r="X36" s="270"/>
      <c r="Y36" s="280"/>
      <c r="Z36" s="269"/>
      <c r="AA36" s="269"/>
      <c r="AB36" s="269"/>
      <c r="AC36" s="287"/>
      <c r="AD36" s="270"/>
      <c r="AE36" s="280"/>
      <c r="AF36" s="269"/>
      <c r="AG36" s="269"/>
      <c r="AH36" s="269"/>
      <c r="AI36" s="287"/>
      <c r="AJ36" s="270"/>
      <c r="AK36" s="280"/>
      <c r="AL36" s="269"/>
      <c r="AM36" s="269"/>
      <c r="AN36" s="269"/>
      <c r="AO36" s="287"/>
      <c r="AP36" s="270"/>
      <c r="AQ36" s="280"/>
      <c r="AR36" s="269"/>
      <c r="AS36" s="269"/>
      <c r="AT36" s="269"/>
      <c r="AU36" s="287"/>
      <c r="AV36" s="270"/>
      <c r="AW36" s="280"/>
      <c r="AX36" s="269"/>
      <c r="AY36" s="269"/>
      <c r="AZ36" s="269"/>
      <c r="BA36" s="287"/>
      <c r="BB36" s="270"/>
      <c r="BC36" s="280"/>
      <c r="BD36" s="269"/>
      <c r="BE36" s="269"/>
      <c r="BF36" s="269"/>
      <c r="BG36" s="287"/>
      <c r="BH36" s="270"/>
      <c r="BI36" s="280"/>
      <c r="BJ36" s="269"/>
      <c r="BK36" s="269"/>
      <c r="BL36" s="269"/>
      <c r="BM36" s="287"/>
      <c r="BN36" s="270"/>
      <c r="BO36" s="280"/>
      <c r="BP36" s="269"/>
      <c r="BQ36" s="269"/>
      <c r="BR36" s="269"/>
      <c r="BS36" s="287"/>
      <c r="BT36" s="270"/>
      <c r="BU36" s="280"/>
      <c r="BV36" s="269"/>
      <c r="BW36" s="269"/>
      <c r="BX36" s="269"/>
      <c r="BY36" s="287"/>
      <c r="BZ36" s="270"/>
      <c r="CA36" s="280"/>
      <c r="CB36" s="269"/>
      <c r="CC36" s="269"/>
      <c r="CD36" s="269"/>
      <c r="CE36" s="287"/>
      <c r="CF36" s="270"/>
      <c r="CG36" s="280"/>
      <c r="CH36" s="269"/>
      <c r="CI36" s="269"/>
      <c r="CJ36" s="269"/>
      <c r="CK36" s="287"/>
      <c r="CL36" s="270"/>
      <c r="CM36" s="293">
        <v>0</v>
      </c>
      <c r="CN36" s="278">
        <v>0</v>
      </c>
      <c r="CO36" s="278">
        <v>0</v>
      </c>
      <c r="CP36" s="278">
        <v>0</v>
      </c>
      <c r="CQ36" s="287">
        <f t="shared" si="77"/>
        <v>0</v>
      </c>
      <c r="CR36" s="270"/>
      <c r="CS36" s="293">
        <v>0</v>
      </c>
      <c r="CT36" s="278">
        <v>0</v>
      </c>
      <c r="CU36" s="278">
        <v>0</v>
      </c>
      <c r="CV36" s="278">
        <v>541.6</v>
      </c>
      <c r="CW36" s="287">
        <f t="shared" si="78"/>
        <v>541.6</v>
      </c>
      <c r="CX36" s="270"/>
      <c r="CY36" s="293">
        <v>566</v>
      </c>
      <c r="CZ36" s="278">
        <v>557</v>
      </c>
      <c r="DA36" s="278">
        <v>558</v>
      </c>
      <c r="DB36" s="278">
        <v>532.29999999999995</v>
      </c>
      <c r="DC36" s="287">
        <f t="shared" si="79"/>
        <v>532.29999999999995</v>
      </c>
      <c r="DD36" s="270"/>
      <c r="DE36" s="293">
        <v>541</v>
      </c>
      <c r="DF36" s="1159">
        <v>564.79999999999995</v>
      </c>
      <c r="DG36" s="1159">
        <v>559.6</v>
      </c>
      <c r="DH36" s="278">
        <v>555.5</v>
      </c>
      <c r="DI36" s="287">
        <f t="shared" si="56"/>
        <v>555.5</v>
      </c>
      <c r="DJ36" s="270"/>
      <c r="DK36" s="280">
        <f t="shared" si="57"/>
        <v>555.5</v>
      </c>
      <c r="DL36" s="269">
        <f t="shared" si="58"/>
        <v>555.5</v>
      </c>
      <c r="DM36" s="269">
        <f t="shared" si="59"/>
        <v>555.5</v>
      </c>
      <c r="DN36" s="269">
        <f t="shared" si="60"/>
        <v>555.5</v>
      </c>
      <c r="DO36" s="287">
        <f t="shared" si="61"/>
        <v>555.5</v>
      </c>
      <c r="DP36" s="270"/>
      <c r="DQ36" s="280">
        <f t="shared" si="62"/>
        <v>555.5</v>
      </c>
      <c r="DR36" s="269">
        <f t="shared" si="63"/>
        <v>555.5</v>
      </c>
      <c r="DS36" s="269">
        <f t="shared" si="64"/>
        <v>555.5</v>
      </c>
      <c r="DT36" s="269">
        <f t="shared" si="65"/>
        <v>555.5</v>
      </c>
      <c r="DU36" s="287">
        <f t="shared" si="66"/>
        <v>555.5</v>
      </c>
      <c r="DV36" s="270"/>
      <c r="DW36" s="280">
        <f t="shared" si="67"/>
        <v>555.5</v>
      </c>
      <c r="DX36" s="269">
        <f t="shared" si="68"/>
        <v>555.5</v>
      </c>
      <c r="DY36" s="269">
        <f t="shared" si="69"/>
        <v>555.5</v>
      </c>
      <c r="DZ36" s="269">
        <f t="shared" si="70"/>
        <v>555.5</v>
      </c>
      <c r="EA36" s="287">
        <f t="shared" si="71"/>
        <v>555.5</v>
      </c>
      <c r="EB36" s="270"/>
      <c r="EC36" s="280">
        <f t="shared" si="72"/>
        <v>555.5</v>
      </c>
      <c r="ED36" s="269">
        <f t="shared" si="73"/>
        <v>555.5</v>
      </c>
      <c r="EE36" s="269">
        <f t="shared" si="74"/>
        <v>555.5</v>
      </c>
      <c r="EF36" s="269">
        <f t="shared" si="75"/>
        <v>555.5</v>
      </c>
      <c r="EG36" s="287">
        <f t="shared" si="76"/>
        <v>555.5</v>
      </c>
    </row>
    <row r="37" spans="1:137" ht="12.75" customHeight="1" x14ac:dyDescent="0.2">
      <c r="A37" s="302" t="s">
        <v>303</v>
      </c>
      <c r="B37" s="22">
        <v>1.125E-2</v>
      </c>
      <c r="C37" s="303">
        <v>2028</v>
      </c>
      <c r="E37" s="287"/>
      <c r="F37" s="270"/>
      <c r="G37" s="287"/>
      <c r="H37" s="270"/>
      <c r="I37" s="287"/>
      <c r="J37" s="270"/>
      <c r="K37" s="287"/>
      <c r="L37" s="270"/>
      <c r="M37" s="280"/>
      <c r="N37" s="269"/>
      <c r="O37" s="269"/>
      <c r="P37" s="269"/>
      <c r="Q37" s="287"/>
      <c r="R37" s="270"/>
      <c r="S37" s="280"/>
      <c r="T37" s="269"/>
      <c r="U37" s="269"/>
      <c r="V37" s="269"/>
      <c r="W37" s="287"/>
      <c r="X37" s="270"/>
      <c r="Y37" s="280"/>
      <c r="Z37" s="269"/>
      <c r="AA37" s="269"/>
      <c r="AB37" s="269"/>
      <c r="AC37" s="287"/>
      <c r="AD37" s="270"/>
      <c r="AE37" s="280"/>
      <c r="AF37" s="269"/>
      <c r="AG37" s="269"/>
      <c r="AH37" s="269"/>
      <c r="AI37" s="287"/>
      <c r="AJ37" s="270"/>
      <c r="AK37" s="280"/>
      <c r="AL37" s="269"/>
      <c r="AM37" s="269"/>
      <c r="AN37" s="269"/>
      <c r="AO37" s="287"/>
      <c r="AP37" s="270"/>
      <c r="AQ37" s="280"/>
      <c r="AR37" s="269"/>
      <c r="AS37" s="269"/>
      <c r="AT37" s="269"/>
      <c r="AU37" s="287"/>
      <c r="AV37" s="270"/>
      <c r="AW37" s="280"/>
      <c r="AX37" s="269"/>
      <c r="AY37" s="269"/>
      <c r="AZ37" s="269"/>
      <c r="BA37" s="287"/>
      <c r="BB37" s="270"/>
      <c r="BC37" s="280"/>
      <c r="BD37" s="269"/>
      <c r="BE37" s="269"/>
      <c r="BF37" s="269"/>
      <c r="BG37" s="287"/>
      <c r="BH37" s="270"/>
      <c r="BI37" s="280"/>
      <c r="BJ37" s="269"/>
      <c r="BK37" s="269"/>
      <c r="BL37" s="269"/>
      <c r="BM37" s="287"/>
      <c r="BN37" s="270"/>
      <c r="BO37" s="280"/>
      <c r="BP37" s="269"/>
      <c r="BQ37" s="269"/>
      <c r="BR37" s="269"/>
      <c r="BS37" s="287"/>
      <c r="BT37" s="270"/>
      <c r="BU37" s="280"/>
      <c r="BV37" s="269"/>
      <c r="BW37" s="269"/>
      <c r="BX37" s="269"/>
      <c r="BY37" s="287"/>
      <c r="BZ37" s="270"/>
      <c r="CA37" s="280"/>
      <c r="CB37" s="269"/>
      <c r="CC37" s="269"/>
      <c r="CD37" s="269"/>
      <c r="CE37" s="287"/>
      <c r="CF37" s="270"/>
      <c r="CG37" s="280"/>
      <c r="CH37" s="269"/>
      <c r="CI37" s="269"/>
      <c r="CJ37" s="269"/>
      <c r="CK37" s="287"/>
      <c r="CL37" s="270"/>
      <c r="CM37" s="293">
        <v>0</v>
      </c>
      <c r="CN37" s="278">
        <v>0</v>
      </c>
      <c r="CO37" s="278">
        <v>0</v>
      </c>
      <c r="CP37" s="278">
        <v>0</v>
      </c>
      <c r="CQ37" s="287">
        <f t="shared" si="77"/>
        <v>0</v>
      </c>
      <c r="CR37" s="270"/>
      <c r="CS37" s="293">
        <v>0</v>
      </c>
      <c r="CT37" s="278">
        <v>0</v>
      </c>
      <c r="CU37" s="278">
        <v>0</v>
      </c>
      <c r="CV37" s="278">
        <v>110.7</v>
      </c>
      <c r="CW37" s="287">
        <f t="shared" si="78"/>
        <v>110.7</v>
      </c>
      <c r="CX37" s="270"/>
      <c r="CY37" s="293">
        <v>115.7</v>
      </c>
      <c r="CZ37" s="278">
        <v>113.8</v>
      </c>
      <c r="DA37" s="278">
        <v>114</v>
      </c>
      <c r="DB37" s="278">
        <v>108.8</v>
      </c>
      <c r="DC37" s="287">
        <f t="shared" si="79"/>
        <v>108.8</v>
      </c>
      <c r="DD37" s="270"/>
      <c r="DE37" s="293">
        <v>110.6</v>
      </c>
      <c r="DF37" s="1159">
        <v>115.4</v>
      </c>
      <c r="DG37" s="1159">
        <v>114.4</v>
      </c>
      <c r="DH37" s="278">
        <v>220.3</v>
      </c>
      <c r="DI37" s="287">
        <f t="shared" si="56"/>
        <v>220.3</v>
      </c>
      <c r="DJ37" s="270"/>
      <c r="DK37" s="280">
        <f t="shared" si="57"/>
        <v>220.3</v>
      </c>
      <c r="DL37" s="269">
        <f t="shared" si="58"/>
        <v>220.3</v>
      </c>
      <c r="DM37" s="269">
        <f t="shared" si="59"/>
        <v>220.3</v>
      </c>
      <c r="DN37" s="269">
        <f t="shared" si="60"/>
        <v>220.3</v>
      </c>
      <c r="DO37" s="287">
        <f t="shared" si="61"/>
        <v>220.3</v>
      </c>
      <c r="DP37" s="270"/>
      <c r="DQ37" s="280">
        <f t="shared" si="62"/>
        <v>220.3</v>
      </c>
      <c r="DR37" s="269">
        <f t="shared" si="63"/>
        <v>220.3</v>
      </c>
      <c r="DS37" s="269">
        <f t="shared" si="64"/>
        <v>220.3</v>
      </c>
      <c r="DT37" s="269">
        <f t="shared" si="65"/>
        <v>220.3</v>
      </c>
      <c r="DU37" s="287">
        <f t="shared" si="66"/>
        <v>220.3</v>
      </c>
      <c r="DV37" s="270"/>
      <c r="DW37" s="280">
        <f t="shared" si="67"/>
        <v>220.3</v>
      </c>
      <c r="DX37" s="269">
        <f t="shared" si="68"/>
        <v>220.3</v>
      </c>
      <c r="DY37" s="269">
        <f t="shared" si="69"/>
        <v>220.3</v>
      </c>
      <c r="DZ37" s="269">
        <f t="shared" si="70"/>
        <v>220.3</v>
      </c>
      <c r="EA37" s="287">
        <f t="shared" si="71"/>
        <v>220.3</v>
      </c>
      <c r="EB37" s="270"/>
      <c r="EC37" s="280">
        <f t="shared" si="72"/>
        <v>220.3</v>
      </c>
      <c r="ED37" s="269">
        <f t="shared" si="73"/>
        <v>220.3</v>
      </c>
      <c r="EE37" s="269">
        <f t="shared" si="74"/>
        <v>220.3</v>
      </c>
      <c r="EF37" s="269">
        <f t="shared" si="75"/>
        <v>220.3</v>
      </c>
      <c r="EG37" s="287">
        <f t="shared" si="76"/>
        <v>220.3</v>
      </c>
    </row>
    <row r="38" spans="1:137" ht="12.75" customHeight="1" x14ac:dyDescent="0.2">
      <c r="A38" s="262"/>
      <c r="B38" s="22"/>
      <c r="C38" s="301"/>
      <c r="E38" s="287"/>
      <c r="F38" s="270"/>
      <c r="G38" s="287"/>
      <c r="H38" s="270"/>
      <c r="I38" s="287"/>
      <c r="J38" s="270"/>
      <c r="K38" s="287"/>
      <c r="L38" s="270"/>
      <c r="M38" s="280"/>
      <c r="N38" s="269"/>
      <c r="O38" s="269"/>
      <c r="P38" s="269"/>
      <c r="Q38" s="287"/>
      <c r="R38" s="270"/>
      <c r="S38" s="280"/>
      <c r="T38" s="269"/>
      <c r="U38" s="269"/>
      <c r="V38" s="269"/>
      <c r="W38" s="287"/>
      <c r="X38" s="270"/>
      <c r="Y38" s="280"/>
      <c r="Z38" s="269"/>
      <c r="AA38" s="269"/>
      <c r="AB38" s="269"/>
      <c r="AC38" s="287"/>
      <c r="AD38" s="270"/>
      <c r="AE38" s="280"/>
      <c r="AF38" s="269"/>
      <c r="AG38" s="269"/>
      <c r="AH38" s="269"/>
      <c r="AI38" s="287"/>
      <c r="AJ38" s="270"/>
      <c r="AK38" s="280"/>
      <c r="AL38" s="269"/>
      <c r="AM38" s="269"/>
      <c r="AN38" s="269"/>
      <c r="AO38" s="287"/>
      <c r="AP38" s="270"/>
      <c r="AQ38" s="280"/>
      <c r="AR38" s="269"/>
      <c r="AS38" s="269"/>
      <c r="AT38" s="269"/>
      <c r="AU38" s="287"/>
      <c r="AV38" s="270"/>
      <c r="AW38" s="280"/>
      <c r="AX38" s="269"/>
      <c r="AY38" s="269"/>
      <c r="AZ38" s="269"/>
      <c r="BA38" s="287"/>
      <c r="BB38" s="270"/>
      <c r="BC38" s="280"/>
      <c r="BD38" s="269"/>
      <c r="BE38" s="269"/>
      <c r="BF38" s="269"/>
      <c r="BG38" s="287"/>
      <c r="BH38" s="270"/>
      <c r="BI38" s="280"/>
      <c r="BJ38" s="269"/>
      <c r="BK38" s="269"/>
      <c r="BL38" s="269"/>
      <c r="BM38" s="287"/>
      <c r="BN38" s="270"/>
      <c r="BO38" s="280"/>
      <c r="BP38" s="269"/>
      <c r="BQ38" s="269"/>
      <c r="BR38" s="269"/>
      <c r="BS38" s="287"/>
      <c r="BT38" s="270"/>
      <c r="BU38" s="280"/>
      <c r="BV38" s="269"/>
      <c r="BW38" s="269"/>
      <c r="BX38" s="269"/>
      <c r="BY38" s="287"/>
      <c r="BZ38" s="270"/>
      <c r="CA38" s="280"/>
      <c r="CB38" s="269"/>
      <c r="CC38" s="269"/>
      <c r="CD38" s="269"/>
      <c r="CE38" s="287"/>
      <c r="CF38" s="270"/>
      <c r="CG38" s="280"/>
      <c r="CH38" s="269"/>
      <c r="CI38" s="269"/>
      <c r="CJ38" s="269"/>
      <c r="CK38" s="287"/>
      <c r="CL38" s="270"/>
      <c r="CM38" s="280"/>
      <c r="CN38" s="269"/>
      <c r="CO38" s="269"/>
      <c r="CP38" s="269"/>
      <c r="CQ38" s="287"/>
      <c r="CR38" s="270"/>
      <c r="CS38" s="280"/>
      <c r="CT38" s="269"/>
      <c r="CU38" s="269"/>
      <c r="CV38" s="269"/>
      <c r="CW38" s="287"/>
      <c r="CX38" s="270"/>
      <c r="CY38" s="280"/>
      <c r="CZ38" s="269"/>
      <c r="DA38" s="269"/>
      <c r="DB38" s="269"/>
      <c r="DC38" s="287"/>
      <c r="DD38" s="270"/>
      <c r="DE38" s="280"/>
      <c r="DF38" s="1159"/>
      <c r="DG38" s="1159"/>
      <c r="DH38" s="269"/>
      <c r="DI38" s="287"/>
      <c r="DJ38" s="270"/>
      <c r="DK38" s="280"/>
      <c r="DL38" s="269"/>
      <c r="DM38" s="269"/>
      <c r="DN38" s="269"/>
      <c r="DO38" s="287"/>
      <c r="DP38" s="270"/>
      <c r="DQ38" s="280"/>
      <c r="DR38" s="269"/>
      <c r="DS38" s="269"/>
      <c r="DT38" s="269"/>
      <c r="DU38" s="287"/>
      <c r="DV38" s="270"/>
      <c r="DW38" s="280"/>
      <c r="DX38" s="269"/>
      <c r="DY38" s="269"/>
      <c r="DZ38" s="269"/>
      <c r="EA38" s="287"/>
      <c r="EB38" s="270"/>
      <c r="EC38" s="280"/>
      <c r="ED38" s="269"/>
      <c r="EE38" s="269"/>
      <c r="EF38" s="269"/>
      <c r="EG38" s="287"/>
    </row>
    <row r="39" spans="1:137" ht="12.75" customHeight="1" x14ac:dyDescent="0.2">
      <c r="A39" s="300" t="s">
        <v>305</v>
      </c>
      <c r="B39" s="22"/>
      <c r="C39" s="301"/>
      <c r="E39" s="287"/>
      <c r="F39" s="270"/>
      <c r="G39" s="287"/>
      <c r="H39" s="270"/>
      <c r="I39" s="287"/>
      <c r="J39" s="270"/>
      <c r="K39" s="287"/>
      <c r="L39" s="270"/>
      <c r="M39" s="280"/>
      <c r="N39" s="269"/>
      <c r="O39" s="269"/>
      <c r="P39" s="269"/>
      <c r="Q39" s="287"/>
      <c r="R39" s="270"/>
      <c r="S39" s="280"/>
      <c r="T39" s="269"/>
      <c r="U39" s="269"/>
      <c r="V39" s="269"/>
      <c r="W39" s="287"/>
      <c r="X39" s="270"/>
      <c r="Y39" s="280"/>
      <c r="Z39" s="269"/>
      <c r="AA39" s="269"/>
      <c r="AB39" s="269"/>
      <c r="AC39" s="287"/>
      <c r="AD39" s="270"/>
      <c r="AE39" s="280"/>
      <c r="AF39" s="269"/>
      <c r="AG39" s="269"/>
      <c r="AH39" s="269"/>
      <c r="AI39" s="287"/>
      <c r="AJ39" s="270"/>
      <c r="AK39" s="280"/>
      <c r="AL39" s="269"/>
      <c r="AM39" s="269"/>
      <c r="AN39" s="269"/>
      <c r="AO39" s="287"/>
      <c r="AP39" s="270"/>
      <c r="AQ39" s="280"/>
      <c r="AR39" s="269"/>
      <c r="AS39" s="269"/>
      <c r="AT39" s="269"/>
      <c r="AU39" s="287"/>
      <c r="AV39" s="270"/>
      <c r="AW39" s="280"/>
      <c r="AX39" s="269"/>
      <c r="AY39" s="269"/>
      <c r="AZ39" s="269"/>
      <c r="BA39" s="287"/>
      <c r="BB39" s="270"/>
      <c r="BC39" s="280"/>
      <c r="BD39" s="269"/>
      <c r="BE39" s="269"/>
      <c r="BF39" s="269"/>
      <c r="BG39" s="287"/>
      <c r="BH39" s="270"/>
      <c r="BI39" s="280"/>
      <c r="BJ39" s="269"/>
      <c r="BK39" s="269"/>
      <c r="BL39" s="269"/>
      <c r="BM39" s="287"/>
      <c r="BN39" s="270"/>
      <c r="BO39" s="280"/>
      <c r="BP39" s="269"/>
      <c r="BQ39" s="269"/>
      <c r="BR39" s="269"/>
      <c r="BS39" s="287"/>
      <c r="BT39" s="270"/>
      <c r="BU39" s="280"/>
      <c r="BV39" s="269"/>
      <c r="BW39" s="269"/>
      <c r="BX39" s="269"/>
      <c r="BY39" s="287"/>
      <c r="BZ39" s="270"/>
      <c r="CA39" s="280"/>
      <c r="CB39" s="269"/>
      <c r="CC39" s="269"/>
      <c r="CD39" s="269"/>
      <c r="CE39" s="287"/>
      <c r="CF39" s="270"/>
      <c r="CG39" s="280"/>
      <c r="CH39" s="269"/>
      <c r="CI39" s="269"/>
      <c r="CJ39" s="269"/>
      <c r="CK39" s="287"/>
      <c r="CL39" s="270"/>
      <c r="CM39" s="280"/>
      <c r="CN39" s="269"/>
      <c r="CO39" s="269"/>
      <c r="CP39" s="269"/>
      <c r="CQ39" s="287"/>
      <c r="CR39" s="270"/>
      <c r="CS39" s="280"/>
      <c r="CT39" s="269"/>
      <c r="CU39" s="269"/>
      <c r="CV39" s="269"/>
      <c r="CW39" s="287"/>
      <c r="CX39" s="270"/>
      <c r="CY39" s="280"/>
      <c r="CZ39" s="269"/>
      <c r="DA39" s="269"/>
      <c r="DB39" s="269"/>
      <c r="DC39" s="287"/>
      <c r="DD39" s="270"/>
      <c r="DE39" s="280"/>
      <c r="DF39" s="1159"/>
      <c r="DG39" s="1159"/>
      <c r="DH39" s="269"/>
      <c r="DI39" s="287"/>
      <c r="DJ39" s="270"/>
      <c r="DK39" s="280"/>
      <c r="DL39" s="269"/>
      <c r="DM39" s="269"/>
      <c r="DN39" s="269"/>
      <c r="DO39" s="287"/>
      <c r="DP39" s="270"/>
      <c r="DQ39" s="280"/>
      <c r="DR39" s="269"/>
      <c r="DS39" s="269"/>
      <c r="DT39" s="269"/>
      <c r="DU39" s="287"/>
      <c r="DV39" s="270"/>
      <c r="DW39" s="280"/>
      <c r="DX39" s="269"/>
      <c r="DY39" s="269"/>
      <c r="DZ39" s="269"/>
      <c r="EA39" s="287"/>
      <c r="EB39" s="270"/>
      <c r="EC39" s="280"/>
      <c r="ED39" s="269"/>
      <c r="EE39" s="269"/>
      <c r="EF39" s="269"/>
      <c r="EG39" s="287"/>
    </row>
    <row r="40" spans="1:137" ht="12.75" customHeight="1" x14ac:dyDescent="0.2">
      <c r="A40" s="302" t="s">
        <v>306</v>
      </c>
      <c r="B40" s="22">
        <v>6.0000000000000001E-3</v>
      </c>
      <c r="C40" s="301"/>
      <c r="E40" s="287"/>
      <c r="F40" s="270"/>
      <c r="G40" s="287"/>
      <c r="H40" s="270"/>
      <c r="I40" s="287"/>
      <c r="J40" s="270"/>
      <c r="K40" s="287"/>
      <c r="L40" s="270"/>
      <c r="M40" s="280"/>
      <c r="N40" s="269"/>
      <c r="O40" s="269"/>
      <c r="P40" s="269"/>
      <c r="Q40" s="287"/>
      <c r="R40" s="270"/>
      <c r="S40" s="280"/>
      <c r="T40" s="269"/>
      <c r="U40" s="269"/>
      <c r="V40" s="269"/>
      <c r="W40" s="287"/>
      <c r="X40" s="270"/>
      <c r="Y40" s="280"/>
      <c r="Z40" s="269"/>
      <c r="AA40" s="269"/>
      <c r="AB40" s="269"/>
      <c r="AC40" s="287"/>
      <c r="AD40" s="270"/>
      <c r="AE40" s="280"/>
      <c r="AF40" s="269"/>
      <c r="AG40" s="269"/>
      <c r="AH40" s="269"/>
      <c r="AI40" s="287"/>
      <c r="AJ40" s="270"/>
      <c r="AK40" s="280"/>
      <c r="AL40" s="269"/>
      <c r="AM40" s="269"/>
      <c r="AN40" s="269"/>
      <c r="AO40" s="287"/>
      <c r="AP40" s="270"/>
      <c r="AQ40" s="280"/>
      <c r="AR40" s="269"/>
      <c r="AS40" s="269"/>
      <c r="AT40" s="269"/>
      <c r="AU40" s="287"/>
      <c r="AV40" s="270"/>
      <c r="AW40" s="280"/>
      <c r="AX40" s="269"/>
      <c r="AY40" s="269"/>
      <c r="AZ40" s="269"/>
      <c r="BA40" s="287"/>
      <c r="BB40" s="270"/>
      <c r="BC40" s="280"/>
      <c r="BD40" s="269"/>
      <c r="BE40" s="269"/>
      <c r="BF40" s="269"/>
      <c r="BG40" s="287"/>
      <c r="BH40" s="270"/>
      <c r="BI40" s="280"/>
      <c r="BJ40" s="269"/>
      <c r="BK40" s="269"/>
      <c r="BL40" s="269"/>
      <c r="BM40" s="287"/>
      <c r="BN40" s="270"/>
      <c r="BO40" s="280"/>
      <c r="BP40" s="269"/>
      <c r="BQ40" s="269"/>
      <c r="BR40" s="269"/>
      <c r="BS40" s="287"/>
      <c r="BT40" s="270"/>
      <c r="BU40" s="280"/>
      <c r="BV40" s="269"/>
      <c r="BW40" s="269"/>
      <c r="BX40" s="269"/>
      <c r="BY40" s="287"/>
      <c r="BZ40" s="270"/>
      <c r="CA40" s="280"/>
      <c r="CB40" s="269"/>
      <c r="CC40" s="269"/>
      <c r="CD40" s="269"/>
      <c r="CE40" s="287"/>
      <c r="CF40" s="270"/>
      <c r="CG40" s="280"/>
      <c r="CH40" s="269"/>
      <c r="CI40" s="269"/>
      <c r="CJ40" s="269"/>
      <c r="CK40" s="287"/>
      <c r="CL40" s="270"/>
      <c r="CM40" s="293">
        <v>0</v>
      </c>
      <c r="CN40" s="278">
        <v>0</v>
      </c>
      <c r="CO40" s="278">
        <v>0</v>
      </c>
      <c r="CP40" s="278">
        <v>314.60000000000002</v>
      </c>
      <c r="CQ40" s="287">
        <f t="shared" ref="CQ40:CQ41" si="80">CP40</f>
        <v>314.60000000000002</v>
      </c>
      <c r="CR40" s="270"/>
      <c r="CS40" s="293">
        <v>0</v>
      </c>
      <c r="CT40" s="278">
        <v>0</v>
      </c>
      <c r="CU40" s="278">
        <v>3196</v>
      </c>
      <c r="CV40" s="278">
        <v>3096.9</v>
      </c>
      <c r="CW40" s="287">
        <f t="shared" ref="CW40:CW41" si="81">CV40</f>
        <v>3096.9</v>
      </c>
      <c r="CX40" s="270"/>
      <c r="CY40" s="293">
        <v>2702</v>
      </c>
      <c r="CZ40" s="278">
        <v>2639.2</v>
      </c>
      <c r="DA40" s="278">
        <v>1372.6</v>
      </c>
      <c r="DB40" s="278">
        <v>3127.6</v>
      </c>
      <c r="DC40" s="287">
        <f t="shared" ref="DC40:DC41" si="82">DB40</f>
        <v>3127.6</v>
      </c>
      <c r="DD40" s="270"/>
      <c r="DE40" s="293">
        <v>3167.9</v>
      </c>
      <c r="DF40" s="1159">
        <v>3361.8</v>
      </c>
      <c r="DG40" s="1159">
        <v>2692.1</v>
      </c>
      <c r="DH40" s="278">
        <v>1993.9</v>
      </c>
      <c r="DI40" s="287">
        <f t="shared" ref="DI40:DI41" si="83">DH40</f>
        <v>1993.9</v>
      </c>
      <c r="DJ40" s="270"/>
      <c r="DK40" s="280">
        <f t="shared" ref="DK40:DK41" si="84">DH40</f>
        <v>1993.9</v>
      </c>
      <c r="DL40" s="269">
        <f t="shared" ref="DL40:DL41" si="85">DK40</f>
        <v>1993.9</v>
      </c>
      <c r="DM40" s="269">
        <f t="shared" ref="DM40:DM41" si="86">DL40</f>
        <v>1993.9</v>
      </c>
      <c r="DN40" s="269">
        <f t="shared" ref="DN40:DN41" si="87">DM40</f>
        <v>1993.9</v>
      </c>
      <c r="DO40" s="287">
        <f t="shared" ref="DO40:DO41" si="88">DN40</f>
        <v>1993.9</v>
      </c>
      <c r="DP40" s="270"/>
      <c r="DQ40" s="280">
        <f t="shared" ref="DQ40:DQ41" si="89">DN40</f>
        <v>1993.9</v>
      </c>
      <c r="DR40" s="269">
        <f t="shared" ref="DR40:DR41" si="90">DQ40</f>
        <v>1993.9</v>
      </c>
      <c r="DS40" s="269">
        <f t="shared" ref="DS40:DS41" si="91">DR40</f>
        <v>1993.9</v>
      </c>
      <c r="DT40" s="269">
        <f t="shared" ref="DT40:DT41" si="92">DS40</f>
        <v>1993.9</v>
      </c>
      <c r="DU40" s="287">
        <f t="shared" ref="DU40:DU41" si="93">DT40</f>
        <v>1993.9</v>
      </c>
      <c r="DV40" s="270"/>
      <c r="DW40" s="280">
        <f t="shared" ref="DW40:DW41" si="94">DT40</f>
        <v>1993.9</v>
      </c>
      <c r="DX40" s="269">
        <f t="shared" ref="DX40:DX41" si="95">DW40</f>
        <v>1993.9</v>
      </c>
      <c r="DY40" s="269">
        <f t="shared" ref="DY40:DY41" si="96">DX40</f>
        <v>1993.9</v>
      </c>
      <c r="DZ40" s="269">
        <f t="shared" ref="DZ40:DZ41" si="97">DY40</f>
        <v>1993.9</v>
      </c>
      <c r="EA40" s="287">
        <f t="shared" ref="EA40:EA41" si="98">DZ40</f>
        <v>1993.9</v>
      </c>
      <c r="EB40" s="270"/>
      <c r="EC40" s="280">
        <f t="shared" ref="EC40:EC41" si="99">DZ40</f>
        <v>1993.9</v>
      </c>
      <c r="ED40" s="269">
        <f t="shared" ref="ED40:ED41" si="100">EC40</f>
        <v>1993.9</v>
      </c>
      <c r="EE40" s="269">
        <f t="shared" ref="EE40:EE41" si="101">ED40</f>
        <v>1993.9</v>
      </c>
      <c r="EF40" s="269">
        <f t="shared" ref="EF40:EF41" si="102">EE40</f>
        <v>1993.9</v>
      </c>
      <c r="EG40" s="287">
        <f t="shared" ref="EG40:EG41" si="103">EF40</f>
        <v>1993.9</v>
      </c>
    </row>
    <row r="41" spans="1:137" ht="12.75" customHeight="1" x14ac:dyDescent="0.2">
      <c r="A41" s="302" t="s">
        <v>307</v>
      </c>
      <c r="B41" s="22">
        <v>6.0000000000000001E-3</v>
      </c>
      <c r="C41" s="301"/>
      <c r="E41" s="287"/>
      <c r="F41" s="270"/>
      <c r="G41" s="287"/>
      <c r="H41" s="270"/>
      <c r="I41" s="287"/>
      <c r="J41" s="270"/>
      <c r="K41" s="287"/>
      <c r="L41" s="270"/>
      <c r="M41" s="280"/>
      <c r="N41" s="269"/>
      <c r="O41" s="269"/>
      <c r="P41" s="269"/>
      <c r="Q41" s="287"/>
      <c r="R41" s="270"/>
      <c r="S41" s="280"/>
      <c r="T41" s="269"/>
      <c r="U41" s="269"/>
      <c r="V41" s="269"/>
      <c r="W41" s="287"/>
      <c r="X41" s="270"/>
      <c r="Y41" s="280"/>
      <c r="Z41" s="269"/>
      <c r="AA41" s="269"/>
      <c r="AB41" s="269"/>
      <c r="AC41" s="287"/>
      <c r="AD41" s="270"/>
      <c r="AE41" s="280"/>
      <c r="AF41" s="269"/>
      <c r="AG41" s="269"/>
      <c r="AH41" s="269"/>
      <c r="AI41" s="287"/>
      <c r="AJ41" s="270"/>
      <c r="AK41" s="280"/>
      <c r="AL41" s="269"/>
      <c r="AM41" s="269"/>
      <c r="AN41" s="269"/>
      <c r="AO41" s="287"/>
      <c r="AP41" s="270"/>
      <c r="AQ41" s="280"/>
      <c r="AR41" s="269"/>
      <c r="AS41" s="269"/>
      <c r="AT41" s="269"/>
      <c r="AU41" s="287"/>
      <c r="AV41" s="270"/>
      <c r="AW41" s="280"/>
      <c r="AX41" s="269"/>
      <c r="AY41" s="269"/>
      <c r="AZ41" s="269"/>
      <c r="BA41" s="287"/>
      <c r="BB41" s="270"/>
      <c r="BC41" s="280"/>
      <c r="BD41" s="269"/>
      <c r="BE41" s="269"/>
      <c r="BF41" s="269"/>
      <c r="BG41" s="287"/>
      <c r="BH41" s="270"/>
      <c r="BI41" s="280"/>
      <c r="BJ41" s="269"/>
      <c r="BK41" s="269"/>
      <c r="BL41" s="269"/>
      <c r="BM41" s="287"/>
      <c r="BN41" s="270"/>
      <c r="BO41" s="280"/>
      <c r="BP41" s="269"/>
      <c r="BQ41" s="269"/>
      <c r="BR41" s="269"/>
      <c r="BS41" s="287"/>
      <c r="BT41" s="270"/>
      <c r="BU41" s="280"/>
      <c r="BV41" s="269"/>
      <c r="BW41" s="269"/>
      <c r="BX41" s="269"/>
      <c r="BY41" s="287"/>
      <c r="BZ41" s="270"/>
      <c r="CA41" s="280"/>
      <c r="CB41" s="269"/>
      <c r="CC41" s="269"/>
      <c r="CD41" s="269"/>
      <c r="CE41" s="287"/>
      <c r="CF41" s="270"/>
      <c r="CG41" s="280"/>
      <c r="CH41" s="269"/>
      <c r="CI41" s="269"/>
      <c r="CJ41" s="269"/>
      <c r="CK41" s="287"/>
      <c r="CL41" s="270"/>
      <c r="CM41" s="293">
        <v>450</v>
      </c>
      <c r="CN41" s="278">
        <v>450</v>
      </c>
      <c r="CO41" s="278">
        <v>450</v>
      </c>
      <c r="CP41" s="278">
        <v>450</v>
      </c>
      <c r="CQ41" s="287">
        <f t="shared" si="80"/>
        <v>450</v>
      </c>
      <c r="CR41" s="270"/>
      <c r="CS41" s="293">
        <v>450</v>
      </c>
      <c r="CT41" s="278">
        <v>450</v>
      </c>
      <c r="CU41" s="278">
        <v>3643.3</v>
      </c>
      <c r="CV41" s="278">
        <v>920</v>
      </c>
      <c r="CW41" s="287">
        <f t="shared" si="81"/>
        <v>920</v>
      </c>
      <c r="CX41" s="270"/>
      <c r="CY41" s="293">
        <v>394.8</v>
      </c>
      <c r="CZ41" s="278">
        <v>0</v>
      </c>
      <c r="DA41" s="278">
        <v>123.8</v>
      </c>
      <c r="DB41" s="278">
        <v>2733.5</v>
      </c>
      <c r="DC41" s="287">
        <f t="shared" si="82"/>
        <v>2733.5</v>
      </c>
      <c r="DD41" s="270"/>
      <c r="DE41" s="293">
        <v>2268.4</v>
      </c>
      <c r="DF41" s="1159">
        <v>332.2</v>
      </c>
      <c r="DG41" s="1159">
        <v>190</v>
      </c>
      <c r="DH41" s="278">
        <v>436.9</v>
      </c>
      <c r="DI41" s="287">
        <f t="shared" si="83"/>
        <v>436.9</v>
      </c>
      <c r="DJ41" s="270"/>
      <c r="DK41" s="280">
        <f t="shared" si="84"/>
        <v>436.9</v>
      </c>
      <c r="DL41" s="269">
        <f t="shared" si="85"/>
        <v>436.9</v>
      </c>
      <c r="DM41" s="269">
        <f t="shared" si="86"/>
        <v>436.9</v>
      </c>
      <c r="DN41" s="269">
        <f t="shared" si="87"/>
        <v>436.9</v>
      </c>
      <c r="DO41" s="287">
        <f t="shared" si="88"/>
        <v>436.9</v>
      </c>
      <c r="DP41" s="270"/>
      <c r="DQ41" s="280">
        <f t="shared" si="89"/>
        <v>436.9</v>
      </c>
      <c r="DR41" s="269">
        <f t="shared" si="90"/>
        <v>436.9</v>
      </c>
      <c r="DS41" s="269">
        <f t="shared" si="91"/>
        <v>436.9</v>
      </c>
      <c r="DT41" s="269">
        <f t="shared" si="92"/>
        <v>436.9</v>
      </c>
      <c r="DU41" s="287">
        <f t="shared" si="93"/>
        <v>436.9</v>
      </c>
      <c r="DV41" s="270"/>
      <c r="DW41" s="280">
        <f t="shared" si="94"/>
        <v>436.9</v>
      </c>
      <c r="DX41" s="269">
        <f t="shared" si="95"/>
        <v>436.9</v>
      </c>
      <c r="DY41" s="269">
        <f t="shared" si="96"/>
        <v>436.9</v>
      </c>
      <c r="DZ41" s="269">
        <f t="shared" si="97"/>
        <v>436.9</v>
      </c>
      <c r="EA41" s="287">
        <f t="shared" si="98"/>
        <v>436.9</v>
      </c>
      <c r="EB41" s="270"/>
      <c r="EC41" s="280">
        <f t="shared" si="99"/>
        <v>436.9</v>
      </c>
      <c r="ED41" s="269">
        <f t="shared" si="100"/>
        <v>436.9</v>
      </c>
      <c r="EE41" s="269">
        <f t="shared" si="101"/>
        <v>436.9</v>
      </c>
      <c r="EF41" s="269">
        <f t="shared" si="102"/>
        <v>436.9</v>
      </c>
      <c r="EG41" s="287">
        <f t="shared" si="103"/>
        <v>436.9</v>
      </c>
    </row>
    <row r="42" spans="1:137" ht="12.75" customHeight="1" x14ac:dyDescent="0.2">
      <c r="A42" s="300"/>
      <c r="B42" s="22"/>
      <c r="C42" s="301"/>
      <c r="E42" s="287"/>
      <c r="F42" s="270"/>
      <c r="G42" s="287"/>
      <c r="H42" s="270"/>
      <c r="I42" s="287"/>
      <c r="J42" s="270"/>
      <c r="K42" s="287"/>
      <c r="L42" s="270"/>
      <c r="M42" s="280"/>
      <c r="N42" s="269"/>
      <c r="O42" s="269"/>
      <c r="P42" s="269"/>
      <c r="Q42" s="287"/>
      <c r="R42" s="270"/>
      <c r="S42" s="280"/>
      <c r="T42" s="269"/>
      <c r="U42" s="269"/>
      <c r="V42" s="269"/>
      <c r="W42" s="287"/>
      <c r="X42" s="270"/>
      <c r="Y42" s="280"/>
      <c r="Z42" s="269"/>
      <c r="AA42" s="269"/>
      <c r="AB42" s="269"/>
      <c r="AC42" s="287"/>
      <c r="AD42" s="270"/>
      <c r="AE42" s="280"/>
      <c r="AF42" s="269"/>
      <c r="AG42" s="269"/>
      <c r="AH42" s="269"/>
      <c r="AI42" s="287"/>
      <c r="AJ42" s="270"/>
      <c r="AK42" s="280"/>
      <c r="AL42" s="269"/>
      <c r="AM42" s="269"/>
      <c r="AN42" s="269"/>
      <c r="AO42" s="287"/>
      <c r="AP42" s="270"/>
      <c r="AQ42" s="280"/>
      <c r="AR42" s="269"/>
      <c r="AS42" s="269"/>
      <c r="AT42" s="269"/>
      <c r="AU42" s="287"/>
      <c r="AV42" s="270"/>
      <c r="AW42" s="280"/>
      <c r="AX42" s="269"/>
      <c r="AY42" s="269"/>
      <c r="AZ42" s="269"/>
      <c r="BA42" s="287"/>
      <c r="BB42" s="270"/>
      <c r="BC42" s="280"/>
      <c r="BD42" s="269"/>
      <c r="BE42" s="269"/>
      <c r="BF42" s="269"/>
      <c r="BG42" s="287"/>
      <c r="BH42" s="270"/>
      <c r="BI42" s="280"/>
      <c r="BJ42" s="269"/>
      <c r="BK42" s="269"/>
      <c r="BL42" s="269"/>
      <c r="BM42" s="287"/>
      <c r="BN42" s="270"/>
      <c r="BO42" s="280"/>
      <c r="BP42" s="269"/>
      <c r="BQ42" s="269"/>
      <c r="BR42" s="269"/>
      <c r="BS42" s="287"/>
      <c r="BT42" s="270"/>
      <c r="BU42" s="280"/>
      <c r="BV42" s="269"/>
      <c r="BW42" s="269"/>
      <c r="BX42" s="269"/>
      <c r="BY42" s="287"/>
      <c r="BZ42" s="270"/>
      <c r="CA42" s="280"/>
      <c r="CB42" s="269"/>
      <c r="CC42" s="269"/>
      <c r="CD42" s="269"/>
      <c r="CE42" s="287"/>
      <c r="CF42" s="270"/>
      <c r="CG42" s="280"/>
      <c r="CH42" s="269"/>
      <c r="CI42" s="269"/>
      <c r="CJ42" s="269"/>
      <c r="CK42" s="287"/>
      <c r="CL42" s="270"/>
      <c r="CM42" s="280"/>
      <c r="CN42" s="269"/>
      <c r="CO42" s="269"/>
      <c r="CP42" s="269"/>
      <c r="CQ42" s="287"/>
      <c r="CR42" s="270"/>
      <c r="CS42" s="280"/>
      <c r="CT42" s="269"/>
      <c r="CU42" s="269"/>
      <c r="CV42" s="269"/>
      <c r="CW42" s="287"/>
      <c r="CX42" s="270"/>
      <c r="CY42" s="280"/>
      <c r="CZ42" s="269"/>
      <c r="DA42" s="269"/>
      <c r="DB42" s="269"/>
      <c r="DC42" s="287"/>
      <c r="DD42" s="270"/>
      <c r="DE42" s="280"/>
      <c r="DF42" s="1159"/>
      <c r="DG42" s="1159"/>
      <c r="DH42" s="269"/>
      <c r="DI42" s="287"/>
      <c r="DJ42" s="270"/>
      <c r="DK42" s="280"/>
      <c r="DL42" s="269"/>
      <c r="DM42" s="269"/>
      <c r="DN42" s="269"/>
      <c r="DO42" s="287"/>
      <c r="DP42" s="270"/>
      <c r="DQ42" s="280"/>
      <c r="DR42" s="269"/>
      <c r="DS42" s="269"/>
      <c r="DT42" s="269"/>
      <c r="DU42" s="287"/>
      <c r="DV42" s="270"/>
      <c r="DW42" s="280"/>
      <c r="DX42" s="269"/>
      <c r="DY42" s="269"/>
      <c r="DZ42" s="269"/>
      <c r="EA42" s="287"/>
      <c r="EB42" s="270"/>
      <c r="EC42" s="280"/>
      <c r="ED42" s="269"/>
      <c r="EE42" s="269"/>
      <c r="EF42" s="269"/>
      <c r="EG42" s="287"/>
    </row>
    <row r="43" spans="1:137" ht="12.75" customHeight="1" x14ac:dyDescent="0.2">
      <c r="A43" s="300" t="s">
        <v>3</v>
      </c>
      <c r="B43" s="22">
        <v>6.0000000000000001E-3</v>
      </c>
      <c r="C43" s="301"/>
      <c r="E43" s="287"/>
      <c r="F43" s="270"/>
      <c r="G43" s="287"/>
      <c r="H43" s="270"/>
      <c r="I43" s="287"/>
      <c r="J43" s="270"/>
      <c r="K43" s="287"/>
      <c r="L43" s="270"/>
      <c r="M43" s="280"/>
      <c r="N43" s="269"/>
      <c r="O43" s="269"/>
      <c r="P43" s="269"/>
      <c r="Q43" s="287"/>
      <c r="R43" s="270"/>
      <c r="S43" s="280"/>
      <c r="T43" s="269"/>
      <c r="U43" s="269"/>
      <c r="V43" s="269"/>
      <c r="W43" s="287"/>
      <c r="X43" s="270"/>
      <c r="Y43" s="280"/>
      <c r="Z43" s="269"/>
      <c r="AA43" s="269"/>
      <c r="AB43" s="269"/>
      <c r="AC43" s="287"/>
      <c r="AD43" s="270"/>
      <c r="AE43" s="280"/>
      <c r="AF43" s="269"/>
      <c r="AG43" s="269"/>
      <c r="AH43" s="269"/>
      <c r="AI43" s="287"/>
      <c r="AJ43" s="270"/>
      <c r="AK43" s="280"/>
      <c r="AL43" s="269"/>
      <c r="AM43" s="269"/>
      <c r="AN43" s="269"/>
      <c r="AO43" s="287"/>
      <c r="AP43" s="270"/>
      <c r="AQ43" s="280"/>
      <c r="AR43" s="269"/>
      <c r="AS43" s="269"/>
      <c r="AT43" s="269"/>
      <c r="AU43" s="287"/>
      <c r="AV43" s="270"/>
      <c r="AW43" s="280"/>
      <c r="AX43" s="269"/>
      <c r="AY43" s="269"/>
      <c r="AZ43" s="269"/>
      <c r="BA43" s="287"/>
      <c r="BB43" s="270"/>
      <c r="BC43" s="280"/>
      <c r="BD43" s="269"/>
      <c r="BE43" s="269"/>
      <c r="BF43" s="269"/>
      <c r="BG43" s="287"/>
      <c r="BH43" s="270"/>
      <c r="BI43" s="280"/>
      <c r="BJ43" s="269"/>
      <c r="BK43" s="269"/>
      <c r="BL43" s="269"/>
      <c r="BM43" s="287"/>
      <c r="BN43" s="270"/>
      <c r="BO43" s="280"/>
      <c r="BP43" s="269"/>
      <c r="BQ43" s="269"/>
      <c r="BR43" s="269"/>
      <c r="BS43" s="287"/>
      <c r="BT43" s="270"/>
      <c r="BU43" s="280"/>
      <c r="BV43" s="269"/>
      <c r="BW43" s="269"/>
      <c r="BX43" s="269"/>
      <c r="BY43" s="287"/>
      <c r="BZ43" s="270"/>
      <c r="CA43" s="280"/>
      <c r="CB43" s="269"/>
      <c r="CC43" s="269"/>
      <c r="CD43" s="269"/>
      <c r="CE43" s="287"/>
      <c r="CF43" s="270"/>
      <c r="CG43" s="280"/>
      <c r="CH43" s="269"/>
      <c r="CI43" s="269"/>
      <c r="CJ43" s="269"/>
      <c r="CK43" s="287"/>
      <c r="CL43" s="270"/>
      <c r="CM43" s="293">
        <v>134.6</v>
      </c>
      <c r="CN43" s="278">
        <v>118.3</v>
      </c>
      <c r="CO43" s="278">
        <v>118.7</v>
      </c>
      <c r="CP43" s="278">
        <v>118.3</v>
      </c>
      <c r="CQ43" s="287">
        <f t="shared" ref="CQ43" si="104">CP43</f>
        <v>118.3</v>
      </c>
      <c r="CR43" s="270"/>
      <c r="CS43" s="293">
        <v>164.7</v>
      </c>
      <c r="CT43" s="278">
        <v>150.4</v>
      </c>
      <c r="CU43" s="278">
        <v>187.9</v>
      </c>
      <c r="CV43" s="278">
        <v>227.5</v>
      </c>
      <c r="CW43" s="287">
        <f>CV43</f>
        <v>227.5</v>
      </c>
      <c r="CX43" s="270"/>
      <c r="CY43" s="293">
        <v>218.6</v>
      </c>
      <c r="CZ43" s="278">
        <v>130</v>
      </c>
      <c r="DA43" s="278">
        <v>137.19999999999999</v>
      </c>
      <c r="DB43" s="278">
        <v>124.6</v>
      </c>
      <c r="DC43" s="287">
        <f>DB43</f>
        <v>124.6</v>
      </c>
      <c r="DD43" s="270"/>
      <c r="DE43" s="293">
        <v>165.5</v>
      </c>
      <c r="DF43" s="1159">
        <v>184.1</v>
      </c>
      <c r="DG43" s="1159">
        <v>196.7</v>
      </c>
      <c r="DH43" s="278">
        <v>208.6</v>
      </c>
      <c r="DI43" s="287">
        <f t="shared" ref="DI43" si="105">DH43</f>
        <v>208.6</v>
      </c>
      <c r="DJ43" s="270"/>
      <c r="DK43" s="280">
        <f t="shared" ref="DK43" si="106">DH43</f>
        <v>208.6</v>
      </c>
      <c r="DL43" s="269">
        <f t="shared" ref="DL43" si="107">DK43</f>
        <v>208.6</v>
      </c>
      <c r="DM43" s="269">
        <f t="shared" ref="DM43" si="108">DL43</f>
        <v>208.6</v>
      </c>
      <c r="DN43" s="269">
        <f t="shared" ref="DN43" si="109">DM43</f>
        <v>208.6</v>
      </c>
      <c r="DO43" s="287">
        <f t="shared" ref="DO43" si="110">DN43</f>
        <v>208.6</v>
      </c>
      <c r="DP43" s="270"/>
      <c r="DQ43" s="280">
        <f t="shared" ref="DQ43" si="111">DN43</f>
        <v>208.6</v>
      </c>
      <c r="DR43" s="269">
        <f t="shared" ref="DR43" si="112">DQ43</f>
        <v>208.6</v>
      </c>
      <c r="DS43" s="269">
        <f t="shared" ref="DS43" si="113">DR43</f>
        <v>208.6</v>
      </c>
      <c r="DT43" s="269">
        <f t="shared" ref="DT43" si="114">DS43</f>
        <v>208.6</v>
      </c>
      <c r="DU43" s="287">
        <f t="shared" ref="DU43" si="115">DT43</f>
        <v>208.6</v>
      </c>
      <c r="DV43" s="270"/>
      <c r="DW43" s="280">
        <f t="shared" ref="DW43" si="116">DT43</f>
        <v>208.6</v>
      </c>
      <c r="DX43" s="269">
        <f t="shared" ref="DX43" si="117">DW43</f>
        <v>208.6</v>
      </c>
      <c r="DY43" s="269">
        <f t="shared" ref="DY43" si="118">DX43</f>
        <v>208.6</v>
      </c>
      <c r="DZ43" s="269">
        <f t="shared" ref="DZ43" si="119">DY43</f>
        <v>208.6</v>
      </c>
      <c r="EA43" s="287">
        <f t="shared" ref="EA43" si="120">DZ43</f>
        <v>208.6</v>
      </c>
      <c r="EB43" s="270"/>
      <c r="EC43" s="280">
        <f t="shared" ref="EC43" si="121">DZ43</f>
        <v>208.6</v>
      </c>
      <c r="ED43" s="269">
        <f t="shared" ref="ED43" si="122">EC43</f>
        <v>208.6</v>
      </c>
      <c r="EE43" s="269">
        <f t="shared" ref="EE43" si="123">ED43</f>
        <v>208.6</v>
      </c>
      <c r="EF43" s="269">
        <f t="shared" ref="EF43" si="124">EE43</f>
        <v>208.6</v>
      </c>
      <c r="EG43" s="287">
        <f t="shared" ref="EG43" si="125">EF43</f>
        <v>208.6</v>
      </c>
    </row>
    <row r="44" spans="1:137" ht="12.75" customHeight="1" x14ac:dyDescent="0.2">
      <c r="A44" s="300"/>
      <c r="B44" s="22"/>
      <c r="C44" s="301"/>
      <c r="E44" s="287"/>
      <c r="F44" s="270"/>
      <c r="G44" s="287"/>
      <c r="H44" s="270"/>
      <c r="I44" s="287"/>
      <c r="J44" s="270"/>
      <c r="K44" s="287"/>
      <c r="L44" s="270"/>
      <c r="M44" s="280"/>
      <c r="N44" s="269"/>
      <c r="O44" s="269"/>
      <c r="P44" s="269"/>
      <c r="Q44" s="287"/>
      <c r="R44" s="270"/>
      <c r="S44" s="280"/>
      <c r="T44" s="269"/>
      <c r="U44" s="269"/>
      <c r="V44" s="269"/>
      <c r="W44" s="287"/>
      <c r="X44" s="270"/>
      <c r="Y44" s="280"/>
      <c r="Z44" s="269"/>
      <c r="AA44" s="269"/>
      <c r="AB44" s="269"/>
      <c r="AC44" s="287"/>
      <c r="AD44" s="270"/>
      <c r="AE44" s="280"/>
      <c r="AF44" s="269"/>
      <c r="AG44" s="269"/>
      <c r="AH44" s="269"/>
      <c r="AI44" s="287"/>
      <c r="AJ44" s="270"/>
      <c r="AK44" s="280"/>
      <c r="AL44" s="269"/>
      <c r="AM44" s="269"/>
      <c r="AN44" s="269"/>
      <c r="AO44" s="287"/>
      <c r="AP44" s="270"/>
      <c r="AQ44" s="280"/>
      <c r="AR44" s="269"/>
      <c r="AS44" s="269"/>
      <c r="AT44" s="269"/>
      <c r="AU44" s="287"/>
      <c r="AV44" s="270"/>
      <c r="AW44" s="280"/>
      <c r="AX44" s="269"/>
      <c r="AY44" s="269"/>
      <c r="AZ44" s="269"/>
      <c r="BA44" s="287"/>
      <c r="BB44" s="270"/>
      <c r="BC44" s="280"/>
      <c r="BD44" s="269"/>
      <c r="BE44" s="269"/>
      <c r="BF44" s="269"/>
      <c r="BG44" s="287"/>
      <c r="BH44" s="270"/>
      <c r="BI44" s="280"/>
      <c r="BJ44" s="269"/>
      <c r="BK44" s="269"/>
      <c r="BL44" s="269"/>
      <c r="BM44" s="287"/>
      <c r="BN44" s="270"/>
      <c r="BO44" s="280"/>
      <c r="BP44" s="269"/>
      <c r="BQ44" s="269"/>
      <c r="BR44" s="269"/>
      <c r="BS44" s="287"/>
      <c r="BT44" s="270"/>
      <c r="BU44" s="280"/>
      <c r="BV44" s="269"/>
      <c r="BW44" s="269"/>
      <c r="BX44" s="269"/>
      <c r="BY44" s="287"/>
      <c r="BZ44" s="270"/>
      <c r="CA44" s="280"/>
      <c r="CB44" s="269"/>
      <c r="CC44" s="269"/>
      <c r="CD44" s="269"/>
      <c r="CE44" s="287"/>
      <c r="CF44" s="270"/>
      <c r="CG44" s="280"/>
      <c r="CH44" s="269"/>
      <c r="CI44" s="269"/>
      <c r="CJ44" s="269"/>
      <c r="CK44" s="287"/>
      <c r="CL44" s="270"/>
      <c r="CM44" s="280"/>
      <c r="CN44" s="269"/>
      <c r="CO44" s="269"/>
      <c r="CP44" s="269"/>
      <c r="CQ44" s="287"/>
      <c r="CR44" s="270"/>
      <c r="CS44" s="280"/>
      <c r="CT44" s="269"/>
      <c r="CU44" s="269"/>
      <c r="CV44" s="269"/>
      <c r="CW44" s="287"/>
      <c r="CX44" s="270"/>
      <c r="CY44" s="280"/>
      <c r="CZ44" s="269"/>
      <c r="DA44" s="269"/>
      <c r="DB44" s="269"/>
      <c r="DC44" s="287"/>
      <c r="DD44" s="270"/>
      <c r="DE44" s="280"/>
      <c r="DF44" s="1159"/>
      <c r="DG44" s="1159"/>
      <c r="DH44" s="269"/>
      <c r="DI44" s="287"/>
      <c r="DJ44" s="270"/>
      <c r="DK44" s="280"/>
      <c r="DL44" s="269"/>
      <c r="DM44" s="269"/>
      <c r="DN44" s="269"/>
      <c r="DO44" s="287"/>
      <c r="DP44" s="270"/>
      <c r="DQ44" s="280"/>
      <c r="DR44" s="269"/>
      <c r="DS44" s="269"/>
      <c r="DT44" s="269"/>
      <c r="DU44" s="287"/>
      <c r="DV44" s="270"/>
      <c r="DW44" s="280"/>
      <c r="DX44" s="269"/>
      <c r="DY44" s="269"/>
      <c r="DZ44" s="269"/>
      <c r="EA44" s="287"/>
      <c r="EB44" s="270"/>
      <c r="EC44" s="280"/>
      <c r="ED44" s="269"/>
      <c r="EE44" s="269"/>
      <c r="EF44" s="269"/>
      <c r="EG44" s="287"/>
    </row>
    <row r="45" spans="1:137" ht="12.75" customHeight="1" x14ac:dyDescent="0.2">
      <c r="A45" s="300" t="s">
        <v>308</v>
      </c>
      <c r="B45" s="22"/>
      <c r="C45" s="301"/>
      <c r="E45" s="287"/>
      <c r="F45" s="270"/>
      <c r="G45" s="287"/>
      <c r="H45" s="270"/>
      <c r="I45" s="287"/>
      <c r="J45" s="270"/>
      <c r="K45" s="287"/>
      <c r="L45" s="270"/>
      <c r="M45" s="280"/>
      <c r="N45" s="269"/>
      <c r="O45" s="269"/>
      <c r="P45" s="269"/>
      <c r="Q45" s="287"/>
      <c r="R45" s="270"/>
      <c r="S45" s="280"/>
      <c r="T45" s="269"/>
      <c r="U45" s="269"/>
      <c r="V45" s="269"/>
      <c r="W45" s="287"/>
      <c r="X45" s="270"/>
      <c r="Y45" s="280"/>
      <c r="Z45" s="269"/>
      <c r="AA45" s="269"/>
      <c r="AB45" s="269"/>
      <c r="AC45" s="287"/>
      <c r="AD45" s="270"/>
      <c r="AE45" s="280"/>
      <c r="AF45" s="269"/>
      <c r="AG45" s="269"/>
      <c r="AH45" s="269"/>
      <c r="AI45" s="287"/>
      <c r="AJ45" s="270"/>
      <c r="AK45" s="280"/>
      <c r="AL45" s="269"/>
      <c r="AM45" s="269"/>
      <c r="AN45" s="269"/>
      <c r="AO45" s="287"/>
      <c r="AP45" s="270"/>
      <c r="AQ45" s="280"/>
      <c r="AR45" s="269"/>
      <c r="AS45" s="269"/>
      <c r="AT45" s="269"/>
      <c r="AU45" s="287"/>
      <c r="AV45" s="270"/>
      <c r="AW45" s="280"/>
      <c r="AX45" s="269"/>
      <c r="AY45" s="269"/>
      <c r="AZ45" s="269"/>
      <c r="BA45" s="287"/>
      <c r="BB45" s="270"/>
      <c r="BC45" s="280"/>
      <c r="BD45" s="269"/>
      <c r="BE45" s="269"/>
      <c r="BF45" s="269"/>
      <c r="BG45" s="287"/>
      <c r="BH45" s="270"/>
      <c r="BI45" s="280"/>
      <c r="BJ45" s="269"/>
      <c r="BK45" s="269"/>
      <c r="BL45" s="269"/>
      <c r="BM45" s="287"/>
      <c r="BN45" s="270"/>
      <c r="BO45" s="280"/>
      <c r="BP45" s="269"/>
      <c r="BQ45" s="269"/>
      <c r="BR45" s="269"/>
      <c r="BS45" s="287"/>
      <c r="BT45" s="270"/>
      <c r="BU45" s="280"/>
      <c r="BV45" s="269"/>
      <c r="BW45" s="269"/>
      <c r="BX45" s="269"/>
      <c r="BY45" s="287"/>
      <c r="BZ45" s="270"/>
      <c r="CA45" s="280"/>
      <c r="CB45" s="269"/>
      <c r="CC45" s="269"/>
      <c r="CD45" s="269"/>
      <c r="CE45" s="287"/>
      <c r="CF45" s="270"/>
      <c r="CG45" s="280"/>
      <c r="CH45" s="269"/>
      <c r="CI45" s="269"/>
      <c r="CJ45" s="269"/>
      <c r="CK45" s="287"/>
      <c r="CL45" s="270"/>
      <c r="CM45" s="280"/>
      <c r="CN45" s="269"/>
      <c r="CO45" s="269"/>
      <c r="CP45" s="269"/>
      <c r="CQ45" s="287"/>
      <c r="CR45" s="270"/>
      <c r="CS45" s="280"/>
      <c r="CT45" s="269"/>
      <c r="CU45" s="269"/>
      <c r="CV45" s="269"/>
      <c r="CW45" s="287"/>
      <c r="CX45" s="270"/>
      <c r="CY45" s="280"/>
      <c r="CZ45" s="269"/>
      <c r="DA45" s="269"/>
      <c r="DB45" s="269"/>
      <c r="DC45" s="287"/>
      <c r="DD45" s="270"/>
      <c r="DE45" s="280"/>
      <c r="DF45" s="1159"/>
      <c r="DG45" s="1159"/>
      <c r="DH45" s="269"/>
      <c r="DI45" s="287"/>
      <c r="DJ45" s="270"/>
      <c r="DK45" s="280"/>
      <c r="DL45" s="269"/>
      <c r="DM45" s="269"/>
      <c r="DN45" s="269"/>
      <c r="DO45" s="287"/>
      <c r="DP45" s="270"/>
      <c r="DQ45" s="280"/>
      <c r="DR45" s="269"/>
      <c r="DS45" s="269"/>
      <c r="DT45" s="269"/>
      <c r="DU45" s="287"/>
      <c r="DV45" s="270"/>
      <c r="DW45" s="280"/>
      <c r="DX45" s="269"/>
      <c r="DY45" s="269"/>
      <c r="DZ45" s="269"/>
      <c r="EA45" s="287"/>
      <c r="EB45" s="270"/>
      <c r="EC45" s="280"/>
      <c r="ED45" s="269"/>
      <c r="EE45" s="269"/>
      <c r="EF45" s="269"/>
      <c r="EG45" s="287"/>
    </row>
    <row r="46" spans="1:137" ht="12.75" customHeight="1" x14ac:dyDescent="0.2">
      <c r="A46" s="302" t="s">
        <v>309</v>
      </c>
      <c r="B46" s="22">
        <v>0.01</v>
      </c>
      <c r="C46" s="301"/>
      <c r="E46" s="287"/>
      <c r="F46" s="270"/>
      <c r="G46" s="287"/>
      <c r="H46" s="270"/>
      <c r="I46" s="287"/>
      <c r="J46" s="270"/>
      <c r="K46" s="287"/>
      <c r="L46" s="270"/>
      <c r="M46" s="280"/>
      <c r="N46" s="269"/>
      <c r="O46" s="269"/>
      <c r="P46" s="269"/>
      <c r="Q46" s="287"/>
      <c r="R46" s="270"/>
      <c r="S46" s="280"/>
      <c r="T46" s="269"/>
      <c r="U46" s="269"/>
      <c r="V46" s="269"/>
      <c r="W46" s="287"/>
      <c r="X46" s="270"/>
      <c r="Y46" s="280"/>
      <c r="Z46" s="269"/>
      <c r="AA46" s="269"/>
      <c r="AB46" s="269"/>
      <c r="AC46" s="287"/>
      <c r="AD46" s="270"/>
      <c r="AE46" s="280"/>
      <c r="AF46" s="269"/>
      <c r="AG46" s="269"/>
      <c r="AH46" s="269"/>
      <c r="AI46" s="287"/>
      <c r="AJ46" s="270"/>
      <c r="AK46" s="280"/>
      <c r="AL46" s="269"/>
      <c r="AM46" s="269"/>
      <c r="AN46" s="269"/>
      <c r="AO46" s="287"/>
      <c r="AP46" s="270"/>
      <c r="AQ46" s="280"/>
      <c r="AR46" s="269"/>
      <c r="AS46" s="269"/>
      <c r="AT46" s="269"/>
      <c r="AU46" s="287"/>
      <c r="AV46" s="270"/>
      <c r="AW46" s="280"/>
      <c r="AX46" s="269"/>
      <c r="AY46" s="269"/>
      <c r="AZ46" s="269"/>
      <c r="BA46" s="287"/>
      <c r="BB46" s="270"/>
      <c r="BC46" s="280"/>
      <c r="BD46" s="269"/>
      <c r="BE46" s="269"/>
      <c r="BF46" s="269"/>
      <c r="BG46" s="287"/>
      <c r="BH46" s="270"/>
      <c r="BI46" s="280"/>
      <c r="BJ46" s="269"/>
      <c r="BK46" s="269"/>
      <c r="BL46" s="269"/>
      <c r="BM46" s="287"/>
      <c r="BN46" s="270"/>
      <c r="BO46" s="280"/>
      <c r="BP46" s="269"/>
      <c r="BQ46" s="269"/>
      <c r="BR46" s="269"/>
      <c r="BS46" s="287"/>
      <c r="BT46" s="270"/>
      <c r="BU46" s="280"/>
      <c r="BV46" s="269"/>
      <c r="BW46" s="269"/>
      <c r="BX46" s="269"/>
      <c r="BY46" s="287"/>
      <c r="BZ46" s="270"/>
      <c r="CA46" s="280"/>
      <c r="CB46" s="269"/>
      <c r="CC46" s="269"/>
      <c r="CD46" s="269"/>
      <c r="CE46" s="287"/>
      <c r="CF46" s="270"/>
      <c r="CG46" s="280"/>
      <c r="CH46" s="269"/>
      <c r="CI46" s="269"/>
      <c r="CJ46" s="269"/>
      <c r="CK46" s="287"/>
      <c r="CL46" s="270"/>
      <c r="CM46" s="293">
        <v>0</v>
      </c>
      <c r="CN46" s="278">
        <v>0</v>
      </c>
      <c r="CO46" s="278">
        <v>0</v>
      </c>
      <c r="CP46" s="278">
        <v>0</v>
      </c>
      <c r="CQ46" s="287">
        <f t="shared" ref="CQ46:CQ51" si="126">CP46</f>
        <v>0</v>
      </c>
      <c r="CR46" s="270"/>
      <c r="CS46" s="293">
        <v>0</v>
      </c>
      <c r="CT46" s="278">
        <v>0</v>
      </c>
      <c r="CU46" s="278">
        <v>0</v>
      </c>
      <c r="CV46" s="278">
        <v>0</v>
      </c>
      <c r="CW46" s="287">
        <f t="shared" ref="CW46:CW51" si="127">CV46</f>
        <v>0</v>
      </c>
      <c r="CX46" s="270"/>
      <c r="CY46" s="293">
        <v>0</v>
      </c>
      <c r="CZ46" s="278">
        <v>392.9</v>
      </c>
      <c r="DA46" s="278">
        <v>0</v>
      </c>
      <c r="DB46" s="278">
        <v>0</v>
      </c>
      <c r="DC46" s="287">
        <f t="shared" ref="DC46:DC51" si="128">DB46</f>
        <v>0</v>
      </c>
      <c r="DD46" s="270"/>
      <c r="DE46" s="293">
        <v>0</v>
      </c>
      <c r="DF46" s="1159">
        <f t="shared" ref="DF46:DF51" si="129">DE46</f>
        <v>0</v>
      </c>
      <c r="DG46" s="1159">
        <v>0</v>
      </c>
      <c r="DH46" s="278">
        <v>0</v>
      </c>
      <c r="DI46" s="287">
        <f t="shared" ref="DI46:DI51" si="130">DH46</f>
        <v>0</v>
      </c>
      <c r="DJ46" s="270"/>
      <c r="DK46" s="280">
        <f t="shared" ref="DK46:DK51" si="131">DH46</f>
        <v>0</v>
      </c>
      <c r="DL46" s="269">
        <f t="shared" ref="DL46:DL51" si="132">DK46</f>
        <v>0</v>
      </c>
      <c r="DM46" s="269">
        <f t="shared" ref="DM46:DM51" si="133">DL46</f>
        <v>0</v>
      </c>
      <c r="DN46" s="269">
        <f t="shared" ref="DN46:DN51" si="134">DM46</f>
        <v>0</v>
      </c>
      <c r="DO46" s="287">
        <f t="shared" ref="DO46:DO51" si="135">DN46</f>
        <v>0</v>
      </c>
      <c r="DP46" s="270"/>
      <c r="DQ46" s="280">
        <f t="shared" ref="DQ46:DQ51" si="136">DN46</f>
        <v>0</v>
      </c>
      <c r="DR46" s="269">
        <f t="shared" ref="DR46:DR51" si="137">DQ46</f>
        <v>0</v>
      </c>
      <c r="DS46" s="269">
        <f t="shared" ref="DS46:DS51" si="138">DR46</f>
        <v>0</v>
      </c>
      <c r="DT46" s="269">
        <f t="shared" ref="DT46:DT51" si="139">DS46</f>
        <v>0</v>
      </c>
      <c r="DU46" s="287">
        <f t="shared" ref="DU46:DU51" si="140">DT46</f>
        <v>0</v>
      </c>
      <c r="DV46" s="270"/>
      <c r="DW46" s="280">
        <f t="shared" ref="DW46:DW51" si="141">DT46</f>
        <v>0</v>
      </c>
      <c r="DX46" s="269">
        <f t="shared" ref="DX46:DX51" si="142">DW46</f>
        <v>0</v>
      </c>
      <c r="DY46" s="269">
        <f t="shared" ref="DY46:DY51" si="143">DX46</f>
        <v>0</v>
      </c>
      <c r="DZ46" s="269">
        <f t="shared" ref="DZ46:DZ51" si="144">DY46</f>
        <v>0</v>
      </c>
      <c r="EA46" s="287">
        <f t="shared" ref="EA46:EA51" si="145">DZ46</f>
        <v>0</v>
      </c>
      <c r="EB46" s="270"/>
      <c r="EC46" s="280">
        <f t="shared" ref="EC46:EC51" si="146">DZ46</f>
        <v>0</v>
      </c>
      <c r="ED46" s="269">
        <f t="shared" ref="ED46:ED51" si="147">EC46</f>
        <v>0</v>
      </c>
      <c r="EE46" s="269">
        <f t="shared" ref="EE46:EE51" si="148">ED46</f>
        <v>0</v>
      </c>
      <c r="EF46" s="269">
        <f t="shared" ref="EF46:EF51" si="149">EE46</f>
        <v>0</v>
      </c>
      <c r="EG46" s="287">
        <f t="shared" ref="EG46:EG51" si="150">EF46</f>
        <v>0</v>
      </c>
    </row>
    <row r="47" spans="1:137" ht="12.75" customHeight="1" x14ac:dyDescent="0.2">
      <c r="A47" s="302" t="s">
        <v>310</v>
      </c>
      <c r="B47" s="22">
        <v>0.01</v>
      </c>
      <c r="C47" s="301"/>
      <c r="E47" s="287"/>
      <c r="F47" s="270"/>
      <c r="G47" s="287"/>
      <c r="H47" s="270"/>
      <c r="I47" s="287"/>
      <c r="J47" s="270"/>
      <c r="K47" s="287"/>
      <c r="L47" s="270"/>
      <c r="M47" s="280"/>
      <c r="N47" s="269"/>
      <c r="O47" s="269"/>
      <c r="P47" s="269"/>
      <c r="Q47" s="287"/>
      <c r="R47" s="270"/>
      <c r="S47" s="280"/>
      <c r="T47" s="269"/>
      <c r="U47" s="269"/>
      <c r="V47" s="269"/>
      <c r="W47" s="287"/>
      <c r="X47" s="270"/>
      <c r="Y47" s="280"/>
      <c r="Z47" s="269"/>
      <c r="AA47" s="269"/>
      <c r="AB47" s="269"/>
      <c r="AC47" s="287"/>
      <c r="AD47" s="270"/>
      <c r="AE47" s="280"/>
      <c r="AF47" s="269"/>
      <c r="AG47" s="269"/>
      <c r="AH47" s="269"/>
      <c r="AI47" s="287"/>
      <c r="AJ47" s="270"/>
      <c r="AK47" s="280"/>
      <c r="AL47" s="269"/>
      <c r="AM47" s="269"/>
      <c r="AN47" s="269"/>
      <c r="AO47" s="287"/>
      <c r="AP47" s="270"/>
      <c r="AQ47" s="280"/>
      <c r="AR47" s="269"/>
      <c r="AS47" s="269"/>
      <c r="AT47" s="269"/>
      <c r="AU47" s="287"/>
      <c r="AV47" s="270"/>
      <c r="AW47" s="280"/>
      <c r="AX47" s="269"/>
      <c r="AY47" s="269"/>
      <c r="AZ47" s="269"/>
      <c r="BA47" s="287"/>
      <c r="BB47" s="270"/>
      <c r="BC47" s="280"/>
      <c r="BD47" s="269"/>
      <c r="BE47" s="269"/>
      <c r="BF47" s="269"/>
      <c r="BG47" s="287"/>
      <c r="BH47" s="270"/>
      <c r="BI47" s="280"/>
      <c r="BJ47" s="269"/>
      <c r="BK47" s="269"/>
      <c r="BL47" s="269"/>
      <c r="BM47" s="287"/>
      <c r="BN47" s="270"/>
      <c r="BO47" s="280"/>
      <c r="BP47" s="269"/>
      <c r="BQ47" s="269"/>
      <c r="BR47" s="269"/>
      <c r="BS47" s="287"/>
      <c r="BT47" s="270"/>
      <c r="BU47" s="280"/>
      <c r="BV47" s="269"/>
      <c r="BW47" s="269"/>
      <c r="BX47" s="269"/>
      <c r="BY47" s="287"/>
      <c r="BZ47" s="270"/>
      <c r="CA47" s="280"/>
      <c r="CB47" s="269"/>
      <c r="CC47" s="269"/>
      <c r="CD47" s="269"/>
      <c r="CE47" s="287"/>
      <c r="CF47" s="270"/>
      <c r="CG47" s="280"/>
      <c r="CH47" s="269"/>
      <c r="CI47" s="269"/>
      <c r="CJ47" s="269"/>
      <c r="CK47" s="287"/>
      <c r="CL47" s="270"/>
      <c r="CM47" s="293">
        <v>0</v>
      </c>
      <c r="CN47" s="278">
        <v>0</v>
      </c>
      <c r="CO47" s="278">
        <v>0</v>
      </c>
      <c r="CP47" s="278">
        <v>0</v>
      </c>
      <c r="CQ47" s="287">
        <f t="shared" si="126"/>
        <v>0</v>
      </c>
      <c r="CR47" s="270"/>
      <c r="CS47" s="293">
        <v>0</v>
      </c>
      <c r="CT47" s="278">
        <v>0</v>
      </c>
      <c r="CU47" s="278">
        <v>0</v>
      </c>
      <c r="CV47" s="278">
        <v>0</v>
      </c>
      <c r="CW47" s="287">
        <f t="shared" si="127"/>
        <v>0</v>
      </c>
      <c r="CX47" s="270"/>
      <c r="CY47" s="293">
        <v>0</v>
      </c>
      <c r="CZ47" s="278">
        <v>500</v>
      </c>
      <c r="DA47" s="278">
        <v>0</v>
      </c>
      <c r="DB47" s="278">
        <v>0</v>
      </c>
      <c r="DC47" s="287">
        <f t="shared" si="128"/>
        <v>0</v>
      </c>
      <c r="DD47" s="270"/>
      <c r="DE47" s="293">
        <v>0</v>
      </c>
      <c r="DF47" s="1159">
        <f t="shared" si="129"/>
        <v>0</v>
      </c>
      <c r="DG47" s="1159">
        <v>0</v>
      </c>
      <c r="DH47" s="278">
        <v>0</v>
      </c>
      <c r="DI47" s="287">
        <f t="shared" si="130"/>
        <v>0</v>
      </c>
      <c r="DJ47" s="270"/>
      <c r="DK47" s="280">
        <f t="shared" si="131"/>
        <v>0</v>
      </c>
      <c r="DL47" s="269">
        <f t="shared" si="132"/>
        <v>0</v>
      </c>
      <c r="DM47" s="269">
        <f t="shared" si="133"/>
        <v>0</v>
      </c>
      <c r="DN47" s="269">
        <f t="shared" si="134"/>
        <v>0</v>
      </c>
      <c r="DO47" s="287">
        <f t="shared" si="135"/>
        <v>0</v>
      </c>
      <c r="DP47" s="270"/>
      <c r="DQ47" s="280">
        <f t="shared" si="136"/>
        <v>0</v>
      </c>
      <c r="DR47" s="269">
        <f t="shared" si="137"/>
        <v>0</v>
      </c>
      <c r="DS47" s="269">
        <f t="shared" si="138"/>
        <v>0</v>
      </c>
      <c r="DT47" s="269">
        <f t="shared" si="139"/>
        <v>0</v>
      </c>
      <c r="DU47" s="287">
        <f t="shared" si="140"/>
        <v>0</v>
      </c>
      <c r="DV47" s="270"/>
      <c r="DW47" s="280">
        <f t="shared" si="141"/>
        <v>0</v>
      </c>
      <c r="DX47" s="269">
        <f t="shared" si="142"/>
        <v>0</v>
      </c>
      <c r="DY47" s="269">
        <f t="shared" si="143"/>
        <v>0</v>
      </c>
      <c r="DZ47" s="269">
        <f t="shared" si="144"/>
        <v>0</v>
      </c>
      <c r="EA47" s="287">
        <f t="shared" si="145"/>
        <v>0</v>
      </c>
      <c r="EB47" s="270"/>
      <c r="EC47" s="280">
        <f t="shared" si="146"/>
        <v>0</v>
      </c>
      <c r="ED47" s="269">
        <f t="shared" si="147"/>
        <v>0</v>
      </c>
      <c r="EE47" s="269">
        <f t="shared" si="148"/>
        <v>0</v>
      </c>
      <c r="EF47" s="269">
        <f t="shared" si="149"/>
        <v>0</v>
      </c>
      <c r="EG47" s="287">
        <f t="shared" si="150"/>
        <v>0</v>
      </c>
    </row>
    <row r="48" spans="1:137" ht="12.75" customHeight="1" x14ac:dyDescent="0.2">
      <c r="A48" s="302" t="s">
        <v>299</v>
      </c>
      <c r="B48" s="22">
        <v>1.7999999999999999E-2</v>
      </c>
      <c r="C48" s="303">
        <v>2019</v>
      </c>
      <c r="E48" s="287"/>
      <c r="F48" s="270"/>
      <c r="G48" s="287"/>
      <c r="H48" s="270"/>
      <c r="I48" s="287"/>
      <c r="J48" s="270"/>
      <c r="K48" s="287"/>
      <c r="L48" s="270"/>
      <c r="M48" s="280"/>
      <c r="N48" s="269"/>
      <c r="O48" s="269"/>
      <c r="P48" s="269"/>
      <c r="Q48" s="287"/>
      <c r="R48" s="270"/>
      <c r="S48" s="280"/>
      <c r="T48" s="269"/>
      <c r="U48" s="269"/>
      <c r="V48" s="269"/>
      <c r="W48" s="287"/>
      <c r="X48" s="270"/>
      <c r="Y48" s="280"/>
      <c r="Z48" s="269"/>
      <c r="AA48" s="269"/>
      <c r="AB48" s="269"/>
      <c r="AC48" s="287"/>
      <c r="AD48" s="270"/>
      <c r="AE48" s="280"/>
      <c r="AF48" s="269"/>
      <c r="AG48" s="269"/>
      <c r="AH48" s="269"/>
      <c r="AI48" s="287"/>
      <c r="AJ48" s="270"/>
      <c r="AK48" s="280"/>
      <c r="AL48" s="269"/>
      <c r="AM48" s="269"/>
      <c r="AN48" s="269"/>
      <c r="AO48" s="287"/>
      <c r="AP48" s="270"/>
      <c r="AQ48" s="280"/>
      <c r="AR48" s="269"/>
      <c r="AS48" s="269"/>
      <c r="AT48" s="269"/>
      <c r="AU48" s="287"/>
      <c r="AV48" s="270"/>
      <c r="AW48" s="280"/>
      <c r="AX48" s="269"/>
      <c r="AY48" s="269"/>
      <c r="AZ48" s="269"/>
      <c r="BA48" s="287"/>
      <c r="BB48" s="270"/>
      <c r="BC48" s="280"/>
      <c r="BD48" s="269"/>
      <c r="BE48" s="269"/>
      <c r="BF48" s="269"/>
      <c r="BG48" s="287"/>
      <c r="BH48" s="270"/>
      <c r="BI48" s="280"/>
      <c r="BJ48" s="269"/>
      <c r="BK48" s="269"/>
      <c r="BL48" s="269"/>
      <c r="BM48" s="287"/>
      <c r="BN48" s="270"/>
      <c r="BO48" s="280"/>
      <c r="BP48" s="269"/>
      <c r="BQ48" s="269"/>
      <c r="BR48" s="269"/>
      <c r="BS48" s="287"/>
      <c r="BT48" s="270"/>
      <c r="BU48" s="280"/>
      <c r="BV48" s="269"/>
      <c r="BW48" s="269"/>
      <c r="BX48" s="269"/>
      <c r="BY48" s="287"/>
      <c r="BZ48" s="270"/>
      <c r="CA48" s="280"/>
      <c r="CB48" s="269"/>
      <c r="CC48" s="269"/>
      <c r="CD48" s="269"/>
      <c r="CE48" s="287"/>
      <c r="CF48" s="270"/>
      <c r="CG48" s="280"/>
      <c r="CH48" s="269"/>
      <c r="CI48" s="269"/>
      <c r="CJ48" s="269"/>
      <c r="CK48" s="287"/>
      <c r="CL48" s="270"/>
      <c r="CM48" s="293">
        <v>0</v>
      </c>
      <c r="CN48" s="278">
        <v>0</v>
      </c>
      <c r="CO48" s="278">
        <v>0</v>
      </c>
      <c r="CP48" s="278">
        <v>0</v>
      </c>
      <c r="CQ48" s="287">
        <f t="shared" si="126"/>
        <v>0</v>
      </c>
      <c r="CR48" s="270"/>
      <c r="CS48" s="293">
        <v>0</v>
      </c>
      <c r="CT48" s="278">
        <v>0</v>
      </c>
      <c r="CU48" s="278">
        <v>0</v>
      </c>
      <c r="CV48" s="278">
        <v>0</v>
      </c>
      <c r="CW48" s="287">
        <f t="shared" si="127"/>
        <v>0</v>
      </c>
      <c r="CX48" s="270"/>
      <c r="CY48" s="293">
        <v>0</v>
      </c>
      <c r="CZ48" s="278">
        <v>297.89999999999998</v>
      </c>
      <c r="DA48" s="278">
        <v>0</v>
      </c>
      <c r="DB48" s="278">
        <v>0</v>
      </c>
      <c r="DC48" s="287">
        <f t="shared" si="128"/>
        <v>0</v>
      </c>
      <c r="DD48" s="270"/>
      <c r="DE48" s="293">
        <v>0</v>
      </c>
      <c r="DF48" s="1159">
        <f t="shared" si="129"/>
        <v>0</v>
      </c>
      <c r="DG48" s="1159">
        <v>0</v>
      </c>
      <c r="DH48" s="278">
        <v>0</v>
      </c>
      <c r="DI48" s="287">
        <f t="shared" si="130"/>
        <v>0</v>
      </c>
      <c r="DJ48" s="270"/>
      <c r="DK48" s="280">
        <f t="shared" si="131"/>
        <v>0</v>
      </c>
      <c r="DL48" s="269">
        <f t="shared" si="132"/>
        <v>0</v>
      </c>
      <c r="DM48" s="269">
        <f t="shared" si="133"/>
        <v>0</v>
      </c>
      <c r="DN48" s="269">
        <f t="shared" si="134"/>
        <v>0</v>
      </c>
      <c r="DO48" s="287">
        <f t="shared" si="135"/>
        <v>0</v>
      </c>
      <c r="DP48" s="270"/>
      <c r="DQ48" s="280">
        <f t="shared" si="136"/>
        <v>0</v>
      </c>
      <c r="DR48" s="269">
        <f t="shared" si="137"/>
        <v>0</v>
      </c>
      <c r="DS48" s="269">
        <f t="shared" si="138"/>
        <v>0</v>
      </c>
      <c r="DT48" s="269">
        <f t="shared" si="139"/>
        <v>0</v>
      </c>
      <c r="DU48" s="287">
        <f t="shared" si="140"/>
        <v>0</v>
      </c>
      <c r="DV48" s="270"/>
      <c r="DW48" s="280">
        <f t="shared" si="141"/>
        <v>0</v>
      </c>
      <c r="DX48" s="269">
        <f t="shared" si="142"/>
        <v>0</v>
      </c>
      <c r="DY48" s="269">
        <f t="shared" si="143"/>
        <v>0</v>
      </c>
      <c r="DZ48" s="269">
        <f t="shared" si="144"/>
        <v>0</v>
      </c>
      <c r="EA48" s="287">
        <f t="shared" si="145"/>
        <v>0</v>
      </c>
      <c r="EB48" s="270"/>
      <c r="EC48" s="280">
        <f t="shared" si="146"/>
        <v>0</v>
      </c>
      <c r="ED48" s="269">
        <f t="shared" si="147"/>
        <v>0</v>
      </c>
      <c r="EE48" s="269">
        <f t="shared" si="148"/>
        <v>0</v>
      </c>
      <c r="EF48" s="269">
        <f t="shared" si="149"/>
        <v>0</v>
      </c>
      <c r="EG48" s="287">
        <f t="shared" si="150"/>
        <v>0</v>
      </c>
    </row>
    <row r="49" spans="1:137" ht="12.75" customHeight="1" x14ac:dyDescent="0.2">
      <c r="A49" s="302" t="s">
        <v>299</v>
      </c>
      <c r="B49" s="22">
        <v>2.35E-2</v>
      </c>
      <c r="C49" s="303">
        <v>2021</v>
      </c>
      <c r="E49" s="287"/>
      <c r="F49" s="270"/>
      <c r="G49" s="287"/>
      <c r="H49" s="270"/>
      <c r="I49" s="287"/>
      <c r="J49" s="270"/>
      <c r="K49" s="287"/>
      <c r="L49" s="270"/>
      <c r="M49" s="280"/>
      <c r="N49" s="269"/>
      <c r="O49" s="269"/>
      <c r="P49" s="269"/>
      <c r="Q49" s="287"/>
      <c r="R49" s="270"/>
      <c r="S49" s="280"/>
      <c r="T49" s="269"/>
      <c r="U49" s="269"/>
      <c r="V49" s="269"/>
      <c r="W49" s="287"/>
      <c r="X49" s="270"/>
      <c r="Y49" s="280"/>
      <c r="Z49" s="269"/>
      <c r="AA49" s="269"/>
      <c r="AB49" s="269"/>
      <c r="AC49" s="287"/>
      <c r="AD49" s="270"/>
      <c r="AE49" s="280"/>
      <c r="AF49" s="269"/>
      <c r="AG49" s="269"/>
      <c r="AH49" s="269"/>
      <c r="AI49" s="287"/>
      <c r="AJ49" s="270"/>
      <c r="AK49" s="280"/>
      <c r="AL49" s="269"/>
      <c r="AM49" s="269"/>
      <c r="AN49" s="269"/>
      <c r="AO49" s="287"/>
      <c r="AP49" s="270"/>
      <c r="AQ49" s="280"/>
      <c r="AR49" s="269"/>
      <c r="AS49" s="269"/>
      <c r="AT49" s="269"/>
      <c r="AU49" s="287"/>
      <c r="AV49" s="270"/>
      <c r="AW49" s="280"/>
      <c r="AX49" s="269"/>
      <c r="AY49" s="269"/>
      <c r="AZ49" s="269"/>
      <c r="BA49" s="287"/>
      <c r="BB49" s="270"/>
      <c r="BC49" s="280"/>
      <c r="BD49" s="269"/>
      <c r="BE49" s="269"/>
      <c r="BF49" s="269"/>
      <c r="BG49" s="287"/>
      <c r="BH49" s="270"/>
      <c r="BI49" s="280"/>
      <c r="BJ49" s="269"/>
      <c r="BK49" s="269"/>
      <c r="BL49" s="269"/>
      <c r="BM49" s="287"/>
      <c r="BN49" s="270"/>
      <c r="BO49" s="280"/>
      <c r="BP49" s="269"/>
      <c r="BQ49" s="269"/>
      <c r="BR49" s="269"/>
      <c r="BS49" s="287"/>
      <c r="BT49" s="270"/>
      <c r="BU49" s="280"/>
      <c r="BV49" s="269"/>
      <c r="BW49" s="269"/>
      <c r="BX49" s="269"/>
      <c r="BY49" s="287"/>
      <c r="BZ49" s="270"/>
      <c r="CA49" s="280"/>
      <c r="CB49" s="269"/>
      <c r="CC49" s="269"/>
      <c r="CD49" s="269"/>
      <c r="CE49" s="287"/>
      <c r="CF49" s="270"/>
      <c r="CG49" s="280"/>
      <c r="CH49" s="269"/>
      <c r="CI49" s="269"/>
      <c r="CJ49" s="269"/>
      <c r="CK49" s="287"/>
      <c r="CL49" s="270"/>
      <c r="CM49" s="293">
        <v>0</v>
      </c>
      <c r="CN49" s="278">
        <v>0</v>
      </c>
      <c r="CO49" s="278">
        <v>0</v>
      </c>
      <c r="CP49" s="278">
        <v>0</v>
      </c>
      <c r="CQ49" s="287">
        <f t="shared" si="126"/>
        <v>0</v>
      </c>
      <c r="CR49" s="270"/>
      <c r="CS49" s="293">
        <v>0</v>
      </c>
      <c r="CT49" s="278">
        <v>0</v>
      </c>
      <c r="CU49" s="278">
        <v>0</v>
      </c>
      <c r="CV49" s="278">
        <v>0</v>
      </c>
      <c r="CW49" s="287">
        <f t="shared" si="127"/>
        <v>0</v>
      </c>
      <c r="CX49" s="270"/>
      <c r="CY49" s="293">
        <v>0</v>
      </c>
      <c r="CZ49" s="278">
        <v>744.3</v>
      </c>
      <c r="DA49" s="278">
        <v>0</v>
      </c>
      <c r="DB49" s="278">
        <v>0</v>
      </c>
      <c r="DC49" s="287">
        <f t="shared" si="128"/>
        <v>0</v>
      </c>
      <c r="DD49" s="270"/>
      <c r="DE49" s="293">
        <v>0</v>
      </c>
      <c r="DF49" s="1159">
        <f t="shared" si="129"/>
        <v>0</v>
      </c>
      <c r="DG49" s="1159">
        <v>0</v>
      </c>
      <c r="DH49" s="278">
        <v>0</v>
      </c>
      <c r="DI49" s="287">
        <f t="shared" si="130"/>
        <v>0</v>
      </c>
      <c r="DJ49" s="270"/>
      <c r="DK49" s="280">
        <f t="shared" si="131"/>
        <v>0</v>
      </c>
      <c r="DL49" s="269">
        <f t="shared" si="132"/>
        <v>0</v>
      </c>
      <c r="DM49" s="269">
        <f t="shared" si="133"/>
        <v>0</v>
      </c>
      <c r="DN49" s="269">
        <f t="shared" si="134"/>
        <v>0</v>
      </c>
      <c r="DO49" s="287">
        <f t="shared" si="135"/>
        <v>0</v>
      </c>
      <c r="DP49" s="270"/>
      <c r="DQ49" s="280">
        <f t="shared" si="136"/>
        <v>0</v>
      </c>
      <c r="DR49" s="269">
        <f t="shared" si="137"/>
        <v>0</v>
      </c>
      <c r="DS49" s="269">
        <f t="shared" si="138"/>
        <v>0</v>
      </c>
      <c r="DT49" s="269">
        <f t="shared" si="139"/>
        <v>0</v>
      </c>
      <c r="DU49" s="287">
        <f t="shared" si="140"/>
        <v>0</v>
      </c>
      <c r="DV49" s="270"/>
      <c r="DW49" s="280">
        <f t="shared" si="141"/>
        <v>0</v>
      </c>
      <c r="DX49" s="269">
        <f t="shared" si="142"/>
        <v>0</v>
      </c>
      <c r="DY49" s="269">
        <f t="shared" si="143"/>
        <v>0</v>
      </c>
      <c r="DZ49" s="269">
        <f t="shared" si="144"/>
        <v>0</v>
      </c>
      <c r="EA49" s="287">
        <f t="shared" si="145"/>
        <v>0</v>
      </c>
      <c r="EB49" s="270"/>
      <c r="EC49" s="280">
        <f t="shared" si="146"/>
        <v>0</v>
      </c>
      <c r="ED49" s="269">
        <f t="shared" si="147"/>
        <v>0</v>
      </c>
      <c r="EE49" s="269">
        <f t="shared" si="148"/>
        <v>0</v>
      </c>
      <c r="EF49" s="269">
        <f t="shared" si="149"/>
        <v>0</v>
      </c>
      <c r="EG49" s="287">
        <f t="shared" si="150"/>
        <v>0</v>
      </c>
    </row>
    <row r="50" spans="1:137" ht="12.75" customHeight="1" x14ac:dyDescent="0.2">
      <c r="A50" s="302" t="s">
        <v>299</v>
      </c>
      <c r="B50" s="22">
        <v>3.15E-2</v>
      </c>
      <c r="C50" s="303">
        <v>2026</v>
      </c>
      <c r="E50" s="287"/>
      <c r="F50" s="270"/>
      <c r="G50" s="287"/>
      <c r="H50" s="270"/>
      <c r="I50" s="287"/>
      <c r="J50" s="270"/>
      <c r="K50" s="287"/>
      <c r="L50" s="270"/>
      <c r="M50" s="280"/>
      <c r="N50" s="269"/>
      <c r="O50" s="269"/>
      <c r="P50" s="269"/>
      <c r="Q50" s="287"/>
      <c r="R50" s="270"/>
      <c r="S50" s="280"/>
      <c r="T50" s="269"/>
      <c r="U50" s="269"/>
      <c r="V50" s="269"/>
      <c r="W50" s="287"/>
      <c r="X50" s="270"/>
      <c r="Y50" s="280"/>
      <c r="Z50" s="269"/>
      <c r="AA50" s="269"/>
      <c r="AB50" s="269"/>
      <c r="AC50" s="287"/>
      <c r="AD50" s="270"/>
      <c r="AE50" s="280"/>
      <c r="AF50" s="269"/>
      <c r="AG50" s="269"/>
      <c r="AH50" s="269"/>
      <c r="AI50" s="287"/>
      <c r="AJ50" s="270"/>
      <c r="AK50" s="280"/>
      <c r="AL50" s="269"/>
      <c r="AM50" s="269"/>
      <c r="AN50" s="269"/>
      <c r="AO50" s="287"/>
      <c r="AP50" s="270"/>
      <c r="AQ50" s="280"/>
      <c r="AR50" s="269"/>
      <c r="AS50" s="269"/>
      <c r="AT50" s="269"/>
      <c r="AU50" s="287"/>
      <c r="AV50" s="270"/>
      <c r="AW50" s="280"/>
      <c r="AX50" s="269"/>
      <c r="AY50" s="269"/>
      <c r="AZ50" s="269"/>
      <c r="BA50" s="287"/>
      <c r="BB50" s="270"/>
      <c r="BC50" s="280"/>
      <c r="BD50" s="269"/>
      <c r="BE50" s="269"/>
      <c r="BF50" s="269"/>
      <c r="BG50" s="287"/>
      <c r="BH50" s="270"/>
      <c r="BI50" s="280"/>
      <c r="BJ50" s="269"/>
      <c r="BK50" s="269"/>
      <c r="BL50" s="269"/>
      <c r="BM50" s="287"/>
      <c r="BN50" s="270"/>
      <c r="BO50" s="280"/>
      <c r="BP50" s="269"/>
      <c r="BQ50" s="269"/>
      <c r="BR50" s="269"/>
      <c r="BS50" s="287"/>
      <c r="BT50" s="270"/>
      <c r="BU50" s="280"/>
      <c r="BV50" s="269"/>
      <c r="BW50" s="269"/>
      <c r="BX50" s="269"/>
      <c r="BY50" s="287"/>
      <c r="BZ50" s="270"/>
      <c r="CA50" s="280"/>
      <c r="CB50" s="269"/>
      <c r="CC50" s="269"/>
      <c r="CD50" s="269"/>
      <c r="CE50" s="287"/>
      <c r="CF50" s="270"/>
      <c r="CG50" s="280"/>
      <c r="CH50" s="269"/>
      <c r="CI50" s="269"/>
      <c r="CJ50" s="269"/>
      <c r="CK50" s="287"/>
      <c r="CL50" s="270"/>
      <c r="CM50" s="293">
        <v>0</v>
      </c>
      <c r="CN50" s="278">
        <v>0</v>
      </c>
      <c r="CO50" s="278">
        <v>0</v>
      </c>
      <c r="CP50" s="278">
        <v>0</v>
      </c>
      <c r="CQ50" s="287">
        <f t="shared" si="126"/>
        <v>0</v>
      </c>
      <c r="CR50" s="270"/>
      <c r="CS50" s="293">
        <v>0</v>
      </c>
      <c r="CT50" s="278">
        <v>0</v>
      </c>
      <c r="CU50" s="278">
        <v>0</v>
      </c>
      <c r="CV50" s="278">
        <v>0</v>
      </c>
      <c r="CW50" s="287">
        <f t="shared" si="127"/>
        <v>0</v>
      </c>
      <c r="CX50" s="270"/>
      <c r="CY50" s="293">
        <v>0</v>
      </c>
      <c r="CZ50" s="278">
        <v>889.7</v>
      </c>
      <c r="DA50" s="278">
        <v>0</v>
      </c>
      <c r="DB50" s="278">
        <v>0</v>
      </c>
      <c r="DC50" s="287">
        <f t="shared" si="128"/>
        <v>0</v>
      </c>
      <c r="DD50" s="270"/>
      <c r="DE50" s="293">
        <v>0</v>
      </c>
      <c r="DF50" s="1159">
        <f t="shared" si="129"/>
        <v>0</v>
      </c>
      <c r="DG50" s="1159">
        <v>0</v>
      </c>
      <c r="DH50" s="278">
        <v>0</v>
      </c>
      <c r="DI50" s="287">
        <f t="shared" si="130"/>
        <v>0</v>
      </c>
      <c r="DJ50" s="270"/>
      <c r="DK50" s="280">
        <f t="shared" si="131"/>
        <v>0</v>
      </c>
      <c r="DL50" s="269">
        <f t="shared" si="132"/>
        <v>0</v>
      </c>
      <c r="DM50" s="269">
        <f t="shared" si="133"/>
        <v>0</v>
      </c>
      <c r="DN50" s="269">
        <f t="shared" si="134"/>
        <v>0</v>
      </c>
      <c r="DO50" s="287">
        <f t="shared" si="135"/>
        <v>0</v>
      </c>
      <c r="DP50" s="270"/>
      <c r="DQ50" s="280">
        <f t="shared" si="136"/>
        <v>0</v>
      </c>
      <c r="DR50" s="269">
        <f t="shared" si="137"/>
        <v>0</v>
      </c>
      <c r="DS50" s="269">
        <f t="shared" si="138"/>
        <v>0</v>
      </c>
      <c r="DT50" s="269">
        <f t="shared" si="139"/>
        <v>0</v>
      </c>
      <c r="DU50" s="287">
        <f t="shared" si="140"/>
        <v>0</v>
      </c>
      <c r="DV50" s="270"/>
      <c r="DW50" s="280">
        <f t="shared" si="141"/>
        <v>0</v>
      </c>
      <c r="DX50" s="269">
        <f t="shared" si="142"/>
        <v>0</v>
      </c>
      <c r="DY50" s="269">
        <f t="shared" si="143"/>
        <v>0</v>
      </c>
      <c r="DZ50" s="269">
        <f t="shared" si="144"/>
        <v>0</v>
      </c>
      <c r="EA50" s="287">
        <f t="shared" si="145"/>
        <v>0</v>
      </c>
      <c r="EB50" s="270"/>
      <c r="EC50" s="280">
        <f t="shared" si="146"/>
        <v>0</v>
      </c>
      <c r="ED50" s="269">
        <f t="shared" si="147"/>
        <v>0</v>
      </c>
      <c r="EE50" s="269">
        <f t="shared" si="148"/>
        <v>0</v>
      </c>
      <c r="EF50" s="269">
        <f t="shared" si="149"/>
        <v>0</v>
      </c>
      <c r="EG50" s="287">
        <f t="shared" si="150"/>
        <v>0</v>
      </c>
    </row>
    <row r="51" spans="1:137" ht="12.75" customHeight="1" x14ac:dyDescent="0.2">
      <c r="A51" s="302" t="s">
        <v>299</v>
      </c>
      <c r="B51" s="22">
        <v>4.2999999999999997E-2</v>
      </c>
      <c r="C51" s="303">
        <v>2046</v>
      </c>
      <c r="E51" s="287"/>
      <c r="F51" s="270"/>
      <c r="G51" s="287"/>
      <c r="H51" s="270"/>
      <c r="I51" s="287"/>
      <c r="J51" s="270"/>
      <c r="K51" s="287"/>
      <c r="L51" s="270"/>
      <c r="M51" s="280"/>
      <c r="N51" s="269"/>
      <c r="O51" s="269"/>
      <c r="P51" s="269"/>
      <c r="Q51" s="287"/>
      <c r="R51" s="270"/>
      <c r="S51" s="280"/>
      <c r="T51" s="269"/>
      <c r="U51" s="269"/>
      <c r="V51" s="269"/>
      <c r="W51" s="287"/>
      <c r="X51" s="270"/>
      <c r="Y51" s="280"/>
      <c r="Z51" s="269"/>
      <c r="AA51" s="269"/>
      <c r="AB51" s="269"/>
      <c r="AC51" s="287"/>
      <c r="AD51" s="270"/>
      <c r="AE51" s="280"/>
      <c r="AF51" s="269"/>
      <c r="AG51" s="269"/>
      <c r="AH51" s="269"/>
      <c r="AI51" s="287"/>
      <c r="AJ51" s="270"/>
      <c r="AK51" s="280"/>
      <c r="AL51" s="269"/>
      <c r="AM51" s="269"/>
      <c r="AN51" s="269"/>
      <c r="AO51" s="287"/>
      <c r="AP51" s="270"/>
      <c r="AQ51" s="280"/>
      <c r="AR51" s="269"/>
      <c r="AS51" s="269"/>
      <c r="AT51" s="269"/>
      <c r="AU51" s="287"/>
      <c r="AV51" s="270"/>
      <c r="AW51" s="280"/>
      <c r="AX51" s="269"/>
      <c r="AY51" s="269"/>
      <c r="AZ51" s="269"/>
      <c r="BA51" s="287"/>
      <c r="BB51" s="270"/>
      <c r="BC51" s="280"/>
      <c r="BD51" s="269"/>
      <c r="BE51" s="269"/>
      <c r="BF51" s="269"/>
      <c r="BG51" s="287"/>
      <c r="BH51" s="270"/>
      <c r="BI51" s="280"/>
      <c r="BJ51" s="269"/>
      <c r="BK51" s="269"/>
      <c r="BL51" s="269"/>
      <c r="BM51" s="287"/>
      <c r="BN51" s="270"/>
      <c r="BO51" s="280"/>
      <c r="BP51" s="269"/>
      <c r="BQ51" s="269"/>
      <c r="BR51" s="269"/>
      <c r="BS51" s="287"/>
      <c r="BT51" s="270"/>
      <c r="BU51" s="280"/>
      <c r="BV51" s="269"/>
      <c r="BW51" s="269"/>
      <c r="BX51" s="269"/>
      <c r="BY51" s="287"/>
      <c r="BZ51" s="270"/>
      <c r="CA51" s="280"/>
      <c r="CB51" s="269"/>
      <c r="CC51" s="269"/>
      <c r="CD51" s="269"/>
      <c r="CE51" s="287"/>
      <c r="CF51" s="270"/>
      <c r="CG51" s="280"/>
      <c r="CH51" s="269"/>
      <c r="CI51" s="269"/>
      <c r="CJ51" s="269"/>
      <c r="CK51" s="287"/>
      <c r="CL51" s="270"/>
      <c r="CM51" s="293">
        <v>0</v>
      </c>
      <c r="CN51" s="278">
        <v>0</v>
      </c>
      <c r="CO51" s="278">
        <v>0</v>
      </c>
      <c r="CP51" s="278">
        <v>0</v>
      </c>
      <c r="CQ51" s="287">
        <f t="shared" si="126"/>
        <v>0</v>
      </c>
      <c r="CR51" s="270"/>
      <c r="CS51" s="293">
        <v>0</v>
      </c>
      <c r="CT51" s="278">
        <v>0</v>
      </c>
      <c r="CU51" s="278">
        <v>0</v>
      </c>
      <c r="CV51" s="278">
        <v>0</v>
      </c>
      <c r="CW51" s="287">
        <f t="shared" si="127"/>
        <v>0</v>
      </c>
      <c r="CX51" s="270"/>
      <c r="CY51" s="293">
        <v>0</v>
      </c>
      <c r="CZ51" s="278">
        <v>546.70000000000005</v>
      </c>
      <c r="DA51" s="278">
        <v>0</v>
      </c>
      <c r="DB51" s="278">
        <v>0</v>
      </c>
      <c r="DC51" s="287">
        <f t="shared" si="128"/>
        <v>0</v>
      </c>
      <c r="DD51" s="270"/>
      <c r="DE51" s="293">
        <v>0</v>
      </c>
      <c r="DF51" s="1159">
        <f t="shared" si="129"/>
        <v>0</v>
      </c>
      <c r="DG51" s="1159">
        <v>0</v>
      </c>
      <c r="DH51" s="278">
        <v>0</v>
      </c>
      <c r="DI51" s="287">
        <f t="shared" si="130"/>
        <v>0</v>
      </c>
      <c r="DJ51" s="270"/>
      <c r="DK51" s="280">
        <f t="shared" si="131"/>
        <v>0</v>
      </c>
      <c r="DL51" s="269">
        <f t="shared" si="132"/>
        <v>0</v>
      </c>
      <c r="DM51" s="269">
        <f t="shared" si="133"/>
        <v>0</v>
      </c>
      <c r="DN51" s="269">
        <f t="shared" si="134"/>
        <v>0</v>
      </c>
      <c r="DO51" s="287">
        <f t="shared" si="135"/>
        <v>0</v>
      </c>
      <c r="DP51" s="270"/>
      <c r="DQ51" s="280">
        <f t="shared" si="136"/>
        <v>0</v>
      </c>
      <c r="DR51" s="269">
        <f t="shared" si="137"/>
        <v>0</v>
      </c>
      <c r="DS51" s="269">
        <f t="shared" si="138"/>
        <v>0</v>
      </c>
      <c r="DT51" s="269">
        <f t="shared" si="139"/>
        <v>0</v>
      </c>
      <c r="DU51" s="287">
        <f t="shared" si="140"/>
        <v>0</v>
      </c>
      <c r="DV51" s="270"/>
      <c r="DW51" s="280">
        <f t="shared" si="141"/>
        <v>0</v>
      </c>
      <c r="DX51" s="269">
        <f t="shared" si="142"/>
        <v>0</v>
      </c>
      <c r="DY51" s="269">
        <f t="shared" si="143"/>
        <v>0</v>
      </c>
      <c r="DZ51" s="269">
        <f t="shared" si="144"/>
        <v>0</v>
      </c>
      <c r="EA51" s="287">
        <f t="shared" si="145"/>
        <v>0</v>
      </c>
      <c r="EB51" s="270"/>
      <c r="EC51" s="280">
        <f t="shared" si="146"/>
        <v>0</v>
      </c>
      <c r="ED51" s="269">
        <f t="shared" si="147"/>
        <v>0</v>
      </c>
      <c r="EE51" s="269">
        <f t="shared" si="148"/>
        <v>0</v>
      </c>
      <c r="EF51" s="269">
        <f t="shared" si="149"/>
        <v>0</v>
      </c>
      <c r="EG51" s="287">
        <f t="shared" si="150"/>
        <v>0</v>
      </c>
    </row>
    <row r="52" spans="1:137" ht="12.75" customHeight="1" x14ac:dyDescent="0.2">
      <c r="A52" s="302"/>
      <c r="B52" s="22"/>
      <c r="C52" s="301"/>
      <c r="E52" s="287"/>
      <c r="F52" s="270"/>
      <c r="G52" s="287"/>
      <c r="H52" s="270"/>
      <c r="I52" s="287"/>
      <c r="J52" s="270"/>
      <c r="K52" s="287"/>
      <c r="L52" s="270"/>
      <c r="M52" s="280"/>
      <c r="N52" s="269"/>
      <c r="O52" s="269"/>
      <c r="P52" s="269"/>
      <c r="Q52" s="287"/>
      <c r="R52" s="270"/>
      <c r="S52" s="280"/>
      <c r="T52" s="269"/>
      <c r="U52" s="269"/>
      <c r="V52" s="269"/>
      <c r="W52" s="287"/>
      <c r="X52" s="270"/>
      <c r="Y52" s="280"/>
      <c r="Z52" s="269"/>
      <c r="AA52" s="269"/>
      <c r="AB52" s="269"/>
      <c r="AC52" s="287"/>
      <c r="AD52" s="270"/>
      <c r="AE52" s="280"/>
      <c r="AF52" s="269"/>
      <c r="AG52" s="269"/>
      <c r="AH52" s="269"/>
      <c r="AI52" s="287"/>
      <c r="AJ52" s="270"/>
      <c r="AK52" s="280"/>
      <c r="AL52" s="269"/>
      <c r="AM52" s="269"/>
      <c r="AN52" s="269"/>
      <c r="AO52" s="287"/>
      <c r="AP52" s="270"/>
      <c r="AQ52" s="280"/>
      <c r="AR52" s="269"/>
      <c r="AS52" s="269"/>
      <c r="AT52" s="269"/>
      <c r="AU52" s="287"/>
      <c r="AV52" s="270"/>
      <c r="AW52" s="280"/>
      <c r="AX52" s="269"/>
      <c r="AY52" s="269"/>
      <c r="AZ52" s="269"/>
      <c r="BA52" s="287"/>
      <c r="BB52" s="270"/>
      <c r="BC52" s="280"/>
      <c r="BD52" s="269"/>
      <c r="BE52" s="269"/>
      <c r="BF52" s="269"/>
      <c r="BG52" s="287"/>
      <c r="BH52" s="270"/>
      <c r="BI52" s="280"/>
      <c r="BJ52" s="269"/>
      <c r="BK52" s="269"/>
      <c r="BL52" s="269"/>
      <c r="BM52" s="287"/>
      <c r="BN52" s="270"/>
      <c r="BO52" s="280"/>
      <c r="BP52" s="269"/>
      <c r="BQ52" s="269"/>
      <c r="BR52" s="269"/>
      <c r="BS52" s="287"/>
      <c r="BT52" s="270"/>
      <c r="BU52" s="280"/>
      <c r="BV52" s="269"/>
      <c r="BW52" s="269"/>
      <c r="BX52" s="269"/>
      <c r="BY52" s="287"/>
      <c r="BZ52" s="270"/>
      <c r="CA52" s="280"/>
      <c r="CB52" s="269"/>
      <c r="CC52" s="269"/>
      <c r="CD52" s="269"/>
      <c r="CE52" s="287"/>
      <c r="CF52" s="270"/>
      <c r="CG52" s="280"/>
      <c r="CH52" s="269"/>
      <c r="CI52" s="269"/>
      <c r="CJ52" s="269"/>
      <c r="CK52" s="287"/>
      <c r="CL52" s="270"/>
      <c r="CM52" s="280"/>
      <c r="CN52" s="269"/>
      <c r="CO52" s="269"/>
      <c r="CP52" s="269"/>
      <c r="CQ52" s="287"/>
      <c r="CR52" s="270"/>
      <c r="CS52" s="280"/>
      <c r="CT52" s="269"/>
      <c r="CU52" s="269"/>
      <c r="CV52" s="269"/>
      <c r="CW52" s="287"/>
      <c r="CX52" s="270"/>
      <c r="CY52" s="280"/>
      <c r="CZ52" s="269"/>
      <c r="DA52" s="269"/>
      <c r="DB52" s="269"/>
      <c r="DC52" s="287"/>
      <c r="DD52" s="270"/>
      <c r="DE52" s="280"/>
      <c r="DF52" s="269"/>
      <c r="DG52" s="269"/>
      <c r="DH52" s="269"/>
      <c r="DI52" s="287"/>
      <c r="DJ52" s="270"/>
      <c r="DK52" s="280"/>
      <c r="DL52" s="269"/>
      <c r="DM52" s="269"/>
      <c r="DN52" s="269"/>
      <c r="DO52" s="287"/>
      <c r="DP52" s="270"/>
      <c r="DQ52" s="280"/>
      <c r="DR52" s="269"/>
      <c r="DS52" s="269"/>
      <c r="DT52" s="269"/>
      <c r="DU52" s="287"/>
      <c r="DV52" s="270"/>
      <c r="DW52" s="280"/>
      <c r="DX52" s="269"/>
      <c r="DY52" s="269"/>
      <c r="DZ52" s="269"/>
      <c r="EA52" s="287"/>
      <c r="EB52" s="270"/>
      <c r="EC52" s="280"/>
      <c r="ED52" s="269"/>
      <c r="EE52" s="269"/>
      <c r="EF52" s="269"/>
      <c r="EG52" s="287"/>
    </row>
    <row r="53" spans="1:137" s="266" customFormat="1" ht="12.75" customHeight="1" x14ac:dyDescent="0.2">
      <c r="A53" s="311" t="s">
        <v>311</v>
      </c>
      <c r="B53" s="312"/>
      <c r="C53" s="313"/>
      <c r="D53" s="314"/>
      <c r="E53" s="315"/>
      <c r="F53" s="316"/>
      <c r="G53" s="315"/>
      <c r="H53" s="316"/>
      <c r="I53" s="315"/>
      <c r="J53" s="316"/>
      <c r="K53" s="315"/>
      <c r="L53" s="316"/>
      <c r="M53" s="317"/>
      <c r="N53" s="318"/>
      <c r="O53" s="318"/>
      <c r="P53" s="318"/>
      <c r="Q53" s="315"/>
      <c r="R53" s="316"/>
      <c r="S53" s="317"/>
      <c r="T53" s="318"/>
      <c r="U53" s="318"/>
      <c r="V53" s="318"/>
      <c r="W53" s="315"/>
      <c r="X53" s="316"/>
      <c r="Y53" s="317"/>
      <c r="Z53" s="318"/>
      <c r="AA53" s="318"/>
      <c r="AB53" s="318"/>
      <c r="AC53" s="315"/>
      <c r="AD53" s="316"/>
      <c r="AE53" s="317"/>
      <c r="AF53" s="318"/>
      <c r="AG53" s="318"/>
      <c r="AH53" s="318"/>
      <c r="AI53" s="315"/>
      <c r="AJ53" s="316"/>
      <c r="AK53" s="317"/>
      <c r="AL53" s="318"/>
      <c r="AM53" s="318"/>
      <c r="AN53" s="318"/>
      <c r="AO53" s="315"/>
      <c r="AP53" s="316"/>
      <c r="AQ53" s="317"/>
      <c r="AR53" s="318"/>
      <c r="AS53" s="318"/>
      <c r="AT53" s="318"/>
      <c r="AU53" s="315"/>
      <c r="AV53" s="316"/>
      <c r="AW53" s="317"/>
      <c r="AX53" s="318"/>
      <c r="AY53" s="318"/>
      <c r="AZ53" s="318"/>
      <c r="BA53" s="315"/>
      <c r="BB53" s="316"/>
      <c r="BC53" s="317"/>
      <c r="BD53" s="318"/>
      <c r="BE53" s="318"/>
      <c r="BF53" s="318"/>
      <c r="BG53" s="315"/>
      <c r="BH53" s="316"/>
      <c r="BI53" s="317"/>
      <c r="BJ53" s="318"/>
      <c r="BK53" s="318"/>
      <c r="BL53" s="318"/>
      <c r="BM53" s="315"/>
      <c r="BN53" s="316"/>
      <c r="BO53" s="317"/>
      <c r="BP53" s="318"/>
      <c r="BQ53" s="318"/>
      <c r="BR53" s="318"/>
      <c r="BS53" s="315"/>
      <c r="BT53" s="316"/>
      <c r="BU53" s="317"/>
      <c r="BV53" s="318"/>
      <c r="BW53" s="318"/>
      <c r="BX53" s="318"/>
      <c r="BY53" s="315"/>
      <c r="BZ53" s="316"/>
      <c r="CA53" s="317"/>
      <c r="CB53" s="318"/>
      <c r="CC53" s="318"/>
      <c r="CD53" s="318"/>
      <c r="CE53" s="315"/>
      <c r="CF53" s="316"/>
      <c r="CG53" s="317"/>
      <c r="CH53" s="318"/>
      <c r="CI53" s="318"/>
      <c r="CJ53" s="318"/>
      <c r="CK53" s="315"/>
      <c r="CL53" s="316"/>
      <c r="CM53" s="317">
        <f>+SUM(CM11:CM52)</f>
        <v>3487</v>
      </c>
      <c r="CN53" s="318">
        <f>+SUM(CN11:CN52)</f>
        <v>3069</v>
      </c>
      <c r="CO53" s="318">
        <f>+SUM(CO11:CO52)</f>
        <v>3036.1</v>
      </c>
      <c r="CP53" s="318">
        <f>+SUM(CP11:CP52)</f>
        <v>3473.4</v>
      </c>
      <c r="CQ53" s="315">
        <f>+SUM(CQ11:CQ52)</f>
        <v>3473.4</v>
      </c>
      <c r="CR53" s="316"/>
      <c r="CS53" s="317">
        <f>+SUM(CS11:CS52)</f>
        <v>3177.5</v>
      </c>
      <c r="CT53" s="318">
        <f>+SUM(CT11:CT52)</f>
        <v>3162.7999999999997</v>
      </c>
      <c r="CU53" s="318">
        <f>+SUM(CU11:CU52)</f>
        <v>15012.000000000002</v>
      </c>
      <c r="CV53" s="318">
        <f>+SUM(CV11:CV52)</f>
        <v>12870.400000000001</v>
      </c>
      <c r="CW53" s="315">
        <f>+SUM(CW11:CW52)</f>
        <v>12870.400000000001</v>
      </c>
      <c r="CX53" s="316"/>
      <c r="CY53" s="317">
        <f>+SUM(CY11:CY52)</f>
        <v>12391.699999999999</v>
      </c>
      <c r="CZ53" s="318">
        <f>+SUM(CZ11:CZ52)</f>
        <v>14652.2</v>
      </c>
      <c r="DA53" s="318">
        <f>+SUM(DA11:DA52)</f>
        <v>8312.1999999999989</v>
      </c>
      <c r="DB53" s="318">
        <f>+SUM(DB11:DB52)</f>
        <v>12269.000000000002</v>
      </c>
      <c r="DC53" s="315">
        <f>+SUM(DC11:DC52)</f>
        <v>12269.000000000002</v>
      </c>
      <c r="DD53" s="316"/>
      <c r="DE53" s="317">
        <f>+SUM(DE11:DE52)</f>
        <v>11950.3</v>
      </c>
      <c r="DF53" s="318">
        <f>+SUM(DF11:DF52)</f>
        <v>11592.000000000002</v>
      </c>
      <c r="DG53" s="318">
        <f>+SUM(DG11:DG52)</f>
        <v>10909.000000000002</v>
      </c>
      <c r="DH53" s="318">
        <f>+SUM(DH11:DH52)</f>
        <v>10522.1</v>
      </c>
      <c r="DI53" s="315">
        <f>+SUM(DI11:DI52)</f>
        <v>10522.1</v>
      </c>
      <c r="DJ53" s="316"/>
      <c r="DK53" s="317">
        <f>+SUM(DK11:DK52)</f>
        <v>10522.1</v>
      </c>
      <c r="DL53" s="318">
        <f>+SUM(DL11:DL52)</f>
        <v>10522.1</v>
      </c>
      <c r="DM53" s="318">
        <f>+SUM(DM11:DM52)</f>
        <v>10522.1</v>
      </c>
      <c r="DN53" s="318">
        <f>+SUM(DN11:DN52)</f>
        <v>10522.1</v>
      </c>
      <c r="DO53" s="315">
        <f>+SUM(DO11:DO52)</f>
        <v>10522.1</v>
      </c>
      <c r="DP53" s="316"/>
      <c r="DQ53" s="317">
        <f>+SUM(DQ11:DQ52)</f>
        <v>10522.1</v>
      </c>
      <c r="DR53" s="318">
        <f>+SUM(DR11:DR52)</f>
        <v>10522.1</v>
      </c>
      <c r="DS53" s="318">
        <f>+SUM(DS11:DS52)</f>
        <v>10522.1</v>
      </c>
      <c r="DT53" s="318">
        <f>+SUM(DT11:DT52)</f>
        <v>10522.1</v>
      </c>
      <c r="DU53" s="315">
        <f>+SUM(DU11:DU52)</f>
        <v>10522.1</v>
      </c>
      <c r="DV53" s="316"/>
      <c r="DW53" s="317">
        <f t="shared" ref="DW53:EA53" si="151">+SUM(DW11:DW52)</f>
        <v>10522.1</v>
      </c>
      <c r="DX53" s="318">
        <f t="shared" si="151"/>
        <v>10522.1</v>
      </c>
      <c r="DY53" s="318">
        <f t="shared" si="151"/>
        <v>10522.1</v>
      </c>
      <c r="DZ53" s="318">
        <f t="shared" si="151"/>
        <v>10522.1</v>
      </c>
      <c r="EA53" s="315">
        <f t="shared" si="151"/>
        <v>10522.1</v>
      </c>
      <c r="EB53" s="316"/>
      <c r="EC53" s="317">
        <f t="shared" ref="EC53:EG53" si="152">+SUM(EC11:EC52)</f>
        <v>10522.1</v>
      </c>
      <c r="ED53" s="318">
        <f t="shared" si="152"/>
        <v>10522.1</v>
      </c>
      <c r="EE53" s="318">
        <f t="shared" si="152"/>
        <v>10522.1</v>
      </c>
      <c r="EF53" s="318">
        <f t="shared" si="152"/>
        <v>10522.1</v>
      </c>
      <c r="EG53" s="315">
        <f t="shared" si="152"/>
        <v>10522.1</v>
      </c>
    </row>
    <row r="54" spans="1:137" s="273" customFormat="1" ht="12.75" customHeight="1" x14ac:dyDescent="0.2">
      <c r="A54" s="1314" t="s">
        <v>312</v>
      </c>
      <c r="B54" s="1315"/>
      <c r="C54" s="1316"/>
      <c r="D54" s="1317"/>
      <c r="E54" s="1318"/>
      <c r="F54" s="1319"/>
      <c r="G54" s="1318"/>
      <c r="H54" s="1319"/>
      <c r="I54" s="1318"/>
      <c r="J54" s="1319"/>
      <c r="K54" s="1318"/>
      <c r="L54" s="1319"/>
      <c r="M54" s="1320"/>
      <c r="N54" s="1319"/>
      <c r="O54" s="1319"/>
      <c r="P54" s="1319"/>
      <c r="Q54" s="1318"/>
      <c r="R54" s="1319"/>
      <c r="S54" s="1320"/>
      <c r="T54" s="1319"/>
      <c r="U54" s="1319"/>
      <c r="V54" s="1319"/>
      <c r="W54" s="1318"/>
      <c r="X54" s="1319"/>
      <c r="Y54" s="1320"/>
      <c r="Z54" s="1319"/>
      <c r="AA54" s="1319"/>
      <c r="AB54" s="1319"/>
      <c r="AC54" s="1318"/>
      <c r="AD54" s="1319"/>
      <c r="AE54" s="1320"/>
      <c r="AF54" s="1319"/>
      <c r="AG54" s="1319"/>
      <c r="AH54" s="1319"/>
      <c r="AI54" s="1318"/>
      <c r="AJ54" s="1319"/>
      <c r="AK54" s="1320"/>
      <c r="AL54" s="1319"/>
      <c r="AM54" s="1319"/>
      <c r="AN54" s="1319"/>
      <c r="AO54" s="1318"/>
      <c r="AP54" s="1319"/>
      <c r="AQ54" s="1320"/>
      <c r="AR54" s="1319"/>
      <c r="AS54" s="1319"/>
      <c r="AT54" s="1319"/>
      <c r="AU54" s="1318"/>
      <c r="AV54" s="1319"/>
      <c r="AW54" s="1320"/>
      <c r="AX54" s="1319"/>
      <c r="AY54" s="1319"/>
      <c r="AZ54" s="1319"/>
      <c r="BA54" s="1318"/>
      <c r="BB54" s="1319"/>
      <c r="BC54" s="1320"/>
      <c r="BD54" s="1319"/>
      <c r="BE54" s="1319"/>
      <c r="BF54" s="1319"/>
      <c r="BG54" s="1318"/>
      <c r="BH54" s="1319"/>
      <c r="BI54" s="1320"/>
      <c r="BJ54" s="1319"/>
      <c r="BK54" s="1319"/>
      <c r="BL54" s="1319"/>
      <c r="BM54" s="1318"/>
      <c r="BN54" s="1319"/>
      <c r="BO54" s="1320"/>
      <c r="BP54" s="1319"/>
      <c r="BQ54" s="1319"/>
      <c r="BR54" s="1319"/>
      <c r="BS54" s="1318"/>
      <c r="BT54" s="1319"/>
      <c r="BU54" s="1320"/>
      <c r="BV54" s="1319"/>
      <c r="BW54" s="1319"/>
      <c r="BX54" s="1319"/>
      <c r="BY54" s="1318"/>
      <c r="BZ54" s="1319"/>
      <c r="CA54" s="1320"/>
      <c r="CB54" s="1319"/>
      <c r="CC54" s="1319"/>
      <c r="CD54" s="1319"/>
      <c r="CE54" s="1318"/>
      <c r="CF54" s="1319"/>
      <c r="CG54" s="1320"/>
      <c r="CH54" s="1319"/>
      <c r="CI54" s="1319"/>
      <c r="CJ54" s="1319"/>
      <c r="CK54" s="1318"/>
      <c r="CL54" s="1319"/>
      <c r="CM54" s="1320">
        <f>+BS!CM31+BS!CM39-Debt!CM53</f>
        <v>0</v>
      </c>
      <c r="CN54" s="1319">
        <f>+BS!CN31+BS!CN39-Debt!CN53</f>
        <v>0</v>
      </c>
      <c r="CO54" s="1319">
        <f>+BS!CO31+BS!CO39-Debt!CO53</f>
        <v>0</v>
      </c>
      <c r="CP54" s="1319">
        <f>+BS!CP31+BS!CP39-Debt!CP53</f>
        <v>0</v>
      </c>
      <c r="CQ54" s="1318">
        <f>+BS!CQ31+BS!CQ39-Debt!CQ53</f>
        <v>0</v>
      </c>
      <c r="CR54" s="1319"/>
      <c r="CS54" s="1320">
        <f>+BS!CS31+BS!CS39-Debt!CS53</f>
        <v>0</v>
      </c>
      <c r="CT54" s="1319">
        <f>+BS!CT31+BS!CT39-Debt!CT53</f>
        <v>0</v>
      </c>
      <c r="CU54" s="1319">
        <f>+BS!CU31+BS!CU39-Debt!CU53</f>
        <v>0</v>
      </c>
      <c r="CV54" s="1319">
        <f>+BS!CV31+BS!CV39-Debt!CV53</f>
        <v>0</v>
      </c>
      <c r="CW54" s="1318">
        <f>+BS!CW31+BS!CW39-Debt!CW53</f>
        <v>0</v>
      </c>
      <c r="CX54" s="1319"/>
      <c r="CY54" s="1320">
        <f>+BS!CY31+BS!CY39-Debt!CY53</f>
        <v>0</v>
      </c>
      <c r="CZ54" s="1319">
        <f>+BS!CZ31+BS!CZ39-Debt!CZ53</f>
        <v>0</v>
      </c>
      <c r="DA54" s="1319">
        <f>+BS!DA31+BS!DA39-Debt!DA53</f>
        <v>0</v>
      </c>
      <c r="DB54" s="1319">
        <f>+BS!DB31+BS!DB39-Debt!DB53</f>
        <v>0</v>
      </c>
      <c r="DC54" s="1318">
        <f>+BS!DC31+BS!DC39-Debt!DC53</f>
        <v>0</v>
      </c>
      <c r="DD54" s="1319"/>
      <c r="DE54" s="1320">
        <f>+BS!DE31+BS!DE39-Debt!DE53</f>
        <v>0</v>
      </c>
      <c r="DF54" s="1319">
        <f>+BS!DF31+BS!DF39-Debt!DF53</f>
        <v>0</v>
      </c>
      <c r="DG54" s="1319">
        <f>+BS!DG31+BS!DG39-Debt!DG53</f>
        <v>0</v>
      </c>
      <c r="DH54" s="1319">
        <f>+BS!DH31+BS!DH39-DH53</f>
        <v>0</v>
      </c>
      <c r="DI54" s="1318">
        <f>+BS!DI31+BS!DI39-Debt!DI53</f>
        <v>0</v>
      </c>
      <c r="DJ54" s="1319"/>
      <c r="DK54" s="1320">
        <f>+BS!DK31+BS!DK39-Debt!DK53</f>
        <v>0</v>
      </c>
      <c r="DL54" s="1319">
        <f>+BS!DL31+BS!DL39-Debt!DL53</f>
        <v>0</v>
      </c>
      <c r="DM54" s="1319">
        <f>+BS!DM31+BS!DM39-Debt!DM53</f>
        <v>0</v>
      </c>
      <c r="DN54" s="1319">
        <f>+BS!DN31+BS!DN39-Debt!DN53</f>
        <v>0</v>
      </c>
      <c r="DO54" s="1318">
        <f>+BS!DO31+BS!DO39-Debt!DO53</f>
        <v>0</v>
      </c>
      <c r="DP54" s="1319"/>
      <c r="DQ54" s="1320">
        <f>+BS!DQ31+BS!DQ39-Debt!DQ53</f>
        <v>0</v>
      </c>
      <c r="DR54" s="1319">
        <f>+BS!DR31+BS!DR39-Debt!DR53</f>
        <v>0</v>
      </c>
      <c r="DS54" s="1319">
        <f>+BS!DS31+BS!DS39-Debt!DS53</f>
        <v>0</v>
      </c>
      <c r="DT54" s="1319">
        <f>+BS!DT31+BS!DT39-Debt!DT53</f>
        <v>0</v>
      </c>
      <c r="DU54" s="1318">
        <f>+BS!DU31+BS!DU39-Debt!DU53</f>
        <v>0</v>
      </c>
      <c r="DV54" s="1319"/>
      <c r="DW54" s="1320">
        <f>+BS!DW31+BS!DW39-Debt!DW53</f>
        <v>0</v>
      </c>
      <c r="DX54" s="1319">
        <f>+BS!DX31+BS!DX39-Debt!DX53</f>
        <v>0</v>
      </c>
      <c r="DY54" s="1319">
        <f>+BS!DY31+BS!DY39-Debt!DY53</f>
        <v>0</v>
      </c>
      <c r="DZ54" s="1319">
        <f>+BS!DZ31+BS!DZ39-Debt!DZ53</f>
        <v>0</v>
      </c>
      <c r="EA54" s="1318">
        <f>+BS!EA31+BS!EA39-Debt!EA53</f>
        <v>0</v>
      </c>
      <c r="EB54" s="1319"/>
      <c r="EC54" s="1320">
        <f>+BS!EC31+BS!EC39-Debt!EC53</f>
        <v>0</v>
      </c>
      <c r="ED54" s="1319">
        <f>+BS!ED31+BS!ED39-Debt!ED53</f>
        <v>0</v>
      </c>
      <c r="EE54" s="1319">
        <f>+BS!EE31+BS!EE39-Debt!EE53</f>
        <v>0</v>
      </c>
      <c r="EF54" s="1319">
        <f>+BS!EF31+BS!EF39-Debt!EF53</f>
        <v>0</v>
      </c>
      <c r="EG54" s="1318">
        <f>+BS!EG31+BS!EG39-Debt!EG53</f>
        <v>0</v>
      </c>
    </row>
    <row r="55" spans="1:137" ht="12.75" customHeight="1" x14ac:dyDescent="0.2">
      <c r="A55" s="306"/>
      <c r="B55" s="22"/>
      <c r="C55" s="301"/>
      <c r="E55" s="287"/>
      <c r="F55" s="270"/>
      <c r="G55" s="287"/>
      <c r="H55" s="270"/>
      <c r="I55" s="287"/>
      <c r="J55" s="270"/>
      <c r="K55" s="287"/>
      <c r="L55" s="270"/>
      <c r="M55" s="280"/>
      <c r="N55" s="269"/>
      <c r="O55" s="269"/>
      <c r="P55" s="269"/>
      <c r="Q55" s="287"/>
      <c r="R55" s="270"/>
      <c r="S55" s="280"/>
      <c r="T55" s="269"/>
      <c r="U55" s="269"/>
      <c r="V55" s="269"/>
      <c r="W55" s="287"/>
      <c r="X55" s="270"/>
      <c r="Y55" s="280"/>
      <c r="Z55" s="269"/>
      <c r="AA55" s="269"/>
      <c r="AB55" s="269"/>
      <c r="AC55" s="287"/>
      <c r="AD55" s="270"/>
      <c r="AE55" s="280"/>
      <c r="AF55" s="269"/>
      <c r="AG55" s="269"/>
      <c r="AH55" s="269"/>
      <c r="AI55" s="287"/>
      <c r="AJ55" s="270"/>
      <c r="AK55" s="280"/>
      <c r="AL55" s="269"/>
      <c r="AM55" s="269"/>
      <c r="AN55" s="269"/>
      <c r="AO55" s="287"/>
      <c r="AP55" s="270"/>
      <c r="AQ55" s="280"/>
      <c r="AR55" s="269"/>
      <c r="AS55" s="269"/>
      <c r="AT55" s="269"/>
      <c r="AU55" s="287"/>
      <c r="AV55" s="270"/>
      <c r="AW55" s="280"/>
      <c r="AX55" s="269"/>
      <c r="AY55" s="269"/>
      <c r="AZ55" s="269"/>
      <c r="BA55" s="287"/>
      <c r="BB55" s="270"/>
      <c r="BC55" s="280"/>
      <c r="BD55" s="269"/>
      <c r="BE55" s="269"/>
      <c r="BF55" s="269"/>
      <c r="BG55" s="287"/>
      <c r="BH55" s="270"/>
      <c r="BI55" s="280"/>
      <c r="BJ55" s="269"/>
      <c r="BK55" s="269"/>
      <c r="BL55" s="269"/>
      <c r="BM55" s="287"/>
      <c r="BN55" s="270"/>
      <c r="BO55" s="280"/>
      <c r="BP55" s="269"/>
      <c r="BQ55" s="269"/>
      <c r="BR55" s="269"/>
      <c r="BS55" s="287"/>
      <c r="BT55" s="270"/>
      <c r="BU55" s="280"/>
      <c r="BV55" s="269"/>
      <c r="BW55" s="269"/>
      <c r="BX55" s="269"/>
      <c r="BY55" s="287"/>
      <c r="BZ55" s="270"/>
      <c r="CA55" s="280"/>
      <c r="CB55" s="269"/>
      <c r="CC55" s="269"/>
      <c r="CD55" s="269"/>
      <c r="CE55" s="287"/>
      <c r="CF55" s="270"/>
      <c r="CG55" s="280"/>
      <c r="CH55" s="269"/>
      <c r="CI55" s="269"/>
      <c r="CJ55" s="269"/>
      <c r="CK55" s="287"/>
      <c r="CL55" s="270"/>
      <c r="CM55" s="280"/>
      <c r="CN55" s="269"/>
      <c r="CO55" s="269"/>
      <c r="CP55" s="269"/>
      <c r="CQ55" s="287"/>
      <c r="CR55" s="270"/>
      <c r="CS55" s="280"/>
      <c r="CT55" s="269"/>
      <c r="CU55" s="269"/>
      <c r="CV55" s="269"/>
      <c r="CW55" s="287"/>
      <c r="CX55" s="270"/>
      <c r="CY55" s="280"/>
      <c r="CZ55" s="269"/>
      <c r="DA55" s="269"/>
      <c r="DB55" s="269"/>
      <c r="DC55" s="287"/>
      <c r="DD55" s="270"/>
      <c r="DE55" s="280"/>
      <c r="DF55" s="269"/>
      <c r="DG55" s="269"/>
      <c r="DH55" s="269"/>
      <c r="DI55" s="287"/>
      <c r="DJ55" s="270"/>
      <c r="DK55" s="280"/>
      <c r="DL55" s="269"/>
      <c r="DM55" s="269"/>
      <c r="DN55" s="269"/>
      <c r="DO55" s="287"/>
      <c r="DP55" s="270"/>
      <c r="DQ55" s="280"/>
      <c r="DR55" s="269"/>
      <c r="DS55" s="269"/>
      <c r="DT55" s="269"/>
      <c r="DU55" s="287"/>
      <c r="DV55" s="270"/>
      <c r="DW55" s="280"/>
      <c r="DX55" s="269"/>
      <c r="DY55" s="269"/>
      <c r="DZ55" s="269"/>
      <c r="EA55" s="287"/>
      <c r="EB55" s="270"/>
      <c r="EC55" s="280"/>
      <c r="ED55" s="269"/>
      <c r="EE55" s="269"/>
      <c r="EF55" s="269"/>
      <c r="EG55" s="287"/>
    </row>
    <row r="56" spans="1:137" ht="12.75" customHeight="1" x14ac:dyDescent="0.2">
      <c r="A56" s="297" t="s">
        <v>313</v>
      </c>
      <c r="B56" s="22"/>
      <c r="C56" s="299"/>
      <c r="D56" s="266"/>
      <c r="E56" s="288"/>
      <c r="F56" s="270"/>
      <c r="G56" s="288"/>
      <c r="H56" s="270"/>
      <c r="I56" s="288"/>
      <c r="J56" s="270"/>
      <c r="K56" s="288"/>
      <c r="L56" s="270"/>
      <c r="M56" s="281"/>
      <c r="N56" s="271"/>
      <c r="O56" s="271"/>
      <c r="P56" s="271"/>
      <c r="Q56" s="288"/>
      <c r="R56" s="270"/>
      <c r="S56" s="281"/>
      <c r="T56" s="271"/>
      <c r="U56" s="271"/>
      <c r="V56" s="271"/>
      <c r="W56" s="288"/>
      <c r="X56" s="270"/>
      <c r="Y56" s="281"/>
      <c r="Z56" s="271"/>
      <c r="AA56" s="271"/>
      <c r="AB56" s="271"/>
      <c r="AC56" s="288"/>
      <c r="AD56" s="270"/>
      <c r="AE56" s="281"/>
      <c r="AF56" s="271"/>
      <c r="AG56" s="271"/>
      <c r="AH56" s="271"/>
      <c r="AI56" s="288"/>
      <c r="AJ56" s="270"/>
      <c r="AK56" s="281"/>
      <c r="AL56" s="271"/>
      <c r="AM56" s="271"/>
      <c r="AN56" s="271"/>
      <c r="AO56" s="288"/>
      <c r="AP56" s="270"/>
      <c r="AQ56" s="281"/>
      <c r="AR56" s="271"/>
      <c r="AS56" s="271"/>
      <c r="AT56" s="271"/>
      <c r="AU56" s="288"/>
      <c r="AV56" s="270"/>
      <c r="AW56" s="281"/>
      <c r="AX56" s="271"/>
      <c r="AY56" s="271"/>
      <c r="AZ56" s="271"/>
      <c r="BA56" s="288"/>
      <c r="BB56" s="270"/>
      <c r="BC56" s="281"/>
      <c r="BD56" s="271"/>
      <c r="BE56" s="271"/>
      <c r="BF56" s="271"/>
      <c r="BG56" s="288"/>
      <c r="BH56" s="270"/>
      <c r="BI56" s="281"/>
      <c r="BJ56" s="271"/>
      <c r="BK56" s="271"/>
      <c r="BL56" s="271"/>
      <c r="BM56" s="288"/>
      <c r="BN56" s="270"/>
      <c r="BO56" s="281"/>
      <c r="BP56" s="271"/>
      <c r="BQ56" s="271"/>
      <c r="BR56" s="271"/>
      <c r="BS56" s="288"/>
      <c r="BT56" s="270"/>
      <c r="BU56" s="281"/>
      <c r="BV56" s="271"/>
      <c r="BW56" s="271"/>
      <c r="BX56" s="271"/>
      <c r="BY56" s="288"/>
      <c r="BZ56" s="270"/>
      <c r="CA56" s="281"/>
      <c r="CB56" s="271"/>
      <c r="CC56" s="271"/>
      <c r="CD56" s="271"/>
      <c r="CE56" s="288"/>
      <c r="CF56" s="270"/>
      <c r="CG56" s="281"/>
      <c r="CH56" s="271"/>
      <c r="CI56" s="271"/>
      <c r="CJ56" s="271"/>
      <c r="CK56" s="288"/>
      <c r="CL56" s="270"/>
      <c r="CM56" s="281"/>
      <c r="CN56" s="271"/>
      <c r="CO56" s="271"/>
      <c r="CP56" s="271"/>
      <c r="CQ56" s="288"/>
      <c r="CR56" s="270"/>
      <c r="CS56" s="281"/>
      <c r="CT56" s="271"/>
      <c r="CU56" s="271"/>
      <c r="CV56" s="271"/>
      <c r="CW56" s="288"/>
      <c r="CX56" s="270"/>
      <c r="CY56" s="281"/>
      <c r="CZ56" s="271"/>
      <c r="DA56" s="271"/>
      <c r="DB56" s="271"/>
      <c r="DC56" s="288"/>
      <c r="DD56" s="270"/>
      <c r="DE56" s="281"/>
      <c r="DF56" s="271"/>
      <c r="DG56" s="271"/>
      <c r="DH56" s="271"/>
      <c r="DI56" s="288"/>
      <c r="DJ56" s="270"/>
      <c r="DK56" s="281"/>
      <c r="DL56" s="271"/>
      <c r="DM56" s="271"/>
      <c r="DN56" s="271"/>
      <c r="DO56" s="288"/>
      <c r="DP56" s="270"/>
      <c r="DQ56" s="281"/>
      <c r="DR56" s="271"/>
      <c r="DS56" s="271"/>
      <c r="DT56" s="271"/>
      <c r="DU56" s="288"/>
      <c r="DV56" s="270"/>
      <c r="DW56" s="281"/>
      <c r="DX56" s="271"/>
      <c r="DY56" s="271"/>
      <c r="DZ56" s="271"/>
      <c r="EA56" s="288"/>
      <c r="EB56" s="270"/>
      <c r="EC56" s="281"/>
      <c r="ED56" s="271"/>
      <c r="EE56" s="271"/>
      <c r="EF56" s="271"/>
      <c r="EG56" s="288"/>
    </row>
    <row r="57" spans="1:137" s="266" customFormat="1" ht="12.75" customHeight="1" x14ac:dyDescent="0.2">
      <c r="A57" s="311" t="s">
        <v>314</v>
      </c>
      <c r="B57" s="312"/>
      <c r="C57" s="313"/>
      <c r="D57" s="314"/>
      <c r="E57" s="315"/>
      <c r="F57" s="316"/>
      <c r="G57" s="315"/>
      <c r="H57" s="316"/>
      <c r="I57" s="315"/>
      <c r="J57" s="316"/>
      <c r="K57" s="315"/>
      <c r="L57" s="316"/>
      <c r="M57" s="317"/>
      <c r="N57" s="318"/>
      <c r="O57" s="318"/>
      <c r="P57" s="318"/>
      <c r="Q57" s="315"/>
      <c r="R57" s="316"/>
      <c r="S57" s="317"/>
      <c r="T57" s="318"/>
      <c r="U57" s="318"/>
      <c r="V57" s="318"/>
      <c r="W57" s="315"/>
      <c r="X57" s="316"/>
      <c r="Y57" s="317"/>
      <c r="Z57" s="318"/>
      <c r="AA57" s="318"/>
      <c r="AB57" s="318"/>
      <c r="AC57" s="315"/>
      <c r="AD57" s="316"/>
      <c r="AE57" s="317"/>
      <c r="AF57" s="318"/>
      <c r="AG57" s="318"/>
      <c r="AH57" s="318"/>
      <c r="AI57" s="315"/>
      <c r="AJ57" s="316"/>
      <c r="AK57" s="317"/>
      <c r="AL57" s="318"/>
      <c r="AM57" s="318"/>
      <c r="AN57" s="318"/>
      <c r="AO57" s="315"/>
      <c r="AP57" s="316"/>
      <c r="AQ57" s="317"/>
      <c r="AR57" s="318"/>
      <c r="AS57" s="318"/>
      <c r="AT57" s="318"/>
      <c r="AU57" s="315"/>
      <c r="AV57" s="316"/>
      <c r="AW57" s="317"/>
      <c r="AX57" s="318"/>
      <c r="AY57" s="318"/>
      <c r="AZ57" s="318"/>
      <c r="BA57" s="315"/>
      <c r="BB57" s="316"/>
      <c r="BC57" s="317"/>
      <c r="BD57" s="318"/>
      <c r="BE57" s="318"/>
      <c r="BF57" s="318"/>
      <c r="BG57" s="315"/>
      <c r="BH57" s="316"/>
      <c r="BI57" s="317"/>
      <c r="BJ57" s="318"/>
      <c r="BK57" s="318"/>
      <c r="BL57" s="318"/>
      <c r="BM57" s="315"/>
      <c r="BN57" s="316"/>
      <c r="BO57" s="317"/>
      <c r="BP57" s="318"/>
      <c r="BQ57" s="318"/>
      <c r="BR57" s="318"/>
      <c r="BS57" s="315"/>
      <c r="BT57" s="316"/>
      <c r="BU57" s="317"/>
      <c r="BV57" s="318"/>
      <c r="BW57" s="318"/>
      <c r="BX57" s="318"/>
      <c r="BY57" s="315"/>
      <c r="BZ57" s="316"/>
      <c r="CA57" s="317"/>
      <c r="CB57" s="318"/>
      <c r="CC57" s="318"/>
      <c r="CD57" s="318"/>
      <c r="CE57" s="315"/>
      <c r="CF57" s="316"/>
      <c r="CG57" s="317"/>
      <c r="CH57" s="318"/>
      <c r="CI57" s="318"/>
      <c r="CJ57" s="318"/>
      <c r="CK57" s="315"/>
      <c r="CL57" s="316"/>
      <c r="CM57" s="319">
        <v>64.099999999999994</v>
      </c>
      <c r="CN57" s="320">
        <v>49</v>
      </c>
      <c r="CO57" s="320">
        <v>71.400000000000006</v>
      </c>
      <c r="CP57" s="320">
        <v>71.900000000000006</v>
      </c>
      <c r="CQ57" s="315">
        <f>+CP57</f>
        <v>71.900000000000006</v>
      </c>
      <c r="CR57" s="316"/>
      <c r="CS57" s="319">
        <v>123.7</v>
      </c>
      <c r="CT57" s="320">
        <v>110.1</v>
      </c>
      <c r="CU57" s="320">
        <v>3489.3</v>
      </c>
      <c r="CV57" s="320">
        <v>845.2</v>
      </c>
      <c r="CW57" s="315">
        <f>+CV57</f>
        <v>845.2</v>
      </c>
      <c r="CX57" s="316"/>
      <c r="CY57" s="319">
        <v>197</v>
      </c>
      <c r="CZ57" s="320">
        <v>2644.5</v>
      </c>
      <c r="DA57" s="320">
        <v>809.1</v>
      </c>
      <c r="DB57" s="320">
        <v>2594.8000000000002</v>
      </c>
      <c r="DC57" s="315">
        <f>+DB57</f>
        <v>2594.8000000000002</v>
      </c>
      <c r="DD57" s="316"/>
      <c r="DE57" s="319">
        <v>2221</v>
      </c>
      <c r="DF57" s="320">
        <v>169.5</v>
      </c>
      <c r="DG57" s="320">
        <v>182.2</v>
      </c>
      <c r="DH57" s="320">
        <v>194.7</v>
      </c>
      <c r="DI57" s="315">
        <f>+DH57</f>
        <v>194.7</v>
      </c>
      <c r="DJ57" s="316"/>
      <c r="DK57" s="317">
        <f t="shared" ref="DK57" si="153">DH57</f>
        <v>194.7</v>
      </c>
      <c r="DL57" s="318">
        <f t="shared" ref="DL57:DO57" si="154">DK57</f>
        <v>194.7</v>
      </c>
      <c r="DM57" s="318">
        <f t="shared" si="154"/>
        <v>194.7</v>
      </c>
      <c r="DN57" s="318">
        <f t="shared" si="154"/>
        <v>194.7</v>
      </c>
      <c r="DO57" s="315">
        <f t="shared" si="154"/>
        <v>194.7</v>
      </c>
      <c r="DP57" s="316"/>
      <c r="DQ57" s="317">
        <f t="shared" ref="DQ57" si="155">DN57</f>
        <v>194.7</v>
      </c>
      <c r="DR57" s="318">
        <f t="shared" ref="DR57:DU57" si="156">DQ57</f>
        <v>194.7</v>
      </c>
      <c r="DS57" s="318">
        <f t="shared" si="156"/>
        <v>194.7</v>
      </c>
      <c r="DT57" s="318">
        <f t="shared" si="156"/>
        <v>194.7</v>
      </c>
      <c r="DU57" s="315">
        <f t="shared" si="156"/>
        <v>194.7</v>
      </c>
      <c r="DV57" s="316"/>
      <c r="DW57" s="317">
        <f t="shared" ref="DW57" si="157">DT57</f>
        <v>194.7</v>
      </c>
      <c r="DX57" s="318">
        <f t="shared" ref="DX57" si="158">DW57</f>
        <v>194.7</v>
      </c>
      <c r="DY57" s="318">
        <f t="shared" ref="DY57" si="159">DX57</f>
        <v>194.7</v>
      </c>
      <c r="DZ57" s="318">
        <f t="shared" ref="DZ57" si="160">DY57</f>
        <v>194.7</v>
      </c>
      <c r="EA57" s="315">
        <f t="shared" ref="EA57" si="161">DZ57</f>
        <v>194.7</v>
      </c>
      <c r="EB57" s="316"/>
      <c r="EC57" s="317">
        <f t="shared" ref="EC57" si="162">DZ57</f>
        <v>194.7</v>
      </c>
      <c r="ED57" s="318">
        <f t="shared" ref="ED57" si="163">EC57</f>
        <v>194.7</v>
      </c>
      <c r="EE57" s="318">
        <f t="shared" ref="EE57" si="164">ED57</f>
        <v>194.7</v>
      </c>
      <c r="EF57" s="318">
        <f t="shared" ref="EF57" si="165">EE57</f>
        <v>194.7</v>
      </c>
      <c r="EG57" s="315">
        <f t="shared" ref="EG57" si="166">EF57</f>
        <v>194.7</v>
      </c>
    </row>
    <row r="58" spans="1:137" s="275" customFormat="1" ht="12.75" customHeight="1" x14ac:dyDescent="0.2">
      <c r="A58" s="307" t="s">
        <v>315</v>
      </c>
      <c r="B58" s="22"/>
      <c r="C58" s="308"/>
      <c r="E58" s="290"/>
      <c r="F58" s="277"/>
      <c r="G58" s="290"/>
      <c r="H58" s="277"/>
      <c r="I58" s="290"/>
      <c r="J58" s="277"/>
      <c r="K58" s="290"/>
      <c r="L58" s="277"/>
      <c r="M58" s="283"/>
      <c r="N58" s="276"/>
      <c r="O58" s="276"/>
      <c r="P58" s="276"/>
      <c r="Q58" s="290"/>
      <c r="R58" s="277"/>
      <c r="S58" s="283"/>
      <c r="T58" s="276"/>
      <c r="U58" s="276"/>
      <c r="V58" s="276"/>
      <c r="W58" s="290"/>
      <c r="X58" s="277"/>
      <c r="Y58" s="283"/>
      <c r="Z58" s="276"/>
      <c r="AA58" s="276"/>
      <c r="AB58" s="276"/>
      <c r="AC58" s="290"/>
      <c r="AD58" s="277"/>
      <c r="AE58" s="283"/>
      <c r="AF58" s="276"/>
      <c r="AG58" s="276"/>
      <c r="AH58" s="276"/>
      <c r="AI58" s="290"/>
      <c r="AJ58" s="277"/>
      <c r="AK58" s="283"/>
      <c r="AL58" s="276"/>
      <c r="AM58" s="276"/>
      <c r="AN58" s="276"/>
      <c r="AO58" s="290"/>
      <c r="AP58" s="277"/>
      <c r="AQ58" s="283"/>
      <c r="AR58" s="276"/>
      <c r="AS58" s="276"/>
      <c r="AT58" s="276"/>
      <c r="AU58" s="290"/>
      <c r="AV58" s="277"/>
      <c r="AW58" s="283"/>
      <c r="AX58" s="276"/>
      <c r="AY58" s="276"/>
      <c r="AZ58" s="276"/>
      <c r="BA58" s="290"/>
      <c r="BB58" s="277"/>
      <c r="BC58" s="283"/>
      <c r="BD58" s="276"/>
      <c r="BE58" s="276"/>
      <c r="BF58" s="276"/>
      <c r="BG58" s="290"/>
      <c r="BH58" s="277"/>
      <c r="BI58" s="283"/>
      <c r="BJ58" s="276"/>
      <c r="BK58" s="276"/>
      <c r="BL58" s="276"/>
      <c r="BM58" s="290"/>
      <c r="BN58" s="277"/>
      <c r="BO58" s="283"/>
      <c r="BP58" s="276"/>
      <c r="BQ58" s="276"/>
      <c r="BR58" s="276"/>
      <c r="BS58" s="290"/>
      <c r="BT58" s="277"/>
      <c r="BU58" s="283"/>
      <c r="BV58" s="276"/>
      <c r="BW58" s="276"/>
      <c r="BX58" s="276"/>
      <c r="BY58" s="290"/>
      <c r="BZ58" s="277"/>
      <c r="CA58" s="283"/>
      <c r="CB58" s="276"/>
      <c r="CC58" s="276"/>
      <c r="CD58" s="276"/>
      <c r="CE58" s="290"/>
      <c r="CF58" s="277"/>
      <c r="CG58" s="283"/>
      <c r="CH58" s="276"/>
      <c r="CI58" s="276"/>
      <c r="CJ58" s="276"/>
      <c r="CK58" s="290"/>
      <c r="CL58" s="277"/>
      <c r="CM58" s="283"/>
      <c r="CN58" s="276"/>
      <c r="CO58" s="276"/>
      <c r="CP58" s="276"/>
      <c r="CQ58" s="290"/>
      <c r="CR58" s="277"/>
      <c r="CS58" s="283">
        <f>CS57-CP57</f>
        <v>51.8</v>
      </c>
      <c r="CT58" s="276">
        <f>CT57-CS57</f>
        <v>-13.600000000000009</v>
      </c>
      <c r="CU58" s="276">
        <f>CU57-CT57</f>
        <v>3379.2000000000003</v>
      </c>
      <c r="CV58" s="276">
        <f>CV57-CU57</f>
        <v>-2644.1000000000004</v>
      </c>
      <c r="CW58" s="290">
        <f>CW57-CQ57</f>
        <v>773.30000000000007</v>
      </c>
      <c r="CX58" s="277"/>
      <c r="CY58" s="283">
        <f>CY57-CV57</f>
        <v>-648.20000000000005</v>
      </c>
      <c r="CZ58" s="276">
        <f>CZ57-CY57</f>
        <v>2447.5</v>
      </c>
      <c r="DA58" s="276">
        <f>DA57-CZ57</f>
        <v>-1835.4</v>
      </c>
      <c r="DB58" s="276">
        <f>DB57-DA57</f>
        <v>1785.7000000000003</v>
      </c>
      <c r="DC58" s="290">
        <f>DC57-CW57</f>
        <v>1749.6000000000001</v>
      </c>
      <c r="DD58" s="277"/>
      <c r="DE58" s="283">
        <f>DE57-DB57</f>
        <v>-373.80000000000018</v>
      </c>
      <c r="DF58" s="276">
        <f>DF57-DE57</f>
        <v>-2051.5</v>
      </c>
      <c r="DG58" s="276">
        <f>DG57-DF57</f>
        <v>12.699999999999989</v>
      </c>
      <c r="DH58" s="276">
        <f>DH57-DG57</f>
        <v>12.5</v>
      </c>
      <c r="DI58" s="290">
        <f>DI57-DC57</f>
        <v>-2400.1000000000004</v>
      </c>
      <c r="DJ58" s="277"/>
      <c r="DK58" s="283">
        <f>DK57-DH57</f>
        <v>0</v>
      </c>
      <c r="DL58" s="276">
        <f>DL57-DK57</f>
        <v>0</v>
      </c>
      <c r="DM58" s="276">
        <f>DM57-DL57</f>
        <v>0</v>
      </c>
      <c r="DN58" s="276">
        <f>DN57-DM57</f>
        <v>0</v>
      </c>
      <c r="DO58" s="290">
        <f>DO57-DI57</f>
        <v>0</v>
      </c>
      <c r="DP58" s="277"/>
      <c r="DQ58" s="283">
        <f>DQ57-DN57</f>
        <v>0</v>
      </c>
      <c r="DR58" s="276">
        <f>DR57-DQ57</f>
        <v>0</v>
      </c>
      <c r="DS58" s="276">
        <f>DS57-DR57</f>
        <v>0</v>
      </c>
      <c r="DT58" s="276">
        <f>DT57-DS57</f>
        <v>0</v>
      </c>
      <c r="DU58" s="290">
        <f>DU57-DO57</f>
        <v>0</v>
      </c>
      <c r="DV58" s="277"/>
      <c r="DW58" s="283">
        <f t="shared" ref="DW58" si="167">DW57-DT57</f>
        <v>0</v>
      </c>
      <c r="DX58" s="276">
        <f t="shared" ref="DX58:DZ58" si="168">DX57-DW57</f>
        <v>0</v>
      </c>
      <c r="DY58" s="276">
        <f t="shared" si="168"/>
        <v>0</v>
      </c>
      <c r="DZ58" s="276">
        <f t="shared" si="168"/>
        <v>0</v>
      </c>
      <c r="EA58" s="290">
        <f t="shared" ref="EA58" si="169">EA57-DU57</f>
        <v>0</v>
      </c>
      <c r="EB58" s="277"/>
      <c r="EC58" s="283">
        <f t="shared" ref="EC58" si="170">EC57-DZ57</f>
        <v>0</v>
      </c>
      <c r="ED58" s="276">
        <f t="shared" ref="ED58" si="171">ED57-EC57</f>
        <v>0</v>
      </c>
      <c r="EE58" s="276">
        <f t="shared" ref="EE58" si="172">EE57-ED57</f>
        <v>0</v>
      </c>
      <c r="EF58" s="276">
        <f t="shared" ref="EF58" si="173">EF57-EE57</f>
        <v>0</v>
      </c>
      <c r="EG58" s="290">
        <f t="shared" ref="EG58" si="174">EG57-EA57</f>
        <v>0</v>
      </c>
    </row>
    <row r="59" spans="1:137" s="273" customFormat="1" ht="12.75" customHeight="1" x14ac:dyDescent="0.2">
      <c r="A59" s="1314" t="s">
        <v>316</v>
      </c>
      <c r="B59" s="1315"/>
      <c r="C59" s="1316"/>
      <c r="D59" s="1317"/>
      <c r="E59" s="1318"/>
      <c r="F59" s="1319"/>
      <c r="G59" s="1318"/>
      <c r="H59" s="1319"/>
      <c r="I59" s="1318"/>
      <c r="J59" s="1319"/>
      <c r="K59" s="1318"/>
      <c r="L59" s="1319"/>
      <c r="M59" s="1320"/>
      <c r="N59" s="1319"/>
      <c r="O59" s="1319"/>
      <c r="P59" s="1319"/>
      <c r="Q59" s="1318"/>
      <c r="R59" s="1319"/>
      <c r="S59" s="1320"/>
      <c r="T59" s="1319"/>
      <c r="U59" s="1319"/>
      <c r="V59" s="1319"/>
      <c r="W59" s="1318"/>
      <c r="X59" s="1319"/>
      <c r="Y59" s="1320"/>
      <c r="Z59" s="1319"/>
      <c r="AA59" s="1319"/>
      <c r="AB59" s="1319"/>
      <c r="AC59" s="1318"/>
      <c r="AD59" s="1319"/>
      <c r="AE59" s="1320"/>
      <c r="AF59" s="1319"/>
      <c r="AG59" s="1319"/>
      <c r="AH59" s="1319"/>
      <c r="AI59" s="1318"/>
      <c r="AJ59" s="1319"/>
      <c r="AK59" s="1320"/>
      <c r="AL59" s="1319"/>
      <c r="AM59" s="1319"/>
      <c r="AN59" s="1319"/>
      <c r="AO59" s="1318"/>
      <c r="AP59" s="1319"/>
      <c r="AQ59" s="1320"/>
      <c r="AR59" s="1319"/>
      <c r="AS59" s="1319"/>
      <c r="AT59" s="1319"/>
      <c r="AU59" s="1318"/>
      <c r="AV59" s="1319"/>
      <c r="AW59" s="1320"/>
      <c r="AX59" s="1319"/>
      <c r="AY59" s="1319"/>
      <c r="AZ59" s="1319"/>
      <c r="BA59" s="1318"/>
      <c r="BB59" s="1319"/>
      <c r="BC59" s="1320"/>
      <c r="BD59" s="1319"/>
      <c r="BE59" s="1319"/>
      <c r="BF59" s="1319"/>
      <c r="BG59" s="1318"/>
      <c r="BH59" s="1319"/>
      <c r="BI59" s="1320"/>
      <c r="BJ59" s="1319"/>
      <c r="BK59" s="1319"/>
      <c r="BL59" s="1319"/>
      <c r="BM59" s="1318"/>
      <c r="BN59" s="1319"/>
      <c r="BO59" s="1320"/>
      <c r="BP59" s="1319"/>
      <c r="BQ59" s="1319"/>
      <c r="BR59" s="1319"/>
      <c r="BS59" s="1318"/>
      <c r="BT59" s="1319"/>
      <c r="BU59" s="1320"/>
      <c r="BV59" s="1319"/>
      <c r="BW59" s="1319"/>
      <c r="BX59" s="1319"/>
      <c r="BY59" s="1318"/>
      <c r="BZ59" s="1319"/>
      <c r="CA59" s="1320"/>
      <c r="CB59" s="1319"/>
      <c r="CC59" s="1319"/>
      <c r="CD59" s="1319"/>
      <c r="CE59" s="1318"/>
      <c r="CF59" s="1319"/>
      <c r="CG59" s="1320"/>
      <c r="CH59" s="1319"/>
      <c r="CI59" s="1319"/>
      <c r="CJ59" s="1319"/>
      <c r="CK59" s="1318"/>
      <c r="CL59" s="1319"/>
      <c r="CM59" s="1320">
        <f>+BS!CM31-Debt!CM57</f>
        <v>0</v>
      </c>
      <c r="CN59" s="1319">
        <f>+BS!CN31-Debt!CN57</f>
        <v>0</v>
      </c>
      <c r="CO59" s="1319">
        <f>+BS!CO31-Debt!CO57</f>
        <v>0</v>
      </c>
      <c r="CP59" s="1319">
        <f>+BS!CP31-Debt!CP57</f>
        <v>0</v>
      </c>
      <c r="CQ59" s="1318">
        <f>+BS!CQ31-Debt!CQ57</f>
        <v>0</v>
      </c>
      <c r="CR59" s="1319"/>
      <c r="CS59" s="1320">
        <f>+BS!CS31-Debt!CS57</f>
        <v>0</v>
      </c>
      <c r="CT59" s="1319">
        <f>+BS!CT31-Debt!CT57</f>
        <v>0</v>
      </c>
      <c r="CU59" s="1319">
        <f>+BS!CU31-Debt!CU57</f>
        <v>0</v>
      </c>
      <c r="CV59" s="1319">
        <f>+BS!CV31-Debt!CV57</f>
        <v>0</v>
      </c>
      <c r="CW59" s="1318">
        <f>+BS!CW31-Debt!CW57</f>
        <v>0</v>
      </c>
      <c r="CX59" s="1319"/>
      <c r="CY59" s="1320">
        <f>+BS!CY31-Debt!CY57</f>
        <v>0</v>
      </c>
      <c r="CZ59" s="1319">
        <f>+BS!CZ31-Debt!CZ57</f>
        <v>0</v>
      </c>
      <c r="DA59" s="1319">
        <f>+BS!DA31-Debt!DA57</f>
        <v>0</v>
      </c>
      <c r="DB59" s="1319">
        <f>+BS!DB31-Debt!DB57</f>
        <v>0</v>
      </c>
      <c r="DC59" s="1318">
        <f>+BS!DC31-Debt!DC57</f>
        <v>0</v>
      </c>
      <c r="DD59" s="1319"/>
      <c r="DE59" s="1320">
        <f>+BS!DE31-Debt!DE57</f>
        <v>0</v>
      </c>
      <c r="DF59" s="1319">
        <f>+BS!DF31-Debt!DF57</f>
        <v>0</v>
      </c>
      <c r="DG59" s="1319">
        <f>+BS!DG31-Debt!DG57</f>
        <v>0</v>
      </c>
      <c r="DH59" s="1319">
        <f>+BS!DH31-Debt!DH57</f>
        <v>0</v>
      </c>
      <c r="DI59" s="1318">
        <f>+BS!DI31-Debt!DI57</f>
        <v>0</v>
      </c>
      <c r="DJ59" s="1319"/>
      <c r="DK59" s="1320">
        <f>+BS!DK31-Debt!DK57</f>
        <v>0</v>
      </c>
      <c r="DL59" s="1319">
        <f>+BS!DL31-Debt!DL57</f>
        <v>0</v>
      </c>
      <c r="DM59" s="1319">
        <f>+BS!DM31-Debt!DM57</f>
        <v>0</v>
      </c>
      <c r="DN59" s="1319">
        <f>+BS!DN31-Debt!DN57</f>
        <v>0</v>
      </c>
      <c r="DO59" s="1318">
        <f>+BS!DO31-Debt!DO57</f>
        <v>0</v>
      </c>
      <c r="DP59" s="1319"/>
      <c r="DQ59" s="1320">
        <f>+BS!DQ31-Debt!DQ57</f>
        <v>0</v>
      </c>
      <c r="DR59" s="1319">
        <f>+BS!DR31-Debt!DR57</f>
        <v>0</v>
      </c>
      <c r="DS59" s="1319">
        <f>+BS!DS31-Debt!DS57</f>
        <v>0</v>
      </c>
      <c r="DT59" s="1319">
        <f>+BS!DT31-Debt!DT57</f>
        <v>0</v>
      </c>
      <c r="DU59" s="1318">
        <f>+BS!DU31-Debt!DU57</f>
        <v>0</v>
      </c>
      <c r="DV59" s="1319"/>
      <c r="DW59" s="1320">
        <f>+BS!DW31-Debt!DW57</f>
        <v>0</v>
      </c>
      <c r="DX59" s="1319">
        <f>+BS!DX31-Debt!DX57</f>
        <v>0</v>
      </c>
      <c r="DY59" s="1319">
        <f>+BS!DY31-Debt!DY57</f>
        <v>0</v>
      </c>
      <c r="DZ59" s="1319">
        <f>+BS!DZ31-Debt!DZ57</f>
        <v>0</v>
      </c>
      <c r="EA59" s="1318">
        <f>+BS!EA31-Debt!EA57</f>
        <v>0</v>
      </c>
      <c r="EB59" s="1319"/>
      <c r="EC59" s="1320">
        <f>+BS!EC31-Debt!EC57</f>
        <v>0</v>
      </c>
      <c r="ED59" s="1319">
        <f>+BS!ED31-Debt!ED57</f>
        <v>0</v>
      </c>
      <c r="EE59" s="1319">
        <f>+BS!EE31-Debt!EE57</f>
        <v>0</v>
      </c>
      <c r="EF59" s="1319">
        <f>+BS!EF31-Debt!EF57</f>
        <v>0</v>
      </c>
      <c r="EG59" s="1318">
        <f>+BS!EG31-Debt!EG57</f>
        <v>0</v>
      </c>
    </row>
    <row r="60" spans="1:137" ht="12.75" customHeight="1" x14ac:dyDescent="0.2">
      <c r="A60" s="262"/>
      <c r="B60" s="22"/>
      <c r="C60" s="301"/>
      <c r="E60" s="287"/>
      <c r="F60" s="270"/>
      <c r="G60" s="287"/>
      <c r="H60" s="270"/>
      <c r="I60" s="287"/>
      <c r="J60" s="270"/>
      <c r="K60" s="287"/>
      <c r="L60" s="270"/>
      <c r="M60" s="280"/>
      <c r="N60" s="269"/>
      <c r="O60" s="269"/>
      <c r="P60" s="269"/>
      <c r="Q60" s="287"/>
      <c r="R60" s="270"/>
      <c r="S60" s="280"/>
      <c r="T60" s="269"/>
      <c r="U60" s="269"/>
      <c r="V60" s="269"/>
      <c r="W60" s="287"/>
      <c r="X60" s="270"/>
      <c r="Y60" s="280"/>
      <c r="Z60" s="269"/>
      <c r="AA60" s="269"/>
      <c r="AB60" s="269"/>
      <c r="AC60" s="287"/>
      <c r="AD60" s="270"/>
      <c r="AE60" s="280"/>
      <c r="AF60" s="269"/>
      <c r="AG60" s="269"/>
      <c r="AH60" s="269"/>
      <c r="AI60" s="287"/>
      <c r="AJ60" s="270"/>
      <c r="AK60" s="280"/>
      <c r="AL60" s="269"/>
      <c r="AM60" s="269"/>
      <c r="AN60" s="269"/>
      <c r="AO60" s="287"/>
      <c r="AP60" s="270"/>
      <c r="AQ60" s="280"/>
      <c r="AR60" s="269"/>
      <c r="AS60" s="269"/>
      <c r="AT60" s="269"/>
      <c r="AU60" s="287"/>
      <c r="AV60" s="270"/>
      <c r="AW60" s="280"/>
      <c r="AX60" s="269"/>
      <c r="AY60" s="269"/>
      <c r="AZ60" s="269"/>
      <c r="BA60" s="287"/>
      <c r="BB60" s="270"/>
      <c r="BC60" s="280"/>
      <c r="BD60" s="269"/>
      <c r="BE60" s="269"/>
      <c r="BF60" s="269"/>
      <c r="BG60" s="287"/>
      <c r="BH60" s="270"/>
      <c r="BI60" s="280"/>
      <c r="BJ60" s="269"/>
      <c r="BK60" s="269"/>
      <c r="BL60" s="269"/>
      <c r="BM60" s="287"/>
      <c r="BN60" s="270"/>
      <c r="BO60" s="280"/>
      <c r="BP60" s="269"/>
      <c r="BQ60" s="269"/>
      <c r="BR60" s="269"/>
      <c r="BS60" s="287"/>
      <c r="BT60" s="270"/>
      <c r="BU60" s="280"/>
      <c r="BV60" s="269"/>
      <c r="BW60" s="269"/>
      <c r="BX60" s="269"/>
      <c r="BY60" s="287"/>
      <c r="BZ60" s="270"/>
      <c r="CA60" s="280"/>
      <c r="CB60" s="269"/>
      <c r="CC60" s="269"/>
      <c r="CD60" s="269"/>
      <c r="CE60" s="287"/>
      <c r="CF60" s="270"/>
      <c r="CG60" s="280"/>
      <c r="CH60" s="269"/>
      <c r="CI60" s="269"/>
      <c r="CJ60" s="269"/>
      <c r="CK60" s="287"/>
      <c r="CL60" s="270"/>
      <c r="CM60" s="280"/>
      <c r="CN60" s="269"/>
      <c r="CO60" s="269"/>
      <c r="CP60" s="269"/>
      <c r="CQ60" s="287"/>
      <c r="CR60" s="270"/>
      <c r="CS60" s="280"/>
      <c r="CT60" s="269"/>
      <c r="CU60" s="269"/>
      <c r="CV60" s="269"/>
      <c r="CW60" s="287"/>
      <c r="CX60" s="270"/>
      <c r="CY60" s="280"/>
      <c r="CZ60" s="269"/>
      <c r="DA60" s="269"/>
      <c r="DB60" s="269"/>
      <c r="DC60" s="287"/>
      <c r="DD60" s="270"/>
      <c r="DE60" s="280"/>
      <c r="DF60" s="269"/>
      <c r="DG60" s="269"/>
      <c r="DH60" s="269"/>
      <c r="DI60" s="287"/>
      <c r="DJ60" s="270"/>
      <c r="DK60" s="280"/>
      <c r="DL60" s="269"/>
      <c r="DM60" s="269"/>
      <c r="DN60" s="269"/>
      <c r="DO60" s="287"/>
      <c r="DP60" s="270"/>
      <c r="DQ60" s="280"/>
      <c r="DR60" s="269"/>
      <c r="DS60" s="269"/>
      <c r="DT60" s="269"/>
      <c r="DU60" s="287"/>
      <c r="DV60" s="270"/>
      <c r="DW60" s="280"/>
      <c r="DX60" s="269"/>
      <c r="DY60" s="269"/>
      <c r="DZ60" s="269"/>
      <c r="EA60" s="287"/>
      <c r="EB60" s="270"/>
      <c r="EC60" s="280"/>
      <c r="ED60" s="269"/>
      <c r="EE60" s="269"/>
      <c r="EF60" s="269"/>
      <c r="EG60" s="287"/>
    </row>
    <row r="61" spans="1:137" ht="12.75" customHeight="1" x14ac:dyDescent="0.2">
      <c r="A61" s="297" t="s">
        <v>317</v>
      </c>
      <c r="B61" s="22"/>
      <c r="C61" s="299"/>
      <c r="D61" s="266"/>
      <c r="E61" s="288"/>
      <c r="F61" s="270"/>
      <c r="G61" s="288"/>
      <c r="H61" s="270"/>
      <c r="I61" s="288"/>
      <c r="J61" s="270"/>
      <c r="K61" s="288"/>
      <c r="L61" s="270"/>
      <c r="M61" s="281"/>
      <c r="N61" s="271"/>
      <c r="O61" s="271"/>
      <c r="P61" s="271"/>
      <c r="Q61" s="288"/>
      <c r="R61" s="270"/>
      <c r="S61" s="281"/>
      <c r="T61" s="271"/>
      <c r="U61" s="271"/>
      <c r="V61" s="271"/>
      <c r="W61" s="288"/>
      <c r="X61" s="270"/>
      <c r="Y61" s="281"/>
      <c r="Z61" s="271"/>
      <c r="AA61" s="271"/>
      <c r="AB61" s="271"/>
      <c r="AC61" s="288"/>
      <c r="AD61" s="270"/>
      <c r="AE61" s="281"/>
      <c r="AF61" s="271"/>
      <c r="AG61" s="271"/>
      <c r="AH61" s="271"/>
      <c r="AI61" s="288"/>
      <c r="AJ61" s="270"/>
      <c r="AK61" s="281"/>
      <c r="AL61" s="271"/>
      <c r="AM61" s="271"/>
      <c r="AN61" s="271"/>
      <c r="AO61" s="288"/>
      <c r="AP61" s="270"/>
      <c r="AQ61" s="281"/>
      <c r="AR61" s="271"/>
      <c r="AS61" s="271"/>
      <c r="AT61" s="271"/>
      <c r="AU61" s="288"/>
      <c r="AV61" s="270"/>
      <c r="AW61" s="281"/>
      <c r="AX61" s="271"/>
      <c r="AY61" s="271"/>
      <c r="AZ61" s="271"/>
      <c r="BA61" s="288"/>
      <c r="BB61" s="270"/>
      <c r="BC61" s="281"/>
      <c r="BD61" s="271"/>
      <c r="BE61" s="271"/>
      <c r="BF61" s="271"/>
      <c r="BG61" s="288"/>
      <c r="BH61" s="270"/>
      <c r="BI61" s="281"/>
      <c r="BJ61" s="271"/>
      <c r="BK61" s="271"/>
      <c r="BL61" s="271"/>
      <c r="BM61" s="288"/>
      <c r="BN61" s="270"/>
      <c r="BO61" s="281"/>
      <c r="BP61" s="271"/>
      <c r="BQ61" s="271"/>
      <c r="BR61" s="271"/>
      <c r="BS61" s="288"/>
      <c r="BT61" s="270"/>
      <c r="BU61" s="281"/>
      <c r="BV61" s="271"/>
      <c r="BW61" s="271"/>
      <c r="BX61" s="271"/>
      <c r="BY61" s="288"/>
      <c r="BZ61" s="270"/>
      <c r="CA61" s="281"/>
      <c r="CB61" s="271"/>
      <c r="CC61" s="271"/>
      <c r="CD61" s="271"/>
      <c r="CE61" s="288"/>
      <c r="CF61" s="270"/>
      <c r="CG61" s="281"/>
      <c r="CH61" s="271"/>
      <c r="CI61" s="271"/>
      <c r="CJ61" s="271"/>
      <c r="CK61" s="288"/>
      <c r="CL61" s="270"/>
      <c r="CM61" s="281"/>
      <c r="CN61" s="271"/>
      <c r="CO61" s="271"/>
      <c r="CP61" s="271"/>
      <c r="CQ61" s="288"/>
      <c r="CR61" s="270"/>
      <c r="CS61" s="281"/>
      <c r="CT61" s="271"/>
      <c r="CU61" s="271"/>
      <c r="CV61" s="271"/>
      <c r="CW61" s="288"/>
      <c r="CX61" s="270"/>
      <c r="CY61" s="281"/>
      <c r="CZ61" s="271"/>
      <c r="DA61" s="271"/>
      <c r="DB61" s="271"/>
      <c r="DC61" s="288"/>
      <c r="DD61" s="270"/>
      <c r="DE61" s="281"/>
      <c r="DF61" s="271"/>
      <c r="DG61" s="271"/>
      <c r="DH61" s="271"/>
      <c r="DI61" s="288"/>
      <c r="DJ61" s="270"/>
      <c r="DK61" s="281"/>
      <c r="DL61" s="271"/>
      <c r="DM61" s="271"/>
      <c r="DN61" s="271"/>
      <c r="DO61" s="288"/>
      <c r="DP61" s="270"/>
      <c r="DQ61" s="281"/>
      <c r="DR61" s="271"/>
      <c r="DS61" s="271"/>
      <c r="DT61" s="271"/>
      <c r="DU61" s="288"/>
      <c r="DV61" s="270"/>
      <c r="DW61" s="281"/>
      <c r="DX61" s="271"/>
      <c r="DY61" s="271"/>
      <c r="DZ61" s="271"/>
      <c r="EA61" s="288"/>
      <c r="EB61" s="270"/>
      <c r="EC61" s="281"/>
      <c r="ED61" s="271"/>
      <c r="EE61" s="271"/>
      <c r="EF61" s="271"/>
      <c r="EG61" s="288"/>
    </row>
    <row r="62" spans="1:137" s="266" customFormat="1" ht="12.75" customHeight="1" x14ac:dyDescent="0.2">
      <c r="A62" s="311" t="s">
        <v>318</v>
      </c>
      <c r="B62" s="312"/>
      <c r="C62" s="313"/>
      <c r="D62" s="314"/>
      <c r="E62" s="315"/>
      <c r="F62" s="316"/>
      <c r="G62" s="315"/>
      <c r="H62" s="316"/>
      <c r="I62" s="315"/>
      <c r="J62" s="316"/>
      <c r="K62" s="315"/>
      <c r="L62" s="316"/>
      <c r="M62" s="317"/>
      <c r="N62" s="318"/>
      <c r="O62" s="318"/>
      <c r="P62" s="318"/>
      <c r="Q62" s="315"/>
      <c r="R62" s="316"/>
      <c r="S62" s="317"/>
      <c r="T62" s="318"/>
      <c r="U62" s="318"/>
      <c r="V62" s="318"/>
      <c r="W62" s="315"/>
      <c r="X62" s="316"/>
      <c r="Y62" s="317"/>
      <c r="Z62" s="318"/>
      <c r="AA62" s="318"/>
      <c r="AB62" s="318"/>
      <c r="AC62" s="315"/>
      <c r="AD62" s="316"/>
      <c r="AE62" s="317"/>
      <c r="AF62" s="318"/>
      <c r="AG62" s="318"/>
      <c r="AH62" s="318"/>
      <c r="AI62" s="315"/>
      <c r="AJ62" s="316"/>
      <c r="AK62" s="317"/>
      <c r="AL62" s="318"/>
      <c r="AM62" s="318"/>
      <c r="AN62" s="318"/>
      <c r="AO62" s="315"/>
      <c r="AP62" s="316"/>
      <c r="AQ62" s="317"/>
      <c r="AR62" s="318"/>
      <c r="AS62" s="318"/>
      <c r="AT62" s="318"/>
      <c r="AU62" s="315"/>
      <c r="AV62" s="316"/>
      <c r="AW62" s="317"/>
      <c r="AX62" s="318"/>
      <c r="AY62" s="318"/>
      <c r="AZ62" s="318"/>
      <c r="BA62" s="315"/>
      <c r="BB62" s="316"/>
      <c r="BC62" s="317"/>
      <c r="BD62" s="318"/>
      <c r="BE62" s="318"/>
      <c r="BF62" s="318"/>
      <c r="BG62" s="315"/>
      <c r="BH62" s="316"/>
      <c r="BI62" s="317"/>
      <c r="BJ62" s="318"/>
      <c r="BK62" s="318"/>
      <c r="BL62" s="318"/>
      <c r="BM62" s="315"/>
      <c r="BN62" s="316"/>
      <c r="BO62" s="317"/>
      <c r="BP62" s="318"/>
      <c r="BQ62" s="318"/>
      <c r="BR62" s="318"/>
      <c r="BS62" s="315"/>
      <c r="BT62" s="316"/>
      <c r="BU62" s="317"/>
      <c r="BV62" s="318"/>
      <c r="BW62" s="318"/>
      <c r="BX62" s="318"/>
      <c r="BY62" s="315"/>
      <c r="BZ62" s="316"/>
      <c r="CA62" s="317"/>
      <c r="CB62" s="318"/>
      <c r="CC62" s="318"/>
      <c r="CD62" s="318"/>
      <c r="CE62" s="315"/>
      <c r="CF62" s="316"/>
      <c r="CG62" s="317"/>
      <c r="CH62" s="318"/>
      <c r="CI62" s="318"/>
      <c r="CJ62" s="318"/>
      <c r="CK62" s="315"/>
      <c r="CL62" s="316"/>
      <c r="CM62" s="317">
        <f>+CM53-CM57</f>
        <v>3422.9</v>
      </c>
      <c r="CN62" s="318">
        <f t="shared" ref="CN62:CQ62" si="175">+CN53-CN57</f>
        <v>3020</v>
      </c>
      <c r="CO62" s="318">
        <f t="shared" si="175"/>
        <v>2964.7</v>
      </c>
      <c r="CP62" s="318">
        <f t="shared" si="175"/>
        <v>3401.5</v>
      </c>
      <c r="CQ62" s="315">
        <f t="shared" si="175"/>
        <v>3401.5</v>
      </c>
      <c r="CR62" s="316"/>
      <c r="CS62" s="317">
        <f t="shared" ref="CS62:CW62" si="176">+CS53-CS57</f>
        <v>3053.8</v>
      </c>
      <c r="CT62" s="318">
        <f t="shared" si="176"/>
        <v>3052.7</v>
      </c>
      <c r="CU62" s="318">
        <f t="shared" si="176"/>
        <v>11522.7</v>
      </c>
      <c r="CV62" s="318">
        <f t="shared" si="176"/>
        <v>12025.2</v>
      </c>
      <c r="CW62" s="315">
        <f t="shared" si="176"/>
        <v>12025.2</v>
      </c>
      <c r="CX62" s="316"/>
      <c r="CY62" s="317">
        <f t="shared" ref="CY62:DU62" si="177">+CY53-CY57</f>
        <v>12194.699999999999</v>
      </c>
      <c r="CZ62" s="318">
        <f t="shared" si="177"/>
        <v>12007.7</v>
      </c>
      <c r="DA62" s="318">
        <f t="shared" si="177"/>
        <v>7503.0999999999985</v>
      </c>
      <c r="DB62" s="318">
        <f t="shared" si="177"/>
        <v>9674.2000000000007</v>
      </c>
      <c r="DC62" s="315">
        <f t="shared" si="177"/>
        <v>9674.2000000000007</v>
      </c>
      <c r="DD62" s="316"/>
      <c r="DE62" s="317">
        <f>+DE53-DE57</f>
        <v>9729.2999999999993</v>
      </c>
      <c r="DF62" s="318">
        <f t="shared" si="177"/>
        <v>11422.500000000002</v>
      </c>
      <c r="DG62" s="318">
        <f t="shared" si="177"/>
        <v>10726.800000000001</v>
      </c>
      <c r="DH62" s="318">
        <f t="shared" ref="DH62:DI62" si="178">+DH53-DH57</f>
        <v>10327.4</v>
      </c>
      <c r="DI62" s="315">
        <f t="shared" si="178"/>
        <v>10327.4</v>
      </c>
      <c r="DJ62" s="316"/>
      <c r="DK62" s="317">
        <f t="shared" si="177"/>
        <v>10327.4</v>
      </c>
      <c r="DL62" s="318">
        <f t="shared" si="177"/>
        <v>10327.4</v>
      </c>
      <c r="DM62" s="318">
        <f t="shared" si="177"/>
        <v>10327.4</v>
      </c>
      <c r="DN62" s="318">
        <f t="shared" si="177"/>
        <v>10327.4</v>
      </c>
      <c r="DO62" s="315">
        <f t="shared" si="177"/>
        <v>10327.4</v>
      </c>
      <c r="DP62" s="316"/>
      <c r="DQ62" s="317">
        <f t="shared" si="177"/>
        <v>10327.4</v>
      </c>
      <c r="DR62" s="318">
        <f t="shared" si="177"/>
        <v>10327.4</v>
      </c>
      <c r="DS62" s="318">
        <f t="shared" si="177"/>
        <v>10327.4</v>
      </c>
      <c r="DT62" s="318">
        <f t="shared" si="177"/>
        <v>10327.4</v>
      </c>
      <c r="DU62" s="315">
        <f t="shared" si="177"/>
        <v>10327.4</v>
      </c>
      <c r="DV62" s="316"/>
      <c r="DW62" s="317">
        <f t="shared" ref="DW62:EA62" si="179">+DW53-DW57</f>
        <v>10327.4</v>
      </c>
      <c r="DX62" s="318">
        <f t="shared" si="179"/>
        <v>10327.4</v>
      </c>
      <c r="DY62" s="318">
        <f t="shared" si="179"/>
        <v>10327.4</v>
      </c>
      <c r="DZ62" s="318">
        <f t="shared" si="179"/>
        <v>10327.4</v>
      </c>
      <c r="EA62" s="315">
        <f t="shared" si="179"/>
        <v>10327.4</v>
      </c>
      <c r="EB62" s="316"/>
      <c r="EC62" s="317">
        <f t="shared" ref="EC62:EG62" si="180">+EC53-EC57</f>
        <v>10327.4</v>
      </c>
      <c r="ED62" s="318">
        <f t="shared" si="180"/>
        <v>10327.4</v>
      </c>
      <c r="EE62" s="318">
        <f t="shared" si="180"/>
        <v>10327.4</v>
      </c>
      <c r="EF62" s="318">
        <f t="shared" si="180"/>
        <v>10327.4</v>
      </c>
      <c r="EG62" s="315">
        <f t="shared" si="180"/>
        <v>10327.4</v>
      </c>
    </row>
    <row r="63" spans="1:137" s="275" customFormat="1" ht="12.75" customHeight="1" x14ac:dyDescent="0.2">
      <c r="A63" s="307" t="s">
        <v>315</v>
      </c>
      <c r="B63" s="22"/>
      <c r="C63" s="308"/>
      <c r="E63" s="290"/>
      <c r="F63" s="277"/>
      <c r="G63" s="290"/>
      <c r="H63" s="277"/>
      <c r="I63" s="290"/>
      <c r="J63" s="277"/>
      <c r="K63" s="290"/>
      <c r="L63" s="277"/>
      <c r="M63" s="283"/>
      <c r="N63" s="276"/>
      <c r="O63" s="276"/>
      <c r="P63" s="276"/>
      <c r="Q63" s="290"/>
      <c r="R63" s="277"/>
      <c r="S63" s="283"/>
      <c r="T63" s="276"/>
      <c r="U63" s="276"/>
      <c r="V63" s="276"/>
      <c r="W63" s="290"/>
      <c r="X63" s="277"/>
      <c r="Y63" s="283"/>
      <c r="Z63" s="276"/>
      <c r="AA63" s="276"/>
      <c r="AB63" s="276"/>
      <c r="AC63" s="290"/>
      <c r="AD63" s="277"/>
      <c r="AE63" s="283"/>
      <c r="AF63" s="276"/>
      <c r="AG63" s="276"/>
      <c r="AH63" s="276"/>
      <c r="AI63" s="290"/>
      <c r="AJ63" s="277"/>
      <c r="AK63" s="283"/>
      <c r="AL63" s="276"/>
      <c r="AM63" s="276"/>
      <c r="AN63" s="276"/>
      <c r="AO63" s="290"/>
      <c r="AP63" s="277"/>
      <c r="AQ63" s="283"/>
      <c r="AR63" s="276"/>
      <c r="AS63" s="276"/>
      <c r="AT63" s="276"/>
      <c r="AU63" s="290"/>
      <c r="AV63" s="277"/>
      <c r="AW63" s="283"/>
      <c r="AX63" s="276"/>
      <c r="AY63" s="276"/>
      <c r="AZ63" s="276"/>
      <c r="BA63" s="290"/>
      <c r="BB63" s="277"/>
      <c r="BC63" s="283"/>
      <c r="BD63" s="276"/>
      <c r="BE63" s="276"/>
      <c r="BF63" s="276"/>
      <c r="BG63" s="290"/>
      <c r="BH63" s="277"/>
      <c r="BI63" s="283"/>
      <c r="BJ63" s="276"/>
      <c r="BK63" s="276"/>
      <c r="BL63" s="276"/>
      <c r="BM63" s="290"/>
      <c r="BN63" s="277"/>
      <c r="BO63" s="283"/>
      <c r="BP63" s="276"/>
      <c r="BQ63" s="276"/>
      <c r="BR63" s="276"/>
      <c r="BS63" s="290"/>
      <c r="BT63" s="277"/>
      <c r="BU63" s="283"/>
      <c r="BV63" s="276"/>
      <c r="BW63" s="276"/>
      <c r="BX63" s="276"/>
      <c r="BY63" s="290"/>
      <c r="BZ63" s="277"/>
      <c r="CA63" s="283"/>
      <c r="CB63" s="276"/>
      <c r="CC63" s="276"/>
      <c r="CD63" s="276"/>
      <c r="CE63" s="290"/>
      <c r="CF63" s="277"/>
      <c r="CG63" s="283"/>
      <c r="CH63" s="276"/>
      <c r="CI63" s="276"/>
      <c r="CJ63" s="276"/>
      <c r="CK63" s="290"/>
      <c r="CL63" s="277"/>
      <c r="CM63" s="283"/>
      <c r="CN63" s="276"/>
      <c r="CO63" s="276"/>
      <c r="CP63" s="276"/>
      <c r="CQ63" s="290"/>
      <c r="CR63" s="277"/>
      <c r="CS63" s="283">
        <f>CS62-CP62</f>
        <v>-347.69999999999982</v>
      </c>
      <c r="CT63" s="276">
        <f>CT62-CS62</f>
        <v>-1.1000000000003638</v>
      </c>
      <c r="CU63" s="276">
        <f>CU62-CT62</f>
        <v>8470</v>
      </c>
      <c r="CV63" s="276">
        <f>CV62-CU62</f>
        <v>502.5</v>
      </c>
      <c r="CW63" s="290">
        <f>CW62-CQ62</f>
        <v>8623.7000000000007</v>
      </c>
      <c r="CX63" s="277"/>
      <c r="CY63" s="283">
        <f>CY62-CV62</f>
        <v>169.49999999999818</v>
      </c>
      <c r="CZ63" s="276">
        <f>CZ62-CY62</f>
        <v>-186.99999999999818</v>
      </c>
      <c r="DA63" s="276">
        <f>DA62-CZ62</f>
        <v>-4504.6000000000022</v>
      </c>
      <c r="DB63" s="276">
        <f>DB62-DA62</f>
        <v>2171.1000000000022</v>
      </c>
      <c r="DC63" s="290">
        <f>DC62-CW62</f>
        <v>-2351</v>
      </c>
      <c r="DD63" s="277"/>
      <c r="DE63" s="283">
        <f>DE62-DB62</f>
        <v>55.099999999998545</v>
      </c>
      <c r="DF63" s="276">
        <f>DF62-DE62</f>
        <v>1693.2000000000025</v>
      </c>
      <c r="DG63" s="276">
        <f>DG62-DF62</f>
        <v>-695.70000000000073</v>
      </c>
      <c r="DH63" s="276">
        <f>DH62-DG62</f>
        <v>-399.40000000000146</v>
      </c>
      <c r="DI63" s="290">
        <f>DI62-DC62</f>
        <v>653.19999999999891</v>
      </c>
      <c r="DJ63" s="277"/>
      <c r="DK63" s="283">
        <f>DK62-DH62</f>
        <v>0</v>
      </c>
      <c r="DL63" s="276">
        <f>DL62-DK62</f>
        <v>0</v>
      </c>
      <c r="DM63" s="276">
        <f>DM62-DL62</f>
        <v>0</v>
      </c>
      <c r="DN63" s="276">
        <f>DN62-DM62</f>
        <v>0</v>
      </c>
      <c r="DO63" s="290">
        <f>DO62-DI62</f>
        <v>0</v>
      </c>
      <c r="DP63" s="277"/>
      <c r="DQ63" s="283">
        <f>DQ62-DN62</f>
        <v>0</v>
      </c>
      <c r="DR63" s="276">
        <f>DR62-DQ62</f>
        <v>0</v>
      </c>
      <c r="DS63" s="276">
        <f>DS62-DR62</f>
        <v>0</v>
      </c>
      <c r="DT63" s="276">
        <f>DT62-DS62</f>
        <v>0</v>
      </c>
      <c r="DU63" s="290">
        <f>DU62-DO62</f>
        <v>0</v>
      </c>
      <c r="DV63" s="277"/>
      <c r="DW63" s="283">
        <f t="shared" ref="DW63" si="181">DW62-DT62</f>
        <v>0</v>
      </c>
      <c r="DX63" s="276">
        <f t="shared" ref="DX63:DZ63" si="182">DX62-DW62</f>
        <v>0</v>
      </c>
      <c r="DY63" s="276">
        <f t="shared" si="182"/>
        <v>0</v>
      </c>
      <c r="DZ63" s="276">
        <f t="shared" si="182"/>
        <v>0</v>
      </c>
      <c r="EA63" s="290">
        <f t="shared" ref="EA63" si="183">EA62-DU62</f>
        <v>0</v>
      </c>
      <c r="EB63" s="277"/>
      <c r="EC63" s="283">
        <f t="shared" ref="EC63" si="184">EC62-DZ62</f>
        <v>0</v>
      </c>
      <c r="ED63" s="276">
        <f t="shared" ref="ED63" si="185">ED62-EC62</f>
        <v>0</v>
      </c>
      <c r="EE63" s="276">
        <f t="shared" ref="EE63" si="186">EE62-ED62</f>
        <v>0</v>
      </c>
      <c r="EF63" s="276">
        <f t="shared" ref="EF63" si="187">EF62-EE62</f>
        <v>0</v>
      </c>
      <c r="EG63" s="290">
        <f t="shared" ref="EG63" si="188">EG62-EA62</f>
        <v>0</v>
      </c>
    </row>
    <row r="64" spans="1:137" s="273" customFormat="1" ht="12.75" customHeight="1" x14ac:dyDescent="0.2">
      <c r="A64" s="304" t="s">
        <v>319</v>
      </c>
      <c r="B64" s="22"/>
      <c r="C64" s="305"/>
      <c r="E64" s="289"/>
      <c r="F64" s="274"/>
      <c r="G64" s="289"/>
      <c r="H64" s="274"/>
      <c r="I64" s="289"/>
      <c r="J64" s="274"/>
      <c r="K64" s="289"/>
      <c r="L64" s="274"/>
      <c r="M64" s="282"/>
      <c r="N64" s="274"/>
      <c r="O64" s="274"/>
      <c r="P64" s="274"/>
      <c r="Q64" s="289"/>
      <c r="R64" s="274"/>
      <c r="S64" s="282"/>
      <c r="T64" s="274"/>
      <c r="U64" s="274"/>
      <c r="V64" s="274"/>
      <c r="W64" s="289"/>
      <c r="X64" s="274"/>
      <c r="Y64" s="282"/>
      <c r="Z64" s="274"/>
      <c r="AA64" s="274"/>
      <c r="AB64" s="274"/>
      <c r="AC64" s="289"/>
      <c r="AD64" s="274"/>
      <c r="AE64" s="282"/>
      <c r="AF64" s="274"/>
      <c r="AG64" s="274"/>
      <c r="AH64" s="274"/>
      <c r="AI64" s="289"/>
      <c r="AJ64" s="274"/>
      <c r="AK64" s="282"/>
      <c r="AL64" s="274"/>
      <c r="AM64" s="274"/>
      <c r="AN64" s="274"/>
      <c r="AO64" s="289"/>
      <c r="AP64" s="274"/>
      <c r="AQ64" s="282"/>
      <c r="AR64" s="274"/>
      <c r="AS64" s="274"/>
      <c r="AT64" s="274"/>
      <c r="AU64" s="289"/>
      <c r="AV64" s="274"/>
      <c r="AW64" s="282"/>
      <c r="AX64" s="274"/>
      <c r="AY64" s="274"/>
      <c r="AZ64" s="274"/>
      <c r="BA64" s="289"/>
      <c r="BB64" s="274"/>
      <c r="BC64" s="282"/>
      <c r="BD64" s="274"/>
      <c r="BE64" s="274"/>
      <c r="BF64" s="274"/>
      <c r="BG64" s="289"/>
      <c r="BH64" s="274"/>
      <c r="BI64" s="282"/>
      <c r="BJ64" s="274"/>
      <c r="BK64" s="274"/>
      <c r="BL64" s="274"/>
      <c r="BM64" s="289"/>
      <c r="BN64" s="274"/>
      <c r="BO64" s="282"/>
      <c r="BP64" s="274"/>
      <c r="BQ64" s="274"/>
      <c r="BR64" s="274"/>
      <c r="BS64" s="289"/>
      <c r="BT64" s="274"/>
      <c r="BU64" s="282"/>
      <c r="BV64" s="274"/>
      <c r="BW64" s="274"/>
      <c r="BX64" s="274"/>
      <c r="BY64" s="289"/>
      <c r="BZ64" s="274"/>
      <c r="CA64" s="282"/>
      <c r="CB64" s="274"/>
      <c r="CC64" s="274"/>
      <c r="CD64" s="274"/>
      <c r="CE64" s="289"/>
      <c r="CF64" s="274"/>
      <c r="CG64" s="282"/>
      <c r="CH64" s="274"/>
      <c r="CI64" s="274"/>
      <c r="CJ64" s="274"/>
      <c r="CK64" s="289"/>
      <c r="CL64" s="274"/>
      <c r="CM64" s="282">
        <f>+BS!CM39-Debt!CM62</f>
        <v>0</v>
      </c>
      <c r="CN64" s="274">
        <f>+BS!CN39-Debt!CN62</f>
        <v>0</v>
      </c>
      <c r="CO64" s="274">
        <f>+BS!CO39-Debt!CO62</f>
        <v>0</v>
      </c>
      <c r="CP64" s="274">
        <f>+BS!CP39-Debt!CP62</f>
        <v>0</v>
      </c>
      <c r="CQ64" s="289">
        <f>+BS!CQ39-Debt!CQ62</f>
        <v>0</v>
      </c>
      <c r="CR64" s="274"/>
      <c r="CS64" s="282">
        <f>+BS!CS39-Debt!CS62</f>
        <v>0</v>
      </c>
      <c r="CT64" s="274">
        <f>+BS!CT39-Debt!CT62</f>
        <v>0</v>
      </c>
      <c r="CU64" s="274">
        <f>+BS!CU39-Debt!CU62</f>
        <v>0</v>
      </c>
      <c r="CV64" s="274">
        <f>+BS!CV39-Debt!CV62</f>
        <v>0</v>
      </c>
      <c r="CW64" s="289">
        <f>+BS!CW39-Debt!CW62</f>
        <v>0</v>
      </c>
      <c r="CX64" s="274"/>
      <c r="CY64" s="282">
        <f>+BS!CY39-Debt!CY62</f>
        <v>0</v>
      </c>
      <c r="CZ64" s="274">
        <f>+BS!CZ39-Debt!CZ62</f>
        <v>0</v>
      </c>
      <c r="DA64" s="274">
        <f>+BS!DA39-Debt!DA62</f>
        <v>0</v>
      </c>
      <c r="DB64" s="274">
        <f>+BS!DB39-Debt!DB62</f>
        <v>0</v>
      </c>
      <c r="DC64" s="289">
        <f>+BS!DC39-Debt!DC62</f>
        <v>0</v>
      </c>
      <c r="DD64" s="274"/>
      <c r="DE64" s="282">
        <f>+BS!DE39-Debt!DE62</f>
        <v>0</v>
      </c>
      <c r="DF64" s="274">
        <f>+BS!DF39-Debt!DF62</f>
        <v>0</v>
      </c>
      <c r="DG64" s="274">
        <f>+BS!DG39-Debt!DG62</f>
        <v>0</v>
      </c>
      <c r="DH64" s="274">
        <f>+BS!DH39-Debt!DH62</f>
        <v>0</v>
      </c>
      <c r="DI64" s="289">
        <f>+BS!DI39-Debt!DI62</f>
        <v>0</v>
      </c>
      <c r="DJ64" s="274"/>
      <c r="DK64" s="282">
        <f>+BS!DK39-Debt!DK62</f>
        <v>0</v>
      </c>
      <c r="DL64" s="274">
        <f>+BS!DL39-Debt!DL62</f>
        <v>0</v>
      </c>
      <c r="DM64" s="274">
        <f>+BS!DM39-Debt!DM62</f>
        <v>0</v>
      </c>
      <c r="DN64" s="274">
        <f>+BS!DN39-Debt!DN62</f>
        <v>0</v>
      </c>
      <c r="DO64" s="289">
        <f>+BS!DO39-Debt!DO62</f>
        <v>0</v>
      </c>
      <c r="DP64" s="274"/>
      <c r="DQ64" s="282">
        <f>+BS!DQ39-Debt!DQ62</f>
        <v>0</v>
      </c>
      <c r="DR64" s="274">
        <f>+BS!DR39-Debt!DR62</f>
        <v>0</v>
      </c>
      <c r="DS64" s="274">
        <f>+BS!DS39-Debt!DS62</f>
        <v>0</v>
      </c>
      <c r="DT64" s="274">
        <f>+BS!DT39-Debt!DT62</f>
        <v>0</v>
      </c>
      <c r="DU64" s="289">
        <f>+BS!DU39-Debt!DU62</f>
        <v>0</v>
      </c>
      <c r="DV64" s="274"/>
      <c r="DW64" s="282">
        <f>+BS!DW39-Debt!DW62</f>
        <v>0</v>
      </c>
      <c r="DX64" s="274">
        <f>+BS!DX39-Debt!DX62</f>
        <v>0</v>
      </c>
      <c r="DY64" s="274">
        <f>+BS!DY39-Debt!DY62</f>
        <v>0</v>
      </c>
      <c r="DZ64" s="274">
        <f>+BS!DZ39-Debt!DZ62</f>
        <v>0</v>
      </c>
      <c r="EA64" s="289">
        <f>+BS!EA39-Debt!EA62</f>
        <v>0</v>
      </c>
      <c r="EB64" s="274"/>
      <c r="EC64" s="282">
        <f>+BS!EC39-Debt!EC62</f>
        <v>0</v>
      </c>
      <c r="ED64" s="274">
        <f>+BS!ED39-Debt!ED62</f>
        <v>0</v>
      </c>
      <c r="EE64" s="274">
        <f>+BS!EE39-Debt!EE62</f>
        <v>0</v>
      </c>
      <c r="EF64" s="274">
        <f>+BS!EF39-Debt!EF62</f>
        <v>0</v>
      </c>
      <c r="EG64" s="289">
        <f>+BS!EG39-Debt!EG62</f>
        <v>0</v>
      </c>
    </row>
    <row r="65" spans="1:137" ht="12.75" customHeight="1" x14ac:dyDescent="0.2">
      <c r="A65" s="262"/>
      <c r="B65" s="22"/>
      <c r="C65" s="301"/>
      <c r="E65" s="287"/>
      <c r="F65" s="270"/>
      <c r="G65" s="287"/>
      <c r="H65" s="270"/>
      <c r="I65" s="287"/>
      <c r="J65" s="270"/>
      <c r="K65" s="287"/>
      <c r="L65" s="270"/>
      <c r="M65" s="280"/>
      <c r="N65" s="269"/>
      <c r="O65" s="269"/>
      <c r="P65" s="269"/>
      <c r="Q65" s="287"/>
      <c r="R65" s="270"/>
      <c r="S65" s="280"/>
      <c r="T65" s="269"/>
      <c r="U65" s="269"/>
      <c r="V65" s="269"/>
      <c r="W65" s="287"/>
      <c r="X65" s="270"/>
      <c r="Y65" s="280"/>
      <c r="Z65" s="269"/>
      <c r="AA65" s="269"/>
      <c r="AB65" s="269"/>
      <c r="AC65" s="287"/>
      <c r="AD65" s="270"/>
      <c r="AE65" s="280"/>
      <c r="AF65" s="269"/>
      <c r="AG65" s="269"/>
      <c r="AH65" s="269"/>
      <c r="AI65" s="287"/>
      <c r="AJ65" s="270"/>
      <c r="AK65" s="280"/>
      <c r="AL65" s="269"/>
      <c r="AM65" s="269"/>
      <c r="AN65" s="269"/>
      <c r="AO65" s="287"/>
      <c r="AP65" s="270"/>
      <c r="AQ65" s="280"/>
      <c r="AR65" s="269"/>
      <c r="AS65" s="269"/>
      <c r="AT65" s="269"/>
      <c r="AU65" s="287"/>
      <c r="AV65" s="270"/>
      <c r="AW65" s="280"/>
      <c r="AX65" s="269"/>
      <c r="AY65" s="269"/>
      <c r="AZ65" s="269"/>
      <c r="BA65" s="287"/>
      <c r="BB65" s="270"/>
      <c r="BC65" s="280"/>
      <c r="BD65" s="269"/>
      <c r="BE65" s="269"/>
      <c r="BF65" s="269"/>
      <c r="BG65" s="287"/>
      <c r="BH65" s="270"/>
      <c r="BI65" s="280"/>
      <c r="BJ65" s="269"/>
      <c r="BK65" s="269"/>
      <c r="BL65" s="269"/>
      <c r="BM65" s="287"/>
      <c r="BN65" s="270"/>
      <c r="BO65" s="280"/>
      <c r="BP65" s="269"/>
      <c r="BQ65" s="269"/>
      <c r="BR65" s="269"/>
      <c r="BS65" s="287"/>
      <c r="BT65" s="270"/>
      <c r="BU65" s="280"/>
      <c r="BV65" s="269"/>
      <c r="BW65" s="269"/>
      <c r="BX65" s="269"/>
      <c r="BY65" s="287"/>
      <c r="BZ65" s="270"/>
      <c r="CA65" s="280"/>
      <c r="CB65" s="269"/>
      <c r="CC65" s="269"/>
      <c r="CD65" s="269"/>
      <c r="CE65" s="287"/>
      <c r="CF65" s="270"/>
      <c r="CG65" s="280"/>
      <c r="CH65" s="269"/>
      <c r="CI65" s="269"/>
      <c r="CJ65" s="269"/>
      <c r="CK65" s="287"/>
      <c r="CL65" s="270"/>
      <c r="CM65" s="280"/>
      <c r="CN65" s="269"/>
      <c r="CO65" s="269"/>
      <c r="CP65" s="269"/>
      <c r="CQ65" s="287"/>
      <c r="CR65" s="270"/>
      <c r="CS65" s="280"/>
      <c r="CT65" s="269"/>
      <c r="CU65" s="269"/>
      <c r="CV65" s="269"/>
      <c r="CW65" s="287"/>
      <c r="CX65" s="270"/>
      <c r="CY65" s="280"/>
      <c r="CZ65" s="269"/>
      <c r="DA65" s="269"/>
      <c r="DB65" s="269"/>
      <c r="DC65" s="287"/>
      <c r="DD65" s="270"/>
      <c r="DE65" s="280"/>
      <c r="DF65" s="269"/>
      <c r="DG65" s="269"/>
      <c r="DH65" s="269"/>
      <c r="DI65" s="287"/>
      <c r="DJ65" s="270"/>
      <c r="DK65" s="280"/>
      <c r="DL65" s="269"/>
      <c r="DM65" s="269"/>
      <c r="DN65" s="269"/>
      <c r="DO65" s="287"/>
      <c r="DP65" s="270"/>
      <c r="DQ65" s="280"/>
      <c r="DR65" s="269"/>
      <c r="DS65" s="269"/>
      <c r="DT65" s="269"/>
      <c r="DU65" s="287"/>
      <c r="DV65" s="270"/>
      <c r="DW65" s="280"/>
      <c r="DX65" s="269"/>
      <c r="DY65" s="269"/>
      <c r="DZ65" s="269"/>
      <c r="EA65" s="287"/>
      <c r="EB65" s="270"/>
      <c r="EC65" s="280"/>
      <c r="ED65" s="269"/>
      <c r="EE65" s="269"/>
      <c r="EF65" s="269"/>
      <c r="EG65" s="287"/>
    </row>
    <row r="66" spans="1:137" ht="12.75" customHeight="1" x14ac:dyDescent="0.2">
      <c r="A66" s="259" t="s">
        <v>320</v>
      </c>
      <c r="B66" s="211"/>
      <c r="C66" s="296"/>
      <c r="D66" s="264"/>
      <c r="E66" s="321"/>
      <c r="F66" s="322"/>
      <c r="G66" s="321"/>
      <c r="H66" s="322"/>
      <c r="I66" s="321"/>
      <c r="J66" s="322"/>
      <c r="K66" s="321"/>
      <c r="L66" s="322"/>
      <c r="M66" s="323"/>
      <c r="N66" s="324"/>
      <c r="O66" s="324"/>
      <c r="P66" s="324"/>
      <c r="Q66" s="321"/>
      <c r="R66" s="322"/>
      <c r="S66" s="323"/>
      <c r="T66" s="324"/>
      <c r="U66" s="324"/>
      <c r="V66" s="324"/>
      <c r="W66" s="321"/>
      <c r="X66" s="322"/>
      <c r="Y66" s="323"/>
      <c r="Z66" s="324"/>
      <c r="AA66" s="324"/>
      <c r="AB66" s="324"/>
      <c r="AC66" s="321"/>
      <c r="AD66" s="322"/>
      <c r="AE66" s="323"/>
      <c r="AF66" s="324"/>
      <c r="AG66" s="324"/>
      <c r="AH66" s="324"/>
      <c r="AI66" s="321"/>
      <c r="AJ66" s="322"/>
      <c r="AK66" s="323"/>
      <c r="AL66" s="324"/>
      <c r="AM66" s="324"/>
      <c r="AN66" s="324"/>
      <c r="AO66" s="321"/>
      <c r="AP66" s="322"/>
      <c r="AQ66" s="323"/>
      <c r="AR66" s="324"/>
      <c r="AS66" s="324"/>
      <c r="AT66" s="324"/>
      <c r="AU66" s="321"/>
      <c r="AV66" s="322"/>
      <c r="AW66" s="323"/>
      <c r="AX66" s="324"/>
      <c r="AY66" s="324"/>
      <c r="AZ66" s="324"/>
      <c r="BA66" s="321"/>
      <c r="BB66" s="322"/>
      <c r="BC66" s="323"/>
      <c r="BD66" s="324"/>
      <c r="BE66" s="324"/>
      <c r="BF66" s="324"/>
      <c r="BG66" s="321"/>
      <c r="BH66" s="322"/>
      <c r="BI66" s="323"/>
      <c r="BJ66" s="324"/>
      <c r="BK66" s="324"/>
      <c r="BL66" s="324"/>
      <c r="BM66" s="321"/>
      <c r="BN66" s="322"/>
      <c r="BO66" s="323"/>
      <c r="BP66" s="324"/>
      <c r="BQ66" s="324"/>
      <c r="BR66" s="324"/>
      <c r="BS66" s="321"/>
      <c r="BT66" s="322"/>
      <c r="BU66" s="323"/>
      <c r="BV66" s="324"/>
      <c r="BW66" s="324"/>
      <c r="BX66" s="324"/>
      <c r="BY66" s="321"/>
      <c r="BZ66" s="322"/>
      <c r="CA66" s="323"/>
      <c r="CB66" s="324"/>
      <c r="CC66" s="324"/>
      <c r="CD66" s="324"/>
      <c r="CE66" s="321"/>
      <c r="CF66" s="322"/>
      <c r="CG66" s="323"/>
      <c r="CH66" s="324"/>
      <c r="CI66" s="324"/>
      <c r="CJ66" s="324"/>
      <c r="CK66" s="321"/>
      <c r="CL66" s="322"/>
      <c r="CM66" s="323"/>
      <c r="CN66" s="324"/>
      <c r="CO66" s="324"/>
      <c r="CP66" s="324"/>
      <c r="CQ66" s="321"/>
      <c r="CR66" s="322"/>
      <c r="CS66" s="323">
        <f>SUMPRODUCT(CS11:CS51,$B11:$B51)/4</f>
        <v>26.803300000000004</v>
      </c>
      <c r="CT66" s="324">
        <f>SUMPRODUCT(CT11:CT51,$B11:$B51)/4</f>
        <v>26.781850000000002</v>
      </c>
      <c r="CU66" s="324">
        <f>SUMPRODUCT(CU11:CU51,$B11:$B51)/4</f>
        <v>71.076918750000004</v>
      </c>
      <c r="CV66" s="324">
        <f>SUMPRODUCT(CV11:CV51,$B11:$B51)/4</f>
        <v>67.37518750000001</v>
      </c>
      <c r="CW66" s="321">
        <f>SUM(CS66:CV66)</f>
        <v>192.03725625000001</v>
      </c>
      <c r="CX66" s="322"/>
      <c r="CY66" s="323">
        <f>SUMPRODUCT(CY11:CY51,$B11:$B51)/4</f>
        <v>66.963088500000012</v>
      </c>
      <c r="CZ66" s="324">
        <f>SUMPRODUCT(CZ11:CZ51,$B11:$B51)/4</f>
        <v>83.711662249999989</v>
      </c>
      <c r="DA66" s="324">
        <f>SUMPRODUCT(DA11:DA51,$B11:$B51)/4</f>
        <v>38.255267750000002</v>
      </c>
      <c r="DB66" s="324">
        <f>SUMPRODUCT(DB11:DB51,$B11:$B51)/4</f>
        <v>43.720484250000005</v>
      </c>
      <c r="DC66" s="321">
        <f>SUM(CY66:DB66)</f>
        <v>232.65050274999999</v>
      </c>
      <c r="DD66" s="322"/>
      <c r="DE66" s="323">
        <f>SUMPRODUCT(DE11:DE51,$B11:$B51)/4</f>
        <v>43.365898749999999</v>
      </c>
      <c r="DF66" s="324">
        <f>SUMPRODUCT(DF11:DF51,$B11:$B51)/4</f>
        <v>44.133147249999993</v>
      </c>
      <c r="DG66" s="324">
        <f>SUMPRODUCT(DG11:DG51,$B11:$B51)/4</f>
        <v>43.512084750000007</v>
      </c>
      <c r="DH66" s="324">
        <f>SUMPRODUCT(DH11:DH51,$B11:$B51)/4</f>
        <v>43.372565000000002</v>
      </c>
      <c r="DI66" s="321">
        <f>SUM(DE66:DH66)</f>
        <v>174.38369575000002</v>
      </c>
      <c r="DJ66" s="322"/>
      <c r="DK66" s="323">
        <f>SUMPRODUCT(DK11:DK51,$B11:$B51)/4</f>
        <v>43.372565000000002</v>
      </c>
      <c r="DL66" s="324">
        <f>SUMPRODUCT(DL11:DL51,$B11:$B51)/4</f>
        <v>43.372565000000002</v>
      </c>
      <c r="DM66" s="324">
        <f>SUMPRODUCT(DM11:DM51,$B11:$B51)/4</f>
        <v>43.372565000000002</v>
      </c>
      <c r="DN66" s="324">
        <f>SUMPRODUCT(DN11:DN51,$B11:$B51)/4</f>
        <v>43.372565000000002</v>
      </c>
      <c r="DO66" s="321">
        <f>SUM(DK66:DN66)</f>
        <v>173.49026000000001</v>
      </c>
      <c r="DP66" s="322"/>
      <c r="DQ66" s="323">
        <f>SUMPRODUCT(DQ11:DQ51,$B11:$B51)/4</f>
        <v>43.372565000000002</v>
      </c>
      <c r="DR66" s="324">
        <f>SUMPRODUCT(DR11:DR51,$B11:$B51)/4</f>
        <v>43.372565000000002</v>
      </c>
      <c r="DS66" s="324">
        <f>SUMPRODUCT(DS11:DS51,$B11:$B51)/4</f>
        <v>43.372565000000002</v>
      </c>
      <c r="DT66" s="324">
        <f>SUMPRODUCT(DT11:DT51,$B11:$B51)/4</f>
        <v>43.372565000000002</v>
      </c>
      <c r="DU66" s="321">
        <f>SUM(DQ66:DT66)</f>
        <v>173.49026000000001</v>
      </c>
      <c r="DV66" s="322"/>
      <c r="DW66" s="323">
        <f t="shared" ref="DW66:DZ66" si="189">SUMPRODUCT(DW11:DW51,$B11:$B51)/4</f>
        <v>43.372565000000002</v>
      </c>
      <c r="DX66" s="324">
        <f t="shared" si="189"/>
        <v>43.372565000000002</v>
      </c>
      <c r="DY66" s="324">
        <f t="shared" si="189"/>
        <v>43.372565000000002</v>
      </c>
      <c r="DZ66" s="324">
        <f t="shared" si="189"/>
        <v>43.372565000000002</v>
      </c>
      <c r="EA66" s="321">
        <f t="shared" ref="EA66" si="190">SUM(DW66:DZ66)</f>
        <v>173.49026000000001</v>
      </c>
      <c r="EB66" s="322"/>
      <c r="EC66" s="323">
        <f t="shared" ref="EC66:EF66" si="191">SUMPRODUCT(EC11:EC51,$B11:$B51)/4</f>
        <v>43.372565000000002</v>
      </c>
      <c r="ED66" s="324">
        <f t="shared" si="191"/>
        <v>43.372565000000002</v>
      </c>
      <c r="EE66" s="324">
        <f t="shared" si="191"/>
        <v>43.372565000000002</v>
      </c>
      <c r="EF66" s="324">
        <f t="shared" si="191"/>
        <v>43.372565000000002</v>
      </c>
      <c r="EG66" s="321">
        <f t="shared" ref="EG66" si="192">SUM(EC66:EF66)</f>
        <v>173.49026000000001</v>
      </c>
    </row>
    <row r="67" spans="1:137" ht="12.75" customHeight="1" x14ac:dyDescent="0.2">
      <c r="A67" s="260" t="s">
        <v>321</v>
      </c>
      <c r="B67" s="157"/>
      <c r="C67" s="310"/>
      <c r="D67" s="265"/>
      <c r="E67" s="292"/>
      <c r="F67" s="286"/>
      <c r="G67" s="292"/>
      <c r="H67" s="286"/>
      <c r="I67" s="292"/>
      <c r="J67" s="286"/>
      <c r="K67" s="292"/>
      <c r="L67" s="286"/>
      <c r="M67" s="325"/>
      <c r="N67" s="286"/>
      <c r="O67" s="286"/>
      <c r="P67" s="286"/>
      <c r="Q67" s="292"/>
      <c r="R67" s="286"/>
      <c r="S67" s="325"/>
      <c r="T67" s="286"/>
      <c r="U67" s="286"/>
      <c r="V67" s="286"/>
      <c r="W67" s="292"/>
      <c r="X67" s="286"/>
      <c r="Y67" s="325"/>
      <c r="Z67" s="286"/>
      <c r="AA67" s="286"/>
      <c r="AB67" s="286"/>
      <c r="AC67" s="292"/>
      <c r="AD67" s="286"/>
      <c r="AE67" s="325"/>
      <c r="AF67" s="286"/>
      <c r="AG67" s="286"/>
      <c r="AH67" s="286"/>
      <c r="AI67" s="292"/>
      <c r="AJ67" s="286"/>
      <c r="AK67" s="325"/>
      <c r="AL67" s="286"/>
      <c r="AM67" s="286"/>
      <c r="AN67" s="286"/>
      <c r="AO67" s="292"/>
      <c r="AP67" s="286"/>
      <c r="AQ67" s="325"/>
      <c r="AR67" s="286"/>
      <c r="AS67" s="286"/>
      <c r="AT67" s="286"/>
      <c r="AU67" s="292"/>
      <c r="AV67" s="286"/>
      <c r="AW67" s="325"/>
      <c r="AX67" s="286"/>
      <c r="AY67" s="286"/>
      <c r="AZ67" s="286"/>
      <c r="BA67" s="292"/>
      <c r="BB67" s="286"/>
      <c r="BC67" s="325"/>
      <c r="BD67" s="286"/>
      <c r="BE67" s="286"/>
      <c r="BF67" s="286"/>
      <c r="BG67" s="292"/>
      <c r="BH67" s="286"/>
      <c r="BI67" s="325"/>
      <c r="BJ67" s="286"/>
      <c r="BK67" s="286"/>
      <c r="BL67" s="286"/>
      <c r="BM67" s="292"/>
      <c r="BN67" s="286"/>
      <c r="BO67" s="325"/>
      <c r="BP67" s="286"/>
      <c r="BQ67" s="286"/>
      <c r="BR67" s="286"/>
      <c r="BS67" s="292"/>
      <c r="BT67" s="286"/>
      <c r="BU67" s="325"/>
      <c r="BV67" s="286"/>
      <c r="BW67" s="286"/>
      <c r="BX67" s="286"/>
      <c r="BY67" s="292"/>
      <c r="BZ67" s="286"/>
      <c r="CA67" s="325"/>
      <c r="CB67" s="286"/>
      <c r="CC67" s="286"/>
      <c r="CD67" s="286"/>
      <c r="CE67" s="292"/>
      <c r="CF67" s="286"/>
      <c r="CG67" s="325"/>
      <c r="CH67" s="286"/>
      <c r="CI67" s="286"/>
      <c r="CJ67" s="286"/>
      <c r="CK67" s="292"/>
      <c r="CL67" s="286"/>
      <c r="CM67" s="326"/>
      <c r="CN67" s="327"/>
      <c r="CO67" s="327"/>
      <c r="CP67" s="327"/>
      <c r="CQ67" s="292"/>
      <c r="CR67" s="286"/>
      <c r="CS67" s="358">
        <f>+'Pro Forma IS'!CS24</f>
        <v>23.2</v>
      </c>
      <c r="CT67" s="359">
        <f>+'Pro Forma IS'!CT24</f>
        <v>22.8</v>
      </c>
      <c r="CU67" s="359">
        <f>+'Pro Forma IS'!CU24</f>
        <v>38.5</v>
      </c>
      <c r="CV67" s="359">
        <f>+'Pro Forma IS'!CV24</f>
        <v>50.7</v>
      </c>
      <c r="CW67" s="292">
        <f>SUM(CS67:CV67)</f>
        <v>135.19999999999999</v>
      </c>
      <c r="CX67" s="286"/>
      <c r="CY67" s="358">
        <f>+'Pro Forma IS'!CY24</f>
        <v>52.9</v>
      </c>
      <c r="CZ67" s="359">
        <f>+'Pro Forma IS'!CZ24</f>
        <v>55.5</v>
      </c>
      <c r="DA67" s="359">
        <f>+'Pro Forma IS'!DA24</f>
        <v>43.7</v>
      </c>
      <c r="DB67" s="359">
        <f>+'Pro Forma IS'!DB24</f>
        <v>32.299999999999997</v>
      </c>
      <c r="DC67" s="292">
        <f>SUM(CY67:DB67)</f>
        <v>184.40000000000003</v>
      </c>
      <c r="DD67" s="286"/>
      <c r="DE67" s="358">
        <f>+'Pro Forma IS'!DE24</f>
        <v>40.299999999999997</v>
      </c>
      <c r="DF67" s="359">
        <f>+'Pro Forma IS'!DF24</f>
        <v>40.700000000000003</v>
      </c>
      <c r="DG67" s="359">
        <f>+'Pro Forma IS'!DG24</f>
        <v>39.9</v>
      </c>
      <c r="DH67" s="359">
        <f>+'Pro Forma IS'!DH24</f>
        <v>41.8</v>
      </c>
      <c r="DI67" s="292">
        <f>SUM(DE67:DH67)</f>
        <v>162.69999999999999</v>
      </c>
      <c r="DJ67" s="286"/>
      <c r="DK67" s="325"/>
      <c r="DL67" s="286"/>
      <c r="DM67" s="286"/>
      <c r="DN67" s="286"/>
      <c r="DO67" s="292"/>
      <c r="DP67" s="286"/>
      <c r="DQ67" s="325"/>
      <c r="DR67" s="286"/>
      <c r="DS67" s="286"/>
      <c r="DT67" s="286"/>
      <c r="DU67" s="292"/>
      <c r="DV67" s="286"/>
      <c r="DW67" s="325"/>
      <c r="DX67" s="286"/>
      <c r="DY67" s="286"/>
      <c r="DZ67" s="286"/>
      <c r="EA67" s="292"/>
      <c r="EB67" s="286"/>
      <c r="EC67" s="325"/>
      <c r="ED67" s="286"/>
      <c r="EE67" s="286"/>
      <c r="EF67" s="286"/>
      <c r="EG67" s="292"/>
    </row>
    <row r="68" spans="1:137" ht="12.75" customHeight="1" x14ac:dyDescent="0.2">
      <c r="A68" s="262"/>
      <c r="B68" s="258"/>
      <c r="C68" s="301"/>
      <c r="E68" s="287"/>
      <c r="F68" s="270"/>
      <c r="G68" s="287"/>
      <c r="H68" s="270"/>
      <c r="I68" s="287"/>
      <c r="J68" s="270"/>
      <c r="K68" s="287"/>
      <c r="L68" s="270"/>
      <c r="M68" s="280"/>
      <c r="N68" s="269"/>
      <c r="O68" s="269"/>
      <c r="P68" s="269"/>
      <c r="Q68" s="287"/>
      <c r="R68" s="270"/>
      <c r="S68" s="280"/>
      <c r="T68" s="269"/>
      <c r="U68" s="269"/>
      <c r="V68" s="269"/>
      <c r="W68" s="287"/>
      <c r="X68" s="270"/>
      <c r="Y68" s="280"/>
      <c r="Z68" s="269"/>
      <c r="AA68" s="269"/>
      <c r="AB68" s="269"/>
      <c r="AC68" s="287"/>
      <c r="AD68" s="270"/>
      <c r="AE68" s="280"/>
      <c r="AF68" s="269"/>
      <c r="AG68" s="269"/>
      <c r="AH68" s="269"/>
      <c r="AI68" s="287"/>
      <c r="AJ68" s="270"/>
      <c r="AK68" s="280"/>
      <c r="AL68" s="269"/>
      <c r="AM68" s="269"/>
      <c r="AN68" s="269"/>
      <c r="AO68" s="287"/>
      <c r="AP68" s="270"/>
      <c r="AQ68" s="280"/>
      <c r="AR68" s="269"/>
      <c r="AS68" s="269"/>
      <c r="AT68" s="269"/>
      <c r="AU68" s="287"/>
      <c r="AV68" s="270"/>
      <c r="AW68" s="280"/>
      <c r="AX68" s="269"/>
      <c r="AY68" s="269"/>
      <c r="AZ68" s="269"/>
      <c r="BA68" s="287"/>
      <c r="BB68" s="270"/>
      <c r="BC68" s="280"/>
      <c r="BD68" s="269"/>
      <c r="BE68" s="269"/>
      <c r="BF68" s="269"/>
      <c r="BG68" s="287"/>
      <c r="BH68" s="270"/>
      <c r="BI68" s="280"/>
      <c r="BJ68" s="269"/>
      <c r="BK68" s="269"/>
      <c r="BL68" s="269"/>
      <c r="BM68" s="287"/>
      <c r="BN68" s="270"/>
      <c r="BO68" s="280"/>
      <c r="BP68" s="269"/>
      <c r="BQ68" s="269"/>
      <c r="BR68" s="269"/>
      <c r="BS68" s="287"/>
      <c r="BT68" s="270"/>
      <c r="BU68" s="280"/>
      <c r="BV68" s="269"/>
      <c r="BW68" s="269"/>
      <c r="BX68" s="269"/>
      <c r="BY68" s="287"/>
      <c r="BZ68" s="270"/>
      <c r="CA68" s="280"/>
      <c r="CB68" s="269"/>
      <c r="CC68" s="269"/>
      <c r="CD68" s="269"/>
      <c r="CE68" s="287"/>
      <c r="CF68" s="270"/>
      <c r="CG68" s="280"/>
      <c r="CH68" s="269"/>
      <c r="CI68" s="269"/>
      <c r="CJ68" s="269"/>
      <c r="CK68" s="287"/>
      <c r="CL68" s="270"/>
      <c r="CM68" s="280"/>
      <c r="CN68" s="269"/>
      <c r="CO68" s="269"/>
      <c r="CP68" s="269"/>
      <c r="CQ68" s="287"/>
      <c r="CR68" s="270"/>
      <c r="CS68" s="280"/>
      <c r="CT68" s="269"/>
      <c r="CU68" s="269"/>
      <c r="CV68" s="269"/>
      <c r="CW68" s="287"/>
      <c r="CX68" s="270"/>
      <c r="CY68" s="280"/>
      <c r="CZ68" s="269"/>
      <c r="DA68" s="269"/>
      <c r="DB68" s="269"/>
      <c r="DC68" s="287"/>
      <c r="DD68" s="270"/>
      <c r="DE68" s="280"/>
      <c r="DF68" s="269"/>
      <c r="DG68" s="269"/>
      <c r="DH68" s="269"/>
      <c r="DI68" s="287"/>
      <c r="DJ68" s="270"/>
      <c r="DK68" s="280"/>
      <c r="DL68" s="269"/>
      <c r="DM68" s="269"/>
      <c r="DN68" s="269"/>
      <c r="DO68" s="287"/>
      <c r="DP68" s="270"/>
      <c r="DQ68" s="280"/>
      <c r="DR68" s="269"/>
      <c r="DS68" s="269"/>
      <c r="DT68" s="269"/>
      <c r="DU68" s="287"/>
      <c r="DV68" s="270"/>
      <c r="DW68" s="280"/>
      <c r="DX68" s="269"/>
      <c r="DY68" s="269"/>
      <c r="DZ68" s="269"/>
      <c r="EA68" s="287"/>
      <c r="EB68" s="270"/>
      <c r="EC68" s="280"/>
      <c r="ED68" s="269"/>
      <c r="EE68" s="269"/>
      <c r="EF68" s="269"/>
      <c r="EG68" s="287"/>
    </row>
    <row r="69" spans="1:137" ht="12.75" customHeight="1" x14ac:dyDescent="0.2">
      <c r="A69" s="261" t="s">
        <v>322</v>
      </c>
      <c r="B69" s="264"/>
      <c r="C69" s="296"/>
      <c r="D69" s="264"/>
      <c r="E69" s="328"/>
      <c r="F69" s="322"/>
      <c r="G69" s="328"/>
      <c r="H69" s="322"/>
      <c r="I69" s="328"/>
      <c r="J69" s="322"/>
      <c r="K69" s="328"/>
      <c r="L69" s="322"/>
      <c r="M69" s="329"/>
      <c r="N69" s="330"/>
      <c r="O69" s="330"/>
      <c r="P69" s="330"/>
      <c r="Q69" s="331"/>
      <c r="R69" s="322"/>
      <c r="S69" s="329"/>
      <c r="T69" s="330"/>
      <c r="U69" s="330"/>
      <c r="V69" s="330"/>
      <c r="W69" s="331"/>
      <c r="X69" s="322"/>
      <c r="Y69" s="329"/>
      <c r="Z69" s="330"/>
      <c r="AA69" s="330"/>
      <c r="AB69" s="330"/>
      <c r="AC69" s="331"/>
      <c r="AD69" s="322"/>
      <c r="AE69" s="329"/>
      <c r="AF69" s="330"/>
      <c r="AG69" s="330"/>
      <c r="AH69" s="330"/>
      <c r="AI69" s="331"/>
      <c r="AJ69" s="322"/>
      <c r="AK69" s="329"/>
      <c r="AL69" s="330"/>
      <c r="AM69" s="330"/>
      <c r="AN69" s="330"/>
      <c r="AO69" s="331"/>
      <c r="AP69" s="322"/>
      <c r="AQ69" s="329"/>
      <c r="AR69" s="330"/>
      <c r="AS69" s="330"/>
      <c r="AT69" s="330"/>
      <c r="AU69" s="331"/>
      <c r="AV69" s="322"/>
      <c r="AW69" s="329"/>
      <c r="AX69" s="330"/>
      <c r="AY69" s="330"/>
      <c r="AZ69" s="330"/>
      <c r="BA69" s="331"/>
      <c r="BB69" s="322"/>
      <c r="BC69" s="329"/>
      <c r="BD69" s="330"/>
      <c r="BE69" s="330"/>
      <c r="BF69" s="330"/>
      <c r="BG69" s="331"/>
      <c r="BH69" s="322"/>
      <c r="BI69" s="329"/>
      <c r="BJ69" s="330"/>
      <c r="BK69" s="330"/>
      <c r="BL69" s="330"/>
      <c r="BM69" s="331"/>
      <c r="BN69" s="322"/>
      <c r="BO69" s="329"/>
      <c r="BP69" s="330"/>
      <c r="BQ69" s="330"/>
      <c r="BR69" s="330"/>
      <c r="BS69" s="331"/>
      <c r="BT69" s="322"/>
      <c r="BU69" s="329"/>
      <c r="BV69" s="330"/>
      <c r="BW69" s="330"/>
      <c r="BX69" s="330"/>
      <c r="BY69" s="331"/>
      <c r="BZ69" s="322"/>
      <c r="CA69" s="329"/>
      <c r="CB69" s="330"/>
      <c r="CC69" s="330"/>
      <c r="CD69" s="330"/>
      <c r="CE69" s="331"/>
      <c r="CF69" s="322"/>
      <c r="CG69" s="329"/>
      <c r="CH69" s="330"/>
      <c r="CI69" s="330"/>
      <c r="CJ69" s="330"/>
      <c r="CK69" s="331"/>
      <c r="CL69" s="322"/>
      <c r="CM69" s="332"/>
      <c r="CN69" s="333"/>
      <c r="CO69" s="333"/>
      <c r="CP69" s="333"/>
      <c r="CQ69" s="331"/>
      <c r="CR69" s="322"/>
      <c r="CS69" s="360">
        <f>+BS!CP11</f>
        <v>3005.6</v>
      </c>
      <c r="CT69" s="361">
        <f>+BS!CS11</f>
        <v>2511</v>
      </c>
      <c r="CU69" s="361">
        <f>+BS!CT11</f>
        <v>3342</v>
      </c>
      <c r="CV69" s="361">
        <f>+BS!CU11</f>
        <v>1833.5</v>
      </c>
      <c r="CW69" s="362">
        <f>+BS!CQ11</f>
        <v>3005.6</v>
      </c>
      <c r="CX69" s="322"/>
      <c r="CY69" s="360">
        <f>+BS!CV11</f>
        <v>790.8</v>
      </c>
      <c r="CZ69" s="361">
        <f>+BS!CY11</f>
        <v>664.3</v>
      </c>
      <c r="DA69" s="361">
        <f>+BS!CZ11</f>
        <v>4097.6000000000004</v>
      </c>
      <c r="DB69" s="361">
        <f>+BS!DA11</f>
        <v>971.4</v>
      </c>
      <c r="DC69" s="362">
        <f>+BS!CW11</f>
        <v>790.8</v>
      </c>
      <c r="DD69" s="322"/>
      <c r="DE69" s="360">
        <f>+BS!DB11</f>
        <v>963.7</v>
      </c>
      <c r="DF69" s="361">
        <f>+BS!DE11</f>
        <v>803.9</v>
      </c>
      <c r="DG69" s="361">
        <f>+BS!DF11</f>
        <v>726.4</v>
      </c>
      <c r="DH69" s="361">
        <f>+BS!DG11</f>
        <v>648.6</v>
      </c>
      <c r="DI69" s="362">
        <f>+BS!DC11</f>
        <v>963.7</v>
      </c>
      <c r="DJ69" s="322"/>
      <c r="DK69" s="360">
        <f>+BS!DH11</f>
        <v>630.29999999999995</v>
      </c>
      <c r="DL69" s="361">
        <f>+BS!DK11</f>
        <v>1557.2442175485717</v>
      </c>
      <c r="DM69" s="361">
        <f>+BS!DL11</f>
        <v>2632.2613277019454</v>
      </c>
      <c r="DN69" s="361">
        <f>+BS!DM11</f>
        <v>3342.997046432678</v>
      </c>
      <c r="DO69" s="362">
        <f>+BS!DI11</f>
        <v>630.29999999999995</v>
      </c>
      <c r="DP69" s="322"/>
      <c r="DQ69" s="360">
        <f>+BS!DN11</f>
        <v>4332.7964401465715</v>
      </c>
      <c r="DR69" s="361">
        <f>+BS!DQ11</f>
        <v>5275.0535640558928</v>
      </c>
      <c r="DS69" s="361">
        <f>+BS!DR11</f>
        <v>6442.3285810400466</v>
      </c>
      <c r="DT69" s="361">
        <f>+BS!DS11</f>
        <v>7207.1879142372018</v>
      </c>
      <c r="DU69" s="362">
        <f>+BS!DO11</f>
        <v>4332.7964401465715</v>
      </c>
      <c r="DV69" s="322"/>
      <c r="DW69" s="360">
        <f>+BS!DT11</f>
        <v>8265.9570668576089</v>
      </c>
      <c r="DX69" s="361">
        <f>+BS!DW11</f>
        <v>9409.2006644715584</v>
      </c>
      <c r="DY69" s="361">
        <f>+BS!DX11</f>
        <v>10664.700785721901</v>
      </c>
      <c r="DZ69" s="361">
        <f>+BS!DY11</f>
        <v>11484.683335176287</v>
      </c>
      <c r="EA69" s="362">
        <f>+BS!DU11</f>
        <v>8265.9570668576089</v>
      </c>
      <c r="EB69" s="322"/>
      <c r="EC69" s="360">
        <f>+BS!DZ11</f>
        <v>12781.991948316689</v>
      </c>
      <c r="ED69" s="361">
        <f>+BS!EC11</f>
        <v>14143.502459574598</v>
      </c>
      <c r="EE69" s="361">
        <f>+BS!ED11</f>
        <v>15670.492885724132</v>
      </c>
      <c r="EF69" s="361">
        <f>+BS!EE11</f>
        <v>16746.039576696206</v>
      </c>
      <c r="EG69" s="362">
        <f>+BS!EA11</f>
        <v>12781.991948316689</v>
      </c>
    </row>
    <row r="70" spans="1:137" ht="12.75" hidden="1" customHeight="1" outlineLevel="1" x14ac:dyDescent="0.2">
      <c r="A70" s="262" t="s">
        <v>595</v>
      </c>
      <c r="C70" s="309"/>
      <c r="E70" s="291"/>
      <c r="F70" s="270"/>
      <c r="G70" s="291"/>
      <c r="H70" s="270"/>
      <c r="I70" s="291"/>
      <c r="J70" s="270"/>
      <c r="K70" s="291"/>
      <c r="L70" s="270"/>
      <c r="M70" s="282"/>
      <c r="N70" s="274"/>
      <c r="O70" s="274"/>
      <c r="P70" s="274"/>
      <c r="Q70" s="289"/>
      <c r="R70" s="270"/>
      <c r="S70" s="282"/>
      <c r="T70" s="274"/>
      <c r="U70" s="274"/>
      <c r="V70" s="274"/>
      <c r="W70" s="289"/>
      <c r="X70" s="270"/>
      <c r="Y70" s="282"/>
      <c r="Z70" s="274"/>
      <c r="AA70" s="274"/>
      <c r="AB70" s="274"/>
      <c r="AC70" s="289"/>
      <c r="AD70" s="270"/>
      <c r="AE70" s="282"/>
      <c r="AF70" s="274"/>
      <c r="AG70" s="274"/>
      <c r="AH70" s="274"/>
      <c r="AI70" s="289"/>
      <c r="AJ70" s="270"/>
      <c r="AK70" s="282"/>
      <c r="AL70" s="274"/>
      <c r="AM70" s="274"/>
      <c r="AN70" s="274"/>
      <c r="AO70" s="289"/>
      <c r="AP70" s="270"/>
      <c r="AQ70" s="282"/>
      <c r="AR70" s="274"/>
      <c r="AS70" s="274"/>
      <c r="AT70" s="274"/>
      <c r="AU70" s="289"/>
      <c r="AV70" s="270"/>
      <c r="AW70" s="282"/>
      <c r="AX70" s="274"/>
      <c r="AY70" s="274"/>
      <c r="AZ70" s="274"/>
      <c r="BA70" s="289"/>
      <c r="BB70" s="270"/>
      <c r="BC70" s="282"/>
      <c r="BD70" s="274"/>
      <c r="BE70" s="274"/>
      <c r="BF70" s="274"/>
      <c r="BG70" s="289"/>
      <c r="BH70" s="270"/>
      <c r="BI70" s="282"/>
      <c r="BJ70" s="274"/>
      <c r="BK70" s="274"/>
      <c r="BL70" s="274"/>
      <c r="BM70" s="289"/>
      <c r="BN70" s="270"/>
      <c r="BO70" s="282"/>
      <c r="BP70" s="274"/>
      <c r="BQ70" s="274"/>
      <c r="BR70" s="274"/>
      <c r="BS70" s="289"/>
      <c r="BT70" s="270"/>
      <c r="BU70" s="282"/>
      <c r="BV70" s="274"/>
      <c r="BW70" s="274"/>
      <c r="BX70" s="274"/>
      <c r="BY70" s="289"/>
      <c r="BZ70" s="270"/>
      <c r="CA70" s="282"/>
      <c r="CB70" s="274"/>
      <c r="CC70" s="274"/>
      <c r="CD70" s="274"/>
      <c r="CE70" s="289"/>
      <c r="CF70" s="270"/>
      <c r="CG70" s="282"/>
      <c r="CH70" s="274"/>
      <c r="CI70" s="274"/>
      <c r="CJ70" s="274"/>
      <c r="CK70" s="289"/>
      <c r="CL70" s="270"/>
      <c r="CM70" s="1028"/>
      <c r="CN70" s="1029"/>
      <c r="CO70" s="1029"/>
      <c r="CP70" s="1029"/>
      <c r="CQ70" s="289"/>
      <c r="CR70" s="270"/>
      <c r="CS70" s="1030">
        <f>+BS!CS11</f>
        <v>2511</v>
      </c>
      <c r="CT70" s="1031">
        <f>+BS!CT11</f>
        <v>3342</v>
      </c>
      <c r="CU70" s="1031">
        <f>+BS!CU11</f>
        <v>1833.5</v>
      </c>
      <c r="CV70" s="1031">
        <f>+BS!CV11</f>
        <v>790.8</v>
      </c>
      <c r="CW70" s="1032">
        <f>+BS!CW11</f>
        <v>790.8</v>
      </c>
      <c r="CX70" s="270"/>
      <c r="CY70" s="1030">
        <f>+BS!CY11</f>
        <v>664.3</v>
      </c>
      <c r="CZ70" s="1031">
        <f>+BS!CZ11</f>
        <v>4097.6000000000004</v>
      </c>
      <c r="DA70" s="1031">
        <f>+BS!DA11</f>
        <v>971.4</v>
      </c>
      <c r="DB70" s="1031">
        <f>+BS!DB11</f>
        <v>963.7</v>
      </c>
      <c r="DC70" s="1032">
        <f>+BS!DC11</f>
        <v>963.7</v>
      </c>
      <c r="DD70" s="270"/>
      <c r="DE70" s="1030">
        <f>+BS!DE11</f>
        <v>803.9</v>
      </c>
      <c r="DF70" s="1031">
        <f>+BS!DF11</f>
        <v>726.4</v>
      </c>
      <c r="DG70" s="1031">
        <f>+BS!DG11</f>
        <v>648.6</v>
      </c>
      <c r="DH70" s="1031">
        <f>+BS!DH11</f>
        <v>630.29999999999995</v>
      </c>
      <c r="DI70" s="1032">
        <f>+BS!DI11</f>
        <v>630.29999999999995</v>
      </c>
      <c r="DJ70" s="270"/>
      <c r="DK70" s="1030">
        <f>+BS!DK11</f>
        <v>1557.2442175485717</v>
      </c>
      <c r="DL70" s="1031">
        <f>+BS!DL11</f>
        <v>2632.2613277019454</v>
      </c>
      <c r="DM70" s="1031">
        <f>+BS!DM11</f>
        <v>3342.997046432678</v>
      </c>
      <c r="DN70" s="1031">
        <f>+BS!DN11</f>
        <v>4332.7964401465715</v>
      </c>
      <c r="DO70" s="1032">
        <f>+BS!DO11</f>
        <v>4332.7964401465715</v>
      </c>
      <c r="DP70" s="270"/>
      <c r="DQ70" s="1030">
        <f>+BS!DQ11</f>
        <v>5275.0535640558928</v>
      </c>
      <c r="DR70" s="1031">
        <f>+BS!DR11</f>
        <v>6442.3285810400466</v>
      </c>
      <c r="DS70" s="1031">
        <f>+BS!DS11</f>
        <v>7207.1879142372018</v>
      </c>
      <c r="DT70" s="1031">
        <f>+BS!DT11</f>
        <v>8265.9570668576089</v>
      </c>
      <c r="DU70" s="1032">
        <f>+BS!DU11</f>
        <v>8265.9570668576089</v>
      </c>
      <c r="DV70" s="270"/>
      <c r="DW70" s="1030">
        <f>+BS!DW11</f>
        <v>9409.2006644715584</v>
      </c>
      <c r="DX70" s="1031">
        <f>+BS!DX11</f>
        <v>10664.700785721901</v>
      </c>
      <c r="DY70" s="1031">
        <f>+BS!DY11</f>
        <v>11484.683335176287</v>
      </c>
      <c r="DZ70" s="1031">
        <f>+BS!DZ11</f>
        <v>12781.991948316689</v>
      </c>
      <c r="EA70" s="1032">
        <f>+BS!EA11</f>
        <v>12781.991948316689</v>
      </c>
      <c r="EB70" s="270"/>
      <c r="EC70" s="1030">
        <f>+BS!EC11</f>
        <v>14143.502459574598</v>
      </c>
      <c r="ED70" s="1031">
        <f>+BS!ED11</f>
        <v>15670.492885724132</v>
      </c>
      <c r="EE70" s="1031">
        <f>+BS!EE11</f>
        <v>16746.039576696206</v>
      </c>
      <c r="EF70" s="1031">
        <f>+BS!EF11</f>
        <v>18208.562987428984</v>
      </c>
      <c r="EG70" s="1032">
        <f>+BS!EG11</f>
        <v>18208.562987428984</v>
      </c>
    </row>
    <row r="71" spans="1:137" ht="12.75" hidden="1" customHeight="1" outlineLevel="1" x14ac:dyDescent="0.2">
      <c r="A71" s="262" t="s">
        <v>596</v>
      </c>
      <c r="C71" s="309"/>
      <c r="E71" s="291"/>
      <c r="F71" s="270"/>
      <c r="G71" s="291"/>
      <c r="H71" s="270"/>
      <c r="I71" s="291"/>
      <c r="J71" s="270"/>
      <c r="K71" s="291"/>
      <c r="L71" s="270"/>
      <c r="M71" s="282"/>
      <c r="N71" s="274"/>
      <c r="O71" s="274"/>
      <c r="P71" s="274"/>
      <c r="Q71" s="289"/>
      <c r="R71" s="270"/>
      <c r="S71" s="282"/>
      <c r="T71" s="274"/>
      <c r="U71" s="274"/>
      <c r="V71" s="274"/>
      <c r="W71" s="289"/>
      <c r="X71" s="270"/>
      <c r="Y71" s="282"/>
      <c r="Z71" s="274"/>
      <c r="AA71" s="274"/>
      <c r="AB71" s="274"/>
      <c r="AC71" s="289"/>
      <c r="AD71" s="270"/>
      <c r="AE71" s="282"/>
      <c r="AF71" s="274"/>
      <c r="AG71" s="274"/>
      <c r="AH71" s="274"/>
      <c r="AI71" s="289"/>
      <c r="AJ71" s="270"/>
      <c r="AK71" s="282"/>
      <c r="AL71" s="274"/>
      <c r="AM71" s="274"/>
      <c r="AN71" s="274"/>
      <c r="AO71" s="289"/>
      <c r="AP71" s="270"/>
      <c r="AQ71" s="282"/>
      <c r="AR71" s="274"/>
      <c r="AS71" s="274"/>
      <c r="AT71" s="274"/>
      <c r="AU71" s="289"/>
      <c r="AV71" s="270"/>
      <c r="AW71" s="282"/>
      <c r="AX71" s="274"/>
      <c r="AY71" s="274"/>
      <c r="AZ71" s="274"/>
      <c r="BA71" s="289"/>
      <c r="BB71" s="270"/>
      <c r="BC71" s="282"/>
      <c r="BD71" s="274"/>
      <c r="BE71" s="274"/>
      <c r="BF71" s="274"/>
      <c r="BG71" s="289"/>
      <c r="BH71" s="270"/>
      <c r="BI71" s="282"/>
      <c r="BJ71" s="274"/>
      <c r="BK71" s="274"/>
      <c r="BL71" s="274"/>
      <c r="BM71" s="289"/>
      <c r="BN71" s="270"/>
      <c r="BO71" s="282"/>
      <c r="BP71" s="274"/>
      <c r="BQ71" s="274"/>
      <c r="BR71" s="274"/>
      <c r="BS71" s="289"/>
      <c r="BT71" s="270"/>
      <c r="BU71" s="282"/>
      <c r="BV71" s="274"/>
      <c r="BW71" s="274"/>
      <c r="BX71" s="274"/>
      <c r="BY71" s="289"/>
      <c r="BZ71" s="270"/>
      <c r="CA71" s="282"/>
      <c r="CB71" s="274"/>
      <c r="CC71" s="274"/>
      <c r="CD71" s="274"/>
      <c r="CE71" s="289"/>
      <c r="CF71" s="270"/>
      <c r="CG71" s="282"/>
      <c r="CH71" s="274"/>
      <c r="CI71" s="274"/>
      <c r="CJ71" s="274"/>
      <c r="CK71" s="289"/>
      <c r="CL71" s="270"/>
      <c r="CM71" s="1028"/>
      <c r="CN71" s="1029"/>
      <c r="CO71" s="1029"/>
      <c r="CP71" s="1029"/>
      <c r="CQ71" s="289"/>
      <c r="CR71" s="270"/>
      <c r="CS71" s="282">
        <f>+AVERAGE(CS69:CS70)</f>
        <v>2758.3</v>
      </c>
      <c r="CT71" s="274">
        <f t="shared" ref="CT71:CW71" si="193">+AVERAGE(CT69:CT70)</f>
        <v>2926.5</v>
      </c>
      <c r="CU71" s="274">
        <f t="shared" si="193"/>
        <v>2587.75</v>
      </c>
      <c r="CV71" s="274">
        <f t="shared" si="193"/>
        <v>1312.15</v>
      </c>
      <c r="CW71" s="289">
        <f t="shared" si="193"/>
        <v>1898.1999999999998</v>
      </c>
      <c r="CX71" s="270"/>
      <c r="CY71" s="282">
        <f t="shared" ref="CY71" si="194">+AVERAGE(CY69:CY70)</f>
        <v>727.55</v>
      </c>
      <c r="CZ71" s="274">
        <f t="shared" ref="CZ71" si="195">+AVERAGE(CZ69:CZ70)</f>
        <v>2380.9500000000003</v>
      </c>
      <c r="DA71" s="274">
        <f t="shared" ref="DA71" si="196">+AVERAGE(DA69:DA70)</f>
        <v>2534.5</v>
      </c>
      <c r="DB71" s="274">
        <f t="shared" ref="DB71" si="197">+AVERAGE(DB69:DB70)</f>
        <v>967.55</v>
      </c>
      <c r="DC71" s="289">
        <f t="shared" ref="DC71" si="198">+AVERAGE(DC69:DC70)</f>
        <v>877.25</v>
      </c>
      <c r="DD71" s="270"/>
      <c r="DE71" s="282">
        <f t="shared" ref="DE71" si="199">+AVERAGE(DE69:DE70)</f>
        <v>883.8</v>
      </c>
      <c r="DF71" s="274">
        <f t="shared" ref="DF71" si="200">+AVERAGE(DF69:DF70)</f>
        <v>765.15</v>
      </c>
      <c r="DG71" s="274">
        <f t="shared" ref="DG71" si="201">+AVERAGE(DG69:DG70)</f>
        <v>687.5</v>
      </c>
      <c r="DH71" s="274">
        <f t="shared" ref="DH71" si="202">+AVERAGE(DH69:DH70)</f>
        <v>639.45000000000005</v>
      </c>
      <c r="DI71" s="289">
        <f t="shared" ref="DI71" si="203">+AVERAGE(DI69:DI70)</f>
        <v>797</v>
      </c>
      <c r="DJ71" s="270"/>
      <c r="DK71" s="282">
        <f t="shared" ref="DK71" si="204">+AVERAGE(DK69:DK70)</f>
        <v>1093.7721087742857</v>
      </c>
      <c r="DL71" s="274">
        <f t="shared" ref="DL71" si="205">+AVERAGE(DL69:DL70)</f>
        <v>2094.7527726252583</v>
      </c>
      <c r="DM71" s="274">
        <f t="shared" ref="DM71" si="206">+AVERAGE(DM69:DM70)</f>
        <v>2987.6291870673117</v>
      </c>
      <c r="DN71" s="274">
        <f t="shared" ref="DN71" si="207">+AVERAGE(DN69:DN70)</f>
        <v>3837.8967432896247</v>
      </c>
      <c r="DO71" s="289">
        <f t="shared" ref="DO71" si="208">+AVERAGE(DO69:DO70)</f>
        <v>2481.5482200732858</v>
      </c>
      <c r="DP71" s="270"/>
      <c r="DQ71" s="282">
        <f t="shared" ref="DQ71" si="209">+AVERAGE(DQ69:DQ70)</f>
        <v>4803.9250021012322</v>
      </c>
      <c r="DR71" s="274">
        <f t="shared" ref="DR71" si="210">+AVERAGE(DR69:DR70)</f>
        <v>5858.6910725479702</v>
      </c>
      <c r="DS71" s="274">
        <f t="shared" ref="DS71" si="211">+AVERAGE(DS69:DS70)</f>
        <v>6824.7582476386242</v>
      </c>
      <c r="DT71" s="274">
        <f t="shared" ref="DT71" si="212">+AVERAGE(DT69:DT70)</f>
        <v>7736.5724905474053</v>
      </c>
      <c r="DU71" s="289">
        <f t="shared" ref="DU71" si="213">+AVERAGE(DU69:DU70)</f>
        <v>6299.3767535020907</v>
      </c>
      <c r="DV71" s="270"/>
      <c r="DW71" s="282">
        <f t="shared" ref="DW71:EA71" si="214">+AVERAGE(DW69:DW70)</f>
        <v>8837.5788656645836</v>
      </c>
      <c r="DX71" s="274">
        <f t="shared" si="214"/>
        <v>10036.950725096729</v>
      </c>
      <c r="DY71" s="274">
        <f t="shared" si="214"/>
        <v>11074.692060449095</v>
      </c>
      <c r="DZ71" s="274">
        <f t="shared" si="214"/>
        <v>12133.337641746488</v>
      </c>
      <c r="EA71" s="289">
        <f t="shared" si="214"/>
        <v>10523.974507587149</v>
      </c>
      <c r="EB71" s="270"/>
      <c r="EC71" s="282">
        <f t="shared" ref="EC71:EG71" si="215">+AVERAGE(EC69:EC70)</f>
        <v>13462.747203945644</v>
      </c>
      <c r="ED71" s="274">
        <f t="shared" si="215"/>
        <v>14906.997672649366</v>
      </c>
      <c r="EE71" s="274">
        <f t="shared" si="215"/>
        <v>16208.266231210169</v>
      </c>
      <c r="EF71" s="274">
        <f t="shared" si="215"/>
        <v>17477.301282062595</v>
      </c>
      <c r="EG71" s="289">
        <f t="shared" si="215"/>
        <v>15495.277467872836</v>
      </c>
    </row>
    <row r="72" spans="1:137" ht="12.75" customHeight="1" collapsed="1" x14ac:dyDescent="0.2">
      <c r="A72" s="262" t="s">
        <v>156</v>
      </c>
      <c r="C72" s="309"/>
      <c r="E72" s="291"/>
      <c r="F72" s="270"/>
      <c r="G72" s="291"/>
      <c r="H72" s="270"/>
      <c r="I72" s="291"/>
      <c r="J72" s="270"/>
      <c r="K72" s="291"/>
      <c r="L72" s="270"/>
      <c r="M72" s="284"/>
      <c r="N72" s="270"/>
      <c r="O72" s="270"/>
      <c r="P72" s="270"/>
      <c r="Q72" s="291"/>
      <c r="R72" s="270"/>
      <c r="S72" s="284"/>
      <c r="T72" s="270"/>
      <c r="U72" s="270"/>
      <c r="V72" s="270"/>
      <c r="W72" s="291"/>
      <c r="X72" s="270"/>
      <c r="Y72" s="284"/>
      <c r="Z72" s="270"/>
      <c r="AA72" s="270"/>
      <c r="AB72" s="270"/>
      <c r="AC72" s="291"/>
      <c r="AD72" s="270"/>
      <c r="AE72" s="284"/>
      <c r="AF72" s="270"/>
      <c r="AG72" s="270"/>
      <c r="AH72" s="270"/>
      <c r="AI72" s="291"/>
      <c r="AJ72" s="270"/>
      <c r="AK72" s="284"/>
      <c r="AL72" s="270"/>
      <c r="AM72" s="270"/>
      <c r="AN72" s="270"/>
      <c r="AO72" s="291"/>
      <c r="AP72" s="270"/>
      <c r="AQ72" s="284"/>
      <c r="AR72" s="270"/>
      <c r="AS72" s="270"/>
      <c r="AT72" s="270"/>
      <c r="AU72" s="291"/>
      <c r="AV72" s="270"/>
      <c r="AW72" s="284"/>
      <c r="AX72" s="270"/>
      <c r="AY72" s="270"/>
      <c r="AZ72" s="270"/>
      <c r="BA72" s="291"/>
      <c r="BB72" s="270"/>
      <c r="BC72" s="284"/>
      <c r="BD72" s="270"/>
      <c r="BE72" s="270"/>
      <c r="BF72" s="270"/>
      <c r="BG72" s="291"/>
      <c r="BH72" s="270"/>
      <c r="BI72" s="284"/>
      <c r="BJ72" s="270"/>
      <c r="BK72" s="270"/>
      <c r="BL72" s="270"/>
      <c r="BM72" s="291"/>
      <c r="BN72" s="270"/>
      <c r="BO72" s="284"/>
      <c r="BP72" s="270"/>
      <c r="BQ72" s="270"/>
      <c r="BR72" s="270"/>
      <c r="BS72" s="291"/>
      <c r="BT72" s="270"/>
      <c r="BU72" s="284"/>
      <c r="BV72" s="270"/>
      <c r="BW72" s="270"/>
      <c r="BX72" s="270"/>
      <c r="BY72" s="291"/>
      <c r="BZ72" s="270"/>
      <c r="CA72" s="284"/>
      <c r="CB72" s="270"/>
      <c r="CC72" s="270"/>
      <c r="CD72" s="270"/>
      <c r="CE72" s="291"/>
      <c r="CF72" s="270"/>
      <c r="CG72" s="284"/>
      <c r="CH72" s="270"/>
      <c r="CI72" s="270"/>
      <c r="CJ72" s="270"/>
      <c r="CK72" s="291"/>
      <c r="CL72" s="270"/>
      <c r="CM72" s="294"/>
      <c r="CN72" s="279"/>
      <c r="CO72" s="279"/>
      <c r="CP72" s="279"/>
      <c r="CQ72" s="291"/>
      <c r="CR72" s="270"/>
      <c r="CS72" s="294">
        <f>+'Pro Forma IS'!CS23</f>
        <v>0</v>
      </c>
      <c r="CT72" s="279">
        <f>+'Pro Forma IS'!CT23</f>
        <v>0</v>
      </c>
      <c r="CU72" s="279">
        <f>+'Pro Forma IS'!CU23</f>
        <v>0</v>
      </c>
      <c r="CV72" s="279">
        <f>+'Pro Forma IS'!CV23</f>
        <v>0</v>
      </c>
      <c r="CW72" s="291">
        <f>SUM(CS72:CV72)</f>
        <v>0</v>
      </c>
      <c r="CX72" s="270"/>
      <c r="CY72" s="294">
        <f>+'Pro Forma IS'!CY23</f>
        <v>0</v>
      </c>
      <c r="CZ72" s="279">
        <f>+'Pro Forma IS'!CZ23</f>
        <v>0</v>
      </c>
      <c r="DA72" s="279">
        <f>+'Pro Forma IS'!DA23</f>
        <v>0.1</v>
      </c>
      <c r="DB72" s="279">
        <f>+'Pro Forma IS'!DB23</f>
        <v>0.1</v>
      </c>
      <c r="DC72" s="291">
        <f>SUM(CY72:DB72)</f>
        <v>0.2</v>
      </c>
      <c r="DD72" s="270"/>
      <c r="DE72" s="1038">
        <f>+'Pro Forma IS'!DE23</f>
        <v>1.6</v>
      </c>
      <c r="DF72" s="1033">
        <f>+'Pro Forma IS'!DF23</f>
        <v>1.8</v>
      </c>
      <c r="DG72" s="1033">
        <f>+'Pro Forma IS'!DG23</f>
        <v>2.2000000000000002</v>
      </c>
      <c r="DH72" s="1033">
        <f>+'Pro Forma IS'!DH23</f>
        <v>1.9</v>
      </c>
      <c r="DI72" s="291">
        <f>SUM(DE72:DH72)</f>
        <v>7.5</v>
      </c>
      <c r="DJ72" s="270"/>
      <c r="DK72" s="284">
        <f t="shared" ref="DK72:DN72" si="216">+DK69*DK73/4</f>
        <v>1.57575</v>
      </c>
      <c r="DL72" s="270">
        <f t="shared" si="216"/>
        <v>3.8931105438714293</v>
      </c>
      <c r="DM72" s="270">
        <f t="shared" si="216"/>
        <v>6.5806533192548642</v>
      </c>
      <c r="DN72" s="270">
        <f t="shared" si="216"/>
        <v>8.3574926160816947</v>
      </c>
      <c r="DO72" s="291">
        <f t="shared" ref="DO72" si="217">SUM(DK72:DN72)</f>
        <v>20.407006479207986</v>
      </c>
      <c r="DP72" s="270"/>
      <c r="DQ72" s="284">
        <f t="shared" ref="DQ72:DT72" si="218">+DQ69*DQ73/4</f>
        <v>16.247986650549642</v>
      </c>
      <c r="DR72" s="270">
        <f t="shared" si="218"/>
        <v>19.781450865209596</v>
      </c>
      <c r="DS72" s="270">
        <f t="shared" si="218"/>
        <v>24.158732178900173</v>
      </c>
      <c r="DT72" s="270">
        <f t="shared" si="218"/>
        <v>27.026954678389504</v>
      </c>
      <c r="DU72" s="291">
        <f t="shared" ref="DU72" si="219">SUM(DQ72:DT72)</f>
        <v>87.215124373048923</v>
      </c>
      <c r="DV72" s="270"/>
      <c r="DW72" s="284">
        <f t="shared" ref="DW72:DZ72" si="220">+DW69*DW73/4</f>
        <v>30.997339000716032</v>
      </c>
      <c r="DX72" s="270">
        <f t="shared" si="220"/>
        <v>35.284502491768343</v>
      </c>
      <c r="DY72" s="270">
        <f t="shared" si="220"/>
        <v>39.992627946457127</v>
      </c>
      <c r="DZ72" s="270">
        <f t="shared" si="220"/>
        <v>229.69366670352574</v>
      </c>
      <c r="EA72" s="291">
        <f t="shared" ref="EA72" si="221">SUM(DW72:DZ72)</f>
        <v>335.96813614246724</v>
      </c>
      <c r="EB72" s="270"/>
      <c r="EC72" s="284">
        <f t="shared" ref="EC72:EF72" si="222">+EC69*EC73/4</f>
        <v>255.63983896633377</v>
      </c>
      <c r="ED72" s="270">
        <f t="shared" si="222"/>
        <v>282.87004919149194</v>
      </c>
      <c r="EE72" s="270">
        <f t="shared" si="222"/>
        <v>313.40985771448265</v>
      </c>
      <c r="EF72" s="270">
        <f t="shared" si="222"/>
        <v>334.92079153392416</v>
      </c>
      <c r="EG72" s="291">
        <f t="shared" ref="EG72" si="223">SUM(EC72:EF72)</f>
        <v>1186.8405374062324</v>
      </c>
    </row>
    <row r="73" spans="1:137" ht="12.75" customHeight="1" x14ac:dyDescent="0.2">
      <c r="A73" s="263" t="s">
        <v>323</v>
      </c>
      <c r="B73" s="265"/>
      <c r="C73" s="310"/>
      <c r="D73" s="265"/>
      <c r="E73" s="295"/>
      <c r="F73" s="286"/>
      <c r="G73" s="295"/>
      <c r="H73" s="286"/>
      <c r="I73" s="295"/>
      <c r="J73" s="286"/>
      <c r="K73" s="295"/>
      <c r="L73" s="286"/>
      <c r="M73" s="285"/>
      <c r="N73" s="286"/>
      <c r="O73" s="286"/>
      <c r="P73" s="286"/>
      <c r="Q73" s="292"/>
      <c r="R73" s="286"/>
      <c r="S73" s="285"/>
      <c r="T73" s="286"/>
      <c r="U73" s="286"/>
      <c r="V73" s="286"/>
      <c r="W73" s="292"/>
      <c r="X73" s="286"/>
      <c r="Y73" s="285"/>
      <c r="Z73" s="286"/>
      <c r="AA73" s="286"/>
      <c r="AB73" s="286"/>
      <c r="AC73" s="292"/>
      <c r="AD73" s="286"/>
      <c r="AE73" s="285"/>
      <c r="AF73" s="286"/>
      <c r="AG73" s="286"/>
      <c r="AH73" s="286"/>
      <c r="AI73" s="292"/>
      <c r="AJ73" s="286"/>
      <c r="AK73" s="285"/>
      <c r="AL73" s="286"/>
      <c r="AM73" s="286"/>
      <c r="AN73" s="286"/>
      <c r="AO73" s="292"/>
      <c r="AP73" s="286"/>
      <c r="AQ73" s="285"/>
      <c r="AR73" s="286"/>
      <c r="AS73" s="286"/>
      <c r="AT73" s="286"/>
      <c r="AU73" s="292"/>
      <c r="AV73" s="286"/>
      <c r="AW73" s="285"/>
      <c r="AX73" s="286"/>
      <c r="AY73" s="286"/>
      <c r="AZ73" s="286"/>
      <c r="BA73" s="292"/>
      <c r="BB73" s="286"/>
      <c r="BC73" s="285"/>
      <c r="BD73" s="286"/>
      <c r="BE73" s="286"/>
      <c r="BF73" s="286"/>
      <c r="BG73" s="292"/>
      <c r="BH73" s="286"/>
      <c r="BI73" s="285"/>
      <c r="BJ73" s="286"/>
      <c r="BK73" s="286"/>
      <c r="BL73" s="286"/>
      <c r="BM73" s="292"/>
      <c r="BN73" s="286"/>
      <c r="BO73" s="285"/>
      <c r="BP73" s="286"/>
      <c r="BQ73" s="286"/>
      <c r="BR73" s="286"/>
      <c r="BS73" s="292"/>
      <c r="BT73" s="286"/>
      <c r="BU73" s="285"/>
      <c r="BV73" s="286"/>
      <c r="BW73" s="286"/>
      <c r="BX73" s="286"/>
      <c r="BY73" s="292"/>
      <c r="BZ73" s="286"/>
      <c r="CA73" s="285"/>
      <c r="CB73" s="286"/>
      <c r="CC73" s="286"/>
      <c r="CD73" s="286"/>
      <c r="CE73" s="292"/>
      <c r="CF73" s="286"/>
      <c r="CG73" s="285"/>
      <c r="CH73" s="286"/>
      <c r="CI73" s="286"/>
      <c r="CJ73" s="286"/>
      <c r="CK73" s="292"/>
      <c r="CL73" s="286"/>
      <c r="CM73" s="212"/>
      <c r="CN73" s="157"/>
      <c r="CO73" s="157"/>
      <c r="CP73" s="157"/>
      <c r="CQ73" s="214"/>
      <c r="CR73" s="286"/>
      <c r="CS73" s="212">
        <f t="shared" ref="CS73:CV73" si="224">(CS72*4)/CS69</f>
        <v>0</v>
      </c>
      <c r="CT73" s="157">
        <f t="shared" si="224"/>
        <v>0</v>
      </c>
      <c r="CU73" s="157">
        <f t="shared" si="224"/>
        <v>0</v>
      </c>
      <c r="CV73" s="157">
        <f t="shared" si="224"/>
        <v>0</v>
      </c>
      <c r="CW73" s="214">
        <f>(CW72)/CW71</f>
        <v>0</v>
      </c>
      <c r="CX73" s="286"/>
      <c r="CY73" s="212">
        <f t="shared" ref="CY73" si="225">(CY72*4)/CY69</f>
        <v>0</v>
      </c>
      <c r="CZ73" s="157">
        <f t="shared" ref="CZ73" si="226">(CZ72*4)/CZ69</f>
        <v>0</v>
      </c>
      <c r="DA73" s="157">
        <f t="shared" ref="DA73" si="227">(DA72*4)/DA69</f>
        <v>9.7618117922686453E-5</v>
      </c>
      <c r="DB73" s="157">
        <f t="shared" ref="DB73" si="228">(DB72*4)/DB69</f>
        <v>4.1177681696520489E-4</v>
      </c>
      <c r="DC73" s="214">
        <f t="shared" ref="DC73" si="229">(DC72)/DC71</f>
        <v>2.2798518096323739E-4</v>
      </c>
      <c r="DD73" s="286"/>
      <c r="DE73" s="212">
        <f t="shared" ref="DE73" si="230">(DE72*4)/DE69</f>
        <v>6.6410708726782194E-3</v>
      </c>
      <c r="DF73" s="157">
        <f t="shared" ref="DF73" si="231">(DF72*4)/DF69</f>
        <v>8.9563378529667875E-3</v>
      </c>
      <c r="DG73" s="157">
        <f t="shared" ref="DG73" si="232">(DG72*4)/DG69</f>
        <v>1.2114537444933923E-2</v>
      </c>
      <c r="DH73" s="157">
        <f t="shared" ref="DH73" si="233">(DH72*4)/DH69</f>
        <v>1.1717545482577859E-2</v>
      </c>
      <c r="DI73" s="214">
        <f>(DI72)/DI69</f>
        <v>7.7825049289197883E-3</v>
      </c>
      <c r="DJ73" s="286"/>
      <c r="DK73" s="363">
        <v>0.01</v>
      </c>
      <c r="DL73" s="364">
        <f>DK73</f>
        <v>0.01</v>
      </c>
      <c r="DM73" s="364">
        <f>+DL73</f>
        <v>0.01</v>
      </c>
      <c r="DN73" s="364">
        <f>+DM73</f>
        <v>0.01</v>
      </c>
      <c r="DO73" s="214">
        <f>+DN73</f>
        <v>0.01</v>
      </c>
      <c r="DP73" s="286"/>
      <c r="DQ73" s="363">
        <v>1.4999999999999999E-2</v>
      </c>
      <c r="DR73" s="364">
        <f>DQ73</f>
        <v>1.4999999999999999E-2</v>
      </c>
      <c r="DS73" s="364">
        <f>+DR73</f>
        <v>1.4999999999999999E-2</v>
      </c>
      <c r="DT73" s="364">
        <f t="shared" ref="DT73:DU73" si="234">+DS73</f>
        <v>1.4999999999999999E-2</v>
      </c>
      <c r="DU73" s="214">
        <f t="shared" si="234"/>
        <v>1.4999999999999999E-2</v>
      </c>
      <c r="DV73" s="286"/>
      <c r="DW73" s="363">
        <v>1.4999999999999999E-2</v>
      </c>
      <c r="DX73" s="364">
        <f t="shared" ref="DX73" si="235">+DW73</f>
        <v>1.4999999999999999E-2</v>
      </c>
      <c r="DY73" s="364">
        <f t="shared" ref="DY73" si="236">+DX73</f>
        <v>1.4999999999999999E-2</v>
      </c>
      <c r="DZ73" s="364">
        <v>0.08</v>
      </c>
      <c r="EA73" s="214">
        <f t="shared" ref="EA73" si="237">+DZ73</f>
        <v>0.08</v>
      </c>
      <c r="EB73" s="286"/>
      <c r="EC73" s="363">
        <v>0.08</v>
      </c>
      <c r="ED73" s="364">
        <f t="shared" ref="ED73" si="238">+EC73</f>
        <v>0.08</v>
      </c>
      <c r="EE73" s="364">
        <f t="shared" ref="EE73" si="239">+ED73</f>
        <v>0.08</v>
      </c>
      <c r="EF73" s="364">
        <f t="shared" ref="EF73" si="240">+EE73</f>
        <v>0.08</v>
      </c>
      <c r="EG73" s="214">
        <f t="shared" ref="EG73" si="241">+EF73</f>
        <v>0.08</v>
      </c>
    </row>
    <row r="74" spans="1:137" ht="12.75" customHeight="1" x14ac:dyDescent="0.2">
      <c r="A74" s="262"/>
      <c r="B74" s="258"/>
      <c r="C74" s="301"/>
      <c r="E74" s="287"/>
      <c r="F74" s="270"/>
      <c r="G74" s="287"/>
      <c r="H74" s="270"/>
      <c r="I74" s="287"/>
      <c r="J74" s="270"/>
      <c r="K74" s="287"/>
      <c r="L74" s="270"/>
      <c r="M74" s="280"/>
      <c r="N74" s="269"/>
      <c r="O74" s="269"/>
      <c r="P74" s="269"/>
      <c r="Q74" s="287"/>
      <c r="R74" s="270"/>
      <c r="S74" s="280"/>
      <c r="T74" s="269"/>
      <c r="U74" s="269"/>
      <c r="V74" s="269"/>
      <c r="W74" s="287"/>
      <c r="X74" s="270"/>
      <c r="Y74" s="280"/>
      <c r="Z74" s="269"/>
      <c r="AA74" s="269"/>
      <c r="AB74" s="269"/>
      <c r="AC74" s="287"/>
      <c r="AD74" s="270"/>
      <c r="AE74" s="280"/>
      <c r="AF74" s="269"/>
      <c r="AG74" s="269"/>
      <c r="AH74" s="269"/>
      <c r="AI74" s="287"/>
      <c r="AJ74" s="270"/>
      <c r="AK74" s="280"/>
      <c r="AL74" s="269"/>
      <c r="AM74" s="269"/>
      <c r="AN74" s="269"/>
      <c r="AO74" s="287"/>
      <c r="AP74" s="270"/>
      <c r="AQ74" s="280"/>
      <c r="AR74" s="269"/>
      <c r="AS74" s="269"/>
      <c r="AT74" s="269"/>
      <c r="AU74" s="287"/>
      <c r="AV74" s="270"/>
      <c r="AW74" s="280"/>
      <c r="AX74" s="269"/>
      <c r="AY74" s="269"/>
      <c r="AZ74" s="269"/>
      <c r="BA74" s="287"/>
      <c r="BB74" s="270"/>
      <c r="BC74" s="280"/>
      <c r="BD74" s="269"/>
      <c r="BE74" s="269"/>
      <c r="BF74" s="269"/>
      <c r="BG74" s="287"/>
      <c r="BH74" s="270"/>
      <c r="BI74" s="280"/>
      <c r="BJ74" s="269"/>
      <c r="BK74" s="269"/>
      <c r="BL74" s="269"/>
      <c r="BM74" s="287"/>
      <c r="BN74" s="270"/>
      <c r="BO74" s="280"/>
      <c r="BP74" s="269"/>
      <c r="BQ74" s="269"/>
      <c r="BR74" s="269"/>
      <c r="BS74" s="287"/>
      <c r="BT74" s="270"/>
      <c r="BU74" s="280"/>
      <c r="BV74" s="269"/>
      <c r="BW74" s="269"/>
      <c r="BX74" s="269"/>
      <c r="BY74" s="287"/>
      <c r="BZ74" s="270"/>
      <c r="CA74" s="280"/>
      <c r="CB74" s="269"/>
      <c r="CC74" s="269"/>
      <c r="CD74" s="269"/>
      <c r="CE74" s="287"/>
      <c r="CF74" s="270"/>
      <c r="CG74" s="280"/>
      <c r="CH74" s="269"/>
      <c r="CI74" s="269"/>
      <c r="CJ74" s="269"/>
      <c r="CK74" s="287"/>
      <c r="CL74" s="270"/>
      <c r="CM74" s="280"/>
      <c r="CN74" s="269"/>
      <c r="CO74" s="269"/>
      <c r="CP74" s="269"/>
      <c r="CQ74" s="287"/>
      <c r="CR74" s="270"/>
      <c r="CS74" s="280"/>
      <c r="CT74" s="269"/>
      <c r="CU74" s="269"/>
      <c r="CV74" s="269"/>
      <c r="CW74" s="287"/>
      <c r="CX74" s="270"/>
      <c r="CY74" s="280"/>
      <c r="CZ74" s="269"/>
      <c r="DA74" s="269"/>
      <c r="DB74" s="269"/>
      <c r="DC74" s="287"/>
      <c r="DD74" s="270"/>
      <c r="DE74" s="280"/>
      <c r="DF74" s="269"/>
      <c r="DG74" s="269"/>
      <c r="DH74" s="269"/>
      <c r="DI74" s="287"/>
      <c r="DJ74" s="270"/>
      <c r="DK74" s="280"/>
      <c r="DL74" s="269"/>
      <c r="DM74" s="269"/>
      <c r="DN74" s="269"/>
      <c r="DO74" s="287"/>
      <c r="DP74" s="270"/>
      <c r="DQ74" s="280"/>
      <c r="DR74" s="269"/>
      <c r="DS74" s="269"/>
      <c r="DT74" s="269"/>
      <c r="DU74" s="287"/>
      <c r="DV74" s="270"/>
      <c r="DW74" s="280"/>
      <c r="DX74" s="269"/>
      <c r="DY74" s="269"/>
      <c r="DZ74" s="269"/>
      <c r="EA74" s="287"/>
      <c r="EB74" s="270"/>
      <c r="EC74" s="280"/>
      <c r="ED74" s="269"/>
      <c r="EE74" s="269"/>
      <c r="EF74" s="269"/>
      <c r="EG74" s="287"/>
    </row>
    <row r="75" spans="1:137" ht="12.75" customHeight="1" x14ac:dyDescent="0.2">
      <c r="A75" s="297" t="s">
        <v>597</v>
      </c>
      <c r="B75" s="258"/>
      <c r="C75" s="301"/>
      <c r="E75" s="287"/>
      <c r="F75" s="270"/>
      <c r="G75" s="287"/>
      <c r="H75" s="270"/>
      <c r="I75" s="287"/>
      <c r="J75" s="270"/>
      <c r="K75" s="287"/>
      <c r="L75" s="270"/>
      <c r="M75" s="280"/>
      <c r="N75" s="269"/>
      <c r="O75" s="269"/>
      <c r="P75" s="269"/>
      <c r="Q75" s="287"/>
      <c r="R75" s="270"/>
      <c r="S75" s="280"/>
      <c r="T75" s="269"/>
      <c r="U75" s="269"/>
      <c r="V75" s="269"/>
      <c r="W75" s="287"/>
      <c r="X75" s="270"/>
      <c r="Y75" s="280"/>
      <c r="Z75" s="269"/>
      <c r="AA75" s="269"/>
      <c r="AB75" s="269"/>
      <c r="AC75" s="287"/>
      <c r="AD75" s="270"/>
      <c r="AE75" s="280"/>
      <c r="AF75" s="269"/>
      <c r="AG75" s="269"/>
      <c r="AH75" s="269"/>
      <c r="AI75" s="287"/>
      <c r="AJ75" s="270"/>
      <c r="AK75" s="280"/>
      <c r="AL75" s="269"/>
      <c r="AM75" s="269"/>
      <c r="AN75" s="269"/>
      <c r="AO75" s="287"/>
      <c r="AP75" s="270"/>
      <c r="AQ75" s="280"/>
      <c r="AR75" s="269"/>
      <c r="AS75" s="269"/>
      <c r="AT75" s="269"/>
      <c r="AU75" s="287"/>
      <c r="AV75" s="270"/>
      <c r="AW75" s="280"/>
      <c r="AX75" s="269"/>
      <c r="AY75" s="269"/>
      <c r="AZ75" s="269"/>
      <c r="BA75" s="287"/>
      <c r="BB75" s="270"/>
      <c r="BC75" s="280"/>
      <c r="BD75" s="269"/>
      <c r="BE75" s="269"/>
      <c r="BF75" s="269"/>
      <c r="BG75" s="287"/>
      <c r="BH75" s="270"/>
      <c r="BI75" s="280"/>
      <c r="BJ75" s="269"/>
      <c r="BK75" s="269"/>
      <c r="BL75" s="269"/>
      <c r="BM75" s="287"/>
      <c r="BN75" s="270"/>
      <c r="BO75" s="280"/>
      <c r="BP75" s="269"/>
      <c r="BQ75" s="269"/>
      <c r="BR75" s="269"/>
      <c r="BS75" s="287"/>
      <c r="BT75" s="270"/>
      <c r="BU75" s="280"/>
      <c r="BV75" s="269"/>
      <c r="BW75" s="269"/>
      <c r="BX75" s="269"/>
      <c r="BY75" s="287"/>
      <c r="BZ75" s="270"/>
      <c r="CA75" s="280"/>
      <c r="CB75" s="269"/>
      <c r="CC75" s="269"/>
      <c r="CD75" s="269"/>
      <c r="CE75" s="287"/>
      <c r="CF75" s="270"/>
      <c r="CG75" s="280"/>
      <c r="CH75" s="269"/>
      <c r="CI75" s="269"/>
      <c r="CJ75" s="269"/>
      <c r="CK75" s="287"/>
      <c r="CL75" s="270"/>
      <c r="CM75" s="280"/>
      <c r="CN75" s="269"/>
      <c r="CO75" s="269"/>
      <c r="CP75" s="269"/>
      <c r="CQ75" s="287"/>
      <c r="CR75" s="270"/>
      <c r="CS75" s="280"/>
      <c r="CT75" s="269"/>
      <c r="CU75" s="269"/>
      <c r="CV75" s="269"/>
      <c r="CW75" s="287"/>
      <c r="CX75" s="270"/>
      <c r="CY75" s="280"/>
      <c r="CZ75" s="269"/>
      <c r="DA75" s="269"/>
      <c r="DB75" s="269"/>
      <c r="DC75" s="287"/>
      <c r="DD75" s="270"/>
      <c r="DE75" s="280"/>
      <c r="DF75" s="269"/>
      <c r="DG75" s="269"/>
      <c r="DH75" s="269"/>
      <c r="DI75" s="287"/>
      <c r="DJ75" s="270"/>
      <c r="DK75" s="280"/>
      <c r="DL75" s="269"/>
      <c r="DM75" s="269"/>
      <c r="DN75" s="269"/>
      <c r="DO75" s="287"/>
      <c r="DP75" s="270"/>
      <c r="DQ75" s="280"/>
      <c r="DR75" s="269"/>
      <c r="DS75" s="269"/>
      <c r="DT75" s="269"/>
      <c r="DU75" s="287"/>
      <c r="DV75" s="270"/>
      <c r="DW75" s="280"/>
      <c r="DX75" s="269"/>
      <c r="DY75" s="269"/>
      <c r="DZ75" s="269"/>
      <c r="EA75" s="287"/>
      <c r="EB75" s="270"/>
      <c r="EC75" s="280"/>
      <c r="ED75" s="269"/>
      <c r="EE75" s="269"/>
      <c r="EF75" s="269"/>
      <c r="EG75" s="287"/>
    </row>
    <row r="76" spans="1:137" ht="12.75" customHeight="1" x14ac:dyDescent="0.2">
      <c r="A76" s="261" t="s">
        <v>251</v>
      </c>
      <c r="B76" s="264"/>
      <c r="C76" s="296"/>
      <c r="D76" s="264"/>
      <c r="E76" s="328"/>
      <c r="F76" s="322"/>
      <c r="G76" s="328"/>
      <c r="H76" s="322"/>
      <c r="I76" s="328"/>
      <c r="J76" s="322"/>
      <c r="K76" s="328"/>
      <c r="L76" s="322"/>
      <c r="M76" s="329"/>
      <c r="N76" s="330"/>
      <c r="O76" s="330"/>
      <c r="P76" s="330"/>
      <c r="Q76" s="331"/>
      <c r="R76" s="322"/>
      <c r="S76" s="329"/>
      <c r="T76" s="330"/>
      <c r="U76" s="330"/>
      <c r="V76" s="330"/>
      <c r="W76" s="331"/>
      <c r="X76" s="322"/>
      <c r="Y76" s="329"/>
      <c r="Z76" s="330"/>
      <c r="AA76" s="330"/>
      <c r="AB76" s="330"/>
      <c r="AC76" s="331"/>
      <c r="AD76" s="322"/>
      <c r="AE76" s="329"/>
      <c r="AF76" s="330"/>
      <c r="AG76" s="330"/>
      <c r="AH76" s="330"/>
      <c r="AI76" s="331"/>
      <c r="AJ76" s="322"/>
      <c r="AK76" s="329"/>
      <c r="AL76" s="330"/>
      <c r="AM76" s="330"/>
      <c r="AN76" s="330"/>
      <c r="AO76" s="331"/>
      <c r="AP76" s="322"/>
      <c r="AQ76" s="329"/>
      <c r="AR76" s="330"/>
      <c r="AS76" s="330"/>
      <c r="AT76" s="330"/>
      <c r="AU76" s="331"/>
      <c r="AV76" s="322"/>
      <c r="AW76" s="329"/>
      <c r="AX76" s="330"/>
      <c r="AY76" s="330"/>
      <c r="AZ76" s="330"/>
      <c r="BA76" s="331"/>
      <c r="BB76" s="322"/>
      <c r="BC76" s="329"/>
      <c r="BD76" s="330"/>
      <c r="BE76" s="330"/>
      <c r="BF76" s="330"/>
      <c r="BG76" s="331"/>
      <c r="BH76" s="322"/>
      <c r="BI76" s="329"/>
      <c r="BJ76" s="330"/>
      <c r="BK76" s="330"/>
      <c r="BL76" s="330"/>
      <c r="BM76" s="331"/>
      <c r="BN76" s="322"/>
      <c r="BO76" s="329"/>
      <c r="BP76" s="330"/>
      <c r="BQ76" s="330"/>
      <c r="BR76" s="330"/>
      <c r="BS76" s="331"/>
      <c r="BT76" s="322"/>
      <c r="BU76" s="329"/>
      <c r="BV76" s="330"/>
      <c r="BW76" s="330"/>
      <c r="BX76" s="330"/>
      <c r="BY76" s="331"/>
      <c r="BZ76" s="322"/>
      <c r="CA76" s="329"/>
      <c r="CB76" s="330"/>
      <c r="CC76" s="330"/>
      <c r="CD76" s="330"/>
      <c r="CE76" s="331"/>
      <c r="CF76" s="322"/>
      <c r="CG76" s="329"/>
      <c r="CH76" s="330"/>
      <c r="CI76" s="330"/>
      <c r="CJ76" s="330"/>
      <c r="CK76" s="331"/>
      <c r="CL76" s="322"/>
      <c r="CM76" s="332"/>
      <c r="CN76" s="333"/>
      <c r="CO76" s="333"/>
      <c r="CP76" s="333"/>
      <c r="CQ76" s="331">
        <f>+CQ53</f>
        <v>3473.4</v>
      </c>
      <c r="CR76" s="322"/>
      <c r="CS76" s="360"/>
      <c r="CT76" s="361"/>
      <c r="CU76" s="361"/>
      <c r="CV76" s="361"/>
      <c r="CW76" s="331">
        <f>+CW53</f>
        <v>12870.400000000001</v>
      </c>
      <c r="CX76" s="322"/>
      <c r="CY76" s="329">
        <f>+CY53</f>
        <v>12391.699999999999</v>
      </c>
      <c r="CZ76" s="330">
        <f>+CZ53</f>
        <v>14652.2</v>
      </c>
      <c r="DA76" s="330">
        <f>+DA53</f>
        <v>8312.1999999999989</v>
      </c>
      <c r="DB76" s="330">
        <f>+DB53</f>
        <v>12269.000000000002</v>
      </c>
      <c r="DC76" s="331">
        <f>+DC53</f>
        <v>12269.000000000002</v>
      </c>
      <c r="DD76" s="322"/>
      <c r="DE76" s="329">
        <f>+DE53</f>
        <v>11950.3</v>
      </c>
      <c r="DF76" s="330">
        <f>+DF53</f>
        <v>11592.000000000002</v>
      </c>
      <c r="DG76" s="330">
        <f>+DG53</f>
        <v>10909.000000000002</v>
      </c>
      <c r="DH76" s="330">
        <f>+DH53</f>
        <v>10522.1</v>
      </c>
      <c r="DI76" s="331">
        <f>+DI53</f>
        <v>10522.1</v>
      </c>
      <c r="DJ76" s="322"/>
      <c r="DK76" s="329">
        <f>+DK53</f>
        <v>10522.1</v>
      </c>
      <c r="DL76" s="330">
        <f>+DL53</f>
        <v>10522.1</v>
      </c>
      <c r="DM76" s="330">
        <f>+DM53</f>
        <v>10522.1</v>
      </c>
      <c r="DN76" s="330">
        <f>+DN53</f>
        <v>10522.1</v>
      </c>
      <c r="DO76" s="331">
        <f>+DO53</f>
        <v>10522.1</v>
      </c>
      <c r="DP76" s="322"/>
      <c r="DQ76" s="329">
        <f>+DQ53</f>
        <v>10522.1</v>
      </c>
      <c r="DR76" s="330">
        <f>+DR53</f>
        <v>10522.1</v>
      </c>
      <c r="DS76" s="330">
        <f>+DS53</f>
        <v>10522.1</v>
      </c>
      <c r="DT76" s="330">
        <f>+DT53</f>
        <v>10522.1</v>
      </c>
      <c r="DU76" s="331">
        <f>+DU53</f>
        <v>10522.1</v>
      </c>
      <c r="DV76" s="322"/>
      <c r="DW76" s="329">
        <f t="shared" ref="DW76:EA76" si="242">+DW53</f>
        <v>10522.1</v>
      </c>
      <c r="DX76" s="330">
        <f t="shared" si="242"/>
        <v>10522.1</v>
      </c>
      <c r="DY76" s="330">
        <f t="shared" si="242"/>
        <v>10522.1</v>
      </c>
      <c r="DZ76" s="330">
        <f t="shared" si="242"/>
        <v>10522.1</v>
      </c>
      <c r="EA76" s="331">
        <f t="shared" si="242"/>
        <v>10522.1</v>
      </c>
      <c r="EB76" s="322"/>
      <c r="EC76" s="329">
        <f t="shared" ref="EC76:EG76" si="243">+EC53</f>
        <v>10522.1</v>
      </c>
      <c r="ED76" s="330">
        <f t="shared" si="243"/>
        <v>10522.1</v>
      </c>
      <c r="EE76" s="330">
        <f t="shared" si="243"/>
        <v>10522.1</v>
      </c>
      <c r="EF76" s="330">
        <f t="shared" si="243"/>
        <v>10522.1</v>
      </c>
      <c r="EG76" s="331">
        <f t="shared" si="243"/>
        <v>10522.1</v>
      </c>
    </row>
    <row r="77" spans="1:137" ht="12.75" customHeight="1" x14ac:dyDescent="0.2">
      <c r="A77" s="262" t="s">
        <v>252</v>
      </c>
      <c r="C77" s="309"/>
      <c r="E77" s="291"/>
      <c r="F77" s="270"/>
      <c r="G77" s="291"/>
      <c r="H77" s="270"/>
      <c r="I77" s="291"/>
      <c r="J77" s="270"/>
      <c r="K77" s="291"/>
      <c r="L77" s="270"/>
      <c r="M77" s="282"/>
      <c r="N77" s="274"/>
      <c r="O77" s="274"/>
      <c r="P77" s="274"/>
      <c r="Q77" s="289"/>
      <c r="R77" s="270"/>
      <c r="S77" s="282"/>
      <c r="T77" s="274"/>
      <c r="U77" s="274"/>
      <c r="V77" s="274"/>
      <c r="W77" s="289"/>
      <c r="X77" s="270"/>
      <c r="Y77" s="282"/>
      <c r="Z77" s="274"/>
      <c r="AA77" s="274"/>
      <c r="AB77" s="274"/>
      <c r="AC77" s="289"/>
      <c r="AD77" s="270"/>
      <c r="AE77" s="282"/>
      <c r="AF77" s="274"/>
      <c r="AG77" s="274"/>
      <c r="AH77" s="274"/>
      <c r="AI77" s="289"/>
      <c r="AJ77" s="270"/>
      <c r="AK77" s="282"/>
      <c r="AL77" s="274"/>
      <c r="AM77" s="274"/>
      <c r="AN77" s="274"/>
      <c r="AO77" s="289"/>
      <c r="AP77" s="270"/>
      <c r="AQ77" s="282"/>
      <c r="AR77" s="274"/>
      <c r="AS77" s="274"/>
      <c r="AT77" s="274"/>
      <c r="AU77" s="289"/>
      <c r="AV77" s="270"/>
      <c r="AW77" s="282"/>
      <c r="AX77" s="274"/>
      <c r="AY77" s="274"/>
      <c r="AZ77" s="274"/>
      <c r="BA77" s="289"/>
      <c r="BB77" s="270"/>
      <c r="BC77" s="282"/>
      <c r="BD77" s="274"/>
      <c r="BE77" s="274"/>
      <c r="BF77" s="274"/>
      <c r="BG77" s="289"/>
      <c r="BH77" s="270"/>
      <c r="BI77" s="282"/>
      <c r="BJ77" s="274"/>
      <c r="BK77" s="274"/>
      <c r="BL77" s="274"/>
      <c r="BM77" s="289"/>
      <c r="BN77" s="270"/>
      <c r="BO77" s="282"/>
      <c r="BP77" s="274"/>
      <c r="BQ77" s="274"/>
      <c r="BR77" s="274"/>
      <c r="BS77" s="289"/>
      <c r="BT77" s="270"/>
      <c r="BU77" s="282"/>
      <c r="BV77" s="274"/>
      <c r="BW77" s="274"/>
      <c r="BX77" s="274"/>
      <c r="BY77" s="289"/>
      <c r="BZ77" s="270"/>
      <c r="CA77" s="282"/>
      <c r="CB77" s="274"/>
      <c r="CC77" s="274"/>
      <c r="CD77" s="274"/>
      <c r="CE77" s="289"/>
      <c r="CF77" s="270"/>
      <c r="CG77" s="282"/>
      <c r="CH77" s="274"/>
      <c r="CI77" s="274"/>
      <c r="CJ77" s="274"/>
      <c r="CK77" s="289"/>
      <c r="CL77" s="270"/>
      <c r="CM77" s="1028"/>
      <c r="CN77" s="1029"/>
      <c r="CO77" s="1029"/>
      <c r="CP77" s="1029"/>
      <c r="CQ77" s="1032">
        <f>+BS!CQ62</f>
        <v>539.5</v>
      </c>
      <c r="CR77" s="1033"/>
      <c r="CS77" s="1030"/>
      <c r="CT77" s="1031"/>
      <c r="CU77" s="1031"/>
      <c r="CV77" s="1031"/>
      <c r="CW77" s="1032">
        <f>+BS!CW62</f>
        <v>12153.300000000003</v>
      </c>
      <c r="CX77" s="270"/>
      <c r="CY77" s="1030">
        <f>+BS!CY62</f>
        <v>11799.800000000001</v>
      </c>
      <c r="CZ77" s="1031">
        <f>+BS!CZ62</f>
        <v>10629.800000000001</v>
      </c>
      <c r="DA77" s="1031">
        <f>+BS!DA62</f>
        <v>7413.6</v>
      </c>
      <c r="DB77" s="1031">
        <f>+BS!DB62</f>
        <v>11379.3</v>
      </c>
      <c r="DC77" s="1032">
        <f>+BS!DC62</f>
        <v>11379.3</v>
      </c>
      <c r="DD77" s="270"/>
      <c r="DE77" s="1030">
        <f>+BS!DE62</f>
        <v>11151.699999999999</v>
      </c>
      <c r="DF77" s="1031">
        <f>+BS!DF62</f>
        <v>10870.800000000001</v>
      </c>
      <c r="DG77" s="1031">
        <f>+BS!DG62</f>
        <v>10265.6</v>
      </c>
      <c r="DH77" s="1031">
        <f>+BS!DH62</f>
        <v>9901.4000000000015</v>
      </c>
      <c r="DI77" s="1032">
        <f>+BS!DI62</f>
        <v>9901.4000000000015</v>
      </c>
      <c r="DJ77" s="270"/>
      <c r="DK77" s="1030">
        <f>+BS!DK62</f>
        <v>8974.4557824514286</v>
      </c>
      <c r="DL77" s="1031">
        <f>+BS!DL62</f>
        <v>7899.4386722980553</v>
      </c>
      <c r="DM77" s="1031">
        <f>+BS!DM62</f>
        <v>7188.7029535673228</v>
      </c>
      <c r="DN77" s="1031">
        <f>+BS!DN62</f>
        <v>6198.9035598534292</v>
      </c>
      <c r="DO77" s="1032">
        <f>+BS!DO62</f>
        <v>6198.9035598534292</v>
      </c>
      <c r="DP77" s="270"/>
      <c r="DQ77" s="1030">
        <f>+BS!DQ62</f>
        <v>5256.6464359441079</v>
      </c>
      <c r="DR77" s="1031">
        <f>+BS!DR62</f>
        <v>4089.3714189599541</v>
      </c>
      <c r="DS77" s="1031">
        <f>+BS!DS62</f>
        <v>3324.512085762799</v>
      </c>
      <c r="DT77" s="1031">
        <f>+BS!DT62</f>
        <v>2265.7429331423918</v>
      </c>
      <c r="DU77" s="1032">
        <f>+BS!DU62</f>
        <v>2265.7429331423918</v>
      </c>
      <c r="DV77" s="270"/>
      <c r="DW77" s="1030">
        <f>+BS!DW62</f>
        <v>1122.4993355284423</v>
      </c>
      <c r="DX77" s="1031">
        <f>+BS!DX62</f>
        <v>-133.00078572190068</v>
      </c>
      <c r="DY77" s="1031">
        <f>+BS!DY62</f>
        <v>-952.98333517628635</v>
      </c>
      <c r="DZ77" s="1031">
        <f>+BS!DZ62</f>
        <v>-2250.2919483166879</v>
      </c>
      <c r="EA77" s="1032">
        <f>+BS!EA62</f>
        <v>-2250.2919483166879</v>
      </c>
      <c r="EB77" s="270"/>
      <c r="EC77" s="1030">
        <f>+BS!EC62</f>
        <v>-3611.8024595745974</v>
      </c>
      <c r="ED77" s="1031">
        <f>+BS!ED62</f>
        <v>-5138.7928857241313</v>
      </c>
      <c r="EE77" s="1031">
        <f>+BS!EE62</f>
        <v>-6214.3395766962058</v>
      </c>
      <c r="EF77" s="1031">
        <f>+BS!EF62</f>
        <v>-7676.8629874289836</v>
      </c>
      <c r="EG77" s="1032">
        <f>+BS!EG62</f>
        <v>-7676.8629874289836</v>
      </c>
    </row>
    <row r="78" spans="1:137" ht="12.75" customHeight="1" x14ac:dyDescent="0.2">
      <c r="A78" s="262" t="s">
        <v>260</v>
      </c>
      <c r="C78" s="309"/>
      <c r="E78" s="291"/>
      <c r="F78" s="270"/>
      <c r="G78" s="291"/>
      <c r="H78" s="270"/>
      <c r="I78" s="291"/>
      <c r="J78" s="270"/>
      <c r="K78" s="291"/>
      <c r="L78" s="270"/>
      <c r="M78" s="282"/>
      <c r="N78" s="274"/>
      <c r="O78" s="274"/>
      <c r="P78" s="274"/>
      <c r="Q78" s="289"/>
      <c r="R78" s="270"/>
      <c r="S78" s="282"/>
      <c r="T78" s="274"/>
      <c r="U78" s="274"/>
      <c r="V78" s="274"/>
      <c r="W78" s="289"/>
      <c r="X78" s="270"/>
      <c r="Y78" s="282"/>
      <c r="Z78" s="274"/>
      <c r="AA78" s="274"/>
      <c r="AB78" s="274"/>
      <c r="AC78" s="289"/>
      <c r="AD78" s="270"/>
      <c r="AE78" s="282"/>
      <c r="AF78" s="274"/>
      <c r="AG78" s="274"/>
      <c r="AH78" s="274"/>
      <c r="AI78" s="289"/>
      <c r="AJ78" s="270"/>
      <c r="AK78" s="282"/>
      <c r="AL78" s="274"/>
      <c r="AM78" s="274"/>
      <c r="AN78" s="274"/>
      <c r="AO78" s="289"/>
      <c r="AP78" s="270"/>
      <c r="AQ78" s="282"/>
      <c r="AR78" s="274"/>
      <c r="AS78" s="274"/>
      <c r="AT78" s="274"/>
      <c r="AU78" s="289"/>
      <c r="AV78" s="270"/>
      <c r="AW78" s="282"/>
      <c r="AX78" s="274"/>
      <c r="AY78" s="274"/>
      <c r="AZ78" s="274"/>
      <c r="BA78" s="289"/>
      <c r="BB78" s="270"/>
      <c r="BC78" s="282"/>
      <c r="BD78" s="274"/>
      <c r="BE78" s="274"/>
      <c r="BF78" s="274"/>
      <c r="BG78" s="289"/>
      <c r="BH78" s="270"/>
      <c r="BI78" s="282"/>
      <c r="BJ78" s="274"/>
      <c r="BK78" s="274"/>
      <c r="BL78" s="274"/>
      <c r="BM78" s="289"/>
      <c r="BN78" s="270"/>
      <c r="BO78" s="282"/>
      <c r="BP78" s="274"/>
      <c r="BQ78" s="274"/>
      <c r="BR78" s="274"/>
      <c r="BS78" s="289"/>
      <c r="BT78" s="270"/>
      <c r="BU78" s="282"/>
      <c r="BV78" s="274"/>
      <c r="BW78" s="274"/>
      <c r="BX78" s="274"/>
      <c r="BY78" s="289"/>
      <c r="BZ78" s="270"/>
      <c r="CA78" s="282"/>
      <c r="CB78" s="274"/>
      <c r="CC78" s="274"/>
      <c r="CD78" s="274"/>
      <c r="CE78" s="289"/>
      <c r="CF78" s="270"/>
      <c r="CG78" s="282"/>
      <c r="CH78" s="274"/>
      <c r="CI78" s="274"/>
      <c r="CJ78" s="274"/>
      <c r="CK78" s="289"/>
      <c r="CL78" s="270"/>
      <c r="CM78" s="1028"/>
      <c r="CN78" s="1029"/>
      <c r="CO78" s="1029"/>
      <c r="CP78" s="1029"/>
      <c r="CQ78" s="1034">
        <f>+BS!CQ73</f>
        <v>0.81995231462902196</v>
      </c>
      <c r="CR78" s="1033"/>
      <c r="CS78" s="1030"/>
      <c r="CT78" s="1031"/>
      <c r="CU78" s="1031"/>
      <c r="CV78" s="1031"/>
      <c r="CW78" s="1034">
        <f>+BS!CW73</f>
        <v>2.9589167068993287</v>
      </c>
      <c r="CX78" s="1033"/>
      <c r="CY78" s="1035">
        <f>+BS!CY73</f>
        <v>3.3556379982668965</v>
      </c>
      <c r="CZ78" s="1036">
        <f>+BS!CZ73</f>
        <v>3.5532544378698239</v>
      </c>
      <c r="DA78" s="1036">
        <f>+BS!DA73</f>
        <v>2.3330526552149982</v>
      </c>
      <c r="DB78" s="1037">
        <f>+BS!DB73</f>
        <v>2.965818990524077</v>
      </c>
      <c r="DC78" s="1034">
        <f>+BS!DC73</f>
        <v>3.1629285898427417</v>
      </c>
      <c r="DD78" s="1033"/>
      <c r="DE78" s="1035">
        <f>+BS!DE73</f>
        <v>3.2382126598742698</v>
      </c>
      <c r="DF78" s="1036">
        <f>+BS!DF73</f>
        <v>2.7471798274717982</v>
      </c>
      <c r="DG78" s="1036">
        <f>+BS!DG73</f>
        <v>2.5443138352458257</v>
      </c>
      <c r="DH78" s="1037">
        <f>+BS!DH73</f>
        <v>2.0940335933768512</v>
      </c>
      <c r="DI78" s="1034">
        <f>+BS!DI73</f>
        <v>2.4438173541434409</v>
      </c>
      <c r="DJ78" s="1033"/>
      <c r="DK78" s="1035">
        <f>+BS!DK73</f>
        <v>2.4669545967797251</v>
      </c>
      <c r="DL78" s="1036">
        <f>+BS!DL73</f>
        <v>2.2455228812999688</v>
      </c>
      <c r="DM78" s="1036">
        <f>+BS!DM73</f>
        <v>2.2667589504658667</v>
      </c>
      <c r="DN78" s="1037">
        <f>+BS!DN73</f>
        <v>1.8732262220480971</v>
      </c>
      <c r="DO78" s="1034">
        <f>+BS!DO73</f>
        <v>2.190957829368875</v>
      </c>
      <c r="DP78" s="1033"/>
      <c r="DQ78" s="1035">
        <f>+BS!DQ73</f>
        <v>2.272297158191253</v>
      </c>
      <c r="DR78" s="1036">
        <f>+BS!DR73</f>
        <v>2.0860716877481291</v>
      </c>
      <c r="DS78" s="1036">
        <f>+BS!DS73</f>
        <v>2.131381689243713</v>
      </c>
      <c r="DT78" s="1037">
        <f>+BS!DT73</f>
        <v>1.7718955090916637</v>
      </c>
      <c r="DU78" s="1034">
        <f>+BS!DU73</f>
        <v>2.048131307690503</v>
      </c>
      <c r="DV78" s="1033"/>
      <c r="DW78" s="1035">
        <f>+BS!DW73</f>
        <v>2.1137554797501905</v>
      </c>
      <c r="DX78" s="1036">
        <f>+BS!DX73</f>
        <v>1.9470695859511922</v>
      </c>
      <c r="DY78" s="1036">
        <f>+BS!DY73</f>
        <v>1.9889200000760816</v>
      </c>
      <c r="DZ78" s="1037">
        <f>+BS!DZ73</f>
        <v>1.6637415364081747</v>
      </c>
      <c r="EA78" s="1034">
        <f>+BS!EA73</f>
        <v>1.9133956242833108</v>
      </c>
      <c r="EB78" s="1033"/>
      <c r="EC78" s="1035">
        <f>+BS!EC73</f>
        <v>1.9801950788547233</v>
      </c>
      <c r="ED78" s="1036">
        <f>+BS!ED73</f>
        <v>1.8288675211552758</v>
      </c>
      <c r="EE78" s="1036">
        <f>+BS!EE73</f>
        <v>1.8680827394108421</v>
      </c>
      <c r="EF78" s="1037">
        <f>+BS!EF73</f>
        <v>1.5760691004257008</v>
      </c>
      <c r="EG78" s="1034">
        <f>+BS!EG73</f>
        <v>1.8005160114475789</v>
      </c>
    </row>
    <row r="79" spans="1:137" ht="12.75" customHeight="1" x14ac:dyDescent="0.2">
      <c r="A79" s="262" t="s">
        <v>261</v>
      </c>
      <c r="C79" s="309"/>
      <c r="E79" s="291"/>
      <c r="F79" s="270"/>
      <c r="G79" s="291"/>
      <c r="H79" s="270"/>
      <c r="I79" s="291"/>
      <c r="J79" s="270"/>
      <c r="K79" s="291"/>
      <c r="L79" s="270"/>
      <c r="M79" s="284"/>
      <c r="N79" s="270"/>
      <c r="O79" s="270"/>
      <c r="P79" s="270"/>
      <c r="Q79" s="291"/>
      <c r="R79" s="270"/>
      <c r="S79" s="284"/>
      <c r="T79" s="270"/>
      <c r="U79" s="270"/>
      <c r="V79" s="270"/>
      <c r="W79" s="291"/>
      <c r="X79" s="270"/>
      <c r="Y79" s="284"/>
      <c r="Z79" s="270"/>
      <c r="AA79" s="270"/>
      <c r="AB79" s="270"/>
      <c r="AC79" s="291"/>
      <c r="AD79" s="270"/>
      <c r="AE79" s="284"/>
      <c r="AF79" s="270"/>
      <c r="AG79" s="270"/>
      <c r="AH79" s="270"/>
      <c r="AI79" s="291"/>
      <c r="AJ79" s="270"/>
      <c r="AK79" s="284"/>
      <c r="AL79" s="270"/>
      <c r="AM79" s="270"/>
      <c r="AN79" s="270"/>
      <c r="AO79" s="291"/>
      <c r="AP79" s="270"/>
      <c r="AQ79" s="284"/>
      <c r="AR79" s="270"/>
      <c r="AS79" s="270"/>
      <c r="AT79" s="270"/>
      <c r="AU79" s="291"/>
      <c r="AV79" s="270"/>
      <c r="AW79" s="284"/>
      <c r="AX79" s="270"/>
      <c r="AY79" s="270"/>
      <c r="AZ79" s="270"/>
      <c r="BA79" s="291"/>
      <c r="BB79" s="270"/>
      <c r="BC79" s="284"/>
      <c r="BD79" s="270"/>
      <c r="BE79" s="270"/>
      <c r="BF79" s="270"/>
      <c r="BG79" s="291"/>
      <c r="BH79" s="270"/>
      <c r="BI79" s="284"/>
      <c r="BJ79" s="270"/>
      <c r="BK79" s="270"/>
      <c r="BL79" s="270"/>
      <c r="BM79" s="291"/>
      <c r="BN79" s="270"/>
      <c r="BO79" s="284"/>
      <c r="BP79" s="270"/>
      <c r="BQ79" s="270"/>
      <c r="BR79" s="270"/>
      <c r="BS79" s="291"/>
      <c r="BT79" s="270"/>
      <c r="BU79" s="284"/>
      <c r="BV79" s="270"/>
      <c r="BW79" s="270"/>
      <c r="BX79" s="270"/>
      <c r="BY79" s="291"/>
      <c r="BZ79" s="270"/>
      <c r="CA79" s="284"/>
      <c r="CB79" s="270"/>
      <c r="CC79" s="270"/>
      <c r="CD79" s="270"/>
      <c r="CE79" s="291"/>
      <c r="CF79" s="270"/>
      <c r="CG79" s="284"/>
      <c r="CH79" s="270"/>
      <c r="CI79" s="270"/>
      <c r="CJ79" s="270"/>
      <c r="CK79" s="291"/>
      <c r="CL79" s="270"/>
      <c r="CM79" s="294"/>
      <c r="CN79" s="279"/>
      <c r="CO79" s="279"/>
      <c r="CP79" s="279"/>
      <c r="CQ79" s="1034">
        <f>+BS!CQ74</f>
        <v>0.12735771110219304</v>
      </c>
      <c r="CR79" s="1033"/>
      <c r="CS79" s="1038"/>
      <c r="CT79" s="1033"/>
      <c r="CU79" s="1033"/>
      <c r="CV79" s="1033"/>
      <c r="CW79" s="1034">
        <f>+BS!CW74</f>
        <v>2.7940547623974092</v>
      </c>
      <c r="CX79" s="1033"/>
      <c r="CY79" s="1035">
        <f>+BS!CY74</f>
        <v>3.1953531195840545</v>
      </c>
      <c r="CZ79" s="1036">
        <f>+BS!CZ74</f>
        <v>2.5777961004947145</v>
      </c>
      <c r="DA79" s="1036">
        <f>+BS!DA74</f>
        <v>2.0808352980801605</v>
      </c>
      <c r="DB79" s="1037">
        <f>+BS!DB74</f>
        <v>2.7507493714948756</v>
      </c>
      <c r="DC79" s="1034">
        <f>+BS!DC74</f>
        <v>2.933565351894817</v>
      </c>
      <c r="DD79" s="1033"/>
      <c r="DE79" s="1035">
        <f>+BS!DE74</f>
        <v>3.0218133535660101</v>
      </c>
      <c r="DF79" s="1036">
        <f>+BS!DF74</f>
        <v>2.5762631529054887</v>
      </c>
      <c r="DG79" s="1036">
        <f>+BS!DG74</f>
        <v>2.3942531952607524</v>
      </c>
      <c r="DH79" s="1037">
        <f>+BS!DH74</f>
        <v>1.9705062888075153</v>
      </c>
      <c r="DI79" s="1034">
        <f>+BS!DI74</f>
        <v>2.2996562616127836</v>
      </c>
      <c r="DJ79" s="1033"/>
      <c r="DK79" s="1035">
        <f>+BS!DK74</f>
        <v>2.1041023128572185</v>
      </c>
      <c r="DL79" s="1036">
        <f>+BS!DL74</f>
        <v>1.6858203484162979</v>
      </c>
      <c r="DM79" s="1036">
        <f>+BS!DM74</f>
        <v>1.5486506269888272</v>
      </c>
      <c r="DN79" s="1037">
        <f>+BS!DN74</f>
        <v>1.1035771087772155</v>
      </c>
      <c r="DO79" s="1034">
        <f>+BS!DO74</f>
        <v>1.2907628978971366</v>
      </c>
      <c r="DP79" s="1033"/>
      <c r="DQ79" s="1035">
        <f>+BS!DQ74</f>
        <v>1.1351976086534035</v>
      </c>
      <c r="DR79" s="1036">
        <f>+BS!DR74</f>
        <v>0.81074328677533514</v>
      </c>
      <c r="DS79" s="1036">
        <f>+BS!DS74</f>
        <v>0.67342110275175615</v>
      </c>
      <c r="DT79" s="1037">
        <f>+BS!DT74</f>
        <v>0.38154548312515352</v>
      </c>
      <c r="DU79" s="1034">
        <f>+BS!DU74</f>
        <v>0.44102784012197593</v>
      </c>
      <c r="DV79" s="1033"/>
      <c r="DW79" s="1035">
        <f>+BS!DW74</f>
        <v>0.22549577760040226</v>
      </c>
      <c r="DX79" s="1036" t="str">
        <f>+BS!DX74</f>
        <v>NM</v>
      </c>
      <c r="DY79" s="1036" t="str">
        <f>+BS!DY74</f>
        <v>NM</v>
      </c>
      <c r="DZ79" s="1037" t="str">
        <f>+BS!DZ74</f>
        <v>NM</v>
      </c>
      <c r="EA79" s="1034" t="str">
        <f>+BS!EA74</f>
        <v>NM</v>
      </c>
      <c r="EB79" s="1033"/>
      <c r="EC79" s="1035" t="str">
        <f>+BS!EC74</f>
        <v>NM</v>
      </c>
      <c r="ED79" s="1036" t="str">
        <f>+BS!ED74</f>
        <v>NM</v>
      </c>
      <c r="EE79" s="1036" t="str">
        <f>+BS!EE74</f>
        <v>NM</v>
      </c>
      <c r="EF79" s="1037" t="str">
        <f>+BS!EF74</f>
        <v>NM</v>
      </c>
      <c r="EG79" s="1034" t="str">
        <f>+BS!EG74</f>
        <v>NM</v>
      </c>
    </row>
    <row r="80" spans="1:137" ht="12.75" customHeight="1" x14ac:dyDescent="0.2">
      <c r="A80" s="263"/>
      <c r="B80" s="265"/>
      <c r="C80" s="310"/>
      <c r="D80" s="265"/>
      <c r="E80" s="295"/>
      <c r="F80" s="286"/>
      <c r="G80" s="295"/>
      <c r="H80" s="286"/>
      <c r="I80" s="295"/>
      <c r="J80" s="286"/>
      <c r="K80" s="295"/>
      <c r="L80" s="286"/>
      <c r="M80" s="285"/>
      <c r="N80" s="286"/>
      <c r="O80" s="286"/>
      <c r="P80" s="286"/>
      <c r="Q80" s="292"/>
      <c r="R80" s="286"/>
      <c r="S80" s="285"/>
      <c r="T80" s="286"/>
      <c r="U80" s="286"/>
      <c r="V80" s="286"/>
      <c r="W80" s="292"/>
      <c r="X80" s="286"/>
      <c r="Y80" s="285"/>
      <c r="Z80" s="286"/>
      <c r="AA80" s="286"/>
      <c r="AB80" s="286"/>
      <c r="AC80" s="292"/>
      <c r="AD80" s="286"/>
      <c r="AE80" s="285"/>
      <c r="AF80" s="286"/>
      <c r="AG80" s="286"/>
      <c r="AH80" s="286"/>
      <c r="AI80" s="292"/>
      <c r="AJ80" s="286"/>
      <c r="AK80" s="285"/>
      <c r="AL80" s="286"/>
      <c r="AM80" s="286"/>
      <c r="AN80" s="286"/>
      <c r="AO80" s="292"/>
      <c r="AP80" s="286"/>
      <c r="AQ80" s="285"/>
      <c r="AR80" s="286"/>
      <c r="AS80" s="286"/>
      <c r="AT80" s="286"/>
      <c r="AU80" s="292"/>
      <c r="AV80" s="286"/>
      <c r="AW80" s="285"/>
      <c r="AX80" s="286"/>
      <c r="AY80" s="286"/>
      <c r="AZ80" s="286"/>
      <c r="BA80" s="292"/>
      <c r="BB80" s="286"/>
      <c r="BC80" s="285"/>
      <c r="BD80" s="286"/>
      <c r="BE80" s="286"/>
      <c r="BF80" s="286"/>
      <c r="BG80" s="292"/>
      <c r="BH80" s="286"/>
      <c r="BI80" s="285"/>
      <c r="BJ80" s="286"/>
      <c r="BK80" s="286"/>
      <c r="BL80" s="286"/>
      <c r="BM80" s="292"/>
      <c r="BN80" s="286"/>
      <c r="BO80" s="285"/>
      <c r="BP80" s="286"/>
      <c r="BQ80" s="286"/>
      <c r="BR80" s="286"/>
      <c r="BS80" s="292"/>
      <c r="BT80" s="286"/>
      <c r="BU80" s="285"/>
      <c r="BV80" s="286"/>
      <c r="BW80" s="286"/>
      <c r="BX80" s="286"/>
      <c r="BY80" s="292"/>
      <c r="BZ80" s="286"/>
      <c r="CA80" s="285"/>
      <c r="CB80" s="286"/>
      <c r="CC80" s="286"/>
      <c r="CD80" s="286"/>
      <c r="CE80" s="292"/>
      <c r="CF80" s="286"/>
      <c r="CG80" s="285"/>
      <c r="CH80" s="286"/>
      <c r="CI80" s="286"/>
      <c r="CJ80" s="286"/>
      <c r="CK80" s="292"/>
      <c r="CL80" s="286"/>
      <c r="CM80" s="212"/>
      <c r="CN80" s="157"/>
      <c r="CO80" s="157"/>
      <c r="CP80" s="157"/>
      <c r="CQ80" s="214"/>
      <c r="CR80" s="286"/>
      <c r="CS80" s="212"/>
      <c r="CT80" s="157"/>
      <c r="CU80" s="157"/>
      <c r="CV80" s="157"/>
      <c r="CW80" s="214"/>
      <c r="CX80" s="286"/>
      <c r="CY80" s="212"/>
      <c r="CZ80" s="157"/>
      <c r="DA80" s="157"/>
      <c r="DB80" s="157"/>
      <c r="DC80" s="214"/>
      <c r="DD80" s="286"/>
      <c r="DE80" s="212"/>
      <c r="DF80" s="364"/>
      <c r="DG80" s="364"/>
      <c r="DH80" s="364"/>
      <c r="DI80" s="214"/>
      <c r="DJ80" s="286"/>
      <c r="DK80" s="363"/>
      <c r="DL80" s="364"/>
      <c r="DM80" s="364"/>
      <c r="DN80" s="364"/>
      <c r="DO80" s="214"/>
      <c r="DP80" s="286"/>
      <c r="DQ80" s="363"/>
      <c r="DR80" s="364"/>
      <c r="DS80" s="364"/>
      <c r="DT80" s="364"/>
      <c r="DU80" s="214"/>
      <c r="DV80" s="286"/>
      <c r="DW80" s="363"/>
      <c r="DX80" s="364"/>
      <c r="DY80" s="364"/>
      <c r="DZ80" s="364"/>
      <c r="EA80" s="214"/>
      <c r="EB80" s="286"/>
      <c r="EC80" s="363"/>
      <c r="ED80" s="364"/>
      <c r="EE80" s="364"/>
      <c r="EF80" s="364"/>
      <c r="EG80" s="214"/>
    </row>
    <row r="83" spans="109:109" x14ac:dyDescent="0.2">
      <c r="DE83" s="270"/>
    </row>
  </sheetData>
  <pageMargins left="0.7" right="0.7" top="0.75" bottom="0.75" header="0.3" footer="0.3"/>
  <pageSetup paperSize="9" orientation="portrait" r:id="rId1"/>
  <ignoredErrors>
    <ignoredError sqref="DH76:DI79"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x14ac:dyDescent="0.2"/>
  <cols>
    <col min="1" max="1" width="29.5703125" style="1331" bestFit="1" customWidth="1"/>
    <col min="2" max="2" width="19.85546875" style="1353" customWidth="1"/>
    <col min="3" max="3" width="12" style="1331" bestFit="1" customWidth="1"/>
    <col min="4" max="256" width="9.140625" style="1331"/>
    <col min="257" max="257" width="29.5703125" style="1331" bestFit="1" customWidth="1"/>
    <col min="258" max="258" width="19.85546875" style="1331" customWidth="1"/>
    <col min="259" max="259" width="12" style="1331" bestFit="1" customWidth="1"/>
    <col min="260" max="512" width="9.140625" style="1331"/>
    <col min="513" max="513" width="29.5703125" style="1331" bestFit="1" customWidth="1"/>
    <col min="514" max="514" width="19.85546875" style="1331" customWidth="1"/>
    <col min="515" max="515" width="12" style="1331" bestFit="1" customWidth="1"/>
    <col min="516" max="768" width="9.140625" style="1331"/>
    <col min="769" max="769" width="29.5703125" style="1331" bestFit="1" customWidth="1"/>
    <col min="770" max="770" width="19.85546875" style="1331" customWidth="1"/>
    <col min="771" max="771" width="12" style="1331" bestFit="1" customWidth="1"/>
    <col min="772" max="1024" width="9.140625" style="1331"/>
    <col min="1025" max="1025" width="29.5703125" style="1331" bestFit="1" customWidth="1"/>
    <col min="1026" max="1026" width="19.85546875" style="1331" customWidth="1"/>
    <col min="1027" max="1027" width="12" style="1331" bestFit="1" customWidth="1"/>
    <col min="1028" max="1280" width="9.140625" style="1331"/>
    <col min="1281" max="1281" width="29.5703125" style="1331" bestFit="1" customWidth="1"/>
    <col min="1282" max="1282" width="19.85546875" style="1331" customWidth="1"/>
    <col min="1283" max="1283" width="12" style="1331" bestFit="1" customWidth="1"/>
    <col min="1284" max="1536" width="9.140625" style="1331"/>
    <col min="1537" max="1537" width="29.5703125" style="1331" bestFit="1" customWidth="1"/>
    <col min="1538" max="1538" width="19.85546875" style="1331" customWidth="1"/>
    <col min="1539" max="1539" width="12" style="1331" bestFit="1" customWidth="1"/>
    <col min="1540" max="1792" width="9.140625" style="1331"/>
    <col min="1793" max="1793" width="29.5703125" style="1331" bestFit="1" customWidth="1"/>
    <col min="1794" max="1794" width="19.85546875" style="1331" customWidth="1"/>
    <col min="1795" max="1795" width="12" style="1331" bestFit="1" customWidth="1"/>
    <col min="1796" max="2048" width="9.140625" style="1331"/>
    <col min="2049" max="2049" width="29.5703125" style="1331" bestFit="1" customWidth="1"/>
    <col min="2050" max="2050" width="19.85546875" style="1331" customWidth="1"/>
    <col min="2051" max="2051" width="12" style="1331" bestFit="1" customWidth="1"/>
    <col min="2052" max="2304" width="9.140625" style="1331"/>
    <col min="2305" max="2305" width="29.5703125" style="1331" bestFit="1" customWidth="1"/>
    <col min="2306" max="2306" width="19.85546875" style="1331" customWidth="1"/>
    <col min="2307" max="2307" width="12" style="1331" bestFit="1" customWidth="1"/>
    <col min="2308" max="2560" width="9.140625" style="1331"/>
    <col min="2561" max="2561" width="29.5703125" style="1331" bestFit="1" customWidth="1"/>
    <col min="2562" max="2562" width="19.85546875" style="1331" customWidth="1"/>
    <col min="2563" max="2563" width="12" style="1331" bestFit="1" customWidth="1"/>
    <col min="2564" max="2816" width="9.140625" style="1331"/>
    <col min="2817" max="2817" width="29.5703125" style="1331" bestFit="1" customWidth="1"/>
    <col min="2818" max="2818" width="19.85546875" style="1331" customWidth="1"/>
    <col min="2819" max="2819" width="12" style="1331" bestFit="1" customWidth="1"/>
    <col min="2820" max="3072" width="9.140625" style="1331"/>
    <col min="3073" max="3073" width="29.5703125" style="1331" bestFit="1" customWidth="1"/>
    <col min="3074" max="3074" width="19.85546875" style="1331" customWidth="1"/>
    <col min="3075" max="3075" width="12" style="1331" bestFit="1" customWidth="1"/>
    <col min="3076" max="3328" width="9.140625" style="1331"/>
    <col min="3329" max="3329" width="29.5703125" style="1331" bestFit="1" customWidth="1"/>
    <col min="3330" max="3330" width="19.85546875" style="1331" customWidth="1"/>
    <col min="3331" max="3331" width="12" style="1331" bestFit="1" customWidth="1"/>
    <col min="3332" max="3584" width="9.140625" style="1331"/>
    <col min="3585" max="3585" width="29.5703125" style="1331" bestFit="1" customWidth="1"/>
    <col min="3586" max="3586" width="19.85546875" style="1331" customWidth="1"/>
    <col min="3587" max="3587" width="12" style="1331" bestFit="1" customWidth="1"/>
    <col min="3588" max="3840" width="9.140625" style="1331"/>
    <col min="3841" max="3841" width="29.5703125" style="1331" bestFit="1" customWidth="1"/>
    <col min="3842" max="3842" width="19.85546875" style="1331" customWidth="1"/>
    <col min="3843" max="3843" width="12" style="1331" bestFit="1" customWidth="1"/>
    <col min="3844" max="4096" width="9.140625" style="1331"/>
    <col min="4097" max="4097" width="29.5703125" style="1331" bestFit="1" customWidth="1"/>
    <col min="4098" max="4098" width="19.85546875" style="1331" customWidth="1"/>
    <col min="4099" max="4099" width="12" style="1331" bestFit="1" customWidth="1"/>
    <col min="4100" max="4352" width="9.140625" style="1331"/>
    <col min="4353" max="4353" width="29.5703125" style="1331" bestFit="1" customWidth="1"/>
    <col min="4354" max="4354" width="19.85546875" style="1331" customWidth="1"/>
    <col min="4355" max="4355" width="12" style="1331" bestFit="1" customWidth="1"/>
    <col min="4356" max="4608" width="9.140625" style="1331"/>
    <col min="4609" max="4609" width="29.5703125" style="1331" bestFit="1" customWidth="1"/>
    <col min="4610" max="4610" width="19.85546875" style="1331" customWidth="1"/>
    <col min="4611" max="4611" width="12" style="1331" bestFit="1" customWidth="1"/>
    <col min="4612" max="4864" width="9.140625" style="1331"/>
    <col min="4865" max="4865" width="29.5703125" style="1331" bestFit="1" customWidth="1"/>
    <col min="4866" max="4866" width="19.85546875" style="1331" customWidth="1"/>
    <col min="4867" max="4867" width="12" style="1331" bestFit="1" customWidth="1"/>
    <col min="4868" max="5120" width="9.140625" style="1331"/>
    <col min="5121" max="5121" width="29.5703125" style="1331" bestFit="1" customWidth="1"/>
    <col min="5122" max="5122" width="19.85546875" style="1331" customWidth="1"/>
    <col min="5123" max="5123" width="12" style="1331" bestFit="1" customWidth="1"/>
    <col min="5124" max="5376" width="9.140625" style="1331"/>
    <col min="5377" max="5377" width="29.5703125" style="1331" bestFit="1" customWidth="1"/>
    <col min="5378" max="5378" width="19.85546875" style="1331" customWidth="1"/>
    <col min="5379" max="5379" width="12" style="1331" bestFit="1" customWidth="1"/>
    <col min="5380" max="5632" width="9.140625" style="1331"/>
    <col min="5633" max="5633" width="29.5703125" style="1331" bestFit="1" customWidth="1"/>
    <col min="5634" max="5634" width="19.85546875" style="1331" customWidth="1"/>
    <col min="5635" max="5635" width="12" style="1331" bestFit="1" customWidth="1"/>
    <col min="5636" max="5888" width="9.140625" style="1331"/>
    <col min="5889" max="5889" width="29.5703125" style="1331" bestFit="1" customWidth="1"/>
    <col min="5890" max="5890" width="19.85546875" style="1331" customWidth="1"/>
    <col min="5891" max="5891" width="12" style="1331" bestFit="1" customWidth="1"/>
    <col min="5892" max="6144" width="9.140625" style="1331"/>
    <col min="6145" max="6145" width="29.5703125" style="1331" bestFit="1" customWidth="1"/>
    <col min="6146" max="6146" width="19.85546875" style="1331" customWidth="1"/>
    <col min="6147" max="6147" width="12" style="1331" bestFit="1" customWidth="1"/>
    <col min="6148" max="6400" width="9.140625" style="1331"/>
    <col min="6401" max="6401" width="29.5703125" style="1331" bestFit="1" customWidth="1"/>
    <col min="6402" max="6402" width="19.85546875" style="1331" customWidth="1"/>
    <col min="6403" max="6403" width="12" style="1331" bestFit="1" customWidth="1"/>
    <col min="6404" max="6656" width="9.140625" style="1331"/>
    <col min="6657" max="6657" width="29.5703125" style="1331" bestFit="1" customWidth="1"/>
    <col min="6658" max="6658" width="19.85546875" style="1331" customWidth="1"/>
    <col min="6659" max="6659" width="12" style="1331" bestFit="1" customWidth="1"/>
    <col min="6660" max="6912" width="9.140625" style="1331"/>
    <col min="6913" max="6913" width="29.5703125" style="1331" bestFit="1" customWidth="1"/>
    <col min="6914" max="6914" width="19.85546875" style="1331" customWidth="1"/>
    <col min="6915" max="6915" width="12" style="1331" bestFit="1" customWidth="1"/>
    <col min="6916" max="7168" width="9.140625" style="1331"/>
    <col min="7169" max="7169" width="29.5703125" style="1331" bestFit="1" customWidth="1"/>
    <col min="7170" max="7170" width="19.85546875" style="1331" customWidth="1"/>
    <col min="7171" max="7171" width="12" style="1331" bestFit="1" customWidth="1"/>
    <col min="7172" max="7424" width="9.140625" style="1331"/>
    <col min="7425" max="7425" width="29.5703125" style="1331" bestFit="1" customWidth="1"/>
    <col min="7426" max="7426" width="19.85546875" style="1331" customWidth="1"/>
    <col min="7427" max="7427" width="12" style="1331" bestFit="1" customWidth="1"/>
    <col min="7428" max="7680" width="9.140625" style="1331"/>
    <col min="7681" max="7681" width="29.5703125" style="1331" bestFit="1" customWidth="1"/>
    <col min="7682" max="7682" width="19.85546875" style="1331" customWidth="1"/>
    <col min="7683" max="7683" width="12" style="1331" bestFit="1" customWidth="1"/>
    <col min="7684" max="7936" width="9.140625" style="1331"/>
    <col min="7937" max="7937" width="29.5703125" style="1331" bestFit="1" customWidth="1"/>
    <col min="7938" max="7938" width="19.85546875" style="1331" customWidth="1"/>
    <col min="7939" max="7939" width="12" style="1331" bestFit="1" customWidth="1"/>
    <col min="7940" max="8192" width="9.140625" style="1331"/>
    <col min="8193" max="8193" width="29.5703125" style="1331" bestFit="1" customWidth="1"/>
    <col min="8194" max="8194" width="19.85546875" style="1331" customWidth="1"/>
    <col min="8195" max="8195" width="12" style="1331" bestFit="1" customWidth="1"/>
    <col min="8196" max="8448" width="9.140625" style="1331"/>
    <col min="8449" max="8449" width="29.5703125" style="1331" bestFit="1" customWidth="1"/>
    <col min="8450" max="8450" width="19.85546875" style="1331" customWidth="1"/>
    <col min="8451" max="8451" width="12" style="1331" bestFit="1" customWidth="1"/>
    <col min="8452" max="8704" width="9.140625" style="1331"/>
    <col min="8705" max="8705" width="29.5703125" style="1331" bestFit="1" customWidth="1"/>
    <col min="8706" max="8706" width="19.85546875" style="1331" customWidth="1"/>
    <col min="8707" max="8707" width="12" style="1331" bestFit="1" customWidth="1"/>
    <col min="8708" max="8960" width="9.140625" style="1331"/>
    <col min="8961" max="8961" width="29.5703125" style="1331" bestFit="1" customWidth="1"/>
    <col min="8962" max="8962" width="19.85546875" style="1331" customWidth="1"/>
    <col min="8963" max="8963" width="12" style="1331" bestFit="1" customWidth="1"/>
    <col min="8964" max="9216" width="9.140625" style="1331"/>
    <col min="9217" max="9217" width="29.5703125" style="1331" bestFit="1" customWidth="1"/>
    <col min="9218" max="9218" width="19.85546875" style="1331" customWidth="1"/>
    <col min="9219" max="9219" width="12" style="1331" bestFit="1" customWidth="1"/>
    <col min="9220" max="9472" width="9.140625" style="1331"/>
    <col min="9473" max="9473" width="29.5703125" style="1331" bestFit="1" customWidth="1"/>
    <col min="9474" max="9474" width="19.85546875" style="1331" customWidth="1"/>
    <col min="9475" max="9475" width="12" style="1331" bestFit="1" customWidth="1"/>
    <col min="9476" max="9728" width="9.140625" style="1331"/>
    <col min="9729" max="9729" width="29.5703125" style="1331" bestFit="1" customWidth="1"/>
    <col min="9730" max="9730" width="19.85546875" style="1331" customWidth="1"/>
    <col min="9731" max="9731" width="12" style="1331" bestFit="1" customWidth="1"/>
    <col min="9732" max="9984" width="9.140625" style="1331"/>
    <col min="9985" max="9985" width="29.5703125" style="1331" bestFit="1" customWidth="1"/>
    <col min="9986" max="9986" width="19.85546875" style="1331" customWidth="1"/>
    <col min="9987" max="9987" width="12" style="1331" bestFit="1" customWidth="1"/>
    <col min="9988" max="10240" width="9.140625" style="1331"/>
    <col min="10241" max="10241" width="29.5703125" style="1331" bestFit="1" customWidth="1"/>
    <col min="10242" max="10242" width="19.85546875" style="1331" customWidth="1"/>
    <col min="10243" max="10243" width="12" style="1331" bestFit="1" customWidth="1"/>
    <col min="10244" max="10496" width="9.140625" style="1331"/>
    <col min="10497" max="10497" width="29.5703125" style="1331" bestFit="1" customWidth="1"/>
    <col min="10498" max="10498" width="19.85546875" style="1331" customWidth="1"/>
    <col min="10499" max="10499" width="12" style="1331" bestFit="1" customWidth="1"/>
    <col min="10500" max="10752" width="9.140625" style="1331"/>
    <col min="10753" max="10753" width="29.5703125" style="1331" bestFit="1" customWidth="1"/>
    <col min="10754" max="10754" width="19.85546875" style="1331" customWidth="1"/>
    <col min="10755" max="10755" width="12" style="1331" bestFit="1" customWidth="1"/>
    <col min="10756" max="11008" width="9.140625" style="1331"/>
    <col min="11009" max="11009" width="29.5703125" style="1331" bestFit="1" customWidth="1"/>
    <col min="11010" max="11010" width="19.85546875" style="1331" customWidth="1"/>
    <col min="11011" max="11011" width="12" style="1331" bestFit="1" customWidth="1"/>
    <col min="11012" max="11264" width="9.140625" style="1331"/>
    <col min="11265" max="11265" width="29.5703125" style="1331" bestFit="1" customWidth="1"/>
    <col min="11266" max="11266" width="19.85546875" style="1331" customWidth="1"/>
    <col min="11267" max="11267" width="12" style="1331" bestFit="1" customWidth="1"/>
    <col min="11268" max="11520" width="9.140625" style="1331"/>
    <col min="11521" max="11521" width="29.5703125" style="1331" bestFit="1" customWidth="1"/>
    <col min="11522" max="11522" width="19.85546875" style="1331" customWidth="1"/>
    <col min="11523" max="11523" width="12" style="1331" bestFit="1" customWidth="1"/>
    <col min="11524" max="11776" width="9.140625" style="1331"/>
    <col min="11777" max="11777" width="29.5703125" style="1331" bestFit="1" customWidth="1"/>
    <col min="11778" max="11778" width="19.85546875" style="1331" customWidth="1"/>
    <col min="11779" max="11779" width="12" style="1331" bestFit="1" customWidth="1"/>
    <col min="11780" max="12032" width="9.140625" style="1331"/>
    <col min="12033" max="12033" width="29.5703125" style="1331" bestFit="1" customWidth="1"/>
    <col min="12034" max="12034" width="19.85546875" style="1331" customWidth="1"/>
    <col min="12035" max="12035" width="12" style="1331" bestFit="1" customWidth="1"/>
    <col min="12036" max="12288" width="9.140625" style="1331"/>
    <col min="12289" max="12289" width="29.5703125" style="1331" bestFit="1" customWidth="1"/>
    <col min="12290" max="12290" width="19.85546875" style="1331" customWidth="1"/>
    <col min="12291" max="12291" width="12" style="1331" bestFit="1" customWidth="1"/>
    <col min="12292" max="12544" width="9.140625" style="1331"/>
    <col min="12545" max="12545" width="29.5703125" style="1331" bestFit="1" customWidth="1"/>
    <col min="12546" max="12546" width="19.85546875" style="1331" customWidth="1"/>
    <col min="12547" max="12547" width="12" style="1331" bestFit="1" customWidth="1"/>
    <col min="12548" max="12800" width="9.140625" style="1331"/>
    <col min="12801" max="12801" width="29.5703125" style="1331" bestFit="1" customWidth="1"/>
    <col min="12802" max="12802" width="19.85546875" style="1331" customWidth="1"/>
    <col min="12803" max="12803" width="12" style="1331" bestFit="1" customWidth="1"/>
    <col min="12804" max="13056" width="9.140625" style="1331"/>
    <col min="13057" max="13057" width="29.5703125" style="1331" bestFit="1" customWidth="1"/>
    <col min="13058" max="13058" width="19.85546875" style="1331" customWidth="1"/>
    <col min="13059" max="13059" width="12" style="1331" bestFit="1" customWidth="1"/>
    <col min="13060" max="13312" width="9.140625" style="1331"/>
    <col min="13313" max="13313" width="29.5703125" style="1331" bestFit="1" customWidth="1"/>
    <col min="13314" max="13314" width="19.85546875" style="1331" customWidth="1"/>
    <col min="13315" max="13315" width="12" style="1331" bestFit="1" customWidth="1"/>
    <col min="13316" max="13568" width="9.140625" style="1331"/>
    <col min="13569" max="13569" width="29.5703125" style="1331" bestFit="1" customWidth="1"/>
    <col min="13570" max="13570" width="19.85546875" style="1331" customWidth="1"/>
    <col min="13571" max="13571" width="12" style="1331" bestFit="1" customWidth="1"/>
    <col min="13572" max="13824" width="9.140625" style="1331"/>
    <col min="13825" max="13825" width="29.5703125" style="1331" bestFit="1" customWidth="1"/>
    <col min="13826" max="13826" width="19.85546875" style="1331" customWidth="1"/>
    <col min="13827" max="13827" width="12" style="1331" bestFit="1" customWidth="1"/>
    <col min="13828" max="14080" width="9.140625" style="1331"/>
    <col min="14081" max="14081" width="29.5703125" style="1331" bestFit="1" customWidth="1"/>
    <col min="14082" max="14082" width="19.85546875" style="1331" customWidth="1"/>
    <col min="14083" max="14083" width="12" style="1331" bestFit="1" customWidth="1"/>
    <col min="14084" max="14336" width="9.140625" style="1331"/>
    <col min="14337" max="14337" width="29.5703125" style="1331" bestFit="1" customWidth="1"/>
    <col min="14338" max="14338" width="19.85546875" style="1331" customWidth="1"/>
    <col min="14339" max="14339" width="12" style="1331" bestFit="1" customWidth="1"/>
    <col min="14340" max="14592" width="9.140625" style="1331"/>
    <col min="14593" max="14593" width="29.5703125" style="1331" bestFit="1" customWidth="1"/>
    <col min="14594" max="14594" width="19.85546875" style="1331" customWidth="1"/>
    <col min="14595" max="14595" width="12" style="1331" bestFit="1" customWidth="1"/>
    <col min="14596" max="14848" width="9.140625" style="1331"/>
    <col min="14849" max="14849" width="29.5703125" style="1331" bestFit="1" customWidth="1"/>
    <col min="14850" max="14850" width="19.85546875" style="1331" customWidth="1"/>
    <col min="14851" max="14851" width="12" style="1331" bestFit="1" customWidth="1"/>
    <col min="14852" max="15104" width="9.140625" style="1331"/>
    <col min="15105" max="15105" width="29.5703125" style="1331" bestFit="1" customWidth="1"/>
    <col min="15106" max="15106" width="19.85546875" style="1331" customWidth="1"/>
    <col min="15107" max="15107" width="12" style="1331" bestFit="1" customWidth="1"/>
    <col min="15108" max="15360" width="9.140625" style="1331"/>
    <col min="15361" max="15361" width="29.5703125" style="1331" bestFit="1" customWidth="1"/>
    <col min="15362" max="15362" width="19.85546875" style="1331" customWidth="1"/>
    <col min="15363" max="15363" width="12" style="1331" bestFit="1" customWidth="1"/>
    <col min="15364" max="15616" width="9.140625" style="1331"/>
    <col min="15617" max="15617" width="29.5703125" style="1331" bestFit="1" customWidth="1"/>
    <col min="15618" max="15618" width="19.85546875" style="1331" customWidth="1"/>
    <col min="15619" max="15619" width="12" style="1331" bestFit="1" customWidth="1"/>
    <col min="15620" max="15872" width="9.140625" style="1331"/>
    <col min="15873" max="15873" width="29.5703125" style="1331" bestFit="1" customWidth="1"/>
    <col min="15874" max="15874" width="19.85546875" style="1331" customWidth="1"/>
    <col min="15875" max="15875" width="12" style="1331" bestFit="1" customWidth="1"/>
    <col min="15876" max="16128" width="9.140625" style="1331"/>
    <col min="16129" max="16129" width="29.5703125" style="1331" bestFit="1" customWidth="1"/>
    <col min="16130" max="16130" width="19.85546875" style="1331" customWidth="1"/>
    <col min="16131" max="16131" width="12" style="1331" bestFit="1" customWidth="1"/>
    <col min="16132" max="16384" width="9.140625" style="1331"/>
  </cols>
  <sheetData>
    <row r="1" spans="1:2" x14ac:dyDescent="0.2">
      <c r="A1" s="1331" t="s">
        <v>1030</v>
      </c>
      <c r="B1" s="1352">
        <v>6.1</v>
      </c>
    </row>
    <row r="2" spans="1:2" x14ac:dyDescent="0.2">
      <c r="A2" s="1331" t="s">
        <v>1031</v>
      </c>
      <c r="B2" s="1356">
        <v>43209.709456018521</v>
      </c>
    </row>
    <row r="3" spans="1:2" x14ac:dyDescent="0.2">
      <c r="A3" s="1331" t="s">
        <v>1032</v>
      </c>
      <c r="B3" s="1353" t="s">
        <v>730</v>
      </c>
    </row>
    <row r="4" spans="1:2" x14ac:dyDescent="0.2">
      <c r="A4" s="1331" t="s">
        <v>1033</v>
      </c>
      <c r="B4" s="1353" t="s">
        <v>1034</v>
      </c>
    </row>
    <row r="5" spans="1:2" x14ac:dyDescent="0.2">
      <c r="A5" s="1331" t="s">
        <v>1035</v>
      </c>
      <c r="B5" s="1353" t="s">
        <v>1036</v>
      </c>
    </row>
    <row r="6" spans="1:2" x14ac:dyDescent="0.2">
      <c r="A6" s="1331" t="s">
        <v>1037</v>
      </c>
    </row>
    <row r="7" spans="1:2" x14ac:dyDescent="0.2">
      <c r="A7" s="1331" t="s">
        <v>1038</v>
      </c>
      <c r="B7" s="1353" t="s">
        <v>445</v>
      </c>
    </row>
    <row r="8" spans="1:2" x14ac:dyDescent="0.2">
      <c r="A8" s="1331" t="s">
        <v>1039</v>
      </c>
      <c r="B8" s="1353" t="s">
        <v>1040</v>
      </c>
    </row>
    <row r="9" spans="1:2" x14ac:dyDescent="0.2">
      <c r="A9" s="1331" t="s">
        <v>1041</v>
      </c>
      <c r="B9" s="1353" t="s">
        <v>1078</v>
      </c>
    </row>
    <row r="10" spans="1:2" x14ac:dyDescent="0.2">
      <c r="A10" s="1331" t="s">
        <v>1042</v>
      </c>
    </row>
    <row r="11" spans="1:2" x14ac:dyDescent="0.2">
      <c r="A11" s="1331" t="s">
        <v>1043</v>
      </c>
    </row>
    <row r="12" spans="1:2" x14ac:dyDescent="0.2">
      <c r="A12" s="1331" t="s">
        <v>1044</v>
      </c>
    </row>
    <row r="13" spans="1:2" x14ac:dyDescent="0.2">
      <c r="A13" s="1331" t="s">
        <v>1045</v>
      </c>
    </row>
    <row r="14" spans="1:2" x14ac:dyDescent="0.2">
      <c r="A14" s="1331" t="s">
        <v>1046</v>
      </c>
    </row>
    <row r="15" spans="1:2" x14ac:dyDescent="0.2">
      <c r="A15" s="1331" t="s">
        <v>1047</v>
      </c>
    </row>
    <row r="16" spans="1:2" x14ac:dyDescent="0.2">
      <c r="A16" s="1331" t="s">
        <v>1048</v>
      </c>
    </row>
    <row r="17" spans="1:4" x14ac:dyDescent="0.2">
      <c r="A17" s="1331" t="s">
        <v>1049</v>
      </c>
      <c r="B17" s="1353" t="s">
        <v>1079</v>
      </c>
    </row>
    <row r="18" spans="1:4" x14ac:dyDescent="0.2">
      <c r="A18" s="1331" t="s">
        <v>1050</v>
      </c>
      <c r="B18" s="1353" t="s">
        <v>1082</v>
      </c>
    </row>
    <row r="19" spans="1:4" x14ac:dyDescent="0.2">
      <c r="A19" s="1331" t="s">
        <v>1051</v>
      </c>
      <c r="B19" s="1353" t="s">
        <v>444</v>
      </c>
    </row>
    <row r="20" spans="1:4" x14ac:dyDescent="0.2">
      <c r="A20" s="1331" t="s">
        <v>1052</v>
      </c>
      <c r="B20" s="1354">
        <v>235851102</v>
      </c>
    </row>
    <row r="21" spans="1:4" x14ac:dyDescent="0.2">
      <c r="A21" s="1331" t="s">
        <v>1053</v>
      </c>
      <c r="B21" s="1353" t="s">
        <v>444</v>
      </c>
    </row>
    <row r="22" spans="1:4" x14ac:dyDescent="0.2">
      <c r="A22" s="1331" t="s">
        <v>1054</v>
      </c>
      <c r="B22" s="1354">
        <v>2250870</v>
      </c>
    </row>
    <row r="23" spans="1:4" x14ac:dyDescent="0.2">
      <c r="A23" s="1331" t="s">
        <v>451</v>
      </c>
      <c r="B23" s="1352">
        <v>101.5</v>
      </c>
    </row>
    <row r="24" spans="1:4" x14ac:dyDescent="0.2">
      <c r="A24" s="1331" t="s">
        <v>450</v>
      </c>
      <c r="B24" s="1353" t="s">
        <v>165</v>
      </c>
      <c r="D24" s="1331" t="s">
        <v>108</v>
      </c>
    </row>
    <row r="25" spans="1:4" x14ac:dyDescent="0.2">
      <c r="A25" s="1331" t="s">
        <v>1055</v>
      </c>
      <c r="B25" s="1353" t="s">
        <v>1083</v>
      </c>
    </row>
    <row r="26" spans="1:4" x14ac:dyDescent="0.2">
      <c r="A26" s="1331" t="s">
        <v>1056</v>
      </c>
      <c r="B26" s="1353">
        <v>0</v>
      </c>
    </row>
    <row r="27" spans="1:4" x14ac:dyDescent="0.2">
      <c r="A27" s="1331" t="s">
        <v>1057</v>
      </c>
      <c r="B27" s="1353" t="s">
        <v>1058</v>
      </c>
    </row>
    <row r="28" spans="1:4" x14ac:dyDescent="0.2">
      <c r="A28" s="1331" t="s">
        <v>1059</v>
      </c>
      <c r="B28" s="1353" t="s">
        <v>1060</v>
      </c>
    </row>
    <row r="29" spans="1:4" x14ac:dyDescent="0.2">
      <c r="A29" s="1331" t="s">
        <v>1061</v>
      </c>
    </row>
    <row r="30" spans="1:4" x14ac:dyDescent="0.2">
      <c r="A30" s="1331" t="s">
        <v>1062</v>
      </c>
    </row>
    <row r="31" spans="1:4" x14ac:dyDescent="0.2">
      <c r="A31" s="1331" t="s">
        <v>1063</v>
      </c>
    </row>
    <row r="32" spans="1:4" x14ac:dyDescent="0.2">
      <c r="A32" s="1331" t="s">
        <v>1064</v>
      </c>
      <c r="B32" s="1352"/>
    </row>
    <row r="33" spans="1:2" x14ac:dyDescent="0.2">
      <c r="A33" s="1331" t="s">
        <v>1065</v>
      </c>
      <c r="B33" s="1352"/>
    </row>
    <row r="34" spans="1:2" x14ac:dyDescent="0.2">
      <c r="A34" s="1331" t="s">
        <v>1066</v>
      </c>
      <c r="B34" s="1352"/>
    </row>
    <row r="35" spans="1:2" x14ac:dyDescent="0.2">
      <c r="A35" s="1331" t="s">
        <v>1067</v>
      </c>
      <c r="B35" s="1353">
        <v>1000000</v>
      </c>
    </row>
    <row r="36" spans="1:2" x14ac:dyDescent="0.2">
      <c r="A36" s="1331" t="s">
        <v>1068</v>
      </c>
      <c r="B36" s="1353" t="s">
        <v>1080</v>
      </c>
    </row>
    <row r="37" spans="1:2" x14ac:dyDescent="0.2">
      <c r="A37" s="1331" t="s">
        <v>1069</v>
      </c>
      <c r="B37" s="1353" t="s">
        <v>1070</v>
      </c>
    </row>
    <row r="38" spans="1:2" x14ac:dyDescent="0.2">
      <c r="A38" s="1331" t="s">
        <v>1071</v>
      </c>
      <c r="B38" s="1353" t="s">
        <v>1072</v>
      </c>
    </row>
    <row r="39" spans="1:2" x14ac:dyDescent="0.2">
      <c r="A39" s="1331" t="s">
        <v>1073</v>
      </c>
      <c r="B39" s="1353" t="s">
        <v>1081</v>
      </c>
    </row>
    <row r="40" spans="1:2" x14ac:dyDescent="0.2">
      <c r="A40" s="1331" t="s">
        <v>1074</v>
      </c>
      <c r="B40" s="1353">
        <v>1500005571</v>
      </c>
    </row>
    <row r="41" spans="1:2" x14ac:dyDescent="0.2">
      <c r="A41" s="1331" t="s">
        <v>1075</v>
      </c>
      <c r="B41" s="1353">
        <v>1</v>
      </c>
    </row>
    <row r="42" spans="1:2" x14ac:dyDescent="0.2">
      <c r="A42" s="1355" t="s">
        <v>1076</v>
      </c>
    </row>
    <row r="43" spans="1:2" x14ac:dyDescent="0.2">
      <c r="A43" s="1331" t="s">
        <v>1077</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x14ac:dyDescent="0.2"/>
  <cols>
    <col min="1" max="1" width="28.5703125" style="1331" bestFit="1" customWidth="1"/>
    <col min="2" max="256" width="9.140625" style="1331"/>
    <col min="257" max="257" width="28.5703125" style="1331" bestFit="1" customWidth="1"/>
    <col min="258" max="512" width="9.140625" style="1331"/>
    <col min="513" max="513" width="28.5703125" style="1331" bestFit="1" customWidth="1"/>
    <col min="514" max="768" width="9.140625" style="1331"/>
    <col min="769" max="769" width="28.5703125" style="1331" bestFit="1" customWidth="1"/>
    <col min="770" max="1024" width="9.140625" style="1331"/>
    <col min="1025" max="1025" width="28.5703125" style="1331" bestFit="1" customWidth="1"/>
    <col min="1026" max="1280" width="9.140625" style="1331"/>
    <col min="1281" max="1281" width="28.5703125" style="1331" bestFit="1" customWidth="1"/>
    <col min="1282" max="1536" width="9.140625" style="1331"/>
    <col min="1537" max="1537" width="28.5703125" style="1331" bestFit="1" customWidth="1"/>
    <col min="1538" max="1792" width="9.140625" style="1331"/>
    <col min="1793" max="1793" width="28.5703125" style="1331" bestFit="1" customWidth="1"/>
    <col min="1794" max="2048" width="9.140625" style="1331"/>
    <col min="2049" max="2049" width="28.5703125" style="1331" bestFit="1" customWidth="1"/>
    <col min="2050" max="2304" width="9.140625" style="1331"/>
    <col min="2305" max="2305" width="28.5703125" style="1331" bestFit="1" customWidth="1"/>
    <col min="2306" max="2560" width="9.140625" style="1331"/>
    <col min="2561" max="2561" width="28.5703125" style="1331" bestFit="1" customWidth="1"/>
    <col min="2562" max="2816" width="9.140625" style="1331"/>
    <col min="2817" max="2817" width="28.5703125" style="1331" bestFit="1" customWidth="1"/>
    <col min="2818" max="3072" width="9.140625" style="1331"/>
    <col min="3073" max="3073" width="28.5703125" style="1331" bestFit="1" customWidth="1"/>
    <col min="3074" max="3328" width="9.140625" style="1331"/>
    <col min="3329" max="3329" width="28.5703125" style="1331" bestFit="1" customWidth="1"/>
    <col min="3330" max="3584" width="9.140625" style="1331"/>
    <col min="3585" max="3585" width="28.5703125" style="1331" bestFit="1" customWidth="1"/>
    <col min="3586" max="3840" width="9.140625" style="1331"/>
    <col min="3841" max="3841" width="28.5703125" style="1331" bestFit="1" customWidth="1"/>
    <col min="3842" max="4096" width="9.140625" style="1331"/>
    <col min="4097" max="4097" width="28.5703125" style="1331" bestFit="1" customWidth="1"/>
    <col min="4098" max="4352" width="9.140625" style="1331"/>
    <col min="4353" max="4353" width="28.5703125" style="1331" bestFit="1" customWidth="1"/>
    <col min="4354" max="4608" width="9.140625" style="1331"/>
    <col min="4609" max="4609" width="28.5703125" style="1331" bestFit="1" customWidth="1"/>
    <col min="4610" max="4864" width="9.140625" style="1331"/>
    <col min="4865" max="4865" width="28.5703125" style="1331" bestFit="1" customWidth="1"/>
    <col min="4866" max="5120" width="9.140625" style="1331"/>
    <col min="5121" max="5121" width="28.5703125" style="1331" bestFit="1" customWidth="1"/>
    <col min="5122" max="5376" width="9.140625" style="1331"/>
    <col min="5377" max="5377" width="28.5703125" style="1331" bestFit="1" customWidth="1"/>
    <col min="5378" max="5632" width="9.140625" style="1331"/>
    <col min="5633" max="5633" width="28.5703125" style="1331" bestFit="1" customWidth="1"/>
    <col min="5634" max="5888" width="9.140625" style="1331"/>
    <col min="5889" max="5889" width="28.5703125" style="1331" bestFit="1" customWidth="1"/>
    <col min="5890" max="6144" width="9.140625" style="1331"/>
    <col min="6145" max="6145" width="28.5703125" style="1331" bestFit="1" customWidth="1"/>
    <col min="6146" max="6400" width="9.140625" style="1331"/>
    <col min="6401" max="6401" width="28.5703125" style="1331" bestFit="1" customWidth="1"/>
    <col min="6402" max="6656" width="9.140625" style="1331"/>
    <col min="6657" max="6657" width="28.5703125" style="1331" bestFit="1" customWidth="1"/>
    <col min="6658" max="6912" width="9.140625" style="1331"/>
    <col min="6913" max="6913" width="28.5703125" style="1331" bestFit="1" customWidth="1"/>
    <col min="6914" max="7168" width="9.140625" style="1331"/>
    <col min="7169" max="7169" width="28.5703125" style="1331" bestFit="1" customWidth="1"/>
    <col min="7170" max="7424" width="9.140625" style="1331"/>
    <col min="7425" max="7425" width="28.5703125" style="1331" bestFit="1" customWidth="1"/>
    <col min="7426" max="7680" width="9.140625" style="1331"/>
    <col min="7681" max="7681" width="28.5703125" style="1331" bestFit="1" customWidth="1"/>
    <col min="7682" max="7936" width="9.140625" style="1331"/>
    <col min="7937" max="7937" width="28.5703125" style="1331" bestFit="1" customWidth="1"/>
    <col min="7938" max="8192" width="9.140625" style="1331"/>
    <col min="8193" max="8193" width="28.5703125" style="1331" bestFit="1" customWidth="1"/>
    <col min="8194" max="8448" width="9.140625" style="1331"/>
    <col min="8449" max="8449" width="28.5703125" style="1331" bestFit="1" customWidth="1"/>
    <col min="8450" max="8704" width="9.140625" style="1331"/>
    <col min="8705" max="8705" width="28.5703125" style="1331" bestFit="1" customWidth="1"/>
    <col min="8706" max="8960" width="9.140625" style="1331"/>
    <col min="8961" max="8961" width="28.5703125" style="1331" bestFit="1" customWidth="1"/>
    <col min="8962" max="9216" width="9.140625" style="1331"/>
    <col min="9217" max="9217" width="28.5703125" style="1331" bestFit="1" customWidth="1"/>
    <col min="9218" max="9472" width="9.140625" style="1331"/>
    <col min="9473" max="9473" width="28.5703125" style="1331" bestFit="1" customWidth="1"/>
    <col min="9474" max="9728" width="9.140625" style="1331"/>
    <col min="9729" max="9729" width="28.5703125" style="1331" bestFit="1" customWidth="1"/>
    <col min="9730" max="9984" width="9.140625" style="1331"/>
    <col min="9985" max="9985" width="28.5703125" style="1331" bestFit="1" customWidth="1"/>
    <col min="9986" max="10240" width="9.140625" style="1331"/>
    <col min="10241" max="10241" width="28.5703125" style="1331" bestFit="1" customWidth="1"/>
    <col min="10242" max="10496" width="9.140625" style="1331"/>
    <col min="10497" max="10497" width="28.5703125" style="1331" bestFit="1" customWidth="1"/>
    <col min="10498" max="10752" width="9.140625" style="1331"/>
    <col min="10753" max="10753" width="28.5703125" style="1331" bestFit="1" customWidth="1"/>
    <col min="10754" max="11008" width="9.140625" style="1331"/>
    <col min="11009" max="11009" width="28.5703125" style="1331" bestFit="1" customWidth="1"/>
    <col min="11010" max="11264" width="9.140625" style="1331"/>
    <col min="11265" max="11265" width="28.5703125" style="1331" bestFit="1" customWidth="1"/>
    <col min="11266" max="11520" width="9.140625" style="1331"/>
    <col min="11521" max="11521" width="28.5703125" style="1331" bestFit="1" customWidth="1"/>
    <col min="11522" max="11776" width="9.140625" style="1331"/>
    <col min="11777" max="11777" width="28.5703125" style="1331" bestFit="1" customWidth="1"/>
    <col min="11778" max="12032" width="9.140625" style="1331"/>
    <col min="12033" max="12033" width="28.5703125" style="1331" bestFit="1" customWidth="1"/>
    <col min="12034" max="12288" width="9.140625" style="1331"/>
    <col min="12289" max="12289" width="28.5703125" style="1331" bestFit="1" customWidth="1"/>
    <col min="12290" max="12544" width="9.140625" style="1331"/>
    <col min="12545" max="12545" width="28.5703125" style="1331" bestFit="1" customWidth="1"/>
    <col min="12546" max="12800" width="9.140625" style="1331"/>
    <col min="12801" max="12801" width="28.5703125" style="1331" bestFit="1" customWidth="1"/>
    <col min="12802" max="13056" width="9.140625" style="1331"/>
    <col min="13057" max="13057" width="28.5703125" style="1331" bestFit="1" customWidth="1"/>
    <col min="13058" max="13312" width="9.140625" style="1331"/>
    <col min="13313" max="13313" width="28.5703125" style="1331" bestFit="1" customWidth="1"/>
    <col min="13314" max="13568" width="9.140625" style="1331"/>
    <col min="13569" max="13569" width="28.5703125" style="1331" bestFit="1" customWidth="1"/>
    <col min="13570" max="13824" width="9.140625" style="1331"/>
    <col min="13825" max="13825" width="28.5703125" style="1331" bestFit="1" customWidth="1"/>
    <col min="13826" max="14080" width="9.140625" style="1331"/>
    <col min="14081" max="14081" width="28.5703125" style="1331" bestFit="1" customWidth="1"/>
    <col min="14082" max="14336" width="9.140625" style="1331"/>
    <col min="14337" max="14337" width="28.5703125" style="1331" bestFit="1" customWidth="1"/>
    <col min="14338" max="14592" width="9.140625" style="1331"/>
    <col min="14593" max="14593" width="28.5703125" style="1331" bestFit="1" customWidth="1"/>
    <col min="14594" max="14848" width="9.140625" style="1331"/>
    <col min="14849" max="14849" width="28.5703125" style="1331" bestFit="1" customWidth="1"/>
    <col min="14850" max="15104" width="9.140625" style="1331"/>
    <col min="15105" max="15105" width="28.5703125" style="1331" bestFit="1" customWidth="1"/>
    <col min="15106" max="15360" width="9.140625" style="1331"/>
    <col min="15361" max="15361" width="28.5703125" style="1331" bestFit="1" customWidth="1"/>
    <col min="15362" max="15616" width="9.140625" style="1331"/>
    <col min="15617" max="15617" width="28.5703125" style="1331" bestFit="1" customWidth="1"/>
    <col min="15618" max="15872" width="9.140625" style="1331"/>
    <col min="15873" max="15873" width="28.5703125" style="1331" bestFit="1" customWidth="1"/>
    <col min="15874" max="16128" width="9.140625" style="1331"/>
    <col min="16129" max="16129" width="28.5703125" style="1331" bestFit="1" customWidth="1"/>
    <col min="16130" max="16384" width="9.140625" style="1331"/>
  </cols>
  <sheetData>
    <row r="1" spans="1:1" x14ac:dyDescent="0.2">
      <c r="A1" s="1357" t="s">
        <v>1084</v>
      </c>
    </row>
    <row r="2" spans="1:1" x14ac:dyDescent="0.2">
      <c r="A2" s="1357" t="s">
        <v>1089</v>
      </c>
    </row>
    <row r="3" spans="1:1" x14ac:dyDescent="0.2">
      <c r="A3" s="1357" t="s">
        <v>1090</v>
      </c>
    </row>
    <row r="4" spans="1:1" x14ac:dyDescent="0.2">
      <c r="A4" s="1357" t="s">
        <v>1091</v>
      </c>
    </row>
    <row r="5" spans="1:1" x14ac:dyDescent="0.2">
      <c r="A5" s="1357" t="s">
        <v>1092</v>
      </c>
    </row>
    <row r="6" spans="1:1" x14ac:dyDescent="0.2">
      <c r="A6" s="1357" t="s">
        <v>1085</v>
      </c>
    </row>
    <row r="7" spans="1:1" x14ac:dyDescent="0.2">
      <c r="A7" s="1357" t="s">
        <v>1093</v>
      </c>
    </row>
    <row r="8" spans="1:1" x14ac:dyDescent="0.2">
      <c r="A8" s="1357" t="s">
        <v>1094</v>
      </c>
    </row>
    <row r="9" spans="1:1" x14ac:dyDescent="0.2">
      <c r="A9" s="1357" t="s">
        <v>1095</v>
      </c>
    </row>
    <row r="10" spans="1:1" x14ac:dyDescent="0.2">
      <c r="A10" s="1357" t="s">
        <v>1086</v>
      </c>
    </row>
    <row r="11" spans="1:1" x14ac:dyDescent="0.2">
      <c r="A11" s="1357" t="s">
        <v>1096</v>
      </c>
    </row>
    <row r="12" spans="1:1" x14ac:dyDescent="0.2">
      <c r="A12" s="1357" t="s">
        <v>1087</v>
      </c>
    </row>
    <row r="13" spans="1:1" x14ac:dyDescent="0.2">
      <c r="A13" s="1357" t="s">
        <v>1088</v>
      </c>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
  <sheetViews>
    <sheetView workbookViewId="0"/>
  </sheetViews>
  <sheetFormatPr defaultRowHeight="12.75" x14ac:dyDescent="0.2"/>
  <sheetData>
    <row r="1" spans="1:6" x14ac:dyDescent="0.2">
      <c r="A1" t="s">
        <v>120</v>
      </c>
    </row>
    <row r="2" spans="1:6" x14ac:dyDescent="0.2">
      <c r="A2" s="1" t="s">
        <v>118</v>
      </c>
      <c r="B2" s="1" t="s">
        <v>165</v>
      </c>
      <c r="C2" s="1" t="s">
        <v>119</v>
      </c>
      <c r="D2" s="1" t="s">
        <v>729</v>
      </c>
      <c r="E2" s="1" t="s">
        <v>117</v>
      </c>
      <c r="F2" s="1" t="s">
        <v>121</v>
      </c>
    </row>
  </sheetData>
  <phoneticPr fontId="14"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07FEB2FB-7C1C-4661-BBDB-8EE6B932BCA8}">
  <ds:schemaRefs>
    <ds:schemaRef ds:uri="thomsonreuters.linking.metadatachange"/>
  </ds:schemaRefs>
</ds:datastoreItem>
</file>

<file path=customXml/itemProps2.xml><?xml version="1.0" encoding="utf-8"?>
<ds:datastoreItem xmlns:ds="http://schemas.openxmlformats.org/officeDocument/2006/customXml" ds:itemID="{D16BB9C6-CFF0-4A37-92CA-76FE83F3DCA2}">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89</vt:i4>
      </vt:variant>
    </vt:vector>
  </HeadingPairs>
  <TitlesOfParts>
    <vt:vector size="99" baseType="lpstr">
      <vt:lpstr>ImportantDisclosures</vt:lpstr>
      <vt:lpstr>Cover</vt:lpstr>
      <vt:lpstr>Pro Forma IS</vt:lpstr>
      <vt:lpstr>DHR</vt:lpstr>
      <vt:lpstr>OrgRev</vt:lpstr>
      <vt:lpstr>BS</vt:lpstr>
      <vt:lpstr>CF</vt:lpstr>
      <vt:lpstr>Debt</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Linking_11</vt:lpstr>
      <vt:lpstr>Linking_12</vt:lpstr>
      <vt:lpstr>Linking_13</vt:lpstr>
      <vt:lpstr>Linking_17</vt:lpstr>
      <vt:lpstr>Linking_21</vt:lpstr>
      <vt:lpstr>Linking_31</vt:lpstr>
      <vt:lpstr>Linking_33</vt:lpstr>
      <vt:lpstr>Linking_34</vt:lpstr>
      <vt:lpstr>Linking_37</vt:lpstr>
      <vt:lpstr>Linking_38</vt:lpstr>
      <vt:lpstr>Linking_4</vt:lpstr>
      <vt:lpstr>Linking_40</vt:lpstr>
      <vt:lpstr>Linking_46</vt:lpstr>
      <vt:lpstr>Linking_47</vt:lpstr>
      <vt:lpstr>Linking_6</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BS!Print_Area</vt:lpstr>
      <vt:lpstr>CF!Print_Area</vt:lpstr>
      <vt:lpstr>BS!Print_Titles</vt:lpstr>
      <vt:lpstr>CF!Print_Titles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2005-03-28T13:29:54Z</dcterms:created>
  <dc:creator>Wachter, Zachary (Research)</dc:creator>
  <cp:lastModifiedBy>Wachter, Zachary (Research)</cp:lastModifiedBy>
  <cp:lastPrinted>2018-04-19T19:38:54Z</cp:lastPrinted>
  <dcterms:modified xsi:type="dcterms:W3CDTF">2018-04-19T21:01:39Z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FDSMenuDocLevelBtnStates" pid="2">
    <vt:lpwstr>&lt;btnStates&gt;&lt;btn tag="1001" state="UP"/&gt;&lt;/btnStates&gt;_x000d_
</vt:lpwstr>
  </property>
  <property fmtid="{D5CDD505-2E9C-101B-9397-08002B2CF9AE}" name="{A44787D4-0540-4523-9961-78E4036D8C6D}" pid="3">
    <vt:lpwstr>{FBEDF80B-8F54-4971-9168-EE7C8508A10E}</vt:lpwstr>
  </property>
  <property fmtid="{D5CDD505-2E9C-101B-9397-08002B2CF9AE}" name="LinkingAutoNameNumberLinking_Range_" pid="4">
    <vt:lpwstr>21</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762929</vt:lpwstr>
  </property>
  <property fmtid="{D5CDD505-2E9C-101B-9397-08002B2CF9AE}" name="ERModPubCompanyName" pid="8">
    <vt:lpwstr>Danaher</vt:lpwstr>
  </property>
  <property fmtid="{D5CDD505-2E9C-101B-9397-08002B2CF9AE}" name="MSDH34TAG" pid="9">
    <vt:lpwstr>.TEZUF76X5TAHATHESADREYAK-00-INB160+*94600-06=e0ab0da6/-4414/-11e8/-9695/-5e5c95fbb3b1,MD=20180419170641/-0400,ZZ=000Z-34d2.</vt:lpwstr>
  </property>
</Properties>
</file>